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Data" sheetId="1" r:id="rId5"/>
    <sheet state="visible" name="Maths" sheetId="2" r:id="rId6"/>
    <sheet state="visible" name="Portfolio" sheetId="3" r:id="rId7"/>
    <sheet state="hidden" name="__OpenSolverCache__" sheetId="4" r:id="rId8"/>
    <sheet state="hidden" name="__OpenSolver__" sheetId="5" r:id="rId9"/>
  </sheets>
  <definedNames/>
  <calcPr/>
</workbook>
</file>

<file path=xl/sharedStrings.xml><?xml version="1.0" encoding="utf-8"?>
<sst xmlns="http://schemas.openxmlformats.org/spreadsheetml/2006/main" count="10047" uniqueCount="10040">
  <si>
    <t>Cisco Systems</t>
  </si>
  <si>
    <t>NVIDIA</t>
  </si>
  <si>
    <t>Rolls-Royce</t>
  </si>
  <si>
    <t>Loydes Bank</t>
  </si>
  <si>
    <t>BP</t>
  </si>
  <si>
    <t>Procter and Gamble</t>
  </si>
  <si>
    <t>Cisco Daily returns</t>
  </si>
  <si>
    <t>NVIDIA Daily returns</t>
  </si>
  <si>
    <t>RR Daily returns</t>
  </si>
  <si>
    <t>Lloydes Daily returns</t>
  </si>
  <si>
    <t>BP Daily returns</t>
  </si>
  <si>
    <t>PG 500 Daily Returns</t>
  </si>
  <si>
    <t>Stock/EFT</t>
  </si>
  <si>
    <t>Average</t>
  </si>
  <si>
    <t>Standard Deviation</t>
  </si>
  <si>
    <t>Cisco</t>
  </si>
  <si>
    <t>NVIDAI</t>
  </si>
  <si>
    <t>RR</t>
  </si>
  <si>
    <t>Lloydes</t>
  </si>
  <si>
    <t>PG</t>
  </si>
  <si>
    <t>Covariance Matrix</t>
  </si>
  <si>
    <t>Asset</t>
  </si>
  <si>
    <t>Weight</t>
  </si>
  <si>
    <t>Annual Expected Returns</t>
  </si>
  <si>
    <t>Portfolio</t>
  </si>
  <si>
    <t>Expected Return</t>
  </si>
  <si>
    <t>Volatility (Risk)</t>
  </si>
  <si>
    <t>Sharpe Ratio</t>
  </si>
  <si>
    <t>1 Weight</t>
  </si>
  <si>
    <t>2 Weight</t>
  </si>
  <si>
    <t>3 Weight</t>
  </si>
  <si>
    <t>4 Weight</t>
  </si>
  <si>
    <t>5 Weight</t>
  </si>
  <si>
    <t>6 Weight</t>
  </si>
  <si>
    <t>Portfolio 3014</t>
  </si>
  <si>
    <t>NVIDA</t>
  </si>
  <si>
    <t>Portfolio 3635</t>
  </si>
  <si>
    <t>Portfolio 1083</t>
  </si>
  <si>
    <t>Portfolio 4642</t>
  </si>
  <si>
    <t>Portfolio 1985</t>
  </si>
  <si>
    <t>Portfolio 9024</t>
  </si>
  <si>
    <t>sum weights</t>
  </si>
  <si>
    <t>Portfolio 2395</t>
  </si>
  <si>
    <t>Portfolio 6207</t>
  </si>
  <si>
    <t xml:space="preserve">Weighted Average return </t>
  </si>
  <si>
    <t>Portfolio 7881</t>
  </si>
  <si>
    <t>Portfolio Variance</t>
  </si>
  <si>
    <t>Portfolio 8130</t>
  </si>
  <si>
    <t>Portfolio Volitility</t>
  </si>
  <si>
    <t>Portfolio 2756</t>
  </si>
  <si>
    <t>Portfolio 1891</t>
  </si>
  <si>
    <t xml:space="preserve"> </t>
  </si>
  <si>
    <t>Portfolio 8580</t>
  </si>
  <si>
    <t>Portfolio 5711</t>
  </si>
  <si>
    <t>Portfolio 1140</t>
  </si>
  <si>
    <t>Portfolio 7400</t>
  </si>
  <si>
    <t>Portfolio 7542</t>
  </si>
  <si>
    <t>Portfolio 8942</t>
  </si>
  <si>
    <t>Portfolio 2972</t>
  </si>
  <si>
    <t>Portfolio 5017</t>
  </si>
  <si>
    <t>Portfolio 2399</t>
  </si>
  <si>
    <t>Portfolio 9473</t>
  </si>
  <si>
    <t>Portfolio 4617</t>
  </si>
  <si>
    <t>Portfolio 379</t>
  </si>
  <si>
    <t>Portfolio 1747</t>
  </si>
  <si>
    <t>Portfolio 5244</t>
  </si>
  <si>
    <t>Portfolio 9609</t>
  </si>
  <si>
    <t>Portfolio 2748</t>
  </si>
  <si>
    <t>Portfolio 1379</t>
  </si>
  <si>
    <t>Portfolio 1278</t>
  </si>
  <si>
    <t>Portfolio 6849</t>
  </si>
  <si>
    <t>Portfolio 3996</t>
  </si>
  <si>
    <t>Portfolio 683</t>
  </si>
  <si>
    <t>Portfolio 3455</t>
  </si>
  <si>
    <t>Portfolio 7651</t>
  </si>
  <si>
    <t>Portfolio 9797</t>
  </si>
  <si>
    <t>Portfolio 8912</t>
  </si>
  <si>
    <t>Portfolio 6731</t>
  </si>
  <si>
    <t>Portfolio 9809</t>
  </si>
  <si>
    <t>Portfolio 5978</t>
  </si>
  <si>
    <t>Portfolio 6632</t>
  </si>
  <si>
    <t>Portfolio 9423</t>
  </si>
  <si>
    <t>Portfolio 1487</t>
  </si>
  <si>
    <t>Portfolio 8467</t>
  </si>
  <si>
    <t>Portfolio 8044</t>
  </si>
  <si>
    <t>Portfolio 3185</t>
  </si>
  <si>
    <t>Portfolio 3684</t>
  </si>
  <si>
    <t>Portfolio 9353</t>
  </si>
  <si>
    <t>Portfolio 8757</t>
  </si>
  <si>
    <t>Portfolio 2260</t>
  </si>
  <si>
    <t>Portfolio 6049</t>
  </si>
  <si>
    <t>Portfolio 6703</t>
  </si>
  <si>
    <t>Portfolio 7896</t>
  </si>
  <si>
    <t>Portfolio 6628</t>
  </si>
  <si>
    <t>Portfolio 3908</t>
  </si>
  <si>
    <t>Portfolio 1745</t>
  </si>
  <si>
    <t>Portfolio 8772</t>
  </si>
  <si>
    <t>Portfolio 8743</t>
  </si>
  <si>
    <t>Portfolio 5414</t>
  </si>
  <si>
    <t>Portfolio 2966</t>
  </si>
  <si>
    <t>Portfolio 8973</t>
  </si>
  <si>
    <t>Portfolio 179</t>
  </si>
  <si>
    <t>Portfolio 8407</t>
  </si>
  <si>
    <t>Portfolio 8032</t>
  </si>
  <si>
    <t>Portfolio 3938</t>
  </si>
  <si>
    <t>Portfolio 221</t>
  </si>
  <si>
    <t>Portfolio 349</t>
  </si>
  <si>
    <t>Portfolio 1596</t>
  </si>
  <si>
    <t>Portfolio 2449</t>
  </si>
  <si>
    <t>Portfolio 321</t>
  </si>
  <si>
    <t>Portfolio 5730</t>
  </si>
  <si>
    <t>Portfolio 5664</t>
  </si>
  <si>
    <t>Portfolio 2022</t>
  </si>
  <si>
    <t>Portfolio 2929</t>
  </si>
  <si>
    <t>Portfolio 6416</t>
  </si>
  <si>
    <t>Portfolio 1018</t>
  </si>
  <si>
    <t>Portfolio 3328</t>
  </si>
  <si>
    <t>Portfolio 9961</t>
  </si>
  <si>
    <t>Portfolio 2340</t>
  </si>
  <si>
    <t>Portfolio 4818</t>
  </si>
  <si>
    <t>Portfolio 816</t>
  </si>
  <si>
    <t>Portfolio 3513</t>
  </si>
  <si>
    <t>Portfolio 5806</t>
  </si>
  <si>
    <t>Portfolio 7739</t>
  </si>
  <si>
    <t>Portfolio 8674</t>
  </si>
  <si>
    <t>Portfolio 8283</t>
  </si>
  <si>
    <t>Portfolio 7001</t>
  </si>
  <si>
    <t>Portfolio 1481</t>
  </si>
  <si>
    <t>Portfolio 4461</t>
  </si>
  <si>
    <t>Portfolio 92</t>
  </si>
  <si>
    <t>Portfolio 630</t>
  </si>
  <si>
    <t>Portfolio 8866</t>
  </si>
  <si>
    <t>Portfolio 7557</t>
  </si>
  <si>
    <t>Portfolio 9312</t>
  </si>
  <si>
    <t>Portfolio 1871</t>
  </si>
  <si>
    <t>Portfolio 685</t>
  </si>
  <si>
    <t>Portfolio 6446</t>
  </si>
  <si>
    <t>Portfolio 2689</t>
  </si>
  <si>
    <t>Portfolio 8849</t>
  </si>
  <si>
    <t>Portfolio 6716</t>
  </si>
  <si>
    <t>Portfolio 8161</t>
  </si>
  <si>
    <t>Portfolio 1142</t>
  </si>
  <si>
    <t>Portfolio 7142</t>
  </si>
  <si>
    <t>Portfolio 4950</t>
  </si>
  <si>
    <t>Portfolio 1131</t>
  </si>
  <si>
    <t>Portfolio 7725</t>
  </si>
  <si>
    <t>Portfolio 4703</t>
  </si>
  <si>
    <t>Portfolio 7529</t>
  </si>
  <si>
    <t>Portfolio 332</t>
  </si>
  <si>
    <t>Portfolio 8788</t>
  </si>
  <si>
    <t>Portfolio 3404</t>
  </si>
  <si>
    <t>Portfolio 3075</t>
  </si>
  <si>
    <t>Portfolio 5001</t>
  </si>
  <si>
    <t>Portfolio 6400</t>
  </si>
  <si>
    <t>Portfolio 434</t>
  </si>
  <si>
    <t>Portfolio 4622</t>
  </si>
  <si>
    <t>Portfolio 9245</t>
  </si>
  <si>
    <t>Portfolio 9372</t>
  </si>
  <si>
    <t>Portfolio 8123</t>
  </si>
  <si>
    <t>Portfolio 5708</t>
  </si>
  <si>
    <t>Portfolio 1512</t>
  </si>
  <si>
    <t>Portfolio 7157</t>
  </si>
  <si>
    <t>Portfolio 5085</t>
  </si>
  <si>
    <t>Portfolio 2945</t>
  </si>
  <si>
    <t>Portfolio 7790</t>
  </si>
  <si>
    <t>Portfolio 2394</t>
  </si>
  <si>
    <t>Portfolio 3665</t>
  </si>
  <si>
    <t>Portfolio 3811</t>
  </si>
  <si>
    <t>Portfolio 1837</t>
  </si>
  <si>
    <t>Portfolio 3022</t>
  </si>
  <si>
    <t>Portfolio 6324</t>
  </si>
  <si>
    <t>Portfolio 1568</t>
  </si>
  <si>
    <t>Portfolio 2026</t>
  </si>
  <si>
    <t>Portfolio 8526</t>
  </si>
  <si>
    <t>Portfolio 5590</t>
  </si>
  <si>
    <t>Portfolio 9559</t>
  </si>
  <si>
    <t>Portfolio 7793</t>
  </si>
  <si>
    <t>Portfolio 6225</t>
  </si>
  <si>
    <t>Portfolio 4997</t>
  </si>
  <si>
    <t>Portfolio 7419</t>
  </si>
  <si>
    <t>Portfolio 9952</t>
  </si>
  <si>
    <t>Portfolio 8183</t>
  </si>
  <si>
    <t>Portfolio 6344</t>
  </si>
  <si>
    <t>Portfolio 2388</t>
  </si>
  <si>
    <t>Portfolio 9868</t>
  </si>
  <si>
    <t>Portfolio 731</t>
  </si>
  <si>
    <t>Portfolio 7124</t>
  </si>
  <si>
    <t>Portfolio 9404</t>
  </si>
  <si>
    <t>Portfolio 6993</t>
  </si>
  <si>
    <t>Portfolio 4523</t>
  </si>
  <si>
    <t>Portfolio 1005</t>
  </si>
  <si>
    <t>Portfolio 4807</t>
  </si>
  <si>
    <t>Portfolio 6800</t>
  </si>
  <si>
    <t>Portfolio 3582</t>
  </si>
  <si>
    <t>Portfolio 5157</t>
  </si>
  <si>
    <t>Portfolio 4656</t>
  </si>
  <si>
    <t>Portfolio 7633</t>
  </si>
  <si>
    <t>Portfolio 7595</t>
  </si>
  <si>
    <t>Portfolio 40</t>
  </si>
  <si>
    <t>Portfolio 5338</t>
  </si>
  <si>
    <t>Portfolio 2067</t>
  </si>
  <si>
    <t>Portfolio 8892</t>
  </si>
  <si>
    <t>Portfolio 2490</t>
  </si>
  <si>
    <t>Portfolio 1619</t>
  </si>
  <si>
    <t>Portfolio 190</t>
  </si>
  <si>
    <t>Portfolio 817</t>
  </si>
  <si>
    <t>Portfolio 9123</t>
  </si>
  <si>
    <t>Portfolio 8128</t>
  </si>
  <si>
    <t>Portfolio 8116</t>
  </si>
  <si>
    <t>Portfolio 8461</t>
  </si>
  <si>
    <t>Portfolio 4867</t>
  </si>
  <si>
    <t>Portfolio 8877</t>
  </si>
  <si>
    <t>Portfolio 9604</t>
  </si>
  <si>
    <t>Portfolio 9160</t>
  </si>
  <si>
    <t>Portfolio 7756</t>
  </si>
  <si>
    <t>Portfolio 520</t>
  </si>
  <si>
    <t>Portfolio 2244</t>
  </si>
  <si>
    <t>Portfolio 7288</t>
  </si>
  <si>
    <t>Portfolio 8254</t>
  </si>
  <si>
    <t>Portfolio 6862</t>
  </si>
  <si>
    <t>Portfolio 6714</t>
  </si>
  <si>
    <t>Portfolio 5250</t>
  </si>
  <si>
    <t>Portfolio 9933</t>
  </si>
  <si>
    <t>Portfolio 3850</t>
  </si>
  <si>
    <t>Portfolio 5337</t>
  </si>
  <si>
    <t>Portfolio 7951</t>
  </si>
  <si>
    <t>Portfolio 898</t>
  </si>
  <si>
    <t>Portfolio 8406</t>
  </si>
  <si>
    <t>Portfolio 7539</t>
  </si>
  <si>
    <t>Portfolio 9419</t>
  </si>
  <si>
    <t>Portfolio 3018</t>
  </si>
  <si>
    <t>Portfolio 5210</t>
  </si>
  <si>
    <t>Portfolio 4290</t>
  </si>
  <si>
    <t>Portfolio 7247</t>
  </si>
  <si>
    <t>Portfolio 334</t>
  </si>
  <si>
    <t>Portfolio 9862</t>
  </si>
  <si>
    <t>Portfolio 7888</t>
  </si>
  <si>
    <t>Portfolio 693</t>
  </si>
  <si>
    <t>Portfolio 8673</t>
  </si>
  <si>
    <t>Portfolio 6243</t>
  </si>
  <si>
    <t>Portfolio 9779</t>
  </si>
  <si>
    <t>Portfolio 3414</t>
  </si>
  <si>
    <t>Portfolio 6444</t>
  </si>
  <si>
    <t>Portfolio 3805</t>
  </si>
  <si>
    <t>Portfolio 5573</t>
  </si>
  <si>
    <t>Portfolio 1172</t>
  </si>
  <si>
    <t>Portfolio 5200</t>
  </si>
  <si>
    <t>Portfolio 1055</t>
  </si>
  <si>
    <t>Portfolio 7456</t>
  </si>
  <si>
    <t>Portfolio 4582</t>
  </si>
  <si>
    <t>Portfolio 6767</t>
  </si>
  <si>
    <t>Portfolio 9921</t>
  </si>
  <si>
    <t>Portfolio 8552</t>
  </si>
  <si>
    <t>Portfolio 5563</t>
  </si>
  <si>
    <t>Portfolio 588</t>
  </si>
  <si>
    <t>Portfolio 6002</t>
  </si>
  <si>
    <t>Portfolio 2532</t>
  </si>
  <si>
    <t>Portfolio 490</t>
  </si>
  <si>
    <t>Portfolio 5478</t>
  </si>
  <si>
    <t>Portfolio 6175</t>
  </si>
  <si>
    <t>Portfolio 9408</t>
  </si>
  <si>
    <t>Portfolio 7879</t>
  </si>
  <si>
    <t>Portfolio 9947</t>
  </si>
  <si>
    <t>Portfolio 2662</t>
  </si>
  <si>
    <t>Portfolio 2724</t>
  </si>
  <si>
    <t>Portfolio 1174</t>
  </si>
  <si>
    <t>Portfolio 7858</t>
  </si>
  <si>
    <t>Portfolio 9399</t>
  </si>
  <si>
    <t>Portfolio 5269</t>
  </si>
  <si>
    <t>Portfolio 3054</t>
  </si>
  <si>
    <t>Portfolio 1873</t>
  </si>
  <si>
    <t>Portfolio 7843</t>
  </si>
  <si>
    <t>Portfolio 8170</t>
  </si>
  <si>
    <t>Portfolio 1145</t>
  </si>
  <si>
    <t>Portfolio 3331</t>
  </si>
  <si>
    <t>Portfolio 9939</t>
  </si>
  <si>
    <t>Portfolio 4120</t>
  </si>
  <si>
    <t>Portfolio 4991</t>
  </si>
  <si>
    <t>Portfolio 5379</t>
  </si>
  <si>
    <t>Portfolio 1826</t>
  </si>
  <si>
    <t>Portfolio 3218</t>
  </si>
  <si>
    <t>Portfolio 1190</t>
  </si>
  <si>
    <t>Portfolio 929</t>
  </si>
  <si>
    <t>Portfolio 2696</t>
  </si>
  <si>
    <t>Portfolio 5870</t>
  </si>
  <si>
    <t>Portfolio 4238</t>
  </si>
  <si>
    <t>Portfolio 4222</t>
  </si>
  <si>
    <t>Portfolio 2349</t>
  </si>
  <si>
    <t>Portfolio 1991</t>
  </si>
  <si>
    <t>Portfolio 232</t>
  </si>
  <si>
    <t>Portfolio 8509</t>
  </si>
  <si>
    <t>Portfolio 5131</t>
  </si>
  <si>
    <t>Portfolio 7957</t>
  </si>
  <si>
    <t>Portfolio 3488</t>
  </si>
  <si>
    <t>Portfolio 5477</t>
  </si>
  <si>
    <t>Portfolio 8468</t>
  </si>
  <si>
    <t>Portfolio 6078</t>
  </si>
  <si>
    <t>Portfolio 7598</t>
  </si>
  <si>
    <t>Portfolio 3837</t>
  </si>
  <si>
    <t>Portfolio 5645</t>
  </si>
  <si>
    <t>Portfolio 3634</t>
  </si>
  <si>
    <t>Portfolio 3041</t>
  </si>
  <si>
    <t>Portfolio 9098</t>
  </si>
  <si>
    <t>Portfolio 2859</t>
  </si>
  <si>
    <t>Portfolio 1341</t>
  </si>
  <si>
    <t>Portfolio 4516</t>
  </si>
  <si>
    <t>Portfolio 6655</t>
  </si>
  <si>
    <t>Portfolio 1508</t>
  </si>
  <si>
    <t>Portfolio 9922</t>
  </si>
  <si>
    <t>Portfolio 5248</t>
  </si>
  <si>
    <t>Portfolio 1716</t>
  </si>
  <si>
    <t>Portfolio 9878</t>
  </si>
  <si>
    <t>Portfolio 7022</t>
  </si>
  <si>
    <t>Portfolio 8339</t>
  </si>
  <si>
    <t>Portfolio 530</t>
  </si>
  <si>
    <t>Portfolio 7259</t>
  </si>
  <si>
    <t>Portfolio 7497</t>
  </si>
  <si>
    <t>Portfolio 9110</t>
  </si>
  <si>
    <t>Portfolio 3240</t>
  </si>
  <si>
    <t>Portfolio 7388</t>
  </si>
  <si>
    <t>Portfolio 4639</t>
  </si>
  <si>
    <t>Portfolio 4781</t>
  </si>
  <si>
    <t>Portfolio 361</t>
  </si>
  <si>
    <t>Portfolio 4125</t>
  </si>
  <si>
    <t>Portfolio 5236</t>
  </si>
  <si>
    <t>Portfolio 9446</t>
  </si>
  <si>
    <t>Portfolio 4866</t>
  </si>
  <si>
    <t>Portfolio 4406</t>
  </si>
  <si>
    <t>Portfolio 2548</t>
  </si>
  <si>
    <t>Portfolio 9818</t>
  </si>
  <si>
    <t>Portfolio 8582</t>
  </si>
  <si>
    <t>Portfolio 2193</t>
  </si>
  <si>
    <t>Portfolio 9461</t>
  </si>
  <si>
    <t>Portfolio 4980</t>
  </si>
  <si>
    <t>Portfolio 2715</t>
  </si>
  <si>
    <t>Portfolio 3816</t>
  </si>
  <si>
    <t>Portfolio 1160</t>
  </si>
  <si>
    <t>Portfolio 4630</t>
  </si>
  <si>
    <t>Portfolio 131</t>
  </si>
  <si>
    <t>Portfolio 4466</t>
  </si>
  <si>
    <t>Portfolio 8028</t>
  </si>
  <si>
    <t>Portfolio 4611</t>
  </si>
  <si>
    <t>Portfolio 5464</t>
  </si>
  <si>
    <t>Portfolio 598</t>
  </si>
  <si>
    <t>Portfolio 4384</t>
  </si>
  <si>
    <t>Portfolio 945</t>
  </si>
  <si>
    <t>Portfolio 381</t>
  </si>
  <si>
    <t>Portfolio 3652</t>
  </si>
  <si>
    <t>Portfolio 6604</t>
  </si>
  <si>
    <t>Portfolio 1803</t>
  </si>
  <si>
    <t>Portfolio 9325</t>
  </si>
  <si>
    <t>Portfolio 6663</t>
  </si>
  <si>
    <t>Portfolio 4914</t>
  </si>
  <si>
    <t>Portfolio 6936</t>
  </si>
  <si>
    <t>Portfolio 9454</t>
  </si>
  <si>
    <t>Portfolio 5498</t>
  </si>
  <si>
    <t>Portfolio 5365</t>
  </si>
  <si>
    <t>Portfolio 7129</t>
  </si>
  <si>
    <t>Portfolio 9255</t>
  </si>
  <si>
    <t>Portfolio 1385</t>
  </si>
  <si>
    <t>Portfolio 8885</t>
  </si>
  <si>
    <t>Portfolio 7952</t>
  </si>
  <si>
    <t>Portfolio 8554</t>
  </si>
  <si>
    <t>Portfolio 8952</t>
  </si>
  <si>
    <t>Portfolio 3913</t>
  </si>
  <si>
    <t>Portfolio 8186</t>
  </si>
  <si>
    <t>Portfolio 3413</t>
  </si>
  <si>
    <t>Portfolio 3219</t>
  </si>
  <si>
    <t>Portfolio 7468</t>
  </si>
  <si>
    <t>Portfolio 7530</t>
  </si>
  <si>
    <t>Portfolio 7930</t>
  </si>
  <si>
    <t>Portfolio 7831</t>
  </si>
  <si>
    <t>Portfolio 7033</t>
  </si>
  <si>
    <t>Portfolio 8486</t>
  </si>
  <si>
    <t>Portfolio 4961</t>
  </si>
  <si>
    <t>Portfolio 829</t>
  </si>
  <si>
    <t>Portfolio 5995</t>
  </si>
  <si>
    <t>Portfolio 1990</t>
  </si>
  <si>
    <t>Portfolio 1667</t>
  </si>
  <si>
    <t>Portfolio 2453</t>
  </si>
  <si>
    <t>Portfolio 9159</t>
  </si>
  <si>
    <t>Portfolio 6541</t>
  </si>
  <si>
    <t>Portfolio 5874</t>
  </si>
  <si>
    <t>Portfolio 4154</t>
  </si>
  <si>
    <t>Portfolio 2923</t>
  </si>
  <si>
    <t>Portfolio 9815</t>
  </si>
  <si>
    <t>Portfolio 2806</t>
  </si>
  <si>
    <t>Portfolio 1672</t>
  </si>
  <si>
    <t>Portfolio 3435</t>
  </si>
  <si>
    <t>Portfolio 6024</t>
  </si>
  <si>
    <t>Portfolio 1531</t>
  </si>
  <si>
    <t>Portfolio 8972</t>
  </si>
  <si>
    <t>Portfolio 1857</t>
  </si>
  <si>
    <t>Portfolio 2906</t>
  </si>
  <si>
    <t>Portfolio 7639</t>
  </si>
  <si>
    <t>Portfolio 2944</t>
  </si>
  <si>
    <t>Portfolio 6405</t>
  </si>
  <si>
    <t>Portfolio 2817</t>
  </si>
  <si>
    <t>Portfolio 275</t>
  </si>
  <si>
    <t>Portfolio 9855</t>
  </si>
  <si>
    <t>Portfolio 4558</t>
  </si>
  <si>
    <t>Portfolio 655</t>
  </si>
  <si>
    <t>Portfolio 6304</t>
  </si>
  <si>
    <t>Portfolio 6048</t>
  </si>
  <si>
    <t>Portfolio 7544</t>
  </si>
  <si>
    <t>Portfolio 751</t>
  </si>
  <si>
    <t>Portfolio 6609</t>
  </si>
  <si>
    <t>Portfolio 8568</t>
  </si>
  <si>
    <t>Portfolio 102</t>
  </si>
  <si>
    <t>Portfolio 3680</t>
  </si>
  <si>
    <t>Portfolio 9010</t>
  </si>
  <si>
    <t>Portfolio 5561</t>
  </si>
  <si>
    <t>Portfolio 39</t>
  </si>
  <si>
    <t>Portfolio 4186</t>
  </si>
  <si>
    <t>Portfolio 4423</t>
  </si>
  <si>
    <t>Portfolio 5820</t>
  </si>
  <si>
    <t>Portfolio 5083</t>
  </si>
  <si>
    <t>Portfolio 9100</t>
  </si>
  <si>
    <t>Portfolio 3304</t>
  </si>
  <si>
    <t>Portfolio 8234</t>
  </si>
  <si>
    <t>Portfolio 2833</t>
  </si>
  <si>
    <t>Portfolio 308</t>
  </si>
  <si>
    <t>Portfolio 5209</t>
  </si>
  <si>
    <t>Portfolio 2070</t>
  </si>
  <si>
    <t>Portfolio 3395</t>
  </si>
  <si>
    <t>Portfolio 9972</t>
  </si>
  <si>
    <t>Portfolio 2843</t>
  </si>
  <si>
    <t>Portfolio 5255</t>
  </si>
  <si>
    <t>Portfolio 7808</t>
  </si>
  <si>
    <t>Portfolio 6724</t>
  </si>
  <si>
    <t>Portfolio 3600</t>
  </si>
  <si>
    <t>Portfolio 3056</t>
  </si>
  <si>
    <t>Portfolio 5695</t>
  </si>
  <si>
    <t>Portfolio 6930</t>
  </si>
  <si>
    <t>Portfolio 3262</t>
  </si>
  <si>
    <t>Portfolio 4265</t>
  </si>
  <si>
    <t>Portfolio 2474</t>
  </si>
  <si>
    <t>Portfolio 8589</t>
  </si>
  <si>
    <t>Portfolio 7729</t>
  </si>
  <si>
    <t>Portfolio 8323</t>
  </si>
  <si>
    <t>Portfolio 3092</t>
  </si>
  <si>
    <t>Portfolio 1652</t>
  </si>
  <si>
    <t>Portfolio 2955</t>
  </si>
  <si>
    <t>Portfolio 5316</t>
  </si>
  <si>
    <t>Portfolio 4131</t>
  </si>
  <si>
    <t>Portfolio 1530</t>
  </si>
  <si>
    <t>Portfolio 3129</t>
  </si>
  <si>
    <t>Portfolio 4072</t>
  </si>
  <si>
    <t>Portfolio 8052</t>
  </si>
  <si>
    <t>Portfolio 5779</t>
  </si>
  <si>
    <t>Portfolio 5734</t>
  </si>
  <si>
    <t>Portfolio 3225</t>
  </si>
  <si>
    <t>Portfolio 4379</t>
  </si>
  <si>
    <t>Portfolio 4219</t>
  </si>
  <si>
    <t>Portfolio 6875</t>
  </si>
  <si>
    <t>Portfolio 1843</t>
  </si>
  <si>
    <t>Portfolio 5223</t>
  </si>
  <si>
    <t>Portfolio 789</t>
  </si>
  <si>
    <t>Portfolio 8699</t>
  </si>
  <si>
    <t>Portfolio 2698</t>
  </si>
  <si>
    <t>Portfolio 6835</t>
  </si>
  <si>
    <t>Portfolio 9536</t>
  </si>
  <si>
    <t>Portfolio 6576</t>
  </si>
  <si>
    <t>Portfolio 6523</t>
  </si>
  <si>
    <t>Portfolio 594</t>
  </si>
  <si>
    <t>Portfolio 5044</t>
  </si>
  <si>
    <t>Portfolio 8070</t>
  </si>
  <si>
    <t>Portfolio 6511</t>
  </si>
  <si>
    <t>Portfolio 2837</t>
  </si>
  <si>
    <t>Portfolio 8898</t>
  </si>
  <si>
    <t>Portfolio 2520</t>
  </si>
  <si>
    <t>Portfolio 6556</t>
  </si>
  <si>
    <t>Portfolio 5193</t>
  </si>
  <si>
    <t>Portfolio 808</t>
  </si>
  <si>
    <t>Portfolio 3733</t>
  </si>
  <si>
    <t>Portfolio 2488</t>
  </si>
  <si>
    <t>Portfolio 2431</t>
  </si>
  <si>
    <t>Portfolio 3764</t>
  </si>
  <si>
    <t>Portfolio 1590</t>
  </si>
  <si>
    <t>Portfolio 4722</t>
  </si>
  <si>
    <t>Portfolio 211</t>
  </si>
  <si>
    <t>Portfolio 8391</t>
  </si>
  <si>
    <t>Portfolio 2973</t>
  </si>
  <si>
    <t>Portfolio 9967</t>
  </si>
  <si>
    <t>Portfolio 9669</t>
  </si>
  <si>
    <t>Portfolio 4507</t>
  </si>
  <si>
    <t>Portfolio 8959</t>
  </si>
  <si>
    <t>Portfolio 6577</t>
  </si>
  <si>
    <t>Portfolio 2086</t>
  </si>
  <si>
    <t>Portfolio 1586</t>
  </si>
  <si>
    <t>Portfolio 7261</t>
  </si>
  <si>
    <t>Portfolio 7545</t>
  </si>
  <si>
    <t>Portfolio 50</t>
  </si>
  <si>
    <t>Portfolio 7617</t>
  </si>
  <si>
    <t>Portfolio 798</t>
  </si>
  <si>
    <t>Portfolio 2396</t>
  </si>
  <si>
    <t>Portfolio 8917</t>
  </si>
  <si>
    <t>Portfolio 6691</t>
  </si>
  <si>
    <t>Portfolio 7334</t>
  </si>
  <si>
    <t>Portfolio 9867</t>
  </si>
  <si>
    <t>Portfolio 3032</t>
  </si>
  <si>
    <t>Portfolio 9639</t>
  </si>
  <si>
    <t>Portfolio 7149</t>
  </si>
  <si>
    <t>Portfolio 9871</t>
  </si>
  <si>
    <t>Portfolio 365</t>
  </si>
  <si>
    <t>Portfolio 7242</t>
  </si>
  <si>
    <t>Portfolio 9032</t>
  </si>
  <si>
    <t>Portfolio 7016</t>
  </si>
  <si>
    <t>Portfolio 2079</t>
  </si>
  <si>
    <t>Portfolio 7457</t>
  </si>
  <si>
    <t>Portfolio 7285</t>
  </si>
  <si>
    <t>Portfolio 7864</t>
  </si>
  <si>
    <t>Portfolio 2793</t>
  </si>
  <si>
    <t>Portfolio 2644</t>
  </si>
  <si>
    <t>Portfolio 6034</t>
  </si>
  <si>
    <t>Portfolio 9644</t>
  </si>
  <si>
    <t>Portfolio 1099</t>
  </si>
  <si>
    <t>Portfolio 8239</t>
  </si>
  <si>
    <t>Portfolio 8562</t>
  </si>
  <si>
    <t>Portfolio 4212</t>
  </si>
  <si>
    <t>Portfolio 3040</t>
  </si>
  <si>
    <t>Portfolio 8968</t>
  </si>
  <si>
    <t>Portfolio 2938</t>
  </si>
  <si>
    <t>Portfolio 4480</t>
  </si>
  <si>
    <t>Portfolio 4748</t>
  </si>
  <si>
    <t>Portfolio 390</t>
  </si>
  <si>
    <t>Portfolio 8042</t>
  </si>
  <si>
    <t>Portfolio 5124</t>
  </si>
  <si>
    <t>Portfolio 2511</t>
  </si>
  <si>
    <t>Portfolio 8424</t>
  </si>
  <si>
    <t>Portfolio 4339</t>
  </si>
  <si>
    <t>Portfolio 7764</t>
  </si>
  <si>
    <t>Portfolio 4396</t>
  </si>
  <si>
    <t>Portfolio 943</t>
  </si>
  <si>
    <t>Portfolio 254</t>
  </si>
  <si>
    <t>Portfolio 5915</t>
  </si>
  <si>
    <t>Portfolio 9749</t>
  </si>
  <si>
    <t>Portfolio 5696</t>
  </si>
  <si>
    <t>Portfolio 2529</t>
  </si>
  <si>
    <t>Portfolio 5295</t>
  </si>
  <si>
    <t>Portfolio 4132</t>
  </si>
  <si>
    <t>Portfolio 9583</t>
  </si>
  <si>
    <t>Portfolio 4631</t>
  </si>
  <si>
    <t>Portfolio 269</t>
  </si>
  <si>
    <t>Portfolio 7826</t>
  </si>
  <si>
    <t>Portfolio 3485</t>
  </si>
  <si>
    <t>Portfolio 4298</t>
  </si>
  <si>
    <t>Portfolio 7256</t>
  </si>
  <si>
    <t>Portfolio 5571</t>
  </si>
  <si>
    <t>Portfolio 2091</t>
  </si>
  <si>
    <t>Portfolio 6395</t>
  </si>
  <si>
    <t>Portfolio 2065</t>
  </si>
  <si>
    <t>Portfolio 1937</t>
  </si>
  <si>
    <t>Portfolio 3557</t>
  </si>
  <si>
    <t>Portfolio 6330</t>
  </si>
  <si>
    <t>Portfolio 6336</t>
  </si>
  <si>
    <t>Portfolio 5923</t>
  </si>
  <si>
    <t>Portfolio 1763</t>
  </si>
  <si>
    <t>Portfolio 1233</t>
  </si>
  <si>
    <t>Portfolio 5746</t>
  </si>
  <si>
    <t>Portfolio 4820</t>
  </si>
  <si>
    <t>Portfolio 4173</t>
  </si>
  <si>
    <t>Portfolio 3771</t>
  </si>
  <si>
    <t>Portfolio 1276</t>
  </si>
  <si>
    <t>Portfolio 9331</t>
  </si>
  <si>
    <t>Portfolio 2441</t>
  </si>
  <si>
    <t>Portfolio 1135</t>
  </si>
  <si>
    <t>Portfolio 9503</t>
  </si>
  <si>
    <t>Portfolio 6376</t>
  </si>
  <si>
    <t>Portfolio 6100</t>
  </si>
  <si>
    <t>Portfolio 3531</t>
  </si>
  <si>
    <t>Portfolio 3016</t>
  </si>
  <si>
    <t>Portfolio 1822</t>
  </si>
  <si>
    <t>Portfolio 2338</t>
  </si>
  <si>
    <t>Portfolio 5289</t>
  </si>
  <si>
    <t>Portfolio 432</t>
  </si>
  <si>
    <t>Portfolio 1927</t>
  </si>
  <si>
    <t>Portfolio 6127</t>
  </si>
  <si>
    <t>Portfolio 7367</t>
  </si>
  <si>
    <t>Portfolio 2554</t>
  </si>
  <si>
    <t>Portfolio 4039</t>
  </si>
  <si>
    <t>Portfolio 2934</t>
  </si>
  <si>
    <t>Portfolio 7025</t>
  </si>
  <si>
    <t>Portfolio 9567</t>
  </si>
  <si>
    <t>Portfolio 1918</t>
  </si>
  <si>
    <t>Portfolio 1707</t>
  </si>
  <si>
    <t>Portfolio 645</t>
  </si>
  <si>
    <t>Portfolio 3521</t>
  </si>
  <si>
    <t>Portfolio 2156</t>
  </si>
  <si>
    <t>Portfolio 63</t>
  </si>
  <si>
    <t>Portfolio 2327</t>
  </si>
  <si>
    <t>Portfolio 9648</t>
  </si>
  <si>
    <t>Portfolio 8371</t>
  </si>
  <si>
    <t>Portfolio 1386</t>
  </si>
  <si>
    <t>Portfolio 5748</t>
  </si>
  <si>
    <t>Portfolio 2183</t>
  </si>
  <si>
    <t>Portfolio 7702</t>
  </si>
  <si>
    <t>Portfolio 1526</t>
  </si>
  <si>
    <t>Portfolio 1270</t>
  </si>
  <si>
    <t>Portfolio 768</t>
  </si>
  <si>
    <t>Portfolio 4785</t>
  </si>
  <si>
    <t>Portfolio 8777</t>
  </si>
  <si>
    <t>Portfolio 3667</t>
  </si>
  <si>
    <t>Portfolio 5766</t>
  </si>
  <si>
    <t>Portfolio 4731</t>
  </si>
  <si>
    <t>Portfolio 5494</t>
  </si>
  <si>
    <t>Portfolio 6441</t>
  </si>
  <si>
    <t>Portfolio 905</t>
  </si>
  <si>
    <t>Portfolio 6727</t>
  </si>
  <si>
    <t>Portfolio 9403</t>
  </si>
  <si>
    <t>Portfolio 6588</t>
  </si>
  <si>
    <t>Portfolio 3044</t>
  </si>
  <si>
    <t>Portfolio 7771</t>
  </si>
  <si>
    <t>Portfolio 7692</t>
  </si>
  <si>
    <t>Portfolio 6986</t>
  </si>
  <si>
    <t>Portfolio 265</t>
  </si>
  <si>
    <t>Portfolio 9661</t>
  </si>
  <si>
    <t>Portfolio 1405</t>
  </si>
  <si>
    <t>Portfolio 4614</t>
  </si>
  <si>
    <t>Portfolio 6637</t>
  </si>
  <si>
    <t>Portfolio 8553</t>
  </si>
  <si>
    <t>Portfolio 5777</t>
  </si>
  <si>
    <t>Portfolio 5307</t>
  </si>
  <si>
    <t>Portfolio 4836</t>
  </si>
  <si>
    <t>Portfolio 2365</t>
  </si>
  <si>
    <t>Portfolio 3935</t>
  </si>
  <si>
    <t>Portfolio 7042</t>
  </si>
  <si>
    <t>Portfolio 5519</t>
  </si>
  <si>
    <t>Portfolio 568</t>
  </si>
  <si>
    <t>Portfolio 1541</t>
  </si>
  <si>
    <t>Portfolio 2618</t>
  </si>
  <si>
    <t>Portfolio 451</t>
  </si>
  <si>
    <t>Portfolio 2919</t>
  </si>
  <si>
    <t>Portfolio 9762</t>
  </si>
  <si>
    <t>Portfolio 567</t>
  </si>
  <si>
    <t>Portfolio 2832</t>
  </si>
  <si>
    <t>Portfolio 4499</t>
  </si>
  <si>
    <t>Portfolio 4500</t>
  </si>
  <si>
    <t>Portfolio 4613</t>
  </si>
  <si>
    <t>Portfolio 9466</t>
  </si>
  <si>
    <t>Portfolio 8651</t>
  </si>
  <si>
    <t>Portfolio 6996</t>
  </si>
  <si>
    <t>Portfolio 3283</t>
  </si>
  <si>
    <t>Portfolio 2855</t>
  </si>
  <si>
    <t>Portfolio 3965</t>
  </si>
  <si>
    <t>Portfolio 769</t>
  </si>
  <si>
    <t>Portfolio 2969</t>
  </si>
  <si>
    <t>Portfolio 5102</t>
  </si>
  <si>
    <t>Portfolio 6772</t>
  </si>
  <si>
    <t>Portfolio 6942</t>
  </si>
  <si>
    <t>Portfolio 9562</t>
  </si>
  <si>
    <t>Portfolio 4992</t>
  </si>
  <si>
    <t>Portfolio 6562</t>
  </si>
  <si>
    <t>Portfolio 7782</t>
  </si>
  <si>
    <t>Portfolio 1486</t>
  </si>
  <si>
    <t>Portfolio 4951</t>
  </si>
  <si>
    <t>Portfolio 1470</t>
  </si>
  <si>
    <t>Portfolio 3506</t>
  </si>
  <si>
    <t>Portfolio 1595</t>
  </si>
  <si>
    <t>Portfolio 1357</t>
  </si>
  <si>
    <t>Portfolio 849</t>
  </si>
  <si>
    <t>Portfolio 3446</t>
  </si>
  <si>
    <t>Portfolio 9495</t>
  </si>
  <si>
    <t>Portfolio 2917</t>
  </si>
  <si>
    <t>Portfolio 3043</t>
  </si>
  <si>
    <t>Portfolio 621</t>
  </si>
  <si>
    <t>Portfolio 6299</t>
  </si>
  <si>
    <t>Portfolio 5052</t>
  </si>
  <si>
    <t>Portfolio 6732</t>
  </si>
  <si>
    <t>Portfolio 626</t>
  </si>
  <si>
    <t>Portfolio 4865</t>
  </si>
  <si>
    <t>Portfolio 9135</t>
  </si>
  <si>
    <t>Portfolio 5448</t>
  </si>
  <si>
    <t>Portfolio 1165</t>
  </si>
  <si>
    <t>Portfolio 300</t>
  </si>
  <si>
    <t>Portfolio 7576</t>
  </si>
  <si>
    <t>Portfolio 6088</t>
  </si>
  <si>
    <t>Portfolio 5435</t>
  </si>
  <si>
    <t>Portfolio 737</t>
  </si>
  <si>
    <t>Portfolio 149</t>
  </si>
  <si>
    <t>Portfolio 2829</t>
  </si>
  <si>
    <t>Portfolio 6558</t>
  </si>
  <si>
    <t>Portfolio 8218</t>
  </si>
  <si>
    <t>Portfolio 9864</t>
  </si>
  <si>
    <t>Portfolio 8419</t>
  </si>
  <si>
    <t>Portfolio 317</t>
  </si>
  <si>
    <t>Portfolio 5082</t>
  </si>
  <si>
    <t>Portfolio 6891</t>
  </si>
  <si>
    <t>Portfolio 1417</t>
  </si>
  <si>
    <t>Portfolio 2284</t>
  </si>
  <si>
    <t>Portfolio 9272</t>
  </si>
  <si>
    <t>Portfolio 2574</t>
  </si>
  <si>
    <t>Portfolio 5262</t>
  </si>
  <si>
    <t>Portfolio 9783</t>
  </si>
  <si>
    <t>Portfolio 8657</t>
  </si>
  <si>
    <t>Portfolio 5879</t>
  </si>
  <si>
    <t>Portfolio 9754</t>
  </si>
  <si>
    <t>Portfolio 1424</t>
  </si>
  <si>
    <t>Portfolio 1898</t>
  </si>
  <si>
    <t>Portfolio 4365</t>
  </si>
  <si>
    <t>Portfolio 876</t>
  </si>
  <si>
    <t>Portfolio 6834</t>
  </si>
  <si>
    <t>Portfolio 2404</t>
  </si>
  <si>
    <t>Portfolio 4936</t>
  </si>
  <si>
    <t>Portfolio 6069</t>
  </si>
  <si>
    <t>Portfolio 3579</t>
  </si>
  <si>
    <t>Portfolio 8691</t>
  </si>
  <si>
    <t>Portfolio 4197</t>
  </si>
  <si>
    <t>Portfolio 4279</t>
  </si>
  <si>
    <t>Portfolio 650</t>
  </si>
  <si>
    <t>Portfolio 2494</t>
  </si>
  <si>
    <t>Portfolio 5286</t>
  </si>
  <si>
    <t>Portfolio 5391</t>
  </si>
  <si>
    <t>Portfolio 7977</t>
  </si>
  <si>
    <t>Portfolio 5653</t>
  </si>
  <si>
    <t>Portfolio 9881</t>
  </si>
  <si>
    <t>Portfolio 6314</t>
  </si>
  <si>
    <t>Portfolio 7970</t>
  </si>
  <si>
    <t>Portfolio 1138</t>
  </si>
  <si>
    <t>Portfolio 5632</t>
  </si>
  <si>
    <t>Portfolio 1703</t>
  </si>
  <si>
    <t>Portfolio 8681</t>
  </si>
  <si>
    <t>Portfolio 9602</t>
  </si>
  <si>
    <t>Portfolio 4021</t>
  </si>
  <si>
    <t>Portfolio 9798</t>
  </si>
  <si>
    <t>Portfolio 6021</t>
  </si>
  <si>
    <t>Portfolio 565</t>
  </si>
  <si>
    <t>Portfolio 3013</t>
  </si>
  <si>
    <t>Portfolio 5946</t>
  </si>
  <si>
    <t>Portfolio 5972</t>
  </si>
  <si>
    <t>Portfolio 7208</t>
  </si>
  <si>
    <t>Portfolio 7631</t>
  </si>
  <si>
    <t>Portfolio 2828</t>
  </si>
  <si>
    <t>Portfolio 9174</t>
  </si>
  <si>
    <t>Portfolio 1610</t>
  </si>
  <si>
    <t>Portfolio 570</t>
  </si>
  <si>
    <t>Portfolio 778</t>
  </si>
  <si>
    <t>Portfolio 3990</t>
  </si>
  <si>
    <t>Portfolio 6282</t>
  </si>
  <si>
    <t>Portfolio 1275</t>
  </si>
  <si>
    <t>Portfolio 2974</t>
  </si>
  <si>
    <t>Portfolio 580</t>
  </si>
  <si>
    <t>Portfolio 8525</t>
  </si>
  <si>
    <t>Portfolio 5042</t>
  </si>
  <si>
    <t>Portfolio 2547</t>
  </si>
  <si>
    <t>Portfolio 2641</t>
  </si>
  <si>
    <t>Portfolio 7023</t>
  </si>
  <si>
    <t>Portfolio 3685</t>
  </si>
  <si>
    <t>Portfolio 9382</t>
  </si>
  <si>
    <t>Portfolio 9839</t>
  </si>
  <si>
    <t>Portfolio 9009</t>
  </si>
  <si>
    <t>Portfolio 1041</t>
  </si>
  <si>
    <t>Portfolio 6012</t>
  </si>
  <si>
    <t>Portfolio 1128</t>
  </si>
  <si>
    <t>Portfolio 6223</t>
  </si>
  <si>
    <t>Portfolio 5257</t>
  </si>
  <si>
    <t>Portfolio 8046</t>
  </si>
  <si>
    <t>Portfolio 6652</t>
  </si>
  <si>
    <t>Portfolio 6157</t>
  </si>
  <si>
    <t>Portfolio 6410</t>
  </si>
  <si>
    <t>Portfolio 4242</t>
  </si>
  <si>
    <t>Portfolio 5137</t>
  </si>
  <si>
    <t>Portfolio 2108</t>
  </si>
  <si>
    <t>Portfolio 9320</t>
  </si>
  <si>
    <t>Portfolio 1320</t>
  </si>
  <si>
    <t>Portfolio 3203</t>
  </si>
  <si>
    <t>Portfolio 43</t>
  </si>
  <si>
    <t>Portfolio 5930</t>
  </si>
  <si>
    <t>Portfolio 9682</t>
  </si>
  <si>
    <t>Portfolio 8402</t>
  </si>
  <si>
    <t>Portfolio 2572</t>
  </si>
  <si>
    <t>Portfolio 7578</t>
  </si>
  <si>
    <t>Portfolio 4240</t>
  </si>
  <si>
    <t>Portfolio 1409</t>
  </si>
  <si>
    <t>Portfolio 644</t>
  </si>
  <si>
    <t>Portfolio 1536</t>
  </si>
  <si>
    <t>Portfolio 3511</t>
  </si>
  <si>
    <t>Portfolio 2809</t>
  </si>
  <si>
    <t>Portfolio 5658</t>
  </si>
  <si>
    <t>Portfolio 9158</t>
  </si>
  <si>
    <t>Portfolio 1392</t>
  </si>
  <si>
    <t>Portfolio 6857</t>
  </si>
  <si>
    <t>Portfolio 7214</t>
  </si>
  <si>
    <t>Portfolio 2075</t>
  </si>
  <si>
    <t>Portfolio 4976</t>
  </si>
  <si>
    <t>Portfolio 9478</t>
  </si>
  <si>
    <t>Portfolio 7789</t>
  </si>
  <si>
    <t>Portfolio 89</t>
  </si>
  <si>
    <t>Portfolio 7123</t>
  </si>
  <si>
    <t>Portfolio 4059</t>
  </si>
  <si>
    <t>Portfolio 3073</t>
  </si>
  <si>
    <t>Portfolio 1414</t>
  </si>
  <si>
    <t>Portfolio 5413</t>
  </si>
  <si>
    <t>Portfolio 9027</t>
  </si>
  <si>
    <t>Portfolio 3556</t>
  </si>
  <si>
    <t>Portfolio 6854</t>
  </si>
  <si>
    <t>Portfolio 4248</t>
  </si>
  <si>
    <t>Portfolio 4373</t>
  </si>
  <si>
    <t>Portfolio 2683</t>
  </si>
  <si>
    <t>Portfolio 4837</t>
  </si>
  <si>
    <t>Portfolio 801</t>
  </si>
  <si>
    <t>Portfolio 2248</t>
  </si>
  <si>
    <t>Portfolio 5914</t>
  </si>
  <si>
    <t>Portfolio 9108</t>
  </si>
  <si>
    <t>Portfolio 2410</t>
  </si>
  <si>
    <t>Portfolio 9279</t>
  </si>
  <si>
    <t>Portfolio 2676</t>
  </si>
  <si>
    <t>Portfolio 6112</t>
  </si>
  <si>
    <t>Portfolio 3664</t>
  </si>
  <si>
    <t>Portfolio 3971</t>
  </si>
  <si>
    <t>Portfolio 462</t>
  </si>
  <si>
    <t>Portfolio 3026</t>
  </si>
  <si>
    <t>Portfolio 3293</t>
  </si>
  <si>
    <t>Portfolio 2951</t>
  </si>
  <si>
    <t>Portfolio 5579</t>
  </si>
  <si>
    <t>Portfolio 4105</t>
  </si>
  <si>
    <t>Portfolio 7344</t>
  </si>
  <si>
    <t>Portfolio 8545</t>
  </si>
  <si>
    <t>Portfolio 3151</t>
  </si>
  <si>
    <t>Portfolio 4468</t>
  </si>
  <si>
    <t>Portfolio 1376</t>
  </si>
  <si>
    <t>Portfolio 7909</t>
  </si>
  <si>
    <t>Portfolio 7519</t>
  </si>
  <si>
    <t>Portfolio 5296</t>
  </si>
  <si>
    <t>Portfolio 3994</t>
  </si>
  <si>
    <t>Portfolio 578</t>
  </si>
  <si>
    <t>Portfolio 8494</t>
  </si>
  <si>
    <t>Portfolio 4635</t>
  </si>
  <si>
    <t>Portfolio 5395</t>
  </si>
  <si>
    <t>Portfolio 2080</t>
  </si>
  <si>
    <t>Portfolio 4858</t>
  </si>
  <si>
    <t>Portfolio 4114</t>
  </si>
  <si>
    <t>Portfolio 6997</t>
  </si>
  <si>
    <t>Portfolio 5552</t>
  </si>
  <si>
    <t>Portfolio 1964</t>
  </si>
  <si>
    <t>Portfolio 2168</t>
  </si>
  <si>
    <t>Portfolio 2884</t>
  </si>
  <si>
    <t>Portfolio 7966</t>
  </si>
  <si>
    <t>Portfolio 5182</t>
  </si>
  <si>
    <t>Portfolio 9268</t>
  </si>
  <si>
    <t>Portfolio 7296</t>
  </si>
  <si>
    <t>Portfolio 6149</t>
  </si>
  <si>
    <t>Portfolio 8534</t>
  </si>
  <si>
    <t>Portfolio 8992</t>
  </si>
  <si>
    <t>Portfolio 8987</t>
  </si>
  <si>
    <t>Portfolio 58</t>
  </si>
  <si>
    <t>Portfolio 3002</t>
  </si>
  <si>
    <t>Portfolio 4810</t>
  </si>
  <si>
    <t>Portfolio 9693</t>
  </si>
  <si>
    <t>Portfolio 1020</t>
  </si>
  <si>
    <t>Portfolio 716</t>
  </si>
  <si>
    <t>Portfolio 5793</t>
  </si>
  <si>
    <t>Portfolio 5934</t>
  </si>
  <si>
    <t>Portfolio 8137</t>
  </si>
  <si>
    <t>Portfolio 727</t>
  </si>
  <si>
    <t>Portfolio 5724</t>
  </si>
  <si>
    <t>Portfolio 931</t>
  </si>
  <si>
    <t>Portfolio 8839</t>
  </si>
  <si>
    <t>Portfolio 8405</t>
  </si>
  <si>
    <t>Portfolio 5716</t>
  </si>
  <si>
    <t>Portfolio 875</t>
  </si>
  <si>
    <t>Portfolio 7649</t>
  </si>
  <si>
    <t>Portfolio 8478</t>
  </si>
  <si>
    <t>Portfolio 6031</t>
  </si>
  <si>
    <t>Portfolio 3808</t>
  </si>
  <si>
    <t>Portfolio 2049</t>
  </si>
  <si>
    <t>Portfolio 1224</t>
  </si>
  <si>
    <t>Portfolio 5169</t>
  </si>
  <si>
    <t>Portfolio 8712</t>
  </si>
  <si>
    <t>Portfolio 2281</t>
  </si>
  <si>
    <t>Portfolio 2925</t>
  </si>
  <si>
    <t>Portfolio 4652</t>
  </si>
  <si>
    <t>Portfolio 6514</t>
  </si>
  <si>
    <t>Portfolio 1102</t>
  </si>
  <si>
    <t>Portfolio 5015</t>
  </si>
  <si>
    <t>Portfolio 900</t>
  </si>
  <si>
    <t>Portfolio 2655</t>
  </si>
  <si>
    <t>Portfolio 6958</t>
  </si>
  <si>
    <t>Portfolio 5845</t>
  </si>
  <si>
    <t>Portfolio 4659</t>
  </si>
  <si>
    <t>Portfolio 977</t>
  </si>
  <si>
    <t>Portfolio 2393</t>
  </si>
  <si>
    <t>Portfolio 8891</t>
  </si>
  <si>
    <t>Portfolio 3658</t>
  </si>
  <si>
    <t>Portfolio 1939</t>
  </si>
  <si>
    <t>Portfolio 5094</t>
  </si>
  <si>
    <t>Portfolio 7648</t>
  </si>
  <si>
    <t>Portfolio 7224</t>
  </si>
  <si>
    <t>Portfolio 7663</t>
  </si>
  <si>
    <t>Portfolio 1383</t>
  </si>
  <si>
    <t>Portfolio 5233</t>
  </si>
  <si>
    <t>Portfolio 1859</t>
  </si>
  <si>
    <t>Portfolio 5751</t>
  </si>
  <si>
    <t>Portfolio 352</t>
  </si>
  <si>
    <t>Portfolio 2894</t>
  </si>
  <si>
    <t>Portfolio 6065</t>
  </si>
  <si>
    <t>Portfolio 3096</t>
  </si>
  <si>
    <t>Portfolio 3692</t>
  </si>
  <si>
    <t>Portfolio 2206</t>
  </si>
  <si>
    <t>Portfolio 3396</t>
  </si>
  <si>
    <t>Portfolio 8353</t>
  </si>
  <si>
    <t>Portfolio 1571</t>
  </si>
  <si>
    <t>Portfolio 6231</t>
  </si>
  <si>
    <t>Portfolio 6057</t>
  </si>
  <si>
    <t>Portfolio 5267</t>
  </si>
  <si>
    <t>Portfolio 3956</t>
  </si>
  <si>
    <t>Portfolio 3183</t>
  </si>
  <si>
    <t>Portfolio 8393</t>
  </si>
  <si>
    <t>Portfolio 2687</t>
  </si>
  <si>
    <t>Portfolio 4440</t>
  </si>
  <si>
    <t>Portfolio 2369</t>
  </si>
  <si>
    <t>Portfolio 6016</t>
  </si>
  <si>
    <t>Portfolio 9091</t>
  </si>
  <si>
    <t>Portfolio 8618</t>
  </si>
  <si>
    <t>Portfolio 9697</t>
  </si>
  <si>
    <t>Portfolio 735</t>
  </si>
  <si>
    <t>Portfolio 9228</t>
  </si>
  <si>
    <t>Portfolio 3568</t>
  </si>
  <si>
    <t>Portfolio 673</t>
  </si>
  <si>
    <t>Portfolio 3131</t>
  </si>
  <si>
    <t>Portfolio 1766</t>
  </si>
  <si>
    <t>Portfolio 6323</t>
  </si>
  <si>
    <t>Portfolio 8792</t>
  </si>
  <si>
    <t>Portfolio 6802</t>
  </si>
  <si>
    <t>Portfolio 2455</t>
  </si>
  <si>
    <t>Portfolio 5454</t>
  </si>
  <si>
    <t>Portfolio 1880</t>
  </si>
  <si>
    <t>Portfolio 3332</t>
  </si>
  <si>
    <t>Portfolio 4779</t>
  </si>
  <si>
    <t>Portfolio 9194</t>
  </si>
  <si>
    <t>Portfolio 4641</t>
  </si>
  <si>
    <t>Portfolio 5409</t>
  </si>
  <si>
    <t>Portfolio 3430</t>
  </si>
  <si>
    <t>Portfolio 2754</t>
  </si>
  <si>
    <t>Portfolio 8643</t>
  </si>
  <si>
    <t>Portfolio 3602</t>
  </si>
  <si>
    <t>Portfolio 5344</t>
  </si>
  <si>
    <t>Portfolio 9513</t>
  </si>
  <si>
    <t>Portfolio 3781</t>
  </si>
  <si>
    <t>Portfolio 37</t>
  </si>
  <si>
    <t>Portfolio 2376</t>
  </si>
  <si>
    <t>Portfolio 956</t>
  </si>
  <si>
    <t>Portfolio 8725</t>
  </si>
  <si>
    <t>Portfolio 1254</t>
  </si>
  <si>
    <t>Portfolio 6938</t>
  </si>
  <si>
    <t>Portfolio 1604</t>
  </si>
  <si>
    <t>Portfolio 7071</t>
  </si>
  <si>
    <t>Portfolio 6020</t>
  </si>
  <si>
    <t>Portfolio 8751</t>
  </si>
  <si>
    <t>Portfolio 2275</t>
  </si>
  <si>
    <t>Portfolio 9873</t>
  </si>
  <si>
    <t>Portfolio 4718</t>
  </si>
  <si>
    <t>Portfolio 394</t>
  </si>
  <si>
    <t>Portfolio 2228</t>
  </si>
  <si>
    <t>Portfolio 7489</t>
  </si>
  <si>
    <t>Portfolio 6725</t>
  </si>
  <si>
    <t>Portfolio 546</t>
  </si>
  <si>
    <t>Portfolio 249</t>
  </si>
  <si>
    <t>Portfolio 3086</t>
  </si>
  <si>
    <t>Portfolio 2653</t>
  </si>
  <si>
    <t>Portfolio 2116</t>
  </si>
  <si>
    <t>Portfolio 7161</t>
  </si>
  <si>
    <t>Portfolio 7885</t>
  </si>
  <si>
    <t>Portfolio 3690</t>
  </si>
  <si>
    <t>Portfolio 9573</t>
  </si>
  <si>
    <t>Portfolio 2826</t>
  </si>
  <si>
    <t>Portfolio 1598</t>
  </si>
  <si>
    <t>Portfolio 3851</t>
  </si>
  <si>
    <t>Portfolio 9267</t>
  </si>
  <si>
    <t>Portfolio 4783</t>
  </si>
  <si>
    <t>Portfolio 2731</t>
  </si>
  <si>
    <t>Portfolio 2905</t>
  </si>
  <si>
    <t>Portfolio 3525</t>
  </si>
  <si>
    <t>Portfolio 4140</t>
  </si>
  <si>
    <t>Portfolio 9924</t>
  </si>
  <si>
    <t>Portfolio 1418</t>
  </si>
  <si>
    <t>Portfolio 9376</t>
  </si>
  <si>
    <t>Portfolio 8838</t>
  </si>
  <si>
    <t>Portfolio 2134</t>
  </si>
  <si>
    <t>Portfolio 2360</t>
  </si>
  <si>
    <t>Portfolio 8531</t>
  </si>
  <si>
    <t>Portfolio 1382</t>
  </si>
  <si>
    <t>Portfolio 3152</t>
  </si>
  <si>
    <t>Portfolio 1208</t>
  </si>
  <si>
    <t>Portfolio 9236</t>
  </si>
  <si>
    <t>Portfolio 3705</t>
  </si>
  <si>
    <t>Portfolio 457</t>
  </si>
  <si>
    <t>Portfolio 6739</t>
  </si>
  <si>
    <t>Portfolio 9904</t>
  </si>
  <si>
    <t>Portfolio 4428</t>
  </si>
  <si>
    <t>Portfolio 5731</t>
  </si>
  <si>
    <t>Portfolio 3263</t>
  </si>
  <si>
    <t>Portfolio 4849</t>
  </si>
  <si>
    <t>Portfolio 4392</t>
  </si>
  <si>
    <t>Portfolio 7518</t>
  </si>
  <si>
    <t>Portfolio 228</t>
  </si>
  <si>
    <t>Portfolio 8006</t>
  </si>
  <si>
    <t>Portfolio 8101</t>
  </si>
  <si>
    <t>Portfolio 7215</t>
  </si>
  <si>
    <t>Portfolio 2337</t>
  </si>
  <si>
    <t>Portfolio 3150</t>
  </si>
  <si>
    <t>Portfolio 2813</t>
  </si>
  <si>
    <t>Portfolio 5172</t>
  </si>
  <si>
    <t>Portfolio 7442</t>
  </si>
  <si>
    <t>Portfolio 2078</t>
  </si>
  <si>
    <t>Portfolio 1234</t>
  </si>
  <si>
    <t>Portfolio 7086</t>
  </si>
  <si>
    <t>Portfolio 9165</t>
  </si>
  <si>
    <t>Portfolio 6438</t>
  </si>
  <si>
    <t>Portfolio 2111</t>
  </si>
  <si>
    <t>Portfolio 4045</t>
  </si>
  <si>
    <t>Portfolio 9256</t>
  </si>
  <si>
    <t>Portfolio 4740</t>
  </si>
  <si>
    <t>Portfolio 2732</t>
  </si>
  <si>
    <t>Portfolio 3234</t>
  </si>
  <si>
    <t>Portfolio 4141</t>
  </si>
  <si>
    <t>Portfolio 8399</t>
  </si>
  <si>
    <t>Portfolio 376</t>
  </si>
  <si>
    <t>Portfolio 8009</t>
  </si>
  <si>
    <t>Portfolio 5821</t>
  </si>
  <si>
    <t>Portfolio 7984</t>
  </si>
  <si>
    <t>Portfolio 948</t>
  </si>
  <si>
    <t>Portfolio 3792</t>
  </si>
  <si>
    <t>Portfolio 2109</t>
  </si>
  <si>
    <t>Portfolio 1788</t>
  </si>
  <si>
    <t>Portfolio 5097</t>
  </si>
  <si>
    <t>Portfolio 3825</t>
  </si>
  <si>
    <t>Portfolio 1095</t>
  </si>
  <si>
    <t>Portfolio 5243</t>
  </si>
  <si>
    <t>Portfolio 1218</t>
  </si>
  <si>
    <t>Portfolio 5039</t>
  </si>
  <si>
    <t>Portfolio 8374</t>
  </si>
  <si>
    <t>Portfolio 4990</t>
  </si>
  <si>
    <t>Portfolio 9119</t>
  </si>
  <si>
    <t>Portfolio 5715</t>
  </si>
  <si>
    <t>Portfolio 2096</t>
  </si>
  <si>
    <t>Portfolio 4584</t>
  </si>
  <si>
    <t>Portfolio 5246</t>
  </si>
  <si>
    <t>Portfolio 7941</t>
  </si>
  <si>
    <t>Portfolio 8561</t>
  </si>
  <si>
    <t>Portfolio 9548</t>
  </si>
  <si>
    <t>Portfolio 9405</t>
  </si>
  <si>
    <t>Portfolio 7237</t>
  </si>
  <si>
    <t>Portfolio 3899</t>
  </si>
  <si>
    <t>Portfolio 9773</t>
  </si>
  <si>
    <t>Portfolio 9369</t>
  </si>
  <si>
    <t>Portfolio 100</t>
  </si>
  <si>
    <t>Portfolio 8453</t>
  </si>
  <si>
    <t>Portfolio 6079</t>
  </si>
  <si>
    <t>Portfolio 5355</t>
  </si>
  <si>
    <t>Portfolio 4893</t>
  </si>
  <si>
    <t>Portfolio 4190</t>
  </si>
  <si>
    <t>Portfolio 3846</t>
  </si>
  <si>
    <t>Portfolio 6070</t>
  </si>
  <si>
    <t>Portfolio 6277</t>
  </si>
  <si>
    <t>Portfolio 3116</t>
  </si>
  <si>
    <t>Portfolio 1861</t>
  </si>
  <si>
    <t>Portfolio 6096</t>
  </si>
  <si>
    <t>Portfolio 9109</t>
  </si>
  <si>
    <t>Portfolio 9632</t>
  </si>
  <si>
    <t>Portfolio 6211</t>
  </si>
  <si>
    <t>Portfolio 4634</t>
  </si>
  <si>
    <t>Portfolio 6023</t>
  </si>
  <si>
    <t>Portfolio 1924</t>
  </si>
  <si>
    <t>Portfolio 1800</t>
  </si>
  <si>
    <t>Portfolio 4949</t>
  </si>
  <si>
    <t>Portfolio 1121</t>
  </si>
  <si>
    <t>Portfolio 1727</t>
  </si>
  <si>
    <t>Portfolio 2145</t>
  </si>
  <si>
    <t>Portfolio 4323</t>
  </si>
  <si>
    <t>Portfolio 7087</t>
  </si>
  <si>
    <t>Portfolio 7675</t>
  </si>
  <si>
    <t>Portfolio 9186</t>
  </si>
  <si>
    <t>Portfolio 4452</t>
  </si>
  <si>
    <t>Portfolio 8062</t>
  </si>
  <si>
    <t>Portfolio 8237</t>
  </si>
  <si>
    <t>Portfolio 9380</t>
  </si>
  <si>
    <t>Portfolio 2295</t>
  </si>
  <si>
    <t>Portfolio 8803</t>
  </si>
  <si>
    <t>Portfolio 3932</t>
  </si>
  <si>
    <t>Portfolio 1228</t>
  </si>
  <si>
    <t>Portfolio 6176</t>
  </si>
  <si>
    <t>Portfolio 195</t>
  </si>
  <si>
    <t>Portfolio 9131</t>
  </si>
  <si>
    <t>Portfolio 7265</t>
  </si>
  <si>
    <t>Portfolio 2297</t>
  </si>
  <si>
    <t>Portfolio 5781</t>
  </si>
  <si>
    <t>Portfolio 3172</t>
  </si>
  <si>
    <t>Portfolio 12</t>
  </si>
  <si>
    <t>Portfolio 3548</t>
  </si>
  <si>
    <t>Portfolio 1988</t>
  </si>
  <si>
    <t>Portfolio 3826</t>
  </si>
  <si>
    <t>Portfolio 2071</t>
  </si>
  <si>
    <t>Portfolio 2866</t>
  </si>
  <si>
    <t>Portfolio 3392</t>
  </si>
  <si>
    <t>Portfolio 4093</t>
  </si>
  <si>
    <t>Portfolio 426</t>
  </si>
  <si>
    <t>Portfolio 1374</t>
  </si>
  <si>
    <t>Portfolio 1087</t>
  </si>
  <si>
    <t>Portfolio 5011</t>
  </si>
  <si>
    <t>Portfolio 4371</t>
  </si>
  <si>
    <t>Portfolio 1679</t>
  </si>
  <si>
    <t>Portfolio 6889</t>
  </si>
  <si>
    <t>Portfolio 8843</t>
  </si>
  <si>
    <t>Portfolio 7276</t>
  </si>
  <si>
    <t>Portfolio 8662</t>
  </si>
  <si>
    <t>Portfolio 850</t>
  </si>
  <si>
    <t>Portfolio 1714</t>
  </si>
  <si>
    <t>Portfolio 1447</t>
  </si>
  <si>
    <t>Portfolio 4033</t>
  </si>
  <si>
    <t>Portfolio 3453</t>
  </si>
  <si>
    <t>Portfolio 505</t>
  </si>
  <si>
    <t>Portfolio 79</t>
  </si>
  <si>
    <t>Portfolio 2612</t>
  </si>
  <si>
    <t>Portfolio 9792</t>
  </si>
  <si>
    <t>Portfolio 4904</t>
  </si>
  <si>
    <t>Portfolio 3198</t>
  </si>
  <si>
    <t>Portfolio 9074</t>
  </si>
  <si>
    <t>Portfolio 1048</t>
  </si>
  <si>
    <t>Portfolio 9692</t>
  </si>
  <si>
    <t>Portfolio 3637</t>
  </si>
  <si>
    <t>Portfolio 7204</t>
  </si>
  <si>
    <t>Portfolio 4487</t>
  </si>
  <si>
    <t>Portfolio 2794</t>
  </si>
  <si>
    <t>Portfolio 1711</t>
  </si>
  <si>
    <t>Portfolio 4322</t>
  </si>
  <si>
    <t>Portfolio 771</t>
  </si>
  <si>
    <t>Portfolio 3777</t>
  </si>
  <si>
    <t>Portfolio 4026</t>
  </si>
  <si>
    <t>Portfolio 4528</t>
  </si>
  <si>
    <t>Portfolio 848</t>
  </si>
  <si>
    <t>Portfolio 2719</t>
  </si>
  <si>
    <t>Portfolio 5562</t>
  </si>
  <si>
    <t>Portfolio 8594</t>
  </si>
  <si>
    <t>Portfolio 6615</t>
  </si>
  <si>
    <t>Portfolio 6380</t>
  </si>
  <si>
    <t>Portfolio 641</t>
  </si>
  <si>
    <t>Portfolio 384</t>
  </si>
  <si>
    <t>Portfolio 3474</t>
  </si>
  <si>
    <t>Portfolio 1789</t>
  </si>
  <si>
    <t>Portfolio 7097</t>
  </si>
  <si>
    <t>Portfolio 714</t>
  </si>
  <si>
    <t>Portfolio 5016</t>
  </si>
  <si>
    <t>Portfolio 7975</t>
  </si>
  <si>
    <t>Portfolio 4263</t>
  </si>
  <si>
    <t>Portfolio 9980</t>
  </si>
  <si>
    <t>Portfolio 7300</t>
  </si>
  <si>
    <t>Portfolio 1402</t>
  </si>
  <si>
    <t>Portfolio 6315</t>
  </si>
  <si>
    <t>Portfolio 799</t>
  </si>
  <si>
    <t>Portfolio 4320</t>
  </si>
  <si>
    <t>Portfolio 8198</t>
  </si>
  <si>
    <t>Portfolio 904</t>
  </si>
  <si>
    <t>Portfolio 6129</t>
  </si>
  <si>
    <t>Portfolio 2225</t>
  </si>
  <si>
    <t>Portfolio 1674</t>
  </si>
  <si>
    <t>Portfolio 7500</t>
  </si>
  <si>
    <t>Portfolio 1656</t>
  </si>
  <si>
    <t>Portfolio 8203</t>
  </si>
  <si>
    <t>Portfolio 2408</t>
  </si>
  <si>
    <t>Portfolio 8995</t>
  </si>
  <si>
    <t>Portfolio 6621</t>
  </si>
  <si>
    <t>Portfolio 8280</t>
  </si>
  <si>
    <t>Portfolio 9640</t>
  </si>
  <si>
    <t>Portfolio 8061</t>
  </si>
  <si>
    <t>Portfolio 5259</t>
  </si>
  <si>
    <t>Portfolio 6244</t>
  </si>
  <si>
    <t>Portfolio 3479</t>
  </si>
  <si>
    <t>Portfolio 9047</t>
  </si>
  <si>
    <t>Portfolio 1650</t>
  </si>
  <si>
    <t>Portfolio 5110</t>
  </si>
  <si>
    <t>Portfolio 4791</t>
  </si>
  <si>
    <t>Portfolio 5129</t>
  </si>
  <si>
    <t>Portfolio 391</t>
  </si>
  <si>
    <t>Portfolio 270</t>
  </si>
  <si>
    <t>Portfolio 7520</t>
  </si>
  <si>
    <t>Portfolio 5353</t>
  </si>
  <si>
    <t>Portfolio 6287</t>
  </si>
  <si>
    <t>Portfolio 1416</t>
  </si>
  <si>
    <t>Portfolio 3358</t>
  </si>
  <si>
    <t>Portfolio 6160</t>
  </si>
  <si>
    <t>Portfolio 3786</t>
  </si>
  <si>
    <t>Portfolio 3271</t>
  </si>
  <si>
    <t>Portfolio 9700</t>
  </si>
  <si>
    <t>Portfolio 2594</t>
  </si>
  <si>
    <t>Portfolio 5165</t>
  </si>
  <si>
    <t>Portfolio 7362</t>
  </si>
  <si>
    <t>Portfolio 8994</t>
  </si>
  <si>
    <t>Portfolio 7180</t>
  </si>
  <si>
    <t>Portfolio 1836</t>
  </si>
  <si>
    <t>Portfolio 9882</t>
  </si>
  <si>
    <t>Portfolio 6617</t>
  </si>
  <si>
    <t>Portfolio 7938</t>
  </si>
  <si>
    <t>Portfolio 3561</t>
  </si>
  <si>
    <t>Portfolio 295</t>
  </si>
  <si>
    <t>Portfolio 3628</t>
  </si>
  <si>
    <t>Portfolio 6991</t>
  </si>
  <si>
    <t>Portfolio 4471</t>
  </si>
  <si>
    <t>Portfolio 923</t>
  </si>
  <si>
    <t>Portfolio 827</t>
  </si>
  <si>
    <t>Portfolio 3589</t>
  </si>
  <si>
    <t>Portfolio 9445</t>
  </si>
  <si>
    <t>Portfolio 4554</t>
  </si>
  <si>
    <t>Portfolio 141</t>
  </si>
  <si>
    <t>Portfolio 1534</t>
  </si>
  <si>
    <t>Portfolio 7870</t>
  </si>
  <si>
    <t>Portfolio 3661</t>
  </si>
  <si>
    <t>Portfolio 1253</t>
  </si>
  <si>
    <t>Portfolio 915</t>
  </si>
  <si>
    <t>Portfolio 5803</t>
  </si>
  <si>
    <t>Portfolio 4557</t>
  </si>
  <si>
    <t>Portfolio 8817</t>
  </si>
  <si>
    <t>Portfolio 4346</t>
  </si>
  <si>
    <t>Portfolio 1441</t>
  </si>
  <si>
    <t>Portfolio 8820</t>
  </si>
  <si>
    <t>Portfolio 5702</t>
  </si>
  <si>
    <t>Portfolio 2120</t>
  </si>
  <si>
    <t>Portfolio 6688</t>
  </si>
  <si>
    <t>Portfolio 1029</t>
  </si>
  <si>
    <t>Portfolio 2332</t>
  </si>
  <si>
    <t>Portfolio 3307</t>
  </si>
  <si>
    <t>Portfolio 2678</t>
  </si>
  <si>
    <t>Portfolio 2865</t>
  </si>
  <si>
    <t>Portfolio 5565</t>
  </si>
  <si>
    <t>Portfolio 845</t>
  </si>
  <si>
    <t>Portfolio 6042</t>
  </si>
  <si>
    <t>Portfolio 6662</t>
  </si>
  <si>
    <t>Portfolio 1627</t>
  </si>
  <si>
    <t>Portfolio 6735</t>
  </si>
  <si>
    <t>Portfolio 4879</t>
  </si>
  <si>
    <t>Portfolio 4226</t>
  </si>
  <si>
    <t>Portfolio 8611</t>
  </si>
  <si>
    <t>Portfolio 9861</t>
  </si>
  <si>
    <t>Portfolio 326</t>
  </si>
  <si>
    <t>Portfolio 2185</t>
  </si>
  <si>
    <t>Portfolio 5699</t>
  </si>
  <si>
    <t>Portfolio 7776</t>
  </si>
  <si>
    <t>Portfolio 6138</t>
  </si>
  <si>
    <t>Portfolio 4660</t>
  </si>
  <si>
    <t>Portfolio 4089</t>
  </si>
  <si>
    <t>Portfolio 5483</t>
  </si>
  <si>
    <t>Portfolio 9000</t>
  </si>
  <si>
    <t>Portfolio 7616</t>
  </si>
  <si>
    <t>Portfolio 1677</t>
  </si>
  <si>
    <t>Portfolio 2750</t>
  </si>
  <si>
    <t>Portfolio 4895</t>
  </si>
  <si>
    <t>Portfolio 4268</t>
  </si>
  <si>
    <t>Portfolio 805</t>
  </si>
  <si>
    <t>Portfolio 8637</t>
  </si>
  <si>
    <t>Portfolio 3787</t>
  </si>
  <si>
    <t>Portfolio 2077</t>
  </si>
  <si>
    <t>Portfolio 7681</t>
  </si>
  <si>
    <t>Portfolio 6826</t>
  </si>
  <si>
    <t>Portfolio 2459</t>
  </si>
  <si>
    <t>Portfolio 1161</t>
  </si>
  <si>
    <t>Portfolio 7107</t>
  </si>
  <si>
    <t>Portfolio 3737</t>
  </si>
  <si>
    <t>Portfolio 782</t>
  </si>
  <si>
    <t>Portfolio 7506</t>
  </si>
  <si>
    <t>Portfolio 3135</t>
  </si>
  <si>
    <t>Portfolio 3801</t>
  </si>
  <si>
    <t>Portfolio 9082</t>
  </si>
  <si>
    <t>Portfolio 5543</t>
  </si>
  <si>
    <t>Portfolio 502</t>
  </si>
  <si>
    <t>Portfolio 8585</t>
  </si>
  <si>
    <t>Portfolio 862</t>
  </si>
  <si>
    <t>Portfolio 6241</t>
  </si>
  <si>
    <t>Portfolio 786</t>
  </si>
  <si>
    <t>Portfolio 6001</t>
  </si>
  <si>
    <t>Portfolio 1938</t>
  </si>
  <si>
    <t>Portfolio 5610</t>
  </si>
  <si>
    <t>Portfolio 2563</t>
  </si>
  <si>
    <t>Portfolio 4535</t>
  </si>
  <si>
    <t>Portfolio 1776</t>
  </si>
  <si>
    <t>Portfolio 2603</t>
  </si>
  <si>
    <t>Portfolio 7200</t>
  </si>
  <si>
    <t>Portfolio 9274</t>
  </si>
  <si>
    <t>Portfolio 4596</t>
  </si>
  <si>
    <t>Portfolio 1016</t>
  </si>
  <si>
    <t>Portfolio 1084</t>
  </si>
  <si>
    <t>Portfolio 3650</t>
  </si>
  <si>
    <t>Portfolio 3929</t>
  </si>
  <si>
    <t>Portfolio 6432</t>
  </si>
  <si>
    <t>Portfolio 872</t>
  </si>
  <si>
    <t>Portfolio 8865</t>
  </si>
  <si>
    <t>Portfolio 7240</t>
  </si>
  <si>
    <t>Portfolio 1235</t>
  </si>
  <si>
    <t>Portfolio 5472</t>
  </si>
  <si>
    <t>Portfolio 4644</t>
  </si>
  <si>
    <t>Portfolio 1266</t>
  </si>
  <si>
    <t>Portfolio 2402</t>
  </si>
  <si>
    <t>Portfolio 8659</t>
  </si>
  <si>
    <t>Portfolio 8471</t>
  </si>
  <si>
    <t>Portfolio 7634</t>
  </si>
  <si>
    <t>Portfolio 3788</t>
  </si>
  <si>
    <t>Portfolio 3691</t>
  </si>
  <si>
    <t>Portfolio 8122</t>
  </si>
  <si>
    <t>Portfolio 9896</t>
  </si>
  <si>
    <t>Portfolio 9787</t>
  </si>
  <si>
    <t>Portfolio 6870</t>
  </si>
  <si>
    <t>Portfolio 1209</t>
  </si>
  <si>
    <t>Portfolio 1350</t>
  </si>
  <si>
    <t>Portfolio 4960</t>
  </si>
  <si>
    <t>Portfolio 6497</t>
  </si>
  <si>
    <t>Portfolio 6801</t>
  </si>
  <si>
    <t>Portfolio 2774</t>
  </si>
  <si>
    <t>Portfolio 1765</t>
  </si>
  <si>
    <t>Portfolio 9491</t>
  </si>
  <si>
    <t>Portfolio 7140</t>
  </si>
  <si>
    <t>Portfolio 6940</t>
  </si>
  <si>
    <t>Portfolio 9917</t>
  </si>
  <si>
    <t>Portfolio 6922</t>
  </si>
  <si>
    <t>Portfolio 3666</t>
  </si>
  <si>
    <t>Portfolio 1607</t>
  </si>
  <si>
    <t>Portfolio 6787</t>
  </si>
  <si>
    <t>Portfolio 9866</t>
  </si>
  <si>
    <t>Portfolio 4052</t>
  </si>
  <si>
    <t>Portfolio 2135</t>
  </si>
  <si>
    <t>Portfolio 2745</t>
  </si>
  <si>
    <t>Portfolio 6825</t>
  </si>
  <si>
    <t>Portfolio 1398</t>
  </si>
  <si>
    <t>Portfolio 9657</t>
  </si>
  <si>
    <t>Portfolio 3159</t>
  </si>
  <si>
    <t>Portfolio 2217</t>
  </si>
  <si>
    <t>Portfolio 6905</t>
  </si>
  <si>
    <t>Portfolio 279</t>
  </si>
  <si>
    <t>Portfolio 2895</t>
  </si>
  <si>
    <t>Portfolio 5787</t>
  </si>
  <si>
    <t>Portfolio 5868</t>
  </si>
  <si>
    <t>Portfolio 5830</t>
  </si>
  <si>
    <t>Portfolio 3911</t>
  </si>
  <si>
    <t>Portfolio 8536</t>
  </si>
  <si>
    <t>Portfolio 5156</t>
  </si>
  <si>
    <t>Portfolio 2954</t>
  </si>
  <si>
    <t>Portfolio 633</t>
  </si>
  <si>
    <t>Portfolio 3257</t>
  </si>
  <si>
    <t>Portfolio 5996</t>
  </si>
  <si>
    <t>Portfolio 5778</t>
  </si>
  <si>
    <t>Portfolio 7098</t>
  </si>
  <si>
    <t>Portfolio 7714</t>
  </si>
  <si>
    <t>Portfolio 4692</t>
  </si>
  <si>
    <t>Portfolio 7696</t>
  </si>
  <si>
    <t>Portfolio 9683</t>
  </si>
  <si>
    <t>Portfolio 5211</t>
  </si>
  <si>
    <t>Portfolio 9617</t>
  </si>
  <si>
    <t>Portfolio 6761</t>
  </si>
  <si>
    <t>Portfolio 8235</t>
  </si>
  <si>
    <t>Portfolio 9293</t>
  </si>
  <si>
    <t>Portfolio 2629</t>
  </si>
  <si>
    <t>Portfolio 9895</t>
  </si>
  <si>
    <t>Portfolio 2708</t>
  </si>
  <si>
    <t>Portfolio 6418</t>
  </si>
  <si>
    <t>Portfolio 5906</t>
  </si>
  <si>
    <t>Portfolio 3703</t>
  </si>
  <si>
    <t>Portfolio 2565</t>
  </si>
  <si>
    <t>Portfolio 7221</t>
  </si>
  <si>
    <t>Portfolio 4003</t>
  </si>
  <si>
    <t>Portfolio 5643</t>
  </si>
  <si>
    <t>Portfolio 9368</t>
  </si>
  <si>
    <t>Portfolio 2166</t>
  </si>
  <si>
    <t>Portfolio 6950</t>
  </si>
  <si>
    <t>Portfolio 8257</t>
  </si>
  <si>
    <t>Portfolio 2869</t>
  </si>
  <si>
    <t>Portfolio 6124</t>
  </si>
  <si>
    <t>Portfolio 3659</t>
  </si>
  <si>
    <t>Portfolio 5685</t>
  </si>
  <si>
    <t>Portfolio 2672</t>
  </si>
  <si>
    <t>Portfolio 6010</t>
  </si>
  <si>
    <t>Portfolio 1862</t>
  </si>
  <si>
    <t>Portfolio 9060</t>
  </si>
  <si>
    <t>Portfolio 8508</t>
  </si>
  <si>
    <t>Portfolio 105</t>
  </si>
  <si>
    <t>Portfolio 2043</t>
  </si>
  <si>
    <t>Portfolio 7184</t>
  </si>
  <si>
    <t>Portfolio 2463</t>
  </si>
  <si>
    <t>Portfolio 3037</t>
  </si>
  <si>
    <t>Portfolio 2419</t>
  </si>
  <si>
    <t>Portfolio 9916</t>
  </si>
  <si>
    <t>Portfolio 4860</t>
  </si>
  <si>
    <t>Portfolio 7094</t>
  </si>
  <si>
    <t>Portfolio 2136</t>
  </si>
  <si>
    <t>Portfolio 3264</t>
  </si>
  <si>
    <t>Portfolio 5463</t>
  </si>
  <si>
    <t>Portfolio 1478</t>
  </si>
  <si>
    <t>Portfolio 8518</t>
  </si>
  <si>
    <t>Portfolio 9851</t>
  </si>
  <si>
    <t>Portfolio 6515</t>
  </si>
  <si>
    <t>Portfolio 9448</t>
  </si>
  <si>
    <t>Portfolio 9276</t>
  </si>
  <si>
    <t>Portfolio 3541</t>
  </si>
  <si>
    <t>Portfolio 7871</t>
  </si>
  <si>
    <t>Portfolio 7753</t>
  </si>
  <si>
    <t>Portfolio 9775</t>
  </si>
  <si>
    <t>Portfolio 8646</t>
  </si>
  <si>
    <t>Portfolio 7311</t>
  </si>
  <si>
    <t>Portfolio 5940</t>
  </si>
  <si>
    <t>Portfolio 5833</t>
  </si>
  <si>
    <t>Portfolio 3893</t>
  </si>
  <si>
    <t>Portfolio 534</t>
  </si>
  <si>
    <t>Portfolio 5474</t>
  </si>
  <si>
    <t>Portfolio 2759</t>
  </si>
  <si>
    <t>Portfolio 8908</t>
  </si>
  <si>
    <t>Portfolio 8131</t>
  </si>
  <si>
    <t>Portfolio 7485</t>
  </si>
  <si>
    <t>Portfolio 4350</t>
  </si>
  <si>
    <t>Portfolio 1077</t>
  </si>
  <si>
    <t>Portfolio 2391</t>
  </si>
  <si>
    <t>Portfolio 3425</t>
  </si>
  <si>
    <t>Portfolio 2259</t>
  </si>
  <si>
    <t>Portfolio 4475</t>
  </si>
  <si>
    <t>Portfolio 757</t>
  </si>
  <si>
    <t>Portfolio 4429</t>
  </si>
  <si>
    <t>Portfolio 7254</t>
  </si>
  <si>
    <t>Portfolio 8606</t>
  </si>
  <si>
    <t>Portfolio 6393</t>
  </si>
  <si>
    <t>Portfolio 7838</t>
  </si>
  <si>
    <t>Portfolio 9981</t>
  </si>
  <si>
    <t>Portfolio 6133</t>
  </si>
  <si>
    <t>Portfolio 918</t>
  </si>
  <si>
    <t>Portfolio 3250</t>
  </si>
  <si>
    <t>Portfolio 3087</t>
  </si>
  <si>
    <t>Portfolio 3673</t>
  </si>
  <si>
    <t>Portfolio 4034</t>
  </si>
  <si>
    <t>Portfolio 2601</t>
  </si>
  <si>
    <t>Portfolio 7860</t>
  </si>
  <si>
    <t>Portfolio 9893</t>
  </si>
  <si>
    <t>Portfolio 9310</t>
  </si>
  <si>
    <t>Portfolio 7382</t>
  </si>
  <si>
    <t>Portfolio 5903</t>
  </si>
  <si>
    <t>Portfolio 3618</t>
  </si>
  <si>
    <t>Portfolio 4892</t>
  </si>
  <si>
    <t>Portfolio 6430</t>
  </si>
  <si>
    <t>Portfolio 5162</t>
  </si>
  <si>
    <t>Portfolio 6583</t>
  </si>
  <si>
    <t>Portfolio 1783</t>
  </si>
  <si>
    <t>Portfolio 68</t>
  </si>
  <si>
    <t>Portfolio 969</t>
  </si>
  <si>
    <t>Portfolio 2040</t>
  </si>
  <si>
    <t>Portfolio 8025</t>
  </si>
  <si>
    <t>Portfolio 592</t>
  </si>
  <si>
    <t>Portfolio 7268</t>
  </si>
  <si>
    <t>Portfolio 6503</t>
  </si>
  <si>
    <t>Portfolio 3100</t>
  </si>
  <si>
    <t>Portfolio 2913</t>
  </si>
  <si>
    <t>Portfolio 9462</t>
  </si>
  <si>
    <t>Portfolio 436</t>
  </si>
  <si>
    <t>Portfolio 3406</t>
  </si>
  <si>
    <t>Portfolio 1612</t>
  </si>
  <si>
    <t>Portfolio 2983</t>
  </si>
  <si>
    <t>Portfolio 4250</t>
  </si>
  <si>
    <t>Portfolio 6729</t>
  </si>
  <si>
    <t>Portfolio 2900</t>
  </si>
  <si>
    <t>Portfolio 3767</t>
  </si>
  <si>
    <t>Portfolio 9588</t>
  </si>
  <si>
    <t>Portfolio 2523</t>
  </si>
  <si>
    <t>Portfolio 6880</t>
  </si>
  <si>
    <t>Portfolio 9886</t>
  </si>
  <si>
    <t>Portfolio 4463</t>
  </si>
  <si>
    <t>Portfolio 1811</t>
  </si>
  <si>
    <t>Portfolio 3509</t>
  </si>
  <si>
    <t>Portfolio 3362</t>
  </si>
  <si>
    <t>Portfolio 1009</t>
  </si>
  <si>
    <t>Portfolio 3839</t>
  </si>
  <si>
    <t>Portfolio 7691</t>
  </si>
  <si>
    <t>Portfolio 3295</t>
  </si>
  <si>
    <t>Portfolio 537</t>
  </si>
  <si>
    <t>Portfolio 7791</t>
  </si>
  <si>
    <t>Portfolio 4063</t>
  </si>
  <si>
    <t>Portfolio 6453</t>
  </si>
  <si>
    <t>Portfolio 3534</t>
  </si>
  <si>
    <t>Portfolio 3174</t>
  </si>
  <si>
    <t>Portfolio 1628</t>
  </si>
  <si>
    <t>Portfolio 1582</t>
  </si>
  <si>
    <t>Portfolio 1802</t>
  </si>
  <si>
    <t>Portfolio 6084</t>
  </si>
  <si>
    <t>Portfolio 8113</t>
  </si>
  <si>
    <t>Portfolio 1476</t>
  </si>
  <si>
    <t>Portfolio 5727</t>
  </si>
  <si>
    <t>Portfolio 5506</t>
  </si>
  <si>
    <t>Portfolio 3942</t>
  </si>
  <si>
    <t>Portfolio 9319</t>
  </si>
  <si>
    <t>Portfolio 6420</t>
  </si>
  <si>
    <t>Portfolio 4842</t>
  </si>
  <si>
    <t>Portfolio 2170</t>
  </si>
  <si>
    <t>Portfolio 5278</t>
  </si>
  <si>
    <t>Portfolio 7015</t>
  </si>
  <si>
    <t>Portfolio 4675</t>
  </si>
  <si>
    <t>Portfolio 4321</t>
  </si>
  <si>
    <t>Portfolio 9822</t>
  </si>
  <si>
    <t>Portfolio 2651</t>
  </si>
  <si>
    <t>Portfolio 429</t>
  </si>
  <si>
    <t>Portfolio 3677</t>
  </si>
  <si>
    <t>Portfolio 882</t>
  </si>
  <si>
    <t>Portfolio 6988</t>
  </si>
  <si>
    <t>Portfolio 6510</t>
  </si>
  <si>
    <t>Portfolio 8592</t>
  </si>
  <si>
    <t>Portfolio 4143</t>
  </si>
  <si>
    <t>Portfolio 4162</t>
  </si>
  <si>
    <t>Portfolio 5112</t>
  </si>
  <si>
    <t>Portfolio 1641</t>
  </si>
  <si>
    <t>Portfolio 3381</t>
  </si>
  <si>
    <t>Portfolio 4560</t>
  </si>
  <si>
    <t>Portfolio 6582</t>
  </si>
  <si>
    <t>Portfolio 415</t>
  </si>
  <si>
    <t>Portfolio 286</t>
  </si>
  <si>
    <t>Portfolio 9253</t>
  </si>
  <si>
    <t>Portfolio 9766</t>
  </si>
  <si>
    <t>Portfolio 1440</t>
  </si>
  <si>
    <t>Portfolio 2570</t>
  </si>
  <si>
    <t>Portfolio 8191</t>
  </si>
  <si>
    <t>Portfolio 8228</t>
  </si>
  <si>
    <t>Portfolio 9433</t>
  </si>
  <si>
    <t>Portfolio 2143</t>
  </si>
  <si>
    <t>Portfolio 5795</t>
  </si>
  <si>
    <t>Portfolio 4546</t>
  </si>
  <si>
    <t>Portfolio 4602</t>
  </si>
  <si>
    <t>Portfolio 504</t>
  </si>
  <si>
    <t>Portfolio 4945</t>
  </si>
  <si>
    <t>Portfolio 5444</t>
  </si>
  <si>
    <t>Portfolio 4941</t>
  </si>
  <si>
    <t>Portfolio 4994</t>
  </si>
  <si>
    <t>Portfolio 4923</t>
  </si>
  <si>
    <t>Portfolio 5945</t>
  </si>
  <si>
    <t>Portfolio 6041</t>
  </si>
  <si>
    <t>Portfolio 9003</t>
  </si>
  <si>
    <t>Portfolio 2061</t>
  </si>
  <si>
    <t>Portfolio 9128</t>
  </si>
  <si>
    <t>Portfolio 6661</t>
  </si>
  <si>
    <t>Portfolio 4336</t>
  </si>
  <si>
    <t>Portfolio 8679</t>
  </si>
  <si>
    <t>Portfolio 2697</t>
  </si>
  <si>
    <t>Portfolio 1438</t>
  </si>
  <si>
    <t>Portfolio 9130</t>
  </si>
  <si>
    <t>Portfolio 5747</t>
  </si>
  <si>
    <t>Portfolio 2549</t>
  </si>
  <si>
    <t>Portfolio 4601</t>
  </si>
  <si>
    <t>Portfolio 5497</t>
  </si>
  <si>
    <t>Portfolio 7751</t>
  </si>
  <si>
    <t>Portfolio 6611</t>
  </si>
  <si>
    <t>Portfolio 230</t>
  </si>
  <si>
    <t>Portfolio 3977</t>
  </si>
  <si>
    <t>Portfolio 5682</t>
  </si>
  <si>
    <t>Portfolio 3420</t>
  </si>
  <si>
    <t>Portfolio 3341</t>
  </si>
  <si>
    <t>Portfolio 1063</t>
  </si>
  <si>
    <t>Portfolio 6250</t>
  </si>
  <si>
    <t>Portfolio 2808</t>
  </si>
  <si>
    <t>Portfolio 1818</t>
  </si>
  <si>
    <t>Portfolio 6419</t>
  </si>
  <si>
    <t>Portfolio 2237</t>
  </si>
  <si>
    <t>Portfolio 1715</t>
  </si>
  <si>
    <t>Portfolio 9066</t>
  </si>
  <si>
    <t>Portfolio 2656</t>
  </si>
  <si>
    <t>Portfolio 7505</t>
  </si>
  <si>
    <t>Portfolio 4213</t>
  </si>
  <si>
    <t>Portfolio 4760</t>
  </si>
  <si>
    <t>Portfolio 9840</t>
  </si>
  <si>
    <t>Portfolio 435</t>
  </si>
  <si>
    <t>Portfolio 547</t>
  </si>
  <si>
    <t>Portfolio 4349</t>
  </si>
  <si>
    <t>Portfolio 7116</t>
  </si>
  <si>
    <t>Portfolio 8858</t>
  </si>
  <si>
    <t>Portfolio 858</t>
  </si>
  <si>
    <t>Portfolio 9488</t>
  </si>
  <si>
    <t>Portfolio 5622</t>
  </si>
  <si>
    <t>Portfolio 1434</t>
  </si>
  <si>
    <t>Portfolio 5146</t>
  </si>
  <si>
    <t>Portfolio 6102</t>
  </si>
  <si>
    <t>Portfolio 6969</t>
  </si>
  <si>
    <t>Portfolio 1613</t>
  </si>
  <si>
    <t>Portfolio 6640</t>
  </si>
  <si>
    <t>Portfolio 9989</t>
  </si>
  <si>
    <t>Portfolio 8146</t>
  </si>
  <si>
    <t>Portfolio 7041</t>
  </si>
  <si>
    <t>Portfolio 8503</t>
  </si>
  <si>
    <t>Portfolio 8324</t>
  </si>
  <si>
    <t>Portfolio 134</t>
  </si>
  <si>
    <t>Portfolio 5265</t>
  </si>
  <si>
    <t>Portfolio 7874</t>
  </si>
  <si>
    <t>Portfolio 5855</t>
  </si>
  <si>
    <t>Portfolio 591</t>
  </si>
  <si>
    <t>Portfolio 3803</t>
  </si>
  <si>
    <t>Portfolio 8388</t>
  </si>
  <si>
    <t>Portfolio 8267</t>
  </si>
  <si>
    <t>Portfolio 8039</t>
  </si>
  <si>
    <t>Portfolio 3864</t>
  </si>
  <si>
    <t>Portfolio 3220</t>
  </si>
  <si>
    <t>Portfolio 9273</t>
  </si>
  <si>
    <t>Portfolio 1751</t>
  </si>
  <si>
    <t>Portfolio 8986</t>
  </si>
  <si>
    <t>Portfolio 3187</t>
  </si>
  <si>
    <t>Portfolio 2898</t>
  </si>
  <si>
    <t>Portfolio 5479</t>
  </si>
  <si>
    <t>Portfolio 7446</t>
  </si>
  <si>
    <t>Portfolio 9179</t>
  </si>
  <si>
    <t>Portfolio 7377</t>
  </si>
  <si>
    <t>Portfolio 5688</t>
  </si>
  <si>
    <t>Portfolio 4909</t>
  </si>
  <si>
    <t>Portfolio 7844</t>
  </si>
  <si>
    <t>Portfolio 7190</t>
  </si>
  <si>
    <t>Portfolio 4009</t>
  </si>
  <si>
    <t>Portfolio 4409</t>
  </si>
  <si>
    <t>Portfolio 1329</t>
  </si>
  <si>
    <t>Portfolio 2355</t>
  </si>
  <si>
    <t>Portfolio 7992</t>
  </si>
  <si>
    <t>Portfolio 151</t>
  </si>
  <si>
    <t>Portfolio 3330</t>
  </si>
  <si>
    <t>Portfolio 59</t>
  </si>
  <si>
    <t>Portfolio 7680</t>
  </si>
  <si>
    <t>Portfolio 3829</t>
  </si>
  <si>
    <t>Portfolio 7369</t>
  </si>
  <si>
    <t>Portfolio 1060</t>
  </si>
  <si>
    <t>Portfolio 8513</t>
  </si>
  <si>
    <t>Portfolio 5611</t>
  </si>
  <si>
    <t>Portfolio 2300</t>
  </si>
  <si>
    <t>Portfolio 7393</t>
  </si>
  <si>
    <t>Portfolio 8784</t>
  </si>
  <si>
    <t>Portfolio 234</t>
  </si>
  <si>
    <t>Portfolio 6961</t>
  </si>
  <si>
    <t>Portfolio 8401</t>
  </si>
  <si>
    <t>Portfolio 893</t>
  </si>
  <si>
    <t>Portfolio 8847</t>
  </si>
  <si>
    <t>Portfolio 3188</t>
  </si>
  <si>
    <t>Portfolio 3255</t>
  </si>
  <si>
    <t>Portfolio 8811</t>
  </si>
  <si>
    <t>Portfolio 9326</t>
  </si>
  <si>
    <t>Portfolio 8435</t>
  </si>
  <si>
    <t>Portfolio 7283</t>
  </si>
  <si>
    <t>Portfolio 1367</t>
  </si>
  <si>
    <t>Portfolio 3571</t>
  </si>
  <si>
    <t>Portfolio 8008</t>
  </si>
  <si>
    <t>Portfolio 9708</t>
  </si>
  <si>
    <t>Portfolio 1507</t>
  </si>
  <si>
    <t>Portfolio 804</t>
  </si>
  <si>
    <t>Portfolio 4326</t>
  </si>
  <si>
    <t>Portfolio 3636</t>
  </si>
  <si>
    <t>Portfolio 6956</t>
  </si>
  <si>
    <t>Portfolio 423</t>
  </si>
  <si>
    <t>Portfolio 6932</t>
  </si>
  <si>
    <t>Portfolio 6388</t>
  </si>
  <si>
    <t>Portfolio 1700</t>
  </si>
  <si>
    <t>Portfolio 56</t>
  </si>
  <si>
    <t>Portfolio 7964</t>
  </si>
  <si>
    <t>Portfolio 4872</t>
  </si>
  <si>
    <t>Portfolio 3080</t>
  </si>
  <si>
    <t>Portfolio 9157</t>
  </si>
  <si>
    <t>Portfolio 2034</t>
  </si>
  <si>
    <t>Portfolio 4751</t>
  </si>
  <si>
    <t>Portfolio 559</t>
  </si>
  <si>
    <t>Portfolio 139</t>
  </si>
  <si>
    <t>Portfolio 1787</t>
  </si>
  <si>
    <t>Portfolio 925</t>
  </si>
  <si>
    <t>Portfolio 2378</t>
  </si>
  <si>
    <t>Portfolio 4348</t>
  </si>
  <si>
    <t>Portfolio 4649</t>
  </si>
  <si>
    <t>Portfolio 9078</t>
  </si>
  <si>
    <t>Portfolio 1549</t>
  </si>
  <si>
    <t>Portfolio 7196</t>
  </si>
  <si>
    <t>Portfolio 2839</t>
  </si>
  <si>
    <t>Portfolio 2403</t>
  </si>
  <si>
    <t>Portfolio 3783</t>
  </si>
  <si>
    <t>Portfolio 2318</t>
  </si>
  <si>
    <t>Portfolio 1961</t>
  </si>
  <si>
    <t>Portfolio 7418</t>
  </si>
  <si>
    <t>Portfolio 6757</t>
  </si>
  <si>
    <t>Portfolio 6150</t>
  </si>
  <si>
    <t>Portfolio 5567</t>
  </si>
  <si>
    <t>Portfolio 4517</t>
  </si>
  <si>
    <t>Portfolio 293</t>
  </si>
  <si>
    <t>Portfolio 5294</t>
  </si>
  <si>
    <t>Portfolio 9570</t>
  </si>
  <si>
    <t>Portfolio 7647</t>
  </si>
  <si>
    <t>Portfolio 4658</t>
  </si>
  <si>
    <t>Portfolio 7172</t>
  </si>
  <si>
    <t>Portfolio 2669</t>
  </si>
  <si>
    <t>Portfolio 794</t>
  </si>
  <si>
    <t>Portfolio 6587</t>
  </si>
  <si>
    <t>Portfolio 4413</t>
  </si>
  <si>
    <t>Portfolio 7363</t>
  </si>
  <si>
    <t>Portfolio 4568</t>
  </si>
  <si>
    <t>Portfolio 7233</t>
  </si>
  <si>
    <t>Portfolio 9906</t>
  </si>
  <si>
    <t>Portfolio 9784</t>
  </si>
  <si>
    <t>Portfolio 1183</t>
  </si>
  <si>
    <t>Portfolio 8558</t>
  </si>
  <si>
    <t>Portfolio 2126</t>
  </si>
  <si>
    <t>Portfolio 9426</t>
  </si>
  <si>
    <t>Portfolio 4329</t>
  </si>
  <si>
    <t>Portfolio 8710</t>
  </si>
  <si>
    <t>Portfolio 3323</t>
  </si>
  <si>
    <t>Portfolio 3993</t>
  </si>
  <si>
    <t>Portfolio 6860</t>
  </si>
  <si>
    <t>Portfolio 1008</t>
  </si>
  <si>
    <t>Portfolio 1152</t>
  </si>
  <si>
    <t>Portfolio 1336</t>
  </si>
  <si>
    <t>Portfolio 2006</t>
  </si>
  <si>
    <t>Portfolio 3543</t>
  </si>
  <si>
    <t>Portfolio 2761</t>
  </si>
  <si>
    <t>Portfolio 2428</t>
  </si>
  <si>
    <t>Portfolio 8581</t>
  </si>
  <si>
    <t>Portfolio 864</t>
  </si>
  <si>
    <t>Portfolio 1036</t>
  </si>
  <si>
    <t>Portfolio 1877</t>
  </si>
  <si>
    <t>Portfolio 7353</t>
  </si>
  <si>
    <t>Portfolio 5093</t>
  </si>
  <si>
    <t>Portfolio 6896</t>
  </si>
  <si>
    <t>Portfolio 749</t>
  </si>
  <si>
    <t>Portfolio 8082</t>
  </si>
  <si>
    <t>Portfolio 3555</t>
  </si>
  <si>
    <t>Portfolio 441</t>
  </si>
  <si>
    <t>Portfolio 339</t>
  </si>
  <si>
    <t>Portfolio 4702</t>
  </si>
  <si>
    <t>Portfolio 2502</t>
  </si>
  <si>
    <t>Portfolio 9432</t>
  </si>
  <si>
    <t>Portfolio 6209</t>
  </si>
  <si>
    <t>Portfolio 8650</t>
  </si>
  <si>
    <t>Portfolio 4424</t>
  </si>
  <si>
    <t>Portfolio 2380</t>
  </si>
  <si>
    <t>Portfolio 9505</t>
  </si>
  <si>
    <t>Portfolio 4315</t>
  </si>
  <si>
    <t>Portfolio 4389</t>
  </si>
  <si>
    <t>Portfolio 8001</t>
  </si>
  <si>
    <t>Portfolio 523</t>
  </si>
  <si>
    <t>Portfolio 5072</t>
  </si>
  <si>
    <t>Portfolio 6726</t>
  </si>
  <si>
    <t>Portfolio 5452</t>
  </si>
  <si>
    <t>Portfolio 1196</t>
  </si>
  <si>
    <t>Portfolio 466</t>
  </si>
  <si>
    <t>Portfolio 3227</t>
  </si>
  <si>
    <t>Portfolio 8133</t>
  </si>
  <si>
    <t>Portfolio 5733</t>
  </si>
  <si>
    <t>Portfolio 6982</t>
  </si>
  <si>
    <t>Portfolio 1407</t>
  </si>
  <si>
    <t>Portfolio 6226</t>
  </si>
  <si>
    <t>Portfolio 6636</t>
  </si>
  <si>
    <t>Portfolio 1373</t>
  </si>
  <si>
    <t>Portfolio 9045</t>
  </si>
  <si>
    <t>Portfolio 5461</t>
  </si>
  <si>
    <t>Portfolio 5617</t>
  </si>
  <si>
    <t>Portfolio 1451</t>
  </si>
  <si>
    <t>Portfolio 7498</t>
  </si>
  <si>
    <t>Portfolio 7231</t>
  </si>
  <si>
    <t>Portfolio 8499</t>
  </si>
  <si>
    <t>Portfolio 6033</t>
  </si>
  <si>
    <t>Portfolio 6095</t>
  </si>
  <si>
    <t>Portfolio 7292</t>
  </si>
  <si>
    <t>Portfolio 1380</t>
  </si>
  <si>
    <t>Portfolio 6431</t>
  </si>
  <si>
    <t>Portfolio 6199</t>
  </si>
  <si>
    <t>Portfolio 7690</t>
  </si>
  <si>
    <t>Portfolio 5322</t>
  </si>
  <si>
    <t>Portfolio 3891</t>
  </si>
  <si>
    <t>Portfolio 9315</t>
  </si>
  <si>
    <t>Portfolio 5499</t>
  </si>
  <si>
    <t>Portfolio 454</t>
  </si>
  <si>
    <t>Portfolio 3476</t>
  </si>
  <si>
    <t>Portfolio 5291</t>
  </si>
  <si>
    <t>Portfolio 9554</t>
  </si>
  <si>
    <t>Portfolio 2379</t>
  </si>
  <si>
    <t>Portfolio 1106</t>
  </si>
  <si>
    <t>Portfolio 9138</t>
  </si>
  <si>
    <t>Portfolio 6422</t>
  </si>
  <si>
    <t>Portfolio 6052</t>
  </si>
  <si>
    <t>Portfolio 890</t>
  </si>
  <si>
    <t>Portfolio 5290</t>
  </si>
  <si>
    <t>Portfolio 8105</t>
  </si>
  <si>
    <t>Portfolio 427</t>
  </si>
  <si>
    <t>Portfolio 6448</t>
  </si>
  <si>
    <t>Portfolio 6707</t>
  </si>
  <si>
    <t>Portfolio 5713</t>
  </si>
  <si>
    <t>Portfolio 6534</t>
  </si>
  <si>
    <t>Portfolio 7119</t>
  </si>
  <si>
    <t>Portfolio 7267</t>
  </si>
  <si>
    <t>Portfolio 6629</t>
  </si>
  <si>
    <t>Portfolio 6847</t>
  </si>
  <si>
    <t>Portfolio 6664</t>
  </si>
  <si>
    <t>Portfolio 4971</t>
  </si>
  <si>
    <t>Portfolio 2952</t>
  </si>
  <si>
    <t>Portfolio 6943</t>
  </si>
  <si>
    <t>Portfolio 5459</t>
  </si>
  <si>
    <t>Portfolio 9048</t>
  </si>
  <si>
    <t>Portfolio 1189</t>
  </si>
  <si>
    <t>Portfolio 7217</t>
  </si>
  <si>
    <t>Portfolio 8766</t>
  </si>
  <si>
    <t>Portfolio 5916</t>
  </si>
  <si>
    <t>Portfolio 9463</t>
  </si>
  <si>
    <t>Portfolio 3281</t>
  </si>
  <si>
    <t>Portfolio 2517</t>
  </si>
  <si>
    <t>Portfolio 7333</t>
  </si>
  <si>
    <t>Portfolio 7741</t>
  </si>
  <si>
    <t>Portfolio 6341</t>
  </si>
  <si>
    <t>Portfolio 877</t>
  </si>
  <si>
    <t>Portfolio 412</t>
  </si>
  <si>
    <t>Portfolio 5744</t>
  </si>
  <si>
    <t>Portfolio 2718</t>
  </si>
  <si>
    <t>Portfolio 1777</t>
  </si>
  <si>
    <t>Portfolio 2503</t>
  </si>
  <si>
    <t>Portfolio 5714</t>
  </si>
  <si>
    <t>Portfolio 732</t>
  </si>
  <si>
    <t>Portfolio 2047</t>
  </si>
  <si>
    <t>Portfolio 4565</t>
  </si>
  <si>
    <t>Portfolio 4682</t>
  </si>
  <si>
    <t>Portfolio 1542</t>
  </si>
  <si>
    <t>Portfolio 6331</t>
  </si>
  <si>
    <t>Portfolio 869</t>
  </si>
  <si>
    <t>Portfolio 562</t>
  </si>
  <si>
    <t>Portfolio 8902</t>
  </si>
  <si>
    <t>Portfolio 456</t>
  </si>
  <si>
    <t>Portfolio 3440</t>
  </si>
  <si>
    <t>Portfolio 3053</t>
  </si>
  <si>
    <t>Portfolio 2573</t>
  </si>
  <si>
    <t>Portfolio 2500</t>
  </si>
  <si>
    <t>Portfolio 4743</t>
  </si>
  <si>
    <t>Portfolio 8824</t>
  </si>
  <si>
    <t>Portfolio 5473</t>
  </si>
  <si>
    <t>Portfolio 1684</t>
  </si>
  <si>
    <t>Portfolio 9316</t>
  </si>
  <si>
    <t>Portfolio 8336</t>
  </si>
  <si>
    <t>Portfolio 1734</t>
  </si>
  <si>
    <t>Portfolio 6008</t>
  </si>
  <si>
    <t>Portfolio 3700</t>
  </si>
  <si>
    <t>Portfolio 8458</t>
  </si>
  <si>
    <t>Portfolio 2860</t>
  </si>
  <si>
    <t>Portfolio 471</t>
  </si>
  <si>
    <t>Portfolio 6303</t>
  </si>
  <si>
    <t>Portfolio 765</t>
  </si>
  <si>
    <t>Portfolio 44</t>
  </si>
  <si>
    <t>Portfolio 1888</t>
  </si>
  <si>
    <t>Portfolio 1351</t>
  </si>
  <si>
    <t>Portfolio 995</t>
  </si>
  <si>
    <t>Portfolio 9008</t>
  </si>
  <si>
    <t>Portfolio 9676</t>
  </si>
  <si>
    <t>Portfolio 1431</t>
  </si>
  <si>
    <t>Portfolio 7089</t>
  </si>
  <si>
    <t>Portfolio 2787</t>
  </si>
  <si>
    <t>Portfolio 584</t>
  </si>
  <si>
    <t>Portfolio 5627</t>
  </si>
  <si>
    <t>Portfolio 8000</t>
  </si>
  <si>
    <t>Portfolio 1757</t>
  </si>
  <si>
    <t>Portfolio 2317</t>
  </si>
  <si>
    <t>Portfolio 759</t>
  </si>
  <si>
    <t>Portfolio 2277</t>
  </si>
  <si>
    <t>Portfolio 9563</t>
  </si>
  <si>
    <t>Portfolio 5230</t>
  </si>
  <si>
    <t>Portfolio 6960</t>
  </si>
  <si>
    <t>Portfolio 1722</t>
  </si>
  <si>
    <t>Portfolio 9471</t>
  </si>
  <si>
    <t>Portfolio 7579</t>
  </si>
  <si>
    <t>Portfolio 4229</t>
  </si>
  <si>
    <t>Portfolio 4755</t>
  </si>
  <si>
    <t>Portfolio 2626</t>
  </si>
  <si>
    <t>Portfolio 4738</t>
  </si>
  <si>
    <t>Portfolio 1809</t>
  </si>
  <si>
    <t>Portfolio 5786</t>
  </si>
  <si>
    <t>Portfolio 5057</t>
  </si>
  <si>
    <t>Portfolio 4856</t>
  </si>
  <si>
    <t>Portfolio 1265</t>
  </si>
  <si>
    <t>Portfolio 258</t>
  </si>
  <si>
    <t>Portfolio 3799</t>
  </si>
  <si>
    <t>Portfolio 8702</t>
  </si>
  <si>
    <t>Portfolio 1820</t>
  </si>
  <si>
    <t>Portfolio 5</t>
  </si>
  <si>
    <t>Portfolio 8875</t>
  </si>
  <si>
    <t>Portfolio 2247</t>
  </si>
  <si>
    <t>Portfolio 8889</t>
  </si>
  <si>
    <t>Portfolio 8369</t>
  </si>
  <si>
    <t>Portfolio 9706</t>
  </si>
  <si>
    <t>Portfolio 3919</t>
  </si>
  <si>
    <t>Portfolio 2374</t>
  </si>
  <si>
    <t>Portfolio 45</t>
  </si>
  <si>
    <t>Portfolio 2931</t>
  </si>
  <si>
    <t>Portfolio 9801</t>
  </si>
  <si>
    <t>Portfolio 9977</t>
  </si>
  <si>
    <t>Portfolio 3981</t>
  </si>
  <si>
    <t>Portfolio 3626</t>
  </si>
  <si>
    <t>Portfolio 6062</t>
  </si>
  <si>
    <t>Portfolio 1072</t>
  </si>
  <si>
    <t>Portfolio 3647</t>
  </si>
  <si>
    <t>Portfolio 2568</t>
  </si>
  <si>
    <t>Portfolio 9191</t>
  </si>
  <si>
    <t>Portfolio 8919</t>
  </si>
  <si>
    <t>Portfolio 6320</t>
  </si>
  <si>
    <t>Portfolio 6195</t>
  </si>
  <si>
    <t>Portfolio 6273</t>
  </si>
  <si>
    <t>Portfolio 8481</t>
  </si>
  <si>
    <t>Portfolio 5326</t>
  </si>
  <si>
    <t>Portfolio 2760</t>
  </si>
  <si>
    <t>Portfolio 1202</t>
  </si>
  <si>
    <t>Portfolio 3889</t>
  </si>
  <si>
    <t>Portfolio 9145</t>
  </si>
  <si>
    <t>Portfolio 1559</t>
  </si>
  <si>
    <t>Portfolio 3372</t>
  </si>
  <si>
    <t>Portfolio 1154</t>
  </si>
  <si>
    <t>Portfolio 3235</t>
  </si>
  <si>
    <t>Portfolio 2290</t>
  </si>
  <si>
    <t>Portfolio 696</t>
  </si>
  <si>
    <t>Portfolio 8217</t>
  </si>
  <si>
    <t>Portfolio 2370</t>
  </si>
  <si>
    <t>Portfolio 5363</t>
  </si>
  <si>
    <t>Portfolio 4883</t>
  </si>
  <si>
    <t>Portfolio 389</t>
  </si>
  <si>
    <t>Portfolio 1177</t>
  </si>
  <si>
    <t>Portfolio 3468</t>
  </si>
  <si>
    <t>Portfolio 7286</t>
  </si>
  <si>
    <t>Portfolio 2415</t>
  </si>
  <si>
    <t>Portfolio 6013</t>
  </si>
  <si>
    <t>Portfolio 6068</t>
  </si>
  <si>
    <t>Portfolio 7547</t>
  </si>
  <si>
    <t>Portfolio 5569</t>
  </si>
  <si>
    <t>Portfolio 6218</t>
  </si>
  <si>
    <t>Portfolio 5980</t>
  </si>
  <si>
    <t>Portfolio 8215</t>
  </si>
  <si>
    <t>Portfolio 8466</t>
  </si>
  <si>
    <t>Portfolio 1562</t>
  </si>
  <si>
    <t>Portfolio 5663</t>
  </si>
  <si>
    <t>Portfolio 2709</t>
  </si>
  <si>
    <t>Portfolio 1489</t>
  </si>
  <si>
    <t>Portfolio 1973</t>
  </si>
  <si>
    <t>Portfolio 8573</t>
  </si>
  <si>
    <t>Portfolio 2531</t>
  </si>
  <si>
    <t>Portfolio 8173</t>
  </si>
  <si>
    <t>Portfolio 6851</t>
  </si>
  <si>
    <t>Portfolio 9582</t>
  </si>
  <si>
    <t>Portfolio 5132</t>
  </si>
  <si>
    <t>Portfolio 1092</t>
  </si>
  <si>
    <t>Portfolio 9358</t>
  </si>
  <si>
    <t>Portfolio 4266</t>
  </si>
  <si>
    <t>Portfolio 5631</t>
  </si>
  <si>
    <t>Portfolio 1176</t>
  </si>
  <si>
    <t>Portfolio 5538</t>
  </si>
  <si>
    <t>Portfolio 8389</t>
  </si>
  <si>
    <t>Portfolio 8172</t>
  </si>
  <si>
    <t>Portfolio 1794</t>
  </si>
  <si>
    <t>Portfolio 1014</t>
  </si>
  <si>
    <t>Portfolio 9220</t>
  </si>
  <si>
    <t>Portfolio 1717</t>
  </si>
  <si>
    <t>Portfolio 8134</t>
  </si>
  <si>
    <t>Portfolio 2309</t>
  </si>
  <si>
    <t>Portfolio 8459</t>
  </si>
  <si>
    <t>Portfolio 5666</t>
  </si>
  <si>
    <t>Portfolio 9998</t>
  </si>
  <si>
    <t>Portfolio 1752</t>
  </si>
  <si>
    <t>Portfolio 1251</t>
  </si>
  <si>
    <t>Portfolio 2482</t>
  </si>
  <si>
    <t>Portfolio 7880</t>
  </si>
  <si>
    <t>Portfolio 3173</t>
  </si>
  <si>
    <t>Portfolio 3019</t>
  </si>
  <si>
    <t>Portfolio 7122</t>
  </si>
  <si>
    <t>Portfolio 6744</t>
  </si>
  <si>
    <t>Portfolio 6474</t>
  </si>
  <si>
    <t>Portfolio 8514</t>
  </si>
  <si>
    <t>Portfolio 5943</t>
  </si>
  <si>
    <t>Portfolio 2472</t>
  </si>
  <si>
    <t>Portfolio 3901</t>
  </si>
  <si>
    <t>Portfolio 20</t>
  </si>
  <si>
    <t>Portfolio 5380</t>
  </si>
  <si>
    <t>Portfolio 4967</t>
  </si>
  <si>
    <t>Portfolio 501</t>
  </si>
  <si>
    <t>Portfolio 6842</t>
  </si>
  <si>
    <t>Portfolio 1928</t>
  </si>
  <si>
    <t>Portfolio 7480</t>
  </si>
  <si>
    <t>Portfolio 2468</t>
  </si>
  <si>
    <t>Portfolio 4574</t>
  </si>
  <si>
    <t>Portfolio 4812</t>
  </si>
  <si>
    <t>Portfolio 4375</t>
  </si>
  <si>
    <t>Portfolio 2303</t>
  </si>
  <si>
    <t>Portfolio 4013</t>
  </si>
  <si>
    <t>Portfolio 8365</t>
  </si>
  <si>
    <t>Portfolio 3031</t>
  </si>
  <si>
    <t>Portfolio 1518</t>
  </si>
  <si>
    <t>Portfolio 2631</t>
  </si>
  <si>
    <t>Portfolio 4503</t>
  </si>
  <si>
    <t>Portfolio 4330</t>
  </si>
  <si>
    <t>Portfolio 981</t>
  </si>
  <si>
    <t>Portfolio 8767</t>
  </si>
  <si>
    <t>Portfolio 9645</t>
  </si>
  <si>
    <t>Portfolio 4434</t>
  </si>
  <si>
    <t>Portfolio 1864</t>
  </si>
  <si>
    <t>Portfolio 2420</t>
  </si>
  <si>
    <t>Portfolio 9330</t>
  </si>
  <si>
    <t>Portfolio 5718</t>
  </si>
  <si>
    <t>Portfolio 7589</t>
  </si>
  <si>
    <t>Portfolio 3427</t>
  </si>
  <si>
    <t>Portfolio 1611</t>
  </si>
  <si>
    <t>Portfolio 4975</t>
  </si>
  <si>
    <t>Portfolio 4749</t>
  </si>
  <si>
    <t>Portfolio 4177</t>
  </si>
  <si>
    <t>Portfolio 8367</t>
  </si>
  <si>
    <t>Portfolio 2680</t>
  </si>
  <si>
    <t>Portfolio 3432</t>
  </si>
  <si>
    <t>Portfolio 4793</t>
  </si>
  <si>
    <t>Portfolio 2821</t>
  </si>
  <si>
    <t>Portfolio 7611</t>
  </si>
  <si>
    <t>Portfolio 680</t>
  </si>
  <si>
    <t>Portfolio 5638</t>
  </si>
  <si>
    <t>Portfolio 7339</t>
  </si>
  <si>
    <t>Portfolio 8390</t>
  </si>
  <si>
    <t>Portfolio 3973</t>
  </si>
  <si>
    <t>Portfolio 9357</t>
  </si>
  <si>
    <t>Portfolio 356</t>
  </si>
  <si>
    <t>Portfolio 6502</t>
  </si>
  <si>
    <t>Portfolio 304</t>
  </si>
  <si>
    <t>Portfolio 2033</t>
  </si>
  <si>
    <t>Portfolio 4338</t>
  </si>
  <si>
    <t>Portfolio 8521</t>
  </si>
  <si>
    <t>Portfolio 1814</t>
  </si>
  <si>
    <t>Portfolio 7483</t>
  </si>
  <si>
    <t>Portfolio 7366</t>
  </si>
  <si>
    <t>Portfolio 9044</t>
  </si>
  <si>
    <t>Portfolio 9033</t>
  </si>
  <si>
    <t>Portfolio 5222</t>
  </si>
  <si>
    <t>Portfolio 3567</t>
  </si>
  <si>
    <t>Portfolio 6447</t>
  </si>
  <si>
    <t>Portfolio 2814</t>
  </si>
  <si>
    <t>Portfolio 3838</t>
  </si>
  <si>
    <t>Portfolio 5678</t>
  </si>
  <si>
    <t>Portfolio 4998</t>
  </si>
  <si>
    <t>Portfolio 5917</t>
  </si>
  <si>
    <t>Portfolio 9800</t>
  </si>
  <si>
    <t>Portfolio 4628</t>
  </si>
  <si>
    <t>Portfolio 2737</t>
  </si>
  <si>
    <t>Portfolio 8441</t>
  </si>
  <si>
    <t>Portfolio 7969</t>
  </si>
  <si>
    <t>Portfolio 4308</t>
  </si>
  <si>
    <t>Portfolio 49</t>
  </si>
  <si>
    <t>Portfolio 2535</t>
  </si>
  <si>
    <t>Portfolio 1194</t>
  </si>
  <si>
    <t>Portfolio 2101</t>
  </si>
  <si>
    <t>Portfolio 5507</t>
  </si>
  <si>
    <t>Portfolio 5171</t>
  </si>
  <si>
    <t>Portfolio 2457</t>
  </si>
  <si>
    <t>Portfolio 8483</t>
  </si>
  <si>
    <t>Portfolio 1984</t>
  </si>
  <si>
    <t>Portfolio 7575</t>
  </si>
  <si>
    <t>Portfolio 9719</t>
  </si>
  <si>
    <t>Portfolio 5762</t>
  </si>
  <si>
    <t>Portfolio 7186</t>
  </si>
  <si>
    <t>Portfolio 1979</t>
  </si>
  <si>
    <t>Portfolio 7185</t>
  </si>
  <si>
    <t>Portfolio 8905</t>
  </si>
  <si>
    <t>Portfolio 5078</t>
  </si>
  <si>
    <t>Portfolio 9397</t>
  </si>
  <si>
    <t>Portfolio 5031</t>
  </si>
  <si>
    <t>Portfolio 6758</t>
  </si>
  <si>
    <t>Portfolio 8730</t>
  </si>
  <si>
    <t>Portfolio 6555</t>
  </si>
  <si>
    <t>Portfolio 7537</t>
  </si>
  <si>
    <t>Portfolio 5989</t>
  </si>
  <si>
    <t>Portfolio 236</t>
  </si>
  <si>
    <t>Portfolio 7079</t>
  </si>
  <si>
    <t>Portfolio 8155</t>
  </si>
  <si>
    <t>Portfolio 5790</t>
  </si>
  <si>
    <t>Portfolio 1614</t>
  </si>
  <si>
    <t>Portfolio 9262</t>
  </si>
  <si>
    <t>Portfolio 7523</t>
  </si>
  <si>
    <t>Portfolio 8870</t>
  </si>
  <si>
    <t>Portfolio 1634</t>
  </si>
  <si>
    <t>Portfolio 8447</t>
  </si>
  <si>
    <t>Portfolio 6861</t>
  </si>
  <si>
    <t>Portfolio 9233</t>
  </si>
  <si>
    <t>Portfolio 846</t>
  </si>
  <si>
    <t>Portfolio 2711</t>
  </si>
  <si>
    <t>Portfolio 153</t>
  </si>
  <si>
    <t>Portfolio 6937</t>
  </si>
  <si>
    <t>Portfolio 3772</t>
  </si>
  <si>
    <t>Portfolio 3466</t>
  </si>
  <si>
    <t>Portfolio 9597</t>
  </si>
  <si>
    <t>Portfolio 8923</t>
  </si>
  <si>
    <t>Portfolio 4817</t>
  </si>
  <si>
    <t>Portfolio 7424</t>
  </si>
  <si>
    <t>Portfolio 1779</t>
  </si>
  <si>
    <t>Portfolio 6165</t>
  </si>
  <si>
    <t>Portfolio 5240</t>
  </si>
  <si>
    <t>Portfolio 2246</t>
  </si>
  <si>
    <t>Portfolio 2272</t>
  </si>
  <si>
    <t>Portfolio 4094</t>
  </si>
  <si>
    <t>Portfolio 6392</t>
  </si>
  <si>
    <t>Portfolio 4688</t>
  </si>
  <si>
    <t>Portfolio 1291</t>
  </si>
  <si>
    <t>Portfolio 7757</t>
  </si>
  <si>
    <t>Portfolio 1457</t>
  </si>
  <si>
    <t>Portfolio 5038</t>
  </si>
  <si>
    <t>Portfolio 3353</t>
  </si>
  <si>
    <t>Portfolio 6103</t>
  </si>
  <si>
    <t>Portfolio 2142</t>
  </si>
  <si>
    <t>Portfolio 3821</t>
  </si>
  <si>
    <t>Portfolio 5401</t>
  </si>
  <si>
    <t>Portfolio 8722</t>
  </si>
  <si>
    <t>Portfolio 9902</t>
  </si>
  <si>
    <t>Portfolio 5054</t>
  </si>
  <si>
    <t>Portfolio 1229</t>
  </si>
  <si>
    <t>Portfolio 8204</t>
  </si>
  <si>
    <t>Portfolio 7329</t>
  </si>
  <si>
    <t>Portfolio 6144</t>
  </si>
  <si>
    <t>Portfolio 1605</t>
  </si>
  <si>
    <t>Portfolio 7796</t>
  </si>
  <si>
    <t>Portfolio 1819</t>
  </si>
  <si>
    <t>Portfolio 7590</t>
  </si>
  <si>
    <t>Portfolio 3717</t>
  </si>
  <si>
    <t>Portfolio 6339</t>
  </si>
  <si>
    <t>Portfolio 6546</t>
  </si>
  <si>
    <t>Portfolio 1693</t>
  </si>
  <si>
    <t>Portfolio 2471</t>
  </si>
  <si>
    <t>Portfolio 8501</t>
  </si>
  <si>
    <t>Portfolio 9847</t>
  </si>
  <si>
    <t>Portfolio 8516</t>
  </si>
  <si>
    <t>Portfolio 7478</t>
  </si>
  <si>
    <t>Portfolio 653</t>
  </si>
  <si>
    <t>Portfolio 3943</t>
  </si>
  <si>
    <t>Portfolio 5920</t>
  </si>
  <si>
    <t>Portfolio 9077</t>
  </si>
  <si>
    <t>Portfolio 9199</t>
  </si>
  <si>
    <t>Portfolio 7997</t>
  </si>
  <si>
    <t>Portfolio 7414</t>
  </si>
  <si>
    <t>Portfolio 3386</t>
  </si>
  <si>
    <t>Portfolio 1795</t>
  </si>
  <si>
    <t>Portfolio 5698</t>
  </si>
  <si>
    <t>Portfolio 7554</t>
  </si>
  <si>
    <t>Portfolio 8270</t>
  </si>
  <si>
    <t>Portfolio 7410</t>
  </si>
  <si>
    <t>Portfolio 5615</t>
  </si>
  <si>
    <t>Portfolio 9148</t>
  </si>
  <si>
    <t>Portfolio 7899</t>
  </si>
  <si>
    <t>Portfolio 8473</t>
  </si>
  <si>
    <t>Portfolio 985</t>
  </si>
  <si>
    <t>Portfolio 4770</t>
  </si>
  <si>
    <t>Portfolio 5750</t>
  </si>
  <si>
    <t>Portfolio 6887</t>
  </si>
  <si>
    <t>Portfolio 7865</t>
  </si>
  <si>
    <t>Portfolio 2032</t>
  </si>
  <si>
    <t>Portfolio 4110</t>
  </si>
  <si>
    <t>Portfolio 5926</t>
  </si>
  <si>
    <t>Portfolio 4672</t>
  </si>
  <si>
    <t>Portfolio 4432</t>
  </si>
  <si>
    <t>Portfolio 6846</t>
  </si>
  <si>
    <t>Portfolio 3023</t>
  </si>
  <si>
    <t>Portfolio 7010</t>
  </si>
  <si>
    <t>Portfolio 9208</t>
  </si>
  <si>
    <t>Portfolio 3416</t>
  </si>
  <si>
    <t>Portfolio 4378</t>
  </si>
  <si>
    <t>Portfolio 8109</t>
  </si>
  <si>
    <t>Portfolio 664</t>
  </si>
  <si>
    <t>Portfolio 5301</t>
  </si>
  <si>
    <t>Portfolio 4126</t>
  </si>
  <si>
    <t>Portfolio 129</t>
  </si>
  <si>
    <t>Portfolio 6921</t>
  </si>
  <si>
    <t>Portfolio 9898</t>
  </si>
  <si>
    <t>Portfolio 5691</t>
  </si>
  <si>
    <t>Portfolio 3260</t>
  </si>
  <si>
    <t>Portfolio 2320</t>
  </si>
  <si>
    <t>Portfolio 8252</t>
  </si>
  <si>
    <t>Portfolio 5990</t>
  </si>
  <si>
    <t>Portfolio 3547</t>
  </si>
  <si>
    <t>Portfolio 8955</t>
  </si>
  <si>
    <t>Portfolio 7835</t>
  </si>
  <si>
    <t>Portfolio 8347</t>
  </si>
  <si>
    <t>Portfolio 8707</t>
  </si>
  <si>
    <t>Portfolio 597</t>
  </si>
  <si>
    <t>Portfolio 5150</t>
  </si>
  <si>
    <t>Portfolio 4306</t>
  </si>
  <si>
    <t>Portfolio 1170</t>
  </si>
  <si>
    <t>Portfolio 1098</t>
  </si>
  <si>
    <t>Portfolio 2351</t>
  </si>
  <si>
    <t>Portfolio 6670</t>
  </si>
  <si>
    <t>Portfolio 9300</t>
  </si>
  <si>
    <t>Portfolio 4955</t>
  </si>
  <si>
    <t>Portfolio 6046</t>
  </si>
  <si>
    <t>Portfolio 1289</t>
  </si>
  <si>
    <t>Portfolio 1247</t>
  </si>
  <si>
    <t>Portfolio 7936</t>
  </si>
  <si>
    <t>Portfolio 3785</t>
  </si>
  <si>
    <t>Portfolio 9586</t>
  </si>
  <si>
    <t>Portfolio 6349</t>
  </si>
  <si>
    <t>Portfolio 5373</t>
  </si>
  <si>
    <t>Portfolio 6311</t>
  </si>
  <si>
    <t>Portfolio 6269</t>
  </si>
  <si>
    <t>Portfolio 1323</t>
  </si>
  <si>
    <t>Portfolio 7154</t>
  </si>
  <si>
    <t>Portfolio 5324</t>
  </si>
  <si>
    <t>Portfolio 4465</t>
  </si>
  <si>
    <t>Portfolio 319</t>
  </si>
  <si>
    <t>Portfolio 5541</t>
  </si>
  <si>
    <t>Portfolio 4933</t>
  </si>
  <si>
    <t>Portfolio 6645</t>
  </si>
  <si>
    <t>Portfolio 3010</t>
  </si>
  <si>
    <t>Portfolio 5226</t>
  </si>
  <si>
    <t>Portfolio 5802</t>
  </si>
  <si>
    <t>Portfolio 1445</t>
  </si>
  <si>
    <t>Portfolio 6433</t>
  </si>
  <si>
    <t>Portfolio 3387</t>
  </si>
  <si>
    <t>Portfolio 3841</t>
  </si>
  <si>
    <t>Portfolio 3939</t>
  </si>
  <si>
    <t>Portfolio 7499</t>
  </si>
  <si>
    <t>Portfolio 2553</t>
  </si>
  <si>
    <t>Portfolio 3870</t>
  </si>
  <si>
    <t>Portfolio 2107</t>
  </si>
  <si>
    <t>Portfolio 311</t>
  </si>
  <si>
    <t>Portfolio 2751</t>
  </si>
  <si>
    <t>Portfolio 3695</t>
  </si>
  <si>
    <t>Portfolio 5274</t>
  </si>
  <si>
    <t>Portfolio 2741</t>
  </si>
  <si>
    <t>Portfolio 8963</t>
  </si>
  <si>
    <t>Portfolio 1093</t>
  </si>
  <si>
    <t>Portfolio 1198</t>
  </si>
  <si>
    <t>Portfolio 178</t>
  </si>
  <si>
    <t>Portfolio 774</t>
  </si>
  <si>
    <t>Portfolio 4427</t>
  </si>
  <si>
    <t>Portfolio 7960</t>
  </si>
  <si>
    <t>Portfolio 9969</t>
  </si>
  <si>
    <t>Portfolio 9386</t>
  </si>
  <si>
    <t>Portfolio 2325</t>
  </si>
  <si>
    <t>Portfolio 6589</t>
  </si>
  <si>
    <t>Portfolio 7044</t>
  </si>
  <si>
    <t>Portfolio 610</t>
  </si>
  <si>
    <t>Portfolio 4314</t>
  </si>
  <si>
    <t>Portfolio 2902</t>
  </si>
  <si>
    <t>Portfolio 2673</t>
  </si>
  <si>
    <t>Portfolio 7004</t>
  </si>
  <si>
    <t>Portfolio 4258</t>
  </si>
  <si>
    <t>Portfolio 7069</t>
  </si>
  <si>
    <t>Portfolio 4728</t>
  </si>
  <si>
    <t>Portfolio 4377</t>
  </si>
  <si>
    <t>Portfolio 2424</t>
  </si>
  <si>
    <t>Portfolio 7726</t>
  </si>
  <si>
    <t>Portfolio 2211</t>
  </si>
  <si>
    <t>Portfolio 813</t>
  </si>
  <si>
    <t>Portfolio 3886</t>
  </si>
  <si>
    <t>Portfolio 1453</t>
  </si>
  <si>
    <t>Portfolio 5393</t>
  </si>
  <si>
    <t>Portfolio 2371</t>
  </si>
  <si>
    <t>Portfolio 1729</t>
  </si>
  <si>
    <t>Portfolio 1543</t>
  </si>
  <si>
    <t>Portfolio 6328</t>
  </si>
  <si>
    <t>Portfolio 1335</t>
  </si>
  <si>
    <t>Portfolio 6841</t>
  </si>
  <si>
    <t>Portfolio 1345</t>
  </si>
  <si>
    <t>Portfolio 1340</t>
  </si>
  <si>
    <t>Portfolio 6237</t>
  </si>
  <si>
    <t>Portfolio 2967</t>
  </si>
  <si>
    <t>Portfolio 8164</t>
  </si>
  <si>
    <t>Portfolio 5470</t>
  </si>
  <si>
    <t>Portfolio 4203</t>
  </si>
  <si>
    <t>Portfolio 7643</t>
  </si>
  <si>
    <t>Portfolio 7699</t>
  </si>
  <si>
    <t>Portfolio 6036</t>
  </si>
  <si>
    <t>Portfolio 8465</t>
  </si>
  <si>
    <t>Portfolio 5838</t>
  </si>
  <si>
    <t>Portfolio 2265</t>
  </si>
  <si>
    <t>Portfolio 6280</t>
  </si>
  <si>
    <t>Portfolio 5558</t>
  </si>
  <si>
    <t>Portfolio 327</t>
  </si>
  <si>
    <t>Portfolio 7625</t>
  </si>
  <si>
    <t>Portfolio 7822</t>
  </si>
  <si>
    <t>Portfolio 9081</t>
  </si>
  <si>
    <t>Portfolio 6840</t>
  </si>
  <si>
    <t>Portfolio 9324</t>
  </si>
  <si>
    <t>Portfolio 7272</t>
  </si>
  <si>
    <t>Portfolio 67</t>
  </si>
  <si>
    <t>Portfolio 9768</t>
  </si>
  <si>
    <t>Portfolio 9869</t>
  </si>
  <si>
    <t>Portfolio 2036</t>
  </si>
  <si>
    <t>Portfolio 9844</t>
  </si>
  <si>
    <t>Portfolio 8011</t>
  </si>
  <si>
    <t>Portfolio 1061</t>
  </si>
  <si>
    <t>Portfolio 5969</t>
  </si>
  <si>
    <t>Portfolio 7728</t>
  </si>
  <si>
    <t>Portfolio 6235</t>
  </si>
  <si>
    <t>Portfolio 7307</t>
  </si>
  <si>
    <t>Portfolio 963</t>
  </si>
  <si>
    <t>Portfolio 3947</t>
  </si>
  <si>
    <t>Portfolio 1933</t>
  </si>
  <si>
    <t>Portfolio 3842</t>
  </si>
  <si>
    <t>Portfolio 1085</t>
  </si>
  <si>
    <t>Portfolio 6017</t>
  </si>
  <si>
    <t>Portfolio 543</t>
  </si>
  <si>
    <t>Portfolio 3448</t>
  </si>
  <si>
    <t>Portfolio 3258</t>
  </si>
  <si>
    <t>Portfolio 7273</t>
  </si>
  <si>
    <t>Portfolio 938</t>
  </si>
  <si>
    <t>Portfolio 1718</t>
  </si>
  <si>
    <t>Portfolio 666</t>
  </si>
  <si>
    <t>Portfolio 7734</t>
  </si>
  <si>
    <t>Portfolio 5096</t>
  </si>
  <si>
    <t>Portfolio 6281</t>
  </si>
  <si>
    <t>Portfolio 4010</t>
  </si>
  <si>
    <t>Portfolio 5284</t>
  </si>
  <si>
    <t>Portfolio 776</t>
  </si>
  <si>
    <t>Portfolio 8619</t>
  </si>
  <si>
    <t>Portfolio 1065</t>
  </si>
  <si>
    <t>Portfolio 3090</t>
  </si>
  <si>
    <t>Portfolio 709</t>
  </si>
  <si>
    <t>Portfolio 1876</t>
  </si>
  <si>
    <t>Portfolio 9603</t>
  </si>
  <si>
    <t>Portfolio 9842</t>
  </si>
  <si>
    <t>Portfolio 3376</t>
  </si>
  <si>
    <t>Portfolio 4023</t>
  </si>
  <si>
    <t>Portfolio 1666</t>
  </si>
  <si>
    <t>Portfolio 7295</t>
  </si>
  <si>
    <t>Portfolio 2255</t>
  </si>
  <si>
    <t>Portfolio 1044</t>
  </si>
  <si>
    <t>Portfolio 8677</t>
  </si>
  <si>
    <t>Portfolio 6952</t>
  </si>
  <si>
    <t>Portfolio 8457</t>
  </si>
  <si>
    <t>Portfolio 5130</t>
  </si>
  <si>
    <t>Portfolio 6476</t>
  </si>
  <si>
    <t>Portfolio 406</t>
  </si>
  <si>
    <t>Portfolio 4196</t>
  </si>
  <si>
    <t>Portfolio 4060</t>
  </si>
  <si>
    <t>Portfolio 7705</t>
  </si>
  <si>
    <t>Portfolio 5876</t>
  </si>
  <si>
    <t>Portfolio 6203</t>
  </si>
  <si>
    <t>Portfolio 2117</t>
  </si>
  <si>
    <t>Portfolio 9937</t>
  </si>
  <si>
    <t>Portfolio 450</t>
  </si>
  <si>
    <t>Portfolio 7942</t>
  </si>
  <si>
    <t>Portfolio 743</t>
  </si>
  <si>
    <t>Portfolio 1443</t>
  </si>
  <si>
    <t>Portfolio 4924</t>
  </si>
  <si>
    <t>Portfolio 575</t>
  </si>
  <si>
    <t>Portfolio 7559</t>
  </si>
  <si>
    <t>Portfolio 3216</t>
  </si>
  <si>
    <t>Portfolio 4331</t>
  </si>
  <si>
    <t>Portfolio 5905</t>
  </si>
  <si>
    <t>Portfolio 4168</t>
  </si>
  <si>
    <t>Portfolio 3145</t>
  </si>
  <si>
    <t>Portfolio 6342</t>
  </si>
  <si>
    <t>Portfolio 8335</t>
  </si>
  <si>
    <t>Portfolio 9389</t>
  </si>
  <si>
    <t>Portfolio 7328</t>
  </si>
  <si>
    <t>Portfolio 3918</t>
  </si>
  <si>
    <t>Portfolio 9251</t>
  </si>
  <si>
    <t>Portfolio 947</t>
  </si>
  <si>
    <t>Portfolio 5318</t>
  </si>
  <si>
    <t>Portfolio 1576</t>
  </si>
  <si>
    <t>Portfolio 1459</t>
  </si>
  <si>
    <t>Portfolio 6317</t>
  </si>
  <si>
    <t>Portfolio 8795</t>
  </si>
  <si>
    <t>Portfolio 3059</t>
  </si>
  <si>
    <t>Portfolio 303</t>
  </si>
  <si>
    <t>Portfolio 9440</t>
  </si>
  <si>
    <t>Portfolio 3259</t>
  </si>
  <si>
    <t>Portfolio 2005</t>
  </si>
  <si>
    <t>Portfolio 1075</t>
  </si>
  <si>
    <t>Portfolio 2114</t>
  </si>
  <si>
    <t>Portfolio 7937</t>
  </si>
  <si>
    <t>Portfolio 48</t>
  </si>
  <si>
    <t>Portfolio 378</t>
  </si>
  <si>
    <t>Portfolio 2159</t>
  </si>
  <si>
    <t>Portfolio 8302</t>
  </si>
  <si>
    <t>Portfolio 9558</t>
  </si>
  <si>
    <t>Portfolio 2160</t>
  </si>
  <si>
    <t>Portfolio 9820</t>
  </si>
  <si>
    <t>Portfolio 9269</t>
  </si>
  <si>
    <t>Portfolio 6668</t>
  </si>
  <si>
    <t>Portfolio 4864</t>
  </si>
  <si>
    <t>Portfolio 1847</t>
  </si>
  <si>
    <t>Portfolio 7030</t>
  </si>
  <si>
    <t>Portfolio 9184</t>
  </si>
  <si>
    <t>Portfolio 483</t>
  </si>
  <si>
    <t>Portfolio 33</t>
  </si>
  <si>
    <t>Portfolio 606</t>
  </si>
  <si>
    <t>Portfolio 4454</t>
  </si>
  <si>
    <t>Portfolio 9083</t>
  </si>
  <si>
    <t>Portfolio 9936</t>
  </si>
  <si>
    <t>Portfolio 4725</t>
  </si>
  <si>
    <t>Portfolio 7693</t>
  </si>
  <si>
    <t>Portfolio 9743</t>
  </si>
  <si>
    <t>Portfolio 6827</t>
  </si>
  <si>
    <t>Portfolio 1053</t>
  </si>
  <si>
    <t>Portfolio 301</t>
  </si>
  <si>
    <t>Portfolio 3551</t>
  </si>
  <si>
    <t>Portfolio 2749</t>
  </si>
  <si>
    <t>Portfolio 5697</t>
  </si>
  <si>
    <t>Portfolio 4761</t>
  </si>
  <si>
    <t>Portfolio 8658</t>
  </si>
  <si>
    <t>Portfolio 9577</t>
  </si>
  <si>
    <t>Portfolio 3818</t>
  </si>
  <si>
    <t>Portfolio 9931</t>
  </si>
  <si>
    <t>Portfolio 42</t>
  </si>
  <si>
    <t>Portfolio 7507</t>
  </si>
  <si>
    <t>Portfolio 3879</t>
  </si>
  <si>
    <t>Portfolio 7287</t>
  </si>
  <si>
    <t>Portfolio 6019</t>
  </si>
  <si>
    <t>Portfolio 23</t>
  </si>
  <si>
    <t>Portfolio 1219</t>
  </si>
  <si>
    <t>Portfolio 500</t>
  </si>
  <si>
    <t>Portfolio 6915</t>
  </si>
  <si>
    <t>Portfolio 5542</t>
  </si>
  <si>
    <t>Portfolio 5197</t>
  </si>
  <si>
    <t>Portfolio 53</t>
  </si>
  <si>
    <t>Portfolio 8277</t>
  </si>
  <si>
    <t>Portfolio 3366</t>
  </si>
  <si>
    <t>Portfolio 4200</t>
  </si>
  <si>
    <t>Portfolio 3489</t>
  </si>
  <si>
    <t>Portfolio 4210</t>
  </si>
  <si>
    <t>Portfolio 1274</t>
  </si>
  <si>
    <t>Portfolio 2918</t>
  </si>
  <si>
    <t>Portfolio 5352</t>
  </si>
  <si>
    <t>Portfolio 4645</t>
  </si>
  <si>
    <t>Portfolio 2611</t>
  </si>
  <si>
    <t>Portfolio 5086</t>
  </si>
  <si>
    <t>Portfolio 18</t>
  </si>
  <si>
    <t>Portfolio 7032</t>
  </si>
  <si>
    <t>Portfolio 1825</t>
  </si>
  <si>
    <t>Portfolio 2189</t>
  </si>
  <si>
    <t>Portfolio 3127</t>
  </si>
  <si>
    <t>Portfolio 2848</t>
  </si>
  <si>
    <t>Portfolio 5780</t>
  </si>
  <si>
    <t>Portfolio 3755</t>
  </si>
  <si>
    <t>Portfolio 2671</t>
  </si>
  <si>
    <t>Portfolio 4952</t>
  </si>
  <si>
    <t>Portfolio 9511</t>
  </si>
  <si>
    <t>Portfolio 3254</t>
  </si>
  <si>
    <t>Portfolio 640</t>
  </si>
  <si>
    <t>Portfolio 2522</t>
  </si>
  <si>
    <t>Portfolio 7740</t>
  </si>
  <si>
    <t>Portfolio 1636</t>
  </si>
  <si>
    <t>Portfolio 2161</t>
  </si>
  <si>
    <t>Portfolio 2986</t>
  </si>
  <si>
    <t>Portfolio 1521</t>
  </si>
  <si>
    <t>Portfolio 7779</t>
  </si>
  <si>
    <t>Portfolio 8623</t>
  </si>
  <si>
    <t>Portfolio 1310</t>
  </si>
  <si>
    <t>Portfolio 7006</t>
  </si>
  <si>
    <t>Portfolio 5822</t>
  </si>
  <si>
    <t>Portfolio 3731</t>
  </si>
  <si>
    <t>Portfolio 6752</t>
  </si>
  <si>
    <t>Portfolio 1479</t>
  </si>
  <si>
    <t>Portfolio 8539</t>
  </si>
  <si>
    <t>Portfolio 6066</t>
  </si>
  <si>
    <t>Portfolio 2149</t>
  </si>
  <si>
    <t>Portfolio 7432</t>
  </si>
  <si>
    <t>Portfolio 3224</t>
  </si>
  <si>
    <t>Portfolio 4194</t>
  </si>
  <si>
    <t>Portfolio 4780</t>
  </si>
  <si>
    <t>Portfolio 8528</t>
  </si>
  <si>
    <t>Portfolio 8945</t>
  </si>
  <si>
    <t>Portfolio 1510</t>
  </si>
  <si>
    <t>Portfolio 9468</t>
  </si>
  <si>
    <t>Portfolio 7160</t>
  </si>
  <si>
    <t>Portfolio 9941</t>
  </si>
  <si>
    <t>Portfolio 420</t>
  </si>
  <si>
    <t>Portfolio 6185</t>
  </si>
  <si>
    <t>Portfolio 9111</t>
  </si>
  <si>
    <t>Portfolio 906</t>
  </si>
  <si>
    <t>Portfolio 4183</t>
  </si>
  <si>
    <t>Portfolio 3924</t>
  </si>
  <si>
    <t>Portfolio 922</t>
  </si>
  <si>
    <t>Portfolio 958</t>
  </si>
  <si>
    <t>Portfolio 8230</t>
  </si>
  <si>
    <t>Portfolio 9518</t>
  </si>
  <si>
    <t>Portfolio 7546</t>
  </si>
  <si>
    <t>Portfolio 1785</t>
  </si>
  <si>
    <t>Portfolio 8758</t>
  </si>
  <si>
    <t>Portfolio 8312</t>
  </si>
  <si>
    <t>Portfolio 306</t>
  </si>
  <si>
    <t>Portfolio 1921</t>
  </si>
  <si>
    <t>Portfolio 4411</t>
  </si>
  <si>
    <t>Portfolio 5333</t>
  </si>
  <si>
    <t>Portfolio 4821</t>
  </si>
  <si>
    <t>Portfolio 9533</t>
  </si>
  <si>
    <t>Portfolio 3119</t>
  </si>
  <si>
    <t>Portfolio 4453</t>
  </si>
  <si>
    <t>Portfolio 8888</t>
  </si>
  <si>
    <t>Portfolio 7920</t>
  </si>
  <si>
    <t>Portfolio 7113</t>
  </si>
  <si>
    <t>Portfolio 6933</t>
  </si>
  <si>
    <t>Portfolio 9501</t>
  </si>
  <si>
    <t>Portfolio 2729</t>
  </si>
  <si>
    <t>Portfolio 3539</t>
  </si>
  <si>
    <t>Portfolio 9422</t>
  </si>
  <si>
    <t>Portfolio 1480</t>
  </si>
  <si>
    <t>Portfolio 3502</t>
  </si>
  <si>
    <t>Portfolio 8077</t>
  </si>
  <si>
    <t>Portfolio 3883</t>
  </si>
  <si>
    <t>Portfolio 3288</t>
  </si>
  <si>
    <t>Portfolio 5179</t>
  </si>
  <si>
    <t>Portfolio 3530</t>
  </si>
  <si>
    <t>Portfolio 2581</t>
  </si>
  <si>
    <t>Portfolio 1126</t>
  </si>
  <si>
    <t>Portfolio 4107</t>
  </si>
  <si>
    <t>Portfolio 8537</t>
  </si>
  <si>
    <t>Portfolio 5869</t>
  </si>
  <si>
    <t>Portfolio 1397</t>
  </si>
  <si>
    <t>Portfolio 1969</t>
  </si>
  <si>
    <t>Portfolio 2533</t>
  </si>
  <si>
    <t>Portfolio 3279</t>
  </si>
  <si>
    <t>Portfolio 725</t>
  </si>
  <si>
    <t>Portfolio 986</t>
  </si>
  <si>
    <t>Portfolio 6365</t>
  </si>
  <si>
    <t>Portfolio 1465</t>
  </si>
  <si>
    <t>Portfolio 6537</t>
  </si>
  <si>
    <t>Portfolio 382</t>
  </si>
  <si>
    <t>Portfolio 3573</t>
  </si>
  <si>
    <t>Portfolio 3558</t>
  </si>
  <si>
    <t>Portfolio 9385</t>
  </si>
  <si>
    <t>Portfolio 3039</t>
  </si>
  <si>
    <t>Portfolio 6293</t>
  </si>
  <si>
    <t>Portfolio 8175</t>
  </si>
  <si>
    <t>Portfolio 5994</t>
  </si>
  <si>
    <t>Portfolio 4769</t>
  </si>
  <si>
    <t>Portfolio 9883</t>
  </si>
  <si>
    <t>Portfolio 5302</t>
  </si>
  <si>
    <t>Portfolio 4977</t>
  </si>
  <si>
    <t>Portfolio 3702</t>
  </si>
  <si>
    <t>Portfolio 2557</t>
  </si>
  <si>
    <t>Portfolio 3001</t>
  </si>
  <si>
    <t>Portfolio 414</t>
  </si>
  <si>
    <t>Portfolio 4592</t>
  </si>
  <si>
    <t>Portfolio 6434</t>
  </si>
  <si>
    <t>Portfolio 4397</t>
  </si>
  <si>
    <t>Portfolio 257</t>
  </si>
  <si>
    <t>Portfolio 973</t>
  </si>
  <si>
    <t>Portfolio 2172</t>
  </si>
  <si>
    <t>Portfolio 6180</t>
  </si>
  <si>
    <t>Portfolio 6411</t>
  </si>
  <si>
    <t>Portfolio 9493</t>
  </si>
  <si>
    <t>Portfolio 5584</t>
  </si>
  <si>
    <t>Portfolio 8184</t>
  </si>
  <si>
    <t>Portfolio 689</t>
  </si>
  <si>
    <t>Portfolio 7343</t>
  </si>
  <si>
    <t>Portfolio 4984</t>
  </si>
  <si>
    <t>Portfolio 5486</t>
  </si>
  <si>
    <t>Portfolio 8512</t>
  </si>
  <si>
    <t>Portfolio 6818</t>
  </si>
  <si>
    <t>Portfolio 5349</t>
  </si>
  <si>
    <t>Portfolio 6545</t>
  </si>
  <si>
    <t>Portfolio 5947</t>
  </si>
  <si>
    <t>Portfolio 6906</t>
  </si>
  <si>
    <t>Portfolio 7738</t>
  </si>
  <si>
    <t>Portfolio 6639</t>
  </si>
  <si>
    <t>Portfolio 9309</t>
  </si>
  <si>
    <t>Portfolio 7658</t>
  </si>
  <si>
    <t>Portfolio 8422</t>
  </si>
  <si>
    <t>Portfolio 2221</t>
  </si>
  <si>
    <t>Portfolio 2707</t>
  </si>
  <si>
    <t>Portfolio 274</t>
  </si>
  <si>
    <t>Portfolio 1475</t>
  </si>
  <si>
    <t>Portfolio 8202</t>
  </si>
  <si>
    <t>Portfolio 5495</t>
  </si>
  <si>
    <t>Portfolio 4929</t>
  </si>
  <si>
    <t>Portfolio 6973</t>
  </si>
  <si>
    <t>Portfolio 9212</t>
  </si>
  <si>
    <t>Portfolio 8642</t>
  </si>
  <si>
    <t>Portfolio 3267</t>
  </si>
  <si>
    <t>Portfolio 6912</t>
  </si>
  <si>
    <t>Portfolio 7182</t>
  </si>
  <si>
    <t>Portfolio 8027</t>
  </si>
  <si>
    <t>Portfolio 4267</t>
  </si>
  <si>
    <t>Portfolio 6552</t>
  </si>
  <si>
    <t>Portfolio 4204</t>
  </si>
  <si>
    <t>Portfolio 4981</t>
  </si>
  <si>
    <t>Portfolio 6721</t>
  </si>
  <si>
    <t>Portfolio 9377</t>
  </si>
  <si>
    <t>Portfolio 3480</t>
  </si>
  <si>
    <t>Portfolio 1856</t>
  </si>
  <si>
    <t>Portfolio 9986</t>
  </si>
  <si>
    <t>Portfolio 5410</t>
  </si>
  <si>
    <t>Portfolio 9480</t>
  </si>
  <si>
    <t>Portfolio 6746</t>
  </si>
  <si>
    <t>Portfolio 9530</t>
  </si>
  <si>
    <t>Portfolio 3464</t>
  </si>
  <si>
    <t>Portfolio 8474</t>
  </si>
  <si>
    <t>Portfolio 2685</t>
  </si>
  <si>
    <t>Portfolio 6011</t>
  </si>
  <si>
    <t>Portfolio 6810</t>
  </si>
  <si>
    <t>Portfolio 5841</t>
  </si>
  <si>
    <t>Portfolio 2840</t>
  </si>
  <si>
    <t>Portfolio 4422</t>
  </si>
  <si>
    <t>Portfolio 3669</t>
  </si>
  <si>
    <t>Portfolio 4211</t>
  </si>
  <si>
    <t>Portfolio 7689</t>
  </si>
  <si>
    <t>Portfolio 8814</t>
  </si>
  <si>
    <t>Portfolio 9229</t>
  </si>
  <si>
    <t>Portfolio 7815</t>
  </si>
  <si>
    <t>Portfolio 5670</t>
  </si>
  <si>
    <t>Portfolio 3313</t>
  </si>
  <si>
    <t>Portfolio 3380</t>
  </si>
  <si>
    <t>Portfolio 3959</t>
  </si>
  <si>
    <t>Portfolio 6221</t>
  </si>
  <si>
    <t>Portfolio 8571</t>
  </si>
  <si>
    <t>Portfolio 290</t>
  </si>
  <si>
    <t>Portfolio 9888</t>
  </si>
  <si>
    <t>Portfolio 468</t>
  </si>
  <si>
    <t>Portfolio 3668</t>
  </si>
  <si>
    <t>Portfolio 174</t>
  </si>
  <si>
    <t>Portfolio 3836</t>
  </si>
  <si>
    <t>Portfolio 4005</t>
  </si>
  <si>
    <t>Portfolio 453</t>
  </si>
  <si>
    <t>Portfolio 5608</t>
  </si>
  <si>
    <t>Portfolio 359</t>
  </si>
  <si>
    <t>Portfolio 3130</t>
  </si>
  <si>
    <t>Portfolio 8169</t>
  </si>
  <si>
    <t>Portfolio 9739</t>
  </si>
  <si>
    <t>Portfolio 1101</t>
  </si>
  <si>
    <t>Portfolio 4421</t>
  </si>
  <si>
    <t>Portfolio 6858</t>
  </si>
  <si>
    <t>Portfolio 9704</t>
  </si>
  <si>
    <t>Portfolio 9742</t>
  </si>
  <si>
    <t>Portfolio 4170</t>
  </si>
  <si>
    <t>Portfolio 3348</t>
  </si>
  <si>
    <t>Portfolio 8705</t>
  </si>
  <si>
    <t>Portfolio 764</t>
  </si>
  <si>
    <t>Portfolio 830</t>
  </si>
  <si>
    <t>Portfolio 6421</t>
  </si>
  <si>
    <t>Portfolio 2851</t>
  </si>
  <si>
    <t>Portfolio 124</t>
  </si>
  <si>
    <t>Portfolio 5753</t>
  </si>
  <si>
    <t>Portfolio 6953</t>
  </si>
  <si>
    <t>Portfolio 2231</t>
  </si>
  <si>
    <t>Portfolio 5586</t>
  </si>
  <si>
    <t>Portfolio 325</t>
  </si>
  <si>
    <t>Portfolio 4174</t>
  </si>
  <si>
    <t>Portfolio 4221</t>
  </si>
  <si>
    <t>Portfolio 6866</t>
  </si>
  <si>
    <t>Portfolio 84</t>
  </si>
  <si>
    <t>Portfolio 8676</t>
  </si>
  <si>
    <t>Portfolio 4802</t>
  </si>
  <si>
    <t>Portfolio 7250</t>
  </si>
  <si>
    <t>Portfolio 9398</t>
  </si>
  <si>
    <t>Portfolio 3945</t>
  </si>
  <si>
    <t>Portfolio 7564</t>
  </si>
  <si>
    <t>Portfolio 2505</t>
  </si>
  <si>
    <t>Portfolio 8362</t>
  </si>
  <si>
    <t>Portfolio 2785</t>
  </si>
  <si>
    <t>Portfolio 2670</t>
  </si>
  <si>
    <t>Portfolio 7205</t>
  </si>
  <si>
    <t>Portfolio 2903</t>
  </si>
  <si>
    <t>Portfolio 1992</t>
  </si>
  <si>
    <t>Portfolio 8935</t>
  </si>
  <si>
    <t>Portfolio 3614</t>
  </si>
  <si>
    <t>Portfolio 7581</t>
  </si>
  <si>
    <t>Portfolio 9277</t>
  </si>
  <si>
    <t>Portfolio 3351</t>
  </si>
  <si>
    <t>Portfolio 9899</t>
  </si>
  <si>
    <t>Portfolio 4800</t>
  </si>
  <si>
    <t>Portfolio 668</t>
  </si>
  <si>
    <t>Portfolio 312</t>
  </si>
  <si>
    <t>Portfolio 3972</t>
  </si>
  <si>
    <t>Portfolio 5487</t>
  </si>
  <si>
    <t>Portfolio 5606</t>
  </si>
  <si>
    <t>Portfolio 8924</t>
  </si>
  <si>
    <t>Portfolio 2883</t>
  </si>
  <si>
    <t>Portfolio 8354</t>
  </si>
  <si>
    <t>Portfolio 2738</t>
  </si>
  <si>
    <t>Portfolio 8306</t>
  </si>
  <si>
    <t>Portfolio 9247</t>
  </si>
  <si>
    <t>Portfolio 3167</t>
  </si>
  <si>
    <t>Portfolio 8670</t>
  </si>
  <si>
    <t>Portfolio 6501</t>
  </si>
  <si>
    <t>Portfolio 6984</t>
  </si>
  <si>
    <t>Portfolio 3401</t>
  </si>
  <si>
    <t>Portfolio 5889</t>
  </si>
  <si>
    <t>Portfolio 7735</t>
  </si>
  <si>
    <t>Portfolio 1882</t>
  </si>
  <si>
    <t>Portfolio 8087</t>
  </si>
  <si>
    <t>Portfolio 7624</t>
  </si>
  <si>
    <t>Portfolio 6696</t>
  </si>
  <si>
    <t>Portfolio 8842</t>
  </si>
  <si>
    <t>Portfolio 7445</t>
  </si>
  <si>
    <t>Portfolio 8378</t>
  </si>
  <si>
    <t>Portfolio 2621</t>
  </si>
  <si>
    <t>Portfolio 2389</t>
  </si>
  <si>
    <t>Portfolio 4103</t>
  </si>
  <si>
    <t>Portfolio 9656</t>
  </si>
  <si>
    <t>Portfolio 8073</t>
  </si>
  <si>
    <t>Portfolio 4811</t>
  </si>
  <si>
    <t>Portfolio 9973</t>
  </si>
  <si>
    <t>Portfolio 4917</t>
  </si>
  <si>
    <t>Portfolio 8569</t>
  </si>
  <si>
    <t>Portfolio 5147</t>
  </si>
  <si>
    <t>Portfolio 8837</t>
  </si>
  <si>
    <t>Portfolio 4580</t>
  </si>
  <si>
    <t>Portfolio 1500</t>
  </si>
  <si>
    <t>Portfolio 9934</t>
  </si>
  <si>
    <t>Portfolio 9371</t>
  </si>
  <si>
    <t>Portfolio 7389</t>
  </si>
  <si>
    <t>Portfolio 7473</t>
  </si>
  <si>
    <t>Portfolio 1600</t>
  </si>
  <si>
    <t>Portfolio 3478</t>
  </si>
  <si>
    <t>Portfolio 6094</t>
  </si>
  <si>
    <t>Portfolio 3390</t>
  </si>
  <si>
    <t>Portfolio 2928</t>
  </si>
  <si>
    <t>Portfolio 2674</t>
  </si>
  <si>
    <t>Portfolio 676</t>
  </si>
  <si>
    <t>Portfolio 7999</t>
  </si>
  <si>
    <t>Portfolio 7543</t>
  </si>
  <si>
    <t>Portfolio 767</t>
  </si>
  <si>
    <t>Portfolio 8948</t>
  </si>
  <si>
    <t>Portfolio 1629</t>
  </si>
  <si>
    <t>Portfolio 2636</t>
  </si>
  <si>
    <t>Portfolio 9538</t>
  </si>
  <si>
    <t>Portfolio 1178</t>
  </si>
  <si>
    <t>Portfolio 4526</t>
  </si>
  <si>
    <t>Portfolio 2028</t>
  </si>
  <si>
    <t>Portfolio 8615</t>
  </si>
  <si>
    <t>Portfolio 5508</t>
  </si>
  <si>
    <t>Portfolio 2782</t>
  </si>
  <si>
    <t>Portfolio 8205</t>
  </si>
  <si>
    <t>Portfolio 5133</t>
  </si>
  <si>
    <t>Portfolio 3518</t>
  </si>
  <si>
    <t>Portfolio 5667</t>
  </si>
  <si>
    <t>Portfolio 4097</t>
  </si>
  <si>
    <t>Portfolio 2804</t>
  </si>
  <si>
    <t>Portfolio 970</t>
  </si>
  <si>
    <t>Portfolio 4164</t>
  </si>
  <si>
    <t>Portfolio 5436</t>
  </si>
  <si>
    <t>Portfolio 7201</t>
  </si>
  <si>
    <t>Portfolio 5020</t>
  </si>
  <si>
    <t>Portfolio 8110</t>
  </si>
  <si>
    <t>Portfolio 6391</t>
  </si>
  <si>
    <t>Portfolio 7258</t>
  </si>
  <si>
    <t>Portfolio 5330</t>
  </si>
  <si>
    <t>Portfolio 8800</t>
  </si>
  <si>
    <t>Portfolio 8979</t>
  </si>
  <si>
    <t>Portfolio 9413</t>
  </si>
  <si>
    <t>Portfolio 6190</t>
  </si>
  <si>
    <t>Portfolio 2596</t>
  </si>
  <si>
    <t>Portfolio 2742</t>
  </si>
  <si>
    <t>Portfolio 5049</t>
  </si>
  <si>
    <t>Portfolio 4284</t>
  </si>
  <si>
    <t>Portfolio 4145</t>
  </si>
  <si>
    <t>Portfolio 6730</t>
  </si>
  <si>
    <t>Portfolio 2802</t>
  </si>
  <si>
    <t>Portfolio 6985</t>
  </si>
  <si>
    <t>Portfolio 5857</t>
  </si>
  <si>
    <t>Portfolio 7021</t>
  </si>
  <si>
    <t>Portfolio 5113</t>
  </si>
  <si>
    <t>Portfolio 6247</t>
  </si>
  <si>
    <t>Portfolio 1551</t>
  </si>
  <si>
    <t>Portfolio 3501</t>
  </si>
  <si>
    <t>Portfolio 9806</t>
  </si>
  <si>
    <t>Portfolio 3357</t>
  </si>
  <si>
    <t>Portfolio 6026</t>
  </si>
  <si>
    <t>Portfolio 2053</t>
  </si>
  <si>
    <t>Portfolio 8672</t>
  </si>
  <si>
    <t>Portfolio 8083</t>
  </si>
  <si>
    <t>Portfolio 4310</t>
  </si>
  <si>
    <t>Portfolio 4244</t>
  </si>
  <si>
    <t>Portfolio 4678</t>
  </si>
  <si>
    <t>Portfolio 244</t>
  </si>
  <si>
    <t>Portfolio 9450</t>
  </si>
  <si>
    <t>Portfolio 7057</t>
  </si>
  <si>
    <t>Portfolio 1306</t>
  </si>
  <si>
    <t>Portfolio 430</t>
  </si>
  <si>
    <t>Portfolio 3495</t>
  </si>
  <si>
    <t>Portfolio 8007</t>
  </si>
  <si>
    <t>Portfolio 8284</t>
  </si>
  <si>
    <t>Portfolio 4906</t>
  </si>
  <si>
    <t>Portfolio 4974</t>
  </si>
  <si>
    <t>Portfolio 8490</t>
  </si>
  <si>
    <t>Portfolio 3986</t>
  </si>
  <si>
    <t>Portfolio 1032</t>
  </si>
  <si>
    <t>Portfolio 5303</t>
  </si>
  <si>
    <t>Portfolio 9080</t>
  </si>
  <si>
    <t>Portfolio 5770</t>
  </si>
  <si>
    <t>Portfolio 437</t>
  </si>
  <si>
    <t>Portfolio 3424</t>
  </si>
  <si>
    <t>Portfolio 9055</t>
  </si>
  <si>
    <t>Portfolio 1780</t>
  </si>
  <si>
    <t>Portfolio 5897</t>
  </si>
  <si>
    <t>Portfolio 5002</t>
  </si>
  <si>
    <t>Portfolio 2446</t>
  </si>
  <si>
    <t>Portfolio 1080</t>
  </si>
  <si>
    <t>Portfolio 1853</t>
  </si>
  <si>
    <t>Portfolio 4838</t>
  </si>
  <si>
    <t>Portfolio 627</t>
  </si>
  <si>
    <t>Portfolio 6769</t>
  </si>
  <si>
    <t>Portfolio 8034</t>
  </si>
  <si>
    <t>Portfolio 9117</t>
  </si>
  <si>
    <t>Portfolio 7452</t>
  </si>
  <si>
    <t>Portfolio 5591</t>
  </si>
  <si>
    <t>Portfolio 9344</t>
  </si>
  <si>
    <t>Portfolio 1139</t>
  </si>
  <si>
    <t>Portfolio 9333</t>
  </si>
  <si>
    <t>Portfolio 2200</t>
  </si>
  <si>
    <t>Portfolio 7091</t>
  </si>
  <si>
    <t>Portfolio 1911</t>
  </si>
  <si>
    <t>Portfolio 7998</t>
  </si>
  <si>
    <t>Portfolio 4158</t>
  </si>
  <si>
    <t>Portfolio 625</t>
  </si>
  <si>
    <t>Portfolio 9421</t>
  </si>
  <si>
    <t>Portfolio 978</t>
  </si>
  <si>
    <t>Portfolio 5176</t>
  </si>
  <si>
    <t>Portfolio 222</t>
  </si>
  <si>
    <t>Portfolio 7322</t>
  </si>
  <si>
    <t>Portfolio 933</t>
  </si>
  <si>
    <t>Portfolio 3900</t>
  </si>
  <si>
    <t>Portfolio 7618</t>
  </si>
  <si>
    <t>Portfolio 2667</t>
  </si>
  <si>
    <t>Portfolio 950</t>
  </si>
  <si>
    <t>Portfolio 4762</t>
  </si>
  <si>
    <t>Portfolio 383</t>
  </si>
  <si>
    <t>Portfolio 1269</t>
  </si>
  <si>
    <t>Portfolio 7670</t>
  </si>
  <si>
    <t>Portfolio 2129</t>
  </si>
  <si>
    <t>Portfolio 4224</t>
  </si>
  <si>
    <t>Portfolio 2622</t>
  </si>
  <si>
    <t>Portfolio 529</t>
  </si>
  <si>
    <t>Portfolio 7585</t>
  </si>
  <si>
    <t>Portfolio 7348</t>
  </si>
  <si>
    <t>Portfolio 9079</t>
  </si>
  <si>
    <t>Portfolio 7099</t>
  </si>
  <si>
    <t>Portfolio 9774</t>
  </si>
  <si>
    <t>Portfolio 3278</t>
  </si>
  <si>
    <t>Portfolio 2328</t>
  </si>
  <si>
    <t>Portfolio 9051</t>
  </si>
  <si>
    <t>Portfolio 2539</t>
  </si>
  <si>
    <t>Portfolio 2797</t>
  </si>
  <si>
    <t>Portfolio 6340</t>
  </si>
  <si>
    <t>Portfolio 5457</t>
  </si>
  <si>
    <t>Portfolio 6451</t>
  </si>
  <si>
    <t>Portfolio 5416</t>
  </si>
  <si>
    <t>Portfolio 1038</t>
  </si>
  <si>
    <t>Portfolio 2571</t>
  </si>
  <si>
    <t>Portfolio 2019</t>
  </si>
  <si>
    <t>Portfolio 121</t>
  </si>
  <si>
    <t>Portfolio 9618</t>
  </si>
  <si>
    <t>Portfolio 9384</t>
  </si>
  <si>
    <t>Portfolio 4513</t>
  </si>
  <si>
    <t>Portfolio 6435</t>
  </si>
  <si>
    <t>Portfolio 9425</t>
  </si>
  <si>
    <t>Portfolio 8661</t>
  </si>
  <si>
    <t>Portfolio 7902</t>
  </si>
  <si>
    <t>Portfolio 6836</t>
  </si>
  <si>
    <t>Portfolio 8463</t>
  </si>
  <si>
    <t>Portfolio 6569</t>
  </si>
  <si>
    <t>Portfolio 2048</t>
  </si>
  <si>
    <t>Portfolio 5168</t>
  </si>
  <si>
    <t>Portfolio 5669</t>
  </si>
  <si>
    <t>Portfolio 7531</t>
  </si>
  <si>
    <t>Portfolio 8163</t>
  </si>
  <si>
    <t>Portfolio 8035</t>
  </si>
  <si>
    <t>Portfolio 3052</t>
  </si>
  <si>
    <t>Portfolio 6547</t>
  </si>
  <si>
    <t>Portfolio 3820</t>
  </si>
  <si>
    <t>Portfolio 9752</t>
  </si>
  <si>
    <t>Portfolio 3308</t>
  </si>
  <si>
    <t>Portfolio 8145</t>
  </si>
  <si>
    <t>Portfolio 7472</t>
  </si>
  <si>
    <t>Portfolio 9373</t>
  </si>
  <si>
    <t>Portfolio 297</t>
  </si>
  <si>
    <t>Portfolio 6093</t>
  </si>
  <si>
    <t>Portfolio 3461</t>
  </si>
  <si>
    <t>Portfolio 6081</t>
  </si>
  <si>
    <t>Portfolio 9283</t>
  </si>
  <si>
    <t>Portfolio 2948</t>
  </si>
  <si>
    <t>Portfolio 1646</t>
  </si>
  <si>
    <t>Portfolio 2074</t>
  </si>
  <si>
    <t>Portfolio 8026</t>
  </si>
  <si>
    <t>Portfolio 3296</t>
  </si>
  <si>
    <t>Portfolio 3108</t>
  </si>
  <si>
    <t>Portfolio 1419</t>
  </si>
  <si>
    <t>Portfolio 1704</t>
  </si>
  <si>
    <t>Portfolio 5907</t>
  </si>
  <si>
    <t>Portfolio 6712</t>
  </si>
  <si>
    <t>Portfolio 5549</t>
  </si>
  <si>
    <t>Portfolio 4504</t>
  </si>
  <si>
    <t>Portfolio 7429</t>
  </si>
  <si>
    <t>Portfolio 965</t>
  </si>
  <si>
    <t>Portfolio 8507</t>
  </si>
  <si>
    <t>Portfolio 7433</t>
  </si>
  <si>
    <t>Portfolio 553</t>
  </si>
  <si>
    <t>Portfolio 7745</t>
  </si>
  <si>
    <t>Portfolio 7877</t>
  </si>
  <si>
    <t>Portfolio 4057</t>
  </si>
  <si>
    <t>Portfolio 5109</t>
  </si>
  <si>
    <t>Portfolio 5019</t>
  </si>
  <si>
    <t>Portfolio 2058</t>
  </si>
  <si>
    <t>Portfolio 5671</t>
  </si>
  <si>
    <t>Portfolio 1325</t>
  </si>
  <si>
    <t>Portfolio 7230</t>
  </si>
  <si>
    <t>Portfolio 7954</t>
  </si>
  <si>
    <t>Portfolio 169</t>
  </si>
  <si>
    <t>Portfolio 8991</t>
  </si>
  <si>
    <t>Portfolio 3050</t>
  </si>
  <si>
    <t>Portfolio 8206</t>
  </si>
  <si>
    <t>Portfolio 9668</t>
  </si>
  <si>
    <t>Portfolio 398</t>
  </si>
  <si>
    <t>Portfolio 646</t>
  </si>
  <si>
    <t>Portfolio 289</t>
  </si>
  <si>
    <t>Portfolio 6749</t>
  </si>
  <si>
    <t>Portfolio 5447</t>
  </si>
  <si>
    <t>Portfolio 4537</t>
  </si>
  <si>
    <t>Portfolio 5789</t>
  </si>
  <si>
    <t>Portfolio 9470</t>
  </si>
  <si>
    <t>Portfolio 5235</t>
  </si>
  <si>
    <t>Portfolio 5755</t>
  </si>
  <si>
    <t>Portfolio 4599</t>
  </si>
  <si>
    <t>Portfolio 7430</t>
  </si>
  <si>
    <t>Portfolio 284</t>
  </si>
  <si>
    <t>Portfolio 6252</t>
  </si>
  <si>
    <t>Portfolio 2487</t>
  </si>
  <si>
    <t>Portfolio 1415</t>
  </si>
  <si>
    <t>Portfolio 6462</t>
  </si>
  <si>
    <t>Portfolio 9118</t>
  </si>
  <si>
    <t>Portfolio 3991</t>
  </si>
  <si>
    <t>Portfolio 8429</t>
  </si>
  <si>
    <t>Portfolio 5742</t>
  </si>
  <si>
    <t>Portfolio 9675</t>
  </si>
  <si>
    <t>Portfolio 8292</t>
  </si>
  <si>
    <t>Portfolio 455</t>
  </si>
  <si>
    <t>Portfolio 1037</t>
  </si>
  <si>
    <t>Portfolio 2735</t>
  </si>
  <si>
    <t>Portfolio 431</t>
  </si>
  <si>
    <t>Portfolio 3828</t>
  </si>
  <si>
    <t>Portfolio 1399</t>
  </si>
  <si>
    <t>Portfolio 7623</t>
  </si>
  <si>
    <t>Portfolio 9112</t>
  </si>
  <si>
    <t>Portfolio 6267</t>
  </si>
  <si>
    <t>Portfolio 1463</t>
  </si>
  <si>
    <t>Portfolio 7610</t>
  </si>
  <si>
    <t>Portfolio 6708</t>
  </si>
  <si>
    <t>Portfolio 8216</t>
  </si>
  <si>
    <t>Portfolio 482</t>
  </si>
  <si>
    <t>Portfolio 1180</t>
  </si>
  <si>
    <t>Portfolio 4178</t>
  </si>
  <si>
    <t>Portfolio 6591</t>
  </si>
  <si>
    <t>Portfolio 184</t>
  </si>
  <si>
    <t>Portfolio 1390</t>
  </si>
  <si>
    <t>Portfolio 8627</t>
  </si>
  <si>
    <t>Portfolio 4640</t>
  </si>
  <si>
    <t>Portfolio 3367</t>
  </si>
  <si>
    <t>Portfolio 3068</t>
  </si>
  <si>
    <t>Portfolio 2128</t>
  </si>
  <si>
    <t>Portfolio 2775</t>
  </si>
  <si>
    <t>Portfolio 4017</t>
  </si>
  <si>
    <t>Portfolio 5520</t>
  </si>
  <si>
    <t>Portfolio 6951</t>
  </si>
  <si>
    <t>Portfolio 4292</t>
  </si>
  <si>
    <t>Portfolio 8107</t>
  </si>
  <si>
    <t>Portfolio 2052</t>
  </si>
  <si>
    <t>Portfolio 9796</t>
  </si>
  <si>
    <t>Portfolio 6087</t>
  </si>
  <si>
    <t>Portfolio 1339</t>
  </si>
  <si>
    <t>Portfolio 5848</t>
  </si>
  <si>
    <t>Portfolio 7856</t>
  </si>
  <si>
    <t>Portfolio 9635</t>
  </si>
  <si>
    <t>Portfolio 9691</t>
  </si>
  <si>
    <t>Portfolio 7301</t>
  </si>
  <si>
    <t>Portfolio 9428</t>
  </si>
  <si>
    <t>Portfolio 903</t>
  </si>
  <si>
    <t>Portfolio 2310</t>
  </si>
  <si>
    <t>Portfolio 4799</t>
  </si>
  <si>
    <t>Portfolio 8415</t>
  </si>
  <si>
    <t>Portfolio 6863</t>
  </si>
  <si>
    <t>Portfolio 1603</t>
  </si>
  <si>
    <t>Portfolio 7299</t>
  </si>
  <si>
    <t>Portfolio 9663</t>
  </si>
  <si>
    <t>Portfolio 6669</t>
  </si>
  <si>
    <t>Portfolio 260</t>
  </si>
  <si>
    <t>Portfolio 156</t>
  </si>
  <si>
    <t>Portfolio 1144</t>
  </si>
  <si>
    <t>Portfolio 8686</t>
  </si>
  <si>
    <t>Portfolio 9964</t>
  </si>
  <si>
    <t>Portfolio 8309</t>
  </si>
  <si>
    <t>Portfolio 9297</t>
  </si>
  <si>
    <t>Portfolio 3937</t>
  </si>
  <si>
    <t>Portfolio 5437</t>
  </si>
  <si>
    <t>Portfolio 7453</t>
  </si>
  <si>
    <t>Portfolio 1086</t>
  </si>
  <si>
    <t>Portfolio 6467</t>
  </si>
  <si>
    <t>Portfolio 1955</t>
  </si>
  <si>
    <t>Portfolio 4619</t>
  </si>
  <si>
    <t>Portfolio 9146</t>
  </si>
  <si>
    <t>Portfolio 2199</t>
  </si>
  <si>
    <t>Portfolio 7132</t>
  </si>
  <si>
    <t>Portfolio 5941</t>
  </si>
  <si>
    <t>Portfolio 1963</t>
  </si>
  <si>
    <t>Portfolio 4387</t>
  </si>
  <si>
    <t>Portfolio 1996</t>
  </si>
  <si>
    <t>Portfolio 3810</t>
  </si>
  <si>
    <t>Portfolio 6923</t>
  </si>
  <si>
    <t>Portfolio 6424</t>
  </si>
  <si>
    <t>Portfolio 629</t>
  </si>
  <si>
    <t>Portfolio 2899</t>
  </si>
  <si>
    <t>Portfolio 6647</t>
  </si>
  <si>
    <t>Portfolio 6202</t>
  </si>
  <si>
    <t>Portfolio 3171</t>
  </si>
  <si>
    <t>Portfolio 863</t>
  </si>
  <si>
    <t>Portfolio 9911</t>
  </si>
  <si>
    <t>Portfolio 2454</t>
  </si>
  <si>
    <t>Portfolio 347</t>
  </si>
  <si>
    <t>Portfolio 3287</t>
  </si>
  <si>
    <t>Portfolio 2682</t>
  </si>
  <si>
    <t>Portfolio 4806</t>
  </si>
  <si>
    <t>Portfolio 8975</t>
  </si>
  <si>
    <t>Portfolio 9553</t>
  </si>
  <si>
    <t>Portfolio 5008</t>
  </si>
  <si>
    <t>Portfolio 2460</t>
  </si>
  <si>
    <t>Portfolio 8185</t>
  </si>
  <si>
    <t>Portfolio 8160</t>
  </si>
  <si>
    <t>Portfolio 3211</t>
  </si>
  <si>
    <t>Portfolio 8383</t>
  </si>
  <si>
    <t>Portfolio 9591</t>
  </si>
  <si>
    <t>Portfolio 6164</t>
  </si>
  <si>
    <t>Portfolio 2485</t>
  </si>
  <si>
    <t>Portfolio 5383</t>
  </si>
  <si>
    <t>Portfolio 3512</t>
  </si>
  <si>
    <t>Portfolio 8084</t>
  </si>
  <si>
    <t>Portfolio 3200</t>
  </si>
  <si>
    <t>Portfolio 3859</t>
  </si>
  <si>
    <t>Portfolio 5012</t>
  </si>
  <si>
    <t>Portfolio 7859</t>
  </si>
  <si>
    <t>Portfolio 9625</t>
  </si>
  <si>
    <t>Portfolio 4835</t>
  </si>
  <si>
    <t>Portfolio 8879</t>
  </si>
  <si>
    <t>Portfolio 4843</t>
  </si>
  <si>
    <t>Portfolio 7491</t>
  </si>
  <si>
    <t>Portfolio 6695</t>
  </si>
  <si>
    <t>Portfolio 1149</t>
  </si>
  <si>
    <t>Portfolio 7904</t>
  </si>
  <si>
    <t>Portfolio 6713</t>
  </si>
  <si>
    <t>Portfolio 492</t>
  </si>
  <si>
    <t>Portfolio 9022</t>
  </si>
  <si>
    <t>Portfolio 341</t>
  </si>
  <si>
    <t>Portfolio 7755</t>
  </si>
  <si>
    <t>Portfolio 9601</t>
  </si>
  <si>
    <t>Portfolio 9415</t>
  </si>
  <si>
    <t>Portfolio 9826</t>
  </si>
  <si>
    <t>Portfolio 210</t>
  </si>
  <si>
    <t>Portfolio 2691</t>
  </si>
  <si>
    <t>Portfolio 7406</t>
  </si>
  <si>
    <t>Portfolio 4930</t>
  </si>
  <si>
    <t>Portfolio 5227</t>
  </si>
  <si>
    <t>Portfolio 5694</t>
  </si>
  <si>
    <t>Portfolio 9361</t>
  </si>
  <si>
    <t>Portfolio 5900</t>
  </si>
  <si>
    <t>Portfolio 3248</t>
  </si>
  <si>
    <t>Portfolio 1866</t>
  </si>
  <si>
    <t>Portfolio 4777</t>
  </si>
  <si>
    <t>Portfolio 5754</t>
  </si>
  <si>
    <t>Portfolio 9266</t>
  </si>
  <si>
    <t>Portfolio 7404</t>
  </si>
  <si>
    <t>Portfolio 7807</t>
  </si>
  <si>
    <t>Portfolio 5105</t>
  </si>
  <si>
    <t>Portfolio 7031</t>
  </si>
  <si>
    <t>Portfolio 941</t>
  </si>
  <si>
    <t>Portfolio 8882</t>
  </si>
  <si>
    <t>Portfolio 2635</t>
  </si>
  <si>
    <t>Portfolio 2054</t>
  </si>
  <si>
    <t>Portfolio 294</t>
  </si>
  <si>
    <t>Portfolio 8721</t>
  </si>
  <si>
    <t>Portfolio 4228</t>
  </si>
  <si>
    <t>Portfolio 5587</t>
  </si>
  <si>
    <t>Portfolio 9348</t>
  </si>
  <si>
    <t>Portfolio 6074</t>
  </si>
  <si>
    <t>Portfolio 440</t>
  </si>
  <si>
    <t>Portfolio 8769</t>
  </si>
  <si>
    <t>Portfolio 4536</t>
  </si>
  <si>
    <t>Portfolio 7222</t>
  </si>
  <si>
    <t>Portfolio 721</t>
  </si>
  <si>
    <t>Portfolio 4171</t>
  </si>
  <si>
    <t>Portfolio 2958</t>
  </si>
  <si>
    <t>Portfolio 5535</t>
  </si>
  <si>
    <t>Portfolio 5922</t>
  </si>
  <si>
    <t>Portfolio 8114</t>
  </si>
  <si>
    <t>Portfolio 728</t>
  </si>
  <si>
    <t>Portfolio 3608</t>
  </si>
  <si>
    <t>Portfolio 4606</t>
  </si>
  <si>
    <t>Portfolio 4877</t>
  </si>
  <si>
    <t>Portfolio 9901</t>
  </si>
  <si>
    <t>Portfolio 6527</t>
  </si>
  <si>
    <t>Portfolio 9049</t>
  </si>
  <si>
    <t>Portfolio 6028</t>
  </si>
  <si>
    <t>Portfolio 4076</t>
  </si>
  <si>
    <t>Portfolio 9381</t>
  </si>
  <si>
    <t>Portfolio 7945</t>
  </si>
  <si>
    <t>Portfolio 1464</t>
  </si>
  <si>
    <t>Portfolio 3734</t>
  </si>
  <si>
    <t>Portfolio 1851</t>
  </si>
  <si>
    <t>Portfolio 3391</t>
  </si>
  <si>
    <t>Portfolio 9152</t>
  </si>
  <si>
    <t>Portfolio 5160</t>
  </si>
  <si>
    <t>Portfolio 5951</t>
  </si>
  <si>
    <t>Portfolio 2619</t>
  </si>
  <si>
    <t>Portfolio 3062</t>
  </si>
  <si>
    <t>Portfolio 3675</t>
  </si>
  <si>
    <t>Portfolio 9136</t>
  </si>
  <si>
    <t>Portfolio 1699</t>
  </si>
  <si>
    <t>Portfolio 2699</t>
  </si>
  <si>
    <t>Portfolio 4488</t>
  </si>
  <si>
    <t>Portfolio 6962</t>
  </si>
  <si>
    <t>Portfolio 1389</t>
  </si>
  <si>
    <t>Portfolio 6071</t>
  </si>
  <si>
    <t>Portfolio 8187</t>
  </si>
  <si>
    <t>Portfolio 515</t>
  </si>
  <si>
    <t>Portfolio 9810</t>
  </si>
  <si>
    <t>Portfolio 5418</t>
  </si>
  <si>
    <t>Portfolio 1665</t>
  </si>
  <si>
    <t>Portfolio 2606</t>
  </si>
  <si>
    <t>Portfolio 5386</t>
  </si>
  <si>
    <t>Portfolio 6313</t>
  </si>
  <si>
    <t>Portfolio 9063</t>
  </si>
  <si>
    <t>Portfolio 8893</t>
  </si>
  <si>
    <t>Portfolio 7422</t>
  </si>
  <si>
    <t>Portfolio 7294</t>
  </si>
  <si>
    <t>Portfolio 3400</t>
  </si>
  <si>
    <t>Portfolio 5902</t>
  </si>
  <si>
    <t>Portfolio 1525</t>
  </si>
  <si>
    <t>Portfolio 5785</t>
  </si>
  <si>
    <t>Portfolio 1502</t>
  </si>
  <si>
    <t>Portfolio 6022</t>
  </si>
  <si>
    <t>Portfolio 2336</t>
  </si>
  <si>
    <t>Portfolio 7074</t>
  </si>
  <si>
    <t>Portfolio 7448</t>
  </si>
  <si>
    <t>Portfolio 6050</t>
  </si>
  <si>
    <t>Portfolio 7940</t>
  </si>
  <si>
    <t>Portfolio 7270</t>
  </si>
  <si>
    <t>Portfolio 2476</t>
  </si>
  <si>
    <t>Portfolio 1302</t>
  </si>
  <si>
    <t>Portfolio 3741</t>
  </si>
  <si>
    <t>Portfolio 7799</t>
  </si>
  <si>
    <t>Portfolio 6600</t>
  </si>
  <si>
    <t>Portfolio 5895</t>
  </si>
  <si>
    <t>Portfolio 4876</t>
  </si>
  <si>
    <t>Portfolio 3564</t>
  </si>
  <si>
    <t>Portfolio 1315</t>
  </si>
  <si>
    <t>Portfolio 168</t>
  </si>
  <si>
    <t>Portfolio 841</t>
  </si>
  <si>
    <t>Portfolio 2976</t>
  </si>
  <si>
    <t>Portfolio 2819</t>
  </si>
  <si>
    <t>Portfolio 6671</t>
  </si>
  <si>
    <t>Portfolio 7253</t>
  </si>
  <si>
    <t>Portfolio 3081</t>
  </si>
  <si>
    <t>Portfolio 5029</t>
  </si>
  <si>
    <t>Portfolio 9710</t>
  </si>
  <si>
    <t>Portfolio 7532</t>
  </si>
  <si>
    <t>Portfolio 6526</t>
  </si>
  <si>
    <t>Portfolio 7088</t>
  </si>
  <si>
    <t>Portfolio 165</t>
  </si>
  <si>
    <t>Portfolio 7167</t>
  </si>
  <si>
    <t>Portfolio 2204</t>
  </si>
  <si>
    <t>Portfolio 5983</t>
  </si>
  <si>
    <t>Portfolio 5088</t>
  </si>
  <si>
    <t>Portfolio 2018</t>
  </si>
  <si>
    <t>Portfolio 1995</t>
  </si>
  <si>
    <t>Portfolio 6651</t>
  </si>
  <si>
    <t>Portfolio 6359</t>
  </si>
  <si>
    <t>Portfolio 3790</t>
  </si>
  <si>
    <t>Portfolio 3289</t>
  </si>
  <si>
    <t>Portfolio 6233</t>
  </si>
  <si>
    <t>Portfolio 1624</t>
  </si>
  <si>
    <t>Portfolio 6367</t>
  </si>
  <si>
    <t>Portfolio 1878</t>
  </si>
  <si>
    <t>Portfolio 7317</t>
  </si>
  <si>
    <t>Portfolio 2220</t>
  </si>
  <si>
    <t>Portfolio 4663</t>
  </si>
  <si>
    <t>Portfolio 6805</t>
  </si>
  <si>
    <t>Portfolio 1609</t>
  </si>
  <si>
    <t>Portfolio 2443</t>
  </si>
  <si>
    <t>Portfolio 5510</t>
  </si>
  <si>
    <t>Portfolio 8688</t>
  </si>
  <si>
    <t>Portfolio 6781</t>
  </si>
  <si>
    <t>Portfolio 7206</t>
  </si>
  <si>
    <t>Portfolio 9512</t>
  </si>
  <si>
    <t>Portfolio 8546</t>
  </si>
  <si>
    <t>Portfolio 9407</t>
  </si>
  <si>
    <t>Portfolio 8444</t>
  </si>
  <si>
    <t>Portfolio 8873</t>
  </si>
  <si>
    <t>Portfolio 8505</t>
  </si>
  <si>
    <t>Portfolio 218</t>
  </si>
  <si>
    <t>Portfolio 5636</t>
  </si>
  <si>
    <t>Portfolio 2433</t>
  </si>
  <si>
    <t>Portfolio 914</t>
  </si>
  <si>
    <t>Portfolio 1546</t>
  </si>
  <si>
    <t>Portfolio 4245</t>
  </si>
  <si>
    <t>Portfolio 5143</t>
  </si>
  <si>
    <t>Portfolio 2824</t>
  </si>
  <si>
    <t>Portfolio 3716</t>
  </si>
  <si>
    <t>Portfolio 6911</t>
  </si>
  <si>
    <t>Portfolio 5642</t>
  </si>
  <si>
    <t>Portfolio 675</t>
  </si>
  <si>
    <t>Portfolio 3417</t>
  </si>
  <si>
    <t>Portfolio 2387</t>
  </si>
  <si>
    <t>Portfolio 6830</t>
  </si>
  <si>
    <t>Portfolio 370</t>
  </si>
  <si>
    <t>Portfolio 7028</t>
  </si>
  <si>
    <t>Portfolio 9959</t>
  </si>
  <si>
    <t>Portfolio 8698</t>
  </si>
  <si>
    <t>Portfolio 770</t>
  </si>
  <si>
    <t>Portfolio 6387</t>
  </si>
  <si>
    <t>Portfolio 9870</t>
  </si>
  <si>
    <t>Portfolio 5881</t>
  </si>
  <si>
    <t>Portfolio 65</t>
  </si>
  <si>
    <t>Portfolio 4055</t>
  </si>
  <si>
    <t>Portfolio 7357</t>
  </si>
  <si>
    <t>Portfolio 2173</t>
  </si>
  <si>
    <t>Portfolio 7802</t>
  </si>
  <si>
    <t>Portfolio 2842</t>
  </si>
  <si>
    <t>Portfolio 9499</t>
  </si>
  <si>
    <t>Portfolio 3156</t>
  </si>
  <si>
    <t>Portfolio 7914</t>
  </si>
  <si>
    <t>Portfolio 3992</t>
  </si>
  <si>
    <t>Portfolio 4369</t>
  </si>
  <si>
    <t>Portfolio 1026</t>
  </si>
  <si>
    <t>Portfolio 3819</t>
  </si>
  <si>
    <t>Portfolio 4037</t>
  </si>
  <si>
    <t>Portfolio 206</t>
  </si>
  <si>
    <t>Portfolio 202</t>
  </si>
  <si>
    <t>Portfolio 8089</t>
  </si>
  <si>
    <t>Portfolio 4287</t>
  </si>
  <si>
    <t>Portfolio 34</t>
  </si>
  <si>
    <t>Portfolio 3757</t>
  </si>
  <si>
    <t>Portfolio 6809</t>
  </si>
  <si>
    <t>Portfolio 8150</t>
  </si>
  <si>
    <t>Portfolio 7654</t>
  </si>
  <si>
    <t>Portfolio 672</t>
  </si>
  <si>
    <t>Portfolio 3569</t>
  </si>
  <si>
    <t>Portfolio 7913</t>
  </si>
  <si>
    <t>Portfolio 755</t>
  </si>
  <si>
    <t>Portfolio 8489</t>
  </si>
  <si>
    <t>Portfolio 6610</t>
  </si>
  <si>
    <t>Portfolio 6665</t>
  </si>
  <si>
    <t>Portfolio 1846</t>
  </si>
  <si>
    <t>Portfolio 9301</t>
  </si>
  <si>
    <t>Portfolio 8639</t>
  </si>
  <si>
    <t>Portfolio 1334</t>
  </si>
  <si>
    <t>Portfolio 2442</t>
  </si>
  <si>
    <t>Portfolio 5206</t>
  </si>
  <si>
    <t>Portfolio 4108</t>
  </si>
  <si>
    <t>Portfolio 2652</t>
  </si>
  <si>
    <t>Portfolio 4733</t>
  </si>
  <si>
    <t>Portfolio 2480</t>
  </si>
  <si>
    <t>Portfolio 6673</t>
  </si>
  <si>
    <t>Portfolio 7683</t>
  </si>
  <si>
    <t>Portfolio 144</t>
  </si>
  <si>
    <t>Portfolio 4569</t>
  </si>
  <si>
    <t>Portfolio 6959</t>
  </si>
  <si>
    <t>Portfolio 94</t>
  </si>
  <si>
    <t>Portfolio 2507</t>
  </si>
  <si>
    <t>Portfolio 6182</t>
  </si>
  <si>
    <t>Portfolio 8628</t>
  </si>
  <si>
    <t>Portfolio 6618</t>
  </si>
  <si>
    <t>Portfolio 5605</t>
  </si>
  <si>
    <t>Portfolio 5674</t>
  </si>
  <si>
    <t>Portfolio 4824</t>
  </si>
  <si>
    <t>Portfolio 392</t>
  </si>
  <si>
    <t>Portfolio 3706</t>
  </si>
  <si>
    <t>Portfolio 2240</t>
  </si>
  <si>
    <t>Portfolio 8093</t>
  </si>
  <si>
    <t>Portfolio 9007</t>
  </si>
  <si>
    <t>Portfolio 7800</t>
  </si>
  <si>
    <t>Portfolio 1171</t>
  </si>
  <si>
    <t>Portfolio 1059</t>
  </si>
  <si>
    <t>Portfolio 5598</t>
  </si>
  <si>
    <t>Portfolio 6536</t>
  </si>
  <si>
    <t>Portfolio 8372</t>
  </si>
  <si>
    <t>Portfolio 6332</t>
  </si>
  <si>
    <t>Portfolio 3921</t>
  </si>
  <si>
    <t>Portfolio 7746</t>
  </si>
  <si>
    <t>Portfolio 1427</t>
  </si>
  <si>
    <t>Portfolio 8250</t>
  </si>
  <si>
    <t>Portfolio 6551</t>
  </si>
  <si>
    <t>Portfolio 223</t>
  </si>
  <si>
    <t>Portfolio 3017</t>
  </si>
  <si>
    <t>Portfolio 7095</t>
  </si>
  <si>
    <t>Portfolio 8867</t>
  </si>
  <si>
    <t>Portfolio 4416</t>
  </si>
  <si>
    <t>Portfolio 1199</t>
  </si>
  <si>
    <t>Portfolio 9019</t>
  </si>
  <si>
    <t>Portfolio 1664</t>
  </si>
  <si>
    <t>Portfolio 9114</t>
  </si>
  <si>
    <t>Portfolio 3452</t>
  </si>
  <si>
    <t>Portfolio 6162</t>
  </si>
  <si>
    <t>Portfolio 8563</t>
  </si>
  <si>
    <t>Portfolio 337</t>
  </si>
  <si>
    <t>Portfolio 9626</t>
  </si>
  <si>
    <t>Portfolio 4439</t>
  </si>
  <si>
    <t>Portfolio 6994</t>
  </si>
  <si>
    <t>Portfolio 9302</t>
  </si>
  <si>
    <t>Portfolio 5578</t>
  </si>
  <si>
    <t>Portfolio 5225</t>
  </si>
  <si>
    <t>Portfolio 5314</t>
  </si>
  <si>
    <t>Portfolio 2098</t>
  </si>
  <si>
    <t>Portfolio 4255</t>
  </si>
  <si>
    <t>Portfolio 1166</t>
  </si>
  <si>
    <t>Portfolio 8460</t>
  </si>
  <si>
    <t>Portfolio 2202</t>
  </si>
  <si>
    <t>Portfolio 3270</t>
  </si>
  <si>
    <t>Portfolio 3239</t>
  </si>
  <si>
    <t>Portfolio 7980</t>
  </si>
  <si>
    <t>Portfolio 4193</t>
  </si>
  <si>
    <t>Portfolio 8802</t>
  </si>
  <si>
    <t>Portfolio 8964</t>
  </si>
  <si>
    <t>Portfolio 6518</t>
  </si>
  <si>
    <t>Portfolio 996</t>
  </si>
  <si>
    <t>Portfolio 6486</t>
  </si>
  <si>
    <t>Portfolio 5878</t>
  </si>
  <si>
    <t>Portfolio 2104</t>
  </si>
  <si>
    <t>Portfolio 8291</t>
  </si>
  <si>
    <t>Portfolio 9642</t>
  </si>
  <si>
    <t>Portfolio 2915</t>
  </si>
  <si>
    <t>Portfolio 9477</t>
  </si>
  <si>
    <t>Portfolio 2339</t>
  </si>
  <si>
    <t>Portfolio 6254</t>
  </si>
  <si>
    <t>Portfolio 3105</t>
  </si>
  <si>
    <t>Portfolio 3097</t>
  </si>
  <si>
    <t>Portfolio 76</t>
  </si>
  <si>
    <t>Portfolio 3315</t>
  </si>
  <si>
    <t>Portfolio 2608</t>
  </si>
  <si>
    <t>Portfolio 4025</t>
  </si>
  <si>
    <t>Portfolio 9137</t>
  </si>
  <si>
    <t>Portfolio 5218</t>
  </si>
  <si>
    <t>Portfolio 2414</t>
  </si>
  <si>
    <t>Portfolio 3412</t>
  </si>
  <si>
    <t>Portfolio 9106</t>
  </si>
  <si>
    <t>Portfolio 3736</t>
  </si>
  <si>
    <t>Portfolio 4623</t>
  </si>
  <si>
    <t>Portfolio 2546</t>
  </si>
  <si>
    <t>Portfolio 5010</t>
  </si>
  <si>
    <t>Portfolio 659</t>
  </si>
  <si>
    <t>Portfolio 9949</t>
  </si>
  <si>
    <t>Portfolio 5882</t>
  </si>
  <si>
    <t>Portfolio 7561</t>
  </si>
  <si>
    <t>Portfolio 4167</t>
  </si>
  <si>
    <t>Portfolio 4515</t>
  </si>
  <si>
    <t>Portfolio 4394</t>
  </si>
  <si>
    <t>Portfolio 4575</t>
  </si>
  <si>
    <t>Portfolio 7164</t>
  </si>
  <si>
    <t>Portfolio 4084</t>
  </si>
  <si>
    <t>Portfolio 9561</t>
  </si>
  <si>
    <t>Portfolio 5728</t>
  </si>
  <si>
    <t>Portfolio 4808</t>
  </si>
  <si>
    <t>Portfolio 9438</t>
  </si>
  <si>
    <t>Portfolio 8492</t>
  </si>
  <si>
    <t>Portfolio 2922</t>
  </si>
  <si>
    <t>Portfolio 8320</t>
  </si>
  <si>
    <t>Portfolio 1301</t>
  </si>
  <si>
    <t>Portfolio 3215</t>
  </si>
  <si>
    <t>Portfolio 5784</t>
  </si>
  <si>
    <t>Portfolio 8366</t>
  </si>
  <si>
    <t>Portfolio 3418</t>
  </si>
  <si>
    <t>Portfolio 9254</t>
  </si>
  <si>
    <t>Portfolio 2382</t>
  </si>
  <si>
    <t>Portfolio 9241</t>
  </si>
  <si>
    <t>Portfolio 7842</t>
  </si>
  <si>
    <t>Portfolio 9459</t>
  </si>
  <si>
    <t>Portfolio 5141</t>
  </si>
  <si>
    <t>Portfolio 894</t>
  </si>
  <si>
    <t>Portfolio 2069</t>
  </si>
  <si>
    <t>Portfolio 8682</t>
  </si>
  <si>
    <t>Portfolio 4899</t>
  </si>
  <si>
    <t>Portfolio 7281</t>
  </si>
  <si>
    <t>Portfolio 7607</t>
  </si>
  <si>
    <t>Portfolio 8578</t>
  </si>
  <si>
    <t>Portfolio 5816</t>
  </si>
  <si>
    <t>Portfolio 4615</t>
  </si>
  <si>
    <t>Portfolio 2887</t>
  </si>
  <si>
    <t>Portfolio 1309</t>
  </si>
  <si>
    <t>Portfolio 6899</t>
  </si>
  <si>
    <t>Portfolio 5892</t>
  </si>
  <si>
    <t>Portfolio 7462</t>
  </si>
  <si>
    <t>Portfolio 1523</t>
  </si>
  <si>
    <t>Portfolio 5791</t>
  </si>
  <si>
    <t>Portfolio 8753</t>
  </si>
  <si>
    <t>Portfolio 9107</t>
  </si>
  <si>
    <t>Portfolio 2584</t>
  </si>
  <si>
    <t>Portfolio 9788</t>
  </si>
  <si>
    <t>Portfolio 9103</t>
  </si>
  <si>
    <t>Portfolio 8334</t>
  </si>
  <si>
    <t>Portfolio 7659</t>
  </si>
  <si>
    <t>Portfolio 5431</t>
  </si>
  <si>
    <t>Portfolio 8004</t>
  </si>
  <si>
    <t>Portfolio 1255</t>
  </si>
  <si>
    <t>Portfolio 9681</t>
  </si>
  <si>
    <t>Portfolio 3497</t>
  </si>
  <si>
    <t>Portfolio 7375</t>
  </si>
  <si>
    <t>Portfolio 2773</t>
  </si>
  <si>
    <t>Portfolio 8603</t>
  </si>
  <si>
    <t>Portfolio 1146</t>
  </si>
  <si>
    <t>Portfolio 8176</t>
  </si>
  <si>
    <t>Portfolio 7183</t>
  </si>
  <si>
    <t>Portfolio 4610</t>
  </si>
  <si>
    <t>Portfolio 1958</t>
  </si>
  <si>
    <t>Portfolio 2271</t>
  </si>
  <si>
    <t>Portfolio 6736</t>
  </si>
  <si>
    <t>Portfolio 8950</t>
  </si>
  <si>
    <t>Portfolio 2213</t>
  </si>
  <si>
    <t>Portfolio 5804</t>
  </si>
  <si>
    <t>Portfolio 8692</t>
  </si>
  <si>
    <t>Portfolio 1912</t>
  </si>
  <si>
    <t>Portfolio 791</t>
  </si>
  <si>
    <t>Portfolio 6642</t>
  </si>
  <si>
    <t>Portfolio 4846</t>
  </si>
  <si>
    <t>Portfolio 5188</t>
  </si>
  <si>
    <t>Portfolio 1563</t>
  </si>
  <si>
    <t>Portfolio 2757</t>
  </si>
  <si>
    <t>Portfolio 7993</t>
  </si>
  <si>
    <t>Portfolio 9243</t>
  </si>
  <si>
    <t>Portfolio 3285</t>
  </si>
  <si>
    <t>Portfolio 5402</t>
  </si>
  <si>
    <t>Portfolio 6006</t>
  </si>
  <si>
    <t>Portfolio 8120</t>
  </si>
  <si>
    <t>Portfolio 8488</t>
  </si>
  <si>
    <t>Portfolio 3890</t>
  </si>
  <si>
    <t>Portfolio 7384</t>
  </si>
  <si>
    <t>Portfolio 5831</t>
  </si>
  <si>
    <t>Portfolio 2583</t>
  </si>
  <si>
    <t>Portfolio 6699</t>
  </si>
  <si>
    <t>Portfolio 820</t>
  </si>
  <si>
    <t>Portfolio 7009</t>
  </si>
  <si>
    <t>Portfolio 5910</t>
  </si>
  <si>
    <t>Portfolio 1169</t>
  </si>
  <si>
    <t>Portfolio 9217</t>
  </si>
  <si>
    <t>Portfolio 7052</t>
  </si>
  <si>
    <t>Portfolio 4801</t>
  </si>
  <si>
    <t>Portfolio 6666</t>
  </si>
  <si>
    <t>Portfolio 8921</t>
  </si>
  <si>
    <t>Portfolio 6759</t>
  </si>
  <si>
    <t>Portfolio 4913</t>
  </si>
  <si>
    <t>Portfolio 1330</t>
  </si>
  <si>
    <t>Portfolio 6337</t>
  </si>
  <si>
    <t>Portfolio 6807</t>
  </si>
  <si>
    <t>Portfolio 8319</t>
  </si>
  <si>
    <t>Portfolio 7439</t>
  </si>
  <si>
    <t>Portfolio 8547</t>
  </si>
  <si>
    <t>Portfolio 8147</t>
  </si>
  <si>
    <t>Portfolio 6894</t>
  </si>
  <si>
    <t>Portfolio 1081</t>
  </si>
  <si>
    <t>Portfolio 1468</t>
  </si>
  <si>
    <t>Portfolio 620</t>
  </si>
  <si>
    <t>Portfolio 2693</t>
  </si>
  <si>
    <t>Portfolio 6459</t>
  </si>
  <si>
    <t>Portfolio 9195</t>
  </si>
  <si>
    <t>Portfolio 7804</t>
  </si>
  <si>
    <t>Portfolio 3848</t>
  </si>
  <si>
    <t>Portfolio 2730</t>
  </si>
  <si>
    <t>Portfolio 2552</t>
  </si>
  <si>
    <t>Portfolio 7767</t>
  </si>
  <si>
    <t>Portfolio 5433</t>
  </si>
  <si>
    <t>Portfolio 8668</t>
  </si>
  <si>
    <t>Portfolio 533</t>
  </si>
  <si>
    <t>Portfolio 6660</t>
  </si>
  <si>
    <t>Portfolio 1755</t>
  </si>
  <si>
    <t>Portfolio 1884</t>
  </si>
  <si>
    <t>Portfolio 1932</t>
  </si>
  <si>
    <t>Portfolio 5460</t>
  </si>
  <si>
    <t>Portfolio 2504</t>
  </si>
  <si>
    <t>Portfolio 1365</t>
  </si>
  <si>
    <t>Portfolio 9198</t>
  </si>
  <si>
    <t>Portfolio 8442</t>
  </si>
  <si>
    <t>Portfolio 8832</t>
  </si>
  <si>
    <t>Portfolio 1725</t>
  </si>
  <si>
    <t>Portfolio 1730</t>
  </si>
  <si>
    <t>Portfolio 8704</t>
  </si>
  <si>
    <t>Portfolio 9126</t>
  </si>
  <si>
    <t>Portfolio 3149</t>
  </si>
  <si>
    <t>Portfolio 3603</t>
  </si>
  <si>
    <t>Portfolio 7197</t>
  </si>
  <si>
    <t>Portfolio 7303</t>
  </si>
  <si>
    <t>Portfolio 3863</t>
  </si>
  <si>
    <t>Portfolio 497</t>
  </si>
  <si>
    <t>Portfolio 9992</t>
  </si>
  <si>
    <t>Portfolio 2890</t>
  </si>
  <si>
    <t>Portfolio 9930</t>
  </si>
  <si>
    <t>Portfolio 4472</t>
  </si>
  <si>
    <t>Portfolio 3120</t>
  </si>
  <si>
    <t>Portfolio 3061</t>
  </si>
  <si>
    <t>Portfolio 6147</t>
  </si>
  <si>
    <t>Portfolio 4014</t>
  </si>
  <si>
    <t>Portfolio 5260</t>
  </si>
  <si>
    <t>Portfolio 7228</t>
  </si>
  <si>
    <t>Portfolio 9890</t>
  </si>
  <si>
    <t>Portfolio 3966</t>
  </si>
  <si>
    <t>Portfolio 1639</t>
  </si>
  <si>
    <t>Portfolio 9171</t>
  </si>
  <si>
    <t>Portfolio 7841</t>
  </si>
  <si>
    <t>Portfolio 7898</t>
  </si>
  <si>
    <t>Portfolio 7508</t>
  </si>
  <si>
    <t>Portfolio 7827</t>
  </si>
  <si>
    <t>Portfolio 4525</t>
  </si>
  <si>
    <t>Portfolio 4706</t>
  </si>
  <si>
    <t>Portfolio 4987</t>
  </si>
  <si>
    <t>Portfolio 9571</t>
  </si>
  <si>
    <t>Portfolio 5511</t>
  </si>
  <si>
    <t>Portfolio 2113</t>
  </si>
  <si>
    <t>Portfolio 2589</t>
  </si>
  <si>
    <t>Portfolio 5040</t>
  </si>
  <si>
    <t>Portfolio 9215</t>
  </si>
  <si>
    <t>Portfolio 15</t>
  </si>
  <si>
    <t>Portfolio 1875</t>
  </si>
  <si>
    <t>Portfolio 5971</t>
  </si>
  <si>
    <t>Portfolio 5975</t>
  </si>
  <si>
    <t>Portfolio 7106</t>
  </si>
  <si>
    <t>Portfolio 8056</t>
  </si>
  <si>
    <t>Portfolio 6487</t>
  </si>
  <si>
    <t>Portfolio 5108</t>
  </si>
  <si>
    <t>Portfolio 9589</t>
  </si>
  <si>
    <t>Portfolio 4101</t>
  </si>
  <si>
    <t>Portfolio 4091</t>
  </si>
  <si>
    <t>Portfolio 4881</t>
  </si>
  <si>
    <t>Portfolio 6733</t>
  </si>
  <si>
    <t>Portfolio 6319</t>
  </si>
  <si>
    <t>Portfolio 2705</t>
  </si>
  <si>
    <t>Portfolio 4922</t>
  </si>
  <si>
    <t>Portfolio 9240</t>
  </si>
  <si>
    <t>Portfolio 7715</t>
  </si>
  <si>
    <t>Portfolio 8014</t>
  </si>
  <si>
    <t>Portfolio 5527</t>
  </si>
  <si>
    <t>Portfolio 5281</t>
  </si>
  <si>
    <t>Portfolio 7351</t>
  </si>
  <si>
    <t>Portfolio 5626</t>
  </si>
  <si>
    <t>Portfolio 9795</t>
  </si>
  <si>
    <t>Portfolio 8596</t>
  </si>
  <si>
    <t>Portfolio 1504</t>
  </si>
  <si>
    <t>Portfolio 7704</t>
  </si>
  <si>
    <t>Portfolio 8936</t>
  </si>
  <si>
    <t>Portfolio 6506</t>
  </si>
  <si>
    <t>Portfolio 9189</t>
  </si>
  <si>
    <t>Portfolio 343</t>
  </si>
  <si>
    <t>Portfolio 694</t>
  </si>
  <si>
    <t>Portfolio 8256</t>
  </si>
  <si>
    <t>Portfolio 5952</t>
  </si>
  <si>
    <t>Portfolio 542</t>
  </si>
  <si>
    <t>Portfolio 4095</t>
  </si>
  <si>
    <t>Portfolio 2914</t>
  </si>
  <si>
    <t>Portfolio 1952</t>
  </si>
  <si>
    <t>Portfolio 7694</t>
  </si>
  <si>
    <t>Portfolio 4260</t>
  </si>
  <si>
    <t>Portfolio 6478</t>
  </si>
  <si>
    <t>Portfolio 2893</t>
  </si>
  <si>
    <t>Portfolio 6790</t>
  </si>
  <si>
    <t>Portfolio 971</t>
  </si>
  <si>
    <t>Portfolio 4405</t>
  </si>
  <si>
    <t>Portfolio 7383</t>
  </si>
  <si>
    <t>Portfolio 9737</t>
  </si>
  <si>
    <t>Portfolio 3698</t>
  </si>
  <si>
    <t>Portfolio 4885</t>
  </si>
  <si>
    <t>Portfolio 478</t>
  </si>
  <si>
    <t>Portfolio 1754</t>
  </si>
  <si>
    <t>Portfolio 2960</t>
  </si>
  <si>
    <t>Portfolio 3196</t>
  </si>
  <si>
    <t>Portfolio 9383</t>
  </si>
  <si>
    <t>Portfolio 5238</t>
  </si>
  <si>
    <t>Portfolio 4880</t>
  </si>
  <si>
    <t>Portfolio 2205</t>
  </si>
  <si>
    <t>Portfolio 5761</t>
  </si>
  <si>
    <t>Portfolio 7146</t>
  </si>
  <si>
    <t>Portfolio 3542</t>
  </si>
  <si>
    <t>Portfolio 1683</t>
  </si>
  <si>
    <t>Portfolio 3727</t>
  </si>
  <si>
    <t>Portfolio 4157</t>
  </si>
  <si>
    <t>Portfolio 3245</t>
  </si>
  <si>
    <t>Portfolio 7431</t>
  </si>
  <si>
    <t>Portfolio 3591</t>
  </si>
  <si>
    <t>Portfolio 6869</t>
  </si>
  <si>
    <t>Portfolio 213</t>
  </si>
  <si>
    <t>Portfolio 7743</t>
  </si>
  <si>
    <t>Portfolio 55</t>
  </si>
  <si>
    <t>Portfolio 396</t>
  </si>
  <si>
    <t>Portfolio 7515</t>
  </si>
  <si>
    <t>Portfolio 4859</t>
  </si>
  <si>
    <t>Portfolio 4759</t>
  </si>
  <si>
    <t>Portfolio 2085</t>
  </si>
  <si>
    <t>Portfolio 4444</t>
  </si>
  <si>
    <t>Portfolio 6437</t>
  </si>
  <si>
    <t>Portfolio 3519</t>
  </si>
  <si>
    <t>Portfolio 3363</t>
  </si>
  <si>
    <t>Portfolio 4878</t>
  </si>
  <si>
    <t>Portfolio 4947</t>
  </si>
  <si>
    <t>Portfolio 6118</t>
  </si>
  <si>
    <t>Portfolio 4188</t>
  </si>
  <si>
    <t>Portfolio 5317</t>
  </si>
  <si>
    <t>Portfolio 1454</t>
  </si>
  <si>
    <t>Portfolio 5964</t>
  </si>
  <si>
    <t>Portfolio 252</t>
  </si>
  <si>
    <t>Portfolio 9069</t>
  </si>
  <si>
    <t>Portfolio 1352</t>
  </si>
  <si>
    <t>Portfolio 7780</t>
  </si>
  <si>
    <t>Portfolio 5136</t>
  </si>
  <si>
    <t>Portfolio 4207</t>
  </si>
  <si>
    <t>Portfolio 6272</t>
  </si>
  <si>
    <t>Portfolio 3015</t>
  </si>
  <si>
    <t>Portfolio 762</t>
  </si>
  <si>
    <t>Portfolio 5450</t>
  </si>
  <si>
    <t>Portfolio 8940</t>
  </si>
  <si>
    <t>Portfolio 6061</t>
  </si>
  <si>
    <t>Portfolio 6122</t>
  </si>
  <si>
    <t>Portfolio 185</t>
  </si>
  <si>
    <t>Portfolio 4332</t>
  </si>
  <si>
    <t>Portfolio 3431</t>
  </si>
  <si>
    <t>Portfolio 6595</t>
  </si>
  <si>
    <t>Portfolio 6659</t>
  </si>
  <si>
    <t>Portfolio 8529</t>
  </si>
  <si>
    <t>Portfolio 5944</t>
  </si>
  <si>
    <t>Portfolio 5526</t>
  </si>
  <si>
    <t>Portfolio 3774</t>
  </si>
  <si>
    <t>Portfolio 8724</t>
  </si>
  <si>
    <t>Portfolio 1428</t>
  </si>
  <si>
    <t>Portfolio 9</t>
  </si>
  <si>
    <t>Portfolio 2390</t>
  </si>
  <si>
    <t>Portfolio 239</t>
  </si>
  <si>
    <t>Portfolio 2496</t>
  </si>
  <si>
    <t>Portfolio 9578</t>
  </si>
  <si>
    <t>Portfolio 9053</t>
  </si>
  <si>
    <t>Portfolio 2184</t>
  </si>
  <si>
    <t>Portfolio 9776</t>
  </si>
  <si>
    <t>Portfolio 4341</t>
  </si>
  <si>
    <t>Portfolio 1455</t>
  </si>
  <si>
    <t>Portfolio 7459</t>
  </si>
  <si>
    <t>Portfolio 2921</t>
  </si>
  <si>
    <t>Portfolio 3738</t>
  </si>
  <si>
    <t>Portfolio 4680</t>
  </si>
  <si>
    <t>Portfolio 9490</t>
  </si>
  <si>
    <t>Portfolio 5331</t>
  </si>
  <si>
    <t>Portfolio 1960</t>
  </si>
  <si>
    <t>Portfolio 1230</t>
  </si>
  <si>
    <t>Portfolio 7580</t>
  </si>
  <si>
    <t>Portfolio 8586</t>
  </si>
  <si>
    <t>Portfolio 467</t>
  </si>
  <si>
    <t>Portfolio 9418</t>
  </si>
  <si>
    <t>Portfolio 1574</t>
  </si>
  <si>
    <t>Portfolio 6192</t>
  </si>
  <si>
    <t>Portfolio 692</t>
  </si>
  <si>
    <t>Portfolio 5051</t>
  </si>
  <si>
    <t>Portfolio 2818</t>
  </si>
  <si>
    <t>Portfolio 1840</t>
  </si>
  <si>
    <t>Portfolio 2307</t>
  </si>
  <si>
    <t>Portfolio 7572</t>
  </si>
  <si>
    <t>Portfolio 7983</t>
  </si>
  <si>
    <t>Portfolio 233</t>
  </si>
  <si>
    <t>Portfolio 13</t>
  </si>
  <si>
    <t>Portfolio 1116</t>
  </si>
  <si>
    <t>Portfolio 1962</t>
  </si>
  <si>
    <t>Portfolio 2171</t>
  </si>
  <si>
    <t>Portfolio 9264</t>
  </si>
  <si>
    <t>Portfolio 6288</t>
  </si>
  <si>
    <t>Portfolio 1917</t>
  </si>
  <si>
    <t>Portfolio 8491</t>
  </si>
  <si>
    <t>Portfolio 5602</t>
  </si>
  <si>
    <t>Portfolio 5283</t>
  </si>
  <si>
    <t>Portfolio 560</t>
  </si>
  <si>
    <t>Portfolio 2530</t>
  </si>
  <si>
    <t>Portfolio 3158</t>
  </si>
  <si>
    <t>Portfolio 3162</t>
  </si>
  <si>
    <t>Portfolio 4247</t>
  </si>
  <si>
    <t>Portfolio 8970</t>
  </si>
  <si>
    <t>Portfolio 7234</t>
  </si>
  <si>
    <t>Portfolio 5514</t>
  </si>
  <si>
    <t>Portfolio 2993</t>
  </si>
  <si>
    <t>Portfolio 1920</t>
  </si>
  <si>
    <t>Portfolio 9265</t>
  </si>
  <si>
    <t>Portfolio 540</t>
  </si>
  <si>
    <t>Portfolio 3970</t>
  </si>
  <si>
    <t>Portfolio 9811</t>
  </si>
  <si>
    <t>Portfolio 656</t>
  </si>
  <si>
    <t>Portfolio 4638</t>
  </si>
  <si>
    <t>Portfolio 8139</t>
  </si>
  <si>
    <t>Portfolio 2772</t>
  </si>
  <si>
    <t>Portfolio 4691</t>
  </si>
  <si>
    <t>Portfolio 4563</t>
  </si>
  <si>
    <t>Portfolio 9150</t>
  </si>
  <si>
    <t>Portfolio 1742</t>
  </si>
  <si>
    <t>Portfolio 2031</t>
  </si>
  <si>
    <t>Portfolio 3011</t>
  </si>
  <si>
    <t>Portfolio 4597</t>
  </si>
  <si>
    <t>Portfolio 5620</t>
  </si>
  <si>
    <t>Portfolio 9502</t>
  </si>
  <si>
    <t>Portfolio 6394</t>
  </si>
  <si>
    <t>Portfolio 424</t>
  </si>
  <si>
    <t>Portfolio 5537</t>
  </si>
  <si>
    <t>Portfolio 7336</t>
  </si>
  <si>
    <t>Portfolio 7778</t>
  </si>
  <si>
    <t>Portfolio 3697</t>
  </si>
  <si>
    <t>Portfolio 2235</t>
  </si>
  <si>
    <t>Portfolio 7189</t>
  </si>
  <si>
    <t>Portfolio 7385</t>
  </si>
  <si>
    <t>Portfolio 2298</t>
  </si>
  <si>
    <t>Portfolio 5367</t>
  </si>
  <si>
    <t>Portfolio 2815</t>
  </si>
  <si>
    <t>Portfolio 9327</t>
  </si>
  <si>
    <t>Portfolio 9285</t>
  </si>
  <si>
    <t>Portfolio 7029</t>
  </si>
  <si>
    <t>Portfolio 1212</t>
  </si>
  <si>
    <t>Portfolio 404</t>
  </si>
  <si>
    <t>Portfolio 2201</t>
  </si>
  <si>
    <t>Portfolio 7661</t>
  </si>
  <si>
    <t>Portfolio 1148</t>
  </si>
  <si>
    <t>Portfolio 4106</t>
  </si>
  <si>
    <t>Portfolio 2997</t>
  </si>
  <si>
    <t>Portfolio 3968</t>
  </si>
  <si>
    <t>Portfolio 913</t>
  </si>
  <si>
    <t>Portfolio 3209</t>
  </si>
  <si>
    <t>Portfolio 7612</t>
  </si>
  <si>
    <t>Portfolio 1515</t>
  </si>
  <si>
    <t>Portfolio 7549</t>
  </si>
  <si>
    <t>Portfolio 9406</t>
  </si>
  <si>
    <t>Portfolio 6512</t>
  </si>
  <si>
    <t>Portfolio 6219</t>
  </si>
  <si>
    <t>Portfolio 795</t>
  </si>
  <si>
    <t>Portfolio 5090</t>
  </si>
  <si>
    <t>Portfolio 5325</t>
  </si>
  <si>
    <t>Portfolio 1945</t>
  </si>
  <si>
    <t>Portfolio 6378</t>
  </si>
  <si>
    <t>Portfolio 1511</t>
  </si>
  <si>
    <t>Portfolio 6037</t>
  </si>
  <si>
    <t>Portfolio 4882</t>
  </si>
  <si>
    <t>Portfolio 6101</t>
  </si>
  <si>
    <t>Portfolio 8418</t>
  </si>
  <si>
    <t>Portfolio 4873</t>
  </si>
  <si>
    <t>Portfolio 8572</t>
  </si>
  <si>
    <t>Portfolio 6338</t>
  </si>
  <si>
    <t>Portfolio 558</t>
  </si>
  <si>
    <t>Portfolio 9238</t>
  </si>
  <si>
    <t>Portfolio 111</t>
  </si>
  <si>
    <t>Portfolio 2509</t>
  </si>
  <si>
    <t>Portfolio 7163</t>
  </si>
  <si>
    <t>Portfolio 7289</t>
  </si>
  <si>
    <t>Portfolio 9352</t>
  </si>
  <si>
    <t>Portfolio 366</t>
  </si>
  <si>
    <t>Portfolio 8806</t>
  </si>
  <si>
    <t>Portfolio 1974</t>
  </si>
  <si>
    <t>Portfolio 3027</t>
  </si>
  <si>
    <t>Portfolio 7797</t>
  </si>
  <si>
    <t>Portfolio 2045</t>
  </si>
  <si>
    <t>Portfolio 3197</t>
  </si>
  <si>
    <t>Portfolio 6080</t>
  </si>
  <si>
    <t>Portfolio 3663</t>
  </si>
  <si>
    <t>Portfolio 6897</t>
  </si>
  <si>
    <t>Portfolio 2356</t>
  </si>
  <si>
    <t>Portfolio 4519</t>
  </si>
  <si>
    <t>Portfolio 3860</t>
  </si>
  <si>
    <t>Portfolio 5174</t>
  </si>
  <si>
    <t>Portfolio 2081</t>
  </si>
  <si>
    <t>Portfolio 3236</t>
  </si>
  <si>
    <t>Portfolio 6364</t>
  </si>
  <si>
    <t>Portfolio 8604</t>
  </si>
  <si>
    <t>Portfolio 1580</t>
  </si>
  <si>
    <t>Portfolio 942</t>
  </si>
  <si>
    <t>Portfolio 821</t>
  </si>
  <si>
    <t>Portfolio 2254</t>
  </si>
  <si>
    <t>Portfolio 7302</t>
  </si>
  <si>
    <t>Portfolio 3676</t>
  </si>
  <si>
    <t>Portfolio 3630</t>
  </si>
  <si>
    <t>Portfolio 2257</t>
  </si>
  <si>
    <t>Portfolio 22</t>
  </si>
  <si>
    <t>Portfolio 2823</t>
  </si>
  <si>
    <t>Portfolio 3998</t>
  </si>
  <si>
    <t>Portfolio 6929</t>
  </si>
  <si>
    <t>Portfolio 511</t>
  </si>
  <si>
    <t>Portfolio 879</t>
  </si>
  <si>
    <t>Portfolio 1103</t>
  </si>
  <si>
    <t>Portfolio 4038</t>
  </si>
  <si>
    <t>Portfolio 2939</t>
  </si>
  <si>
    <t>Portfolio 9299</t>
  </si>
  <si>
    <t>Portfolio 7890</t>
  </si>
  <si>
    <t>Portfolio 1119</t>
  </si>
  <si>
    <t>Portfolio 5703</t>
  </si>
  <si>
    <t>Portfolio 5021</t>
  </si>
  <si>
    <t>Portfolio 7108</t>
  </si>
  <si>
    <t>Portfolio 7396</t>
  </si>
  <si>
    <t>Portfolio 401</t>
  </si>
  <si>
    <t>Portfolio 263</t>
  </si>
  <si>
    <t>Portfolio 6935</t>
  </si>
  <si>
    <t>Portfolio 9525</t>
  </si>
  <si>
    <t>Portfolio 2979</t>
  </si>
  <si>
    <t>Portfolio 2122</t>
  </si>
  <si>
    <t>Portfolio 7314</t>
  </si>
  <si>
    <t>Portfolio 2524</t>
  </si>
  <si>
    <t>Portfolio 595</t>
  </si>
  <si>
    <t>Portfolio 2965</t>
  </si>
  <si>
    <t>Portfolio 9370</t>
  </si>
  <si>
    <t>Portfolio 9876</t>
  </si>
  <si>
    <t>Portfolio 9653</t>
  </si>
  <si>
    <t>Portfolio 860</t>
  </si>
  <si>
    <t>Portfolio 4367</t>
  </si>
  <si>
    <t>Portfolio 1599</t>
  </si>
  <si>
    <t>Portfolio 7350</t>
  </si>
  <si>
    <t>Portfolio 6139</t>
  </si>
  <si>
    <t>Portfolio 7282</t>
  </si>
  <si>
    <t>Portfolio 8412</t>
  </si>
  <si>
    <t>Portfolio 7922</t>
  </si>
  <si>
    <t>Portfolio 7708</t>
  </si>
  <si>
    <t>Portfolio 8222</t>
  </si>
  <si>
    <t>Portfolio 3004</t>
  </si>
  <si>
    <t>Portfolio 4776</t>
  </si>
  <si>
    <t>Portfolio 8920</t>
  </si>
  <si>
    <t>Portfolio 9858</t>
  </si>
  <si>
    <t>Portfolio 7577</t>
  </si>
  <si>
    <t>Portfolio 7678</t>
  </si>
  <si>
    <t>Portfolio 9827</t>
  </si>
  <si>
    <t>Portfolio 6585</t>
  </si>
  <si>
    <t>Portfolio 980</t>
  </si>
  <si>
    <t>Portfolio 106</t>
  </si>
  <si>
    <t>Portfolio 613</t>
  </si>
  <si>
    <t>Portfolio 9064</t>
  </si>
  <si>
    <t>Portfolio 1989</t>
  </si>
  <si>
    <t>Portfolio 5382</t>
  </si>
  <si>
    <t>Portfolio 1561</t>
  </si>
  <si>
    <t>Portfolio 9181</t>
  </si>
  <si>
    <t>Portfolio 5455</t>
  </si>
  <si>
    <t>Portfolio 2585</t>
  </si>
  <si>
    <t>Portfolio 1623</t>
  </si>
  <si>
    <t>Portfolio 8713</t>
  </si>
  <si>
    <t>Portfolio 8498</t>
  </si>
  <si>
    <t>Portfolio 1750</t>
  </si>
  <si>
    <t>Portfolio 932</t>
  </si>
  <si>
    <t>Portfolio 8472</t>
  </si>
  <si>
    <t>Portfolio 4020</t>
  </si>
  <si>
    <t>Portfolio 9496</t>
  </si>
  <si>
    <t>Portfolio 5356</t>
  </si>
  <si>
    <t>Portfolio 5427</t>
  </si>
  <si>
    <t>Portfolio 3520</t>
  </si>
  <si>
    <t>Portfolio 8154</t>
  </si>
  <si>
    <t>Portfolio 9004</t>
  </si>
  <si>
    <t>Portfolio 1733</t>
  </si>
  <si>
    <t>Portfolio 3451</t>
  </si>
  <si>
    <t>Portfolio 787</t>
  </si>
  <si>
    <t>Portfolio 1868</t>
  </si>
  <si>
    <t>Portfolio 475</t>
  </si>
  <si>
    <t>Portfolio 4746</t>
  </si>
  <si>
    <t>Portfolio 1565</t>
  </si>
  <si>
    <t>Portfolio 7121</t>
  </si>
  <si>
    <t>Portfolio 6051</t>
  </si>
  <si>
    <t>Portfolio 1115</t>
  </si>
  <si>
    <t>Portfolio 4342</t>
  </si>
  <si>
    <t>Portfolio 589</t>
  </si>
  <si>
    <t>Portfolio 7609</t>
  </si>
  <si>
    <t>Portfolio 7226</t>
  </si>
  <si>
    <t>Portfolio 6999</t>
  </si>
  <si>
    <t>Portfolio 5327</t>
  </si>
  <si>
    <t>Portfolio 7593</t>
  </si>
  <si>
    <t>Portfolio 2576</t>
  </si>
  <si>
    <t>Portfolio 5863</t>
  </si>
  <si>
    <t>Portfolio 1071</t>
  </si>
  <si>
    <t>Portfolio 8984</t>
  </si>
  <si>
    <t>Portfolio 5359</t>
  </si>
  <si>
    <t>Portfolio 2176</t>
  </si>
  <si>
    <t>Portfolio 8645</t>
  </si>
  <si>
    <t>Portfolio 940</t>
  </si>
  <si>
    <t>Portfolio 9897</t>
  </si>
  <si>
    <t>Portfolio 6814</t>
  </si>
  <si>
    <t>Portfolio 8010</t>
  </si>
  <si>
    <t>Portfolio 4356</t>
  </si>
  <si>
    <t>Portfolio 292</t>
  </si>
  <si>
    <t>Portfolio 2666</t>
  </si>
  <si>
    <t>Portfolio 1211</t>
  </si>
  <si>
    <t>Portfolio 4490</t>
  </si>
  <si>
    <t>Portfolio 1155</t>
  </si>
  <si>
    <t>Portfolio 8548</t>
  </si>
  <si>
    <t>Portfolio 7479</t>
  </si>
  <si>
    <t>Portfolio 1602</t>
  </si>
  <si>
    <t>Portfolio 2324</t>
  </si>
  <si>
    <t>Portfolio 5509</t>
  </si>
  <si>
    <t>Portfolio 5646</t>
  </si>
  <si>
    <t>Portfolio 4502</t>
  </si>
  <si>
    <t>Portfolio 1797</t>
  </si>
  <si>
    <t>Portfolio 2874</t>
  </si>
  <si>
    <t>Portfolio 7304</t>
  </si>
  <si>
    <t>Portfolio 4982</t>
  </si>
  <si>
    <t>Portfolio 6874</t>
  </si>
  <si>
    <t>Portfolio 6516</t>
  </si>
  <si>
    <t>Portfolio 4758</t>
  </si>
  <si>
    <t>Portfolio 5490</t>
  </si>
  <si>
    <t>Portfolio 4911</t>
  </si>
  <si>
    <t>Portfolio 7524</t>
  </si>
  <si>
    <t>Portfolio 7686</t>
  </si>
  <si>
    <t>Portfolio 6454</t>
  </si>
  <si>
    <t>Portfolio 1073</t>
  </si>
  <si>
    <t>Portfolio 3058</t>
  </si>
  <si>
    <t>Portfolio 3995</t>
  </si>
  <si>
    <t>Portfolio 828</t>
  </si>
  <si>
    <t>Portfolio 8387</t>
  </si>
  <si>
    <t>Portfolio 3204</t>
  </si>
  <si>
    <t>Portfolio 177</t>
  </si>
  <si>
    <t>Portfolio 8174</t>
  </si>
  <si>
    <t>Portfolio 9393</t>
  </si>
  <si>
    <t>Portfolio 2714</t>
  </si>
  <si>
    <t>Portfolio 9487</t>
  </si>
  <si>
    <t>Portfolio 1686</t>
  </si>
  <si>
    <t>Portfolio 9528</t>
  </si>
  <si>
    <t>Portfolio 3976</t>
  </si>
  <si>
    <t>Portfolio 3109</t>
  </si>
  <si>
    <t>Portfolio 5928</t>
  </si>
  <si>
    <t>Portfolio 5783</t>
  </si>
  <si>
    <t>Portfolio 6653</t>
  </si>
  <si>
    <t>Portfolio 4529</t>
  </si>
  <si>
    <t>Portfolio 4624</t>
  </si>
  <si>
    <t>Portfolio 7092</t>
  </si>
  <si>
    <t>Portfolio 5184</t>
  </si>
  <si>
    <t>Portfolio 9991</t>
  </si>
  <si>
    <t>Portfolio 1360</t>
  </si>
  <si>
    <t>Portfolio 7138</t>
  </si>
  <si>
    <t>Portfolio 4300</t>
  </si>
  <si>
    <t>Portfolio 4845</t>
  </si>
  <si>
    <t>Portfolio 679</t>
  </si>
  <si>
    <t>Portfolio 8348</t>
  </si>
  <si>
    <t>Portfolio 1296</t>
  </si>
  <si>
    <t>Portfolio 4236</t>
  </si>
  <si>
    <t>Portfolio 7364</t>
  </si>
  <si>
    <t>Portfolio 8576</t>
  </si>
  <si>
    <t>Portfolio 8756</t>
  </si>
  <si>
    <t>Portfolio 7454</t>
  </si>
  <si>
    <t>Portfolio 1914</t>
  </si>
  <si>
    <t>Portfolio 5397</t>
  </si>
  <si>
    <t>Portfolio 481</t>
  </si>
  <si>
    <t>Portfolio 318</t>
  </si>
  <si>
    <t>Portfolio 6310</t>
  </si>
  <si>
    <t>Portfolio 1395</t>
  </si>
  <si>
    <t>Portfolio 9805</t>
  </si>
  <si>
    <t>Portfolio 9104</t>
  </si>
  <si>
    <t>Portfolio 1052</t>
  </si>
  <si>
    <t>Portfolio 6908</t>
  </si>
  <si>
    <t>Portfolio 1555</t>
  </si>
  <si>
    <t>Portfolio 9441</t>
  </si>
  <si>
    <t>Portfolio 1971</t>
  </si>
  <si>
    <t>Portfolio 614</t>
  </si>
  <si>
    <t>Portfolio 5967</t>
  </si>
  <si>
    <t>Portfolio 4891</t>
  </si>
  <si>
    <t>Portfolio 2864</t>
  </si>
  <si>
    <t>Portfolio 9529</t>
  </si>
  <si>
    <t>Portfolio 6083</t>
  </si>
  <si>
    <t>Portfolio 476</t>
  </si>
  <si>
    <t>Portfolio 2095</t>
  </si>
  <si>
    <t>Portfolio 117</t>
  </si>
  <si>
    <t>Portfolio 5488</t>
  </si>
  <si>
    <t>Portfolio 3505</t>
  </si>
  <si>
    <t>Portfolio 3687</t>
  </si>
  <si>
    <t>Portfolio 3300</t>
  </si>
  <si>
    <t>Portfolio 2792</t>
  </si>
  <si>
    <t>Portfolio 8708</t>
  </si>
  <si>
    <t>Portfolio 3607</t>
  </si>
  <si>
    <t>Portfolio 2781</t>
  </si>
  <si>
    <t>Portfolio 815</t>
  </si>
  <si>
    <t>Portfolio 6059</t>
  </si>
  <si>
    <t>Portfolio 5801</t>
  </si>
  <si>
    <t>Portfolio 5655</t>
  </si>
  <si>
    <t>Portfolio 9456</t>
  </si>
  <si>
    <t>Portfolio 2344</t>
  </si>
  <si>
    <t>Portfolio 9144</t>
  </si>
  <si>
    <t>Portfolio 6697</t>
  </si>
  <si>
    <t>Portfolio 9294</t>
  </si>
  <si>
    <t>Portfolio 9242</t>
  </si>
  <si>
    <t>Portfolio 240</t>
  </si>
  <si>
    <t>Portfolio 3584</t>
  </si>
  <si>
    <t>Portfolio 2743</t>
  </si>
  <si>
    <t>Portfolio 5654</t>
  </si>
  <si>
    <t>Portfolio 5263</t>
  </si>
  <si>
    <t>Portfolio 6817</t>
  </si>
  <si>
    <t>Portfolio 3627</t>
  </si>
  <si>
    <t>Portfolio 4237</t>
  </si>
  <si>
    <t>Portfolio 788</t>
  </si>
  <si>
    <t>Portfolio 1618</t>
  </si>
  <si>
    <t>Portfolio 2880</t>
  </si>
  <si>
    <t>Portfolio 6554</t>
  </si>
  <si>
    <t>Portfolio 8002</t>
  </si>
  <si>
    <t>Portfolio 5253</t>
  </si>
  <si>
    <t>Portfolio 159</t>
  </si>
  <si>
    <t>Portfolio 4943</t>
  </si>
  <si>
    <t>Portfolio 2243</t>
  </si>
  <si>
    <t>Portfolio 4978</t>
  </si>
  <si>
    <t>Portfolio 7128</t>
  </si>
  <si>
    <t>Portfolio 9550</t>
  </si>
  <si>
    <t>Portfolio 4670</t>
  </si>
  <si>
    <t>Portfolio 2844</t>
  </si>
  <si>
    <t>Portfolio 4053</t>
  </si>
  <si>
    <t>Portfolio 9125</t>
  </si>
  <si>
    <t>Portfolio 2266</t>
  </si>
  <si>
    <t>Portfolio 7750</t>
  </si>
  <si>
    <t>Portfolio 4616</t>
  </si>
  <si>
    <t>Portfolio 6753</t>
  </si>
  <si>
    <t>Portfolio 5904</t>
  </si>
  <si>
    <t>Portfolio 7775</t>
  </si>
  <si>
    <t>Portfolio 3940</t>
  </si>
  <si>
    <t>Portfolio 7730</t>
  </si>
  <si>
    <t>Portfolio 3482</t>
  </si>
  <si>
    <t>Portfolio 7449</t>
  </si>
  <si>
    <t>Portfolio 1870</t>
  </si>
  <si>
    <t>Portfolio 6811</t>
  </si>
  <si>
    <t>Portfolio 7716</t>
  </si>
  <si>
    <t>Portfolio 1222</t>
  </si>
  <si>
    <t>Portfolio 785</t>
  </si>
  <si>
    <t>Portfolio 3907</t>
  </si>
  <si>
    <t>Portfolio 6785</t>
  </si>
  <si>
    <t>Portfolio 3844</t>
  </si>
  <si>
    <t>Portfolio 3670</t>
  </si>
  <si>
    <t>Portfolio 120</t>
  </si>
  <si>
    <t>Portfolio 3426</t>
  </si>
  <si>
    <t>Portfolio 4136</t>
  </si>
  <si>
    <t>Portfolio 5880</t>
  </si>
  <si>
    <t>Portfolio 4720</t>
  </si>
  <si>
    <t>Portfolio 1728</t>
  </si>
  <si>
    <t>Portfolio 8929</t>
  </si>
  <si>
    <t>Portfolio 5343</t>
  </si>
  <si>
    <t>Portfolio 7279</t>
  </si>
  <si>
    <t>Portfolio 7662</t>
  </si>
  <si>
    <t>Portfolio 6128</t>
  </si>
  <si>
    <t>Portfolio 3523</t>
  </si>
  <si>
    <t>Portfolio 2768</t>
  </si>
  <si>
    <t>Portfolio 8881</t>
  </si>
  <si>
    <t>Portfolio 1450</t>
  </si>
  <si>
    <t>Portfolio 2878</t>
  </si>
  <si>
    <t>Portfolio 3751</t>
  </si>
  <si>
    <t>Portfolio 8749</t>
  </si>
  <si>
    <t>Portfolio 8918</t>
  </si>
  <si>
    <t>Portfolio 5060</t>
  </si>
  <si>
    <t>Portfolio 5957</t>
  </si>
  <si>
    <t>Portfolio 1013</t>
  </si>
  <si>
    <t>Portfolio 5484</t>
  </si>
  <si>
    <t>Portfolio 784</t>
  </si>
  <si>
    <t>Portfolio 688</t>
  </si>
  <si>
    <t>Portfolio 5986</t>
  </si>
  <si>
    <t>Portfolio 7995</t>
  </si>
  <si>
    <t>Portfolio 7944</t>
  </si>
  <si>
    <t>Portfolio 5896</t>
  </si>
  <si>
    <t>Portfolio 8286</t>
  </si>
  <si>
    <t>Portfolio 4383</t>
  </si>
  <si>
    <t>Portfolio 9907</t>
  </si>
  <si>
    <t>Portfolio 3157</t>
  </si>
  <si>
    <t>Portfolio 2416</t>
  </si>
  <si>
    <t>Portfolio 1381</t>
  </si>
  <si>
    <t>Portfolio 4011</t>
  </si>
  <si>
    <t>Portfolio 6275</t>
  </si>
  <si>
    <t>Portfolio 3978</t>
  </si>
  <si>
    <t>Portfolio 917</t>
  </si>
  <si>
    <t>Portfolio 3950</t>
  </si>
  <si>
    <t>Portfolio 5859</t>
  </si>
  <si>
    <t>Portfolio 4510</t>
  </si>
  <si>
    <t>Portfolio 3984</t>
  </si>
  <si>
    <t>Portfolio 6808</t>
  </si>
  <si>
    <t>Portfolio 1681</t>
  </si>
  <si>
    <t>Portfolio 2498</t>
  </si>
  <si>
    <t>Portfolio 907</t>
  </si>
  <si>
    <t>Portfolio 1388</t>
  </si>
  <si>
    <t>Portfolio 9378</t>
  </si>
  <si>
    <t>Portfolio 3949</t>
  </si>
  <si>
    <t>Portfolio 1091</t>
  </si>
  <si>
    <t>Portfolio 734</t>
  </si>
  <si>
    <t>Portfolio 7749</t>
  </si>
  <si>
    <t>Portfolio 6850</t>
  </si>
  <si>
    <t>Portfolio 6141</t>
  </si>
  <si>
    <t>Portfolio 2491</t>
  </si>
  <si>
    <t>Portfolio 5596</t>
  </si>
  <si>
    <t>Portfolio 7291</t>
  </si>
  <si>
    <t>Portfolio 9068</t>
  </si>
  <si>
    <t>Portfolio 5476</t>
  </si>
  <si>
    <t>Portfolio 4065</t>
  </si>
  <si>
    <t>Portfolio 3000</t>
  </si>
  <si>
    <t>Portfolio 9085</t>
  </si>
  <si>
    <t>Portfolio 1998</t>
  </si>
  <si>
    <t>Portfolio 9374</t>
  </si>
  <si>
    <t>Portfolio 6689</t>
  </si>
  <si>
    <t>Portfolio 8022</t>
  </si>
  <si>
    <t>Portfolio 5000</t>
  </si>
  <si>
    <t>Portfolio 670</t>
  </si>
  <si>
    <t>Portfolio 1192</t>
  </si>
  <si>
    <t>Portfolio 4044</t>
  </si>
  <si>
    <t>Portfolio 3408</t>
  </si>
  <si>
    <t>Portfolio 3177</t>
  </si>
  <si>
    <t>Portfolio 4206</t>
  </si>
  <si>
    <t>Portfolio 1645</t>
  </si>
  <si>
    <t>Portfolio 7600</t>
  </si>
  <si>
    <t>Portfolio 3646</t>
  </si>
  <si>
    <t>Portfolio 1313</t>
  </si>
  <si>
    <t>Portfolio 4647</t>
  </si>
  <si>
    <t>Portfolio 3570</t>
  </si>
  <si>
    <t>Portfolio 9746</t>
  </si>
  <si>
    <t>Portfolio 7812</t>
  </si>
  <si>
    <t>Portfolio 6429</t>
  </si>
  <si>
    <t>Portfolio 3429</t>
  </si>
  <si>
    <t>Portfolio 8883</t>
  </si>
  <si>
    <t>Portfolio 5515</t>
  </si>
  <si>
    <t>Portfolio 9957</t>
  </si>
  <si>
    <t>Portfolio 5076</t>
  </si>
  <si>
    <t>Portfolio 2</t>
  </si>
  <si>
    <t>Portfolio 5522</t>
  </si>
  <si>
    <t>Portfolio 8584</t>
  </si>
  <si>
    <t>Portfolio 101</t>
  </si>
  <si>
    <t>Portfolio 8946</t>
  </si>
  <si>
    <t>Portfolio 2663</t>
  </si>
  <si>
    <t>Portfolio 7921</t>
  </si>
  <si>
    <t>Portfolio 8013</t>
  </si>
  <si>
    <t>Portfolio 2764</t>
  </si>
  <si>
    <t>Portfolio 1999</t>
  </si>
  <si>
    <t>Portfolio 9568</t>
  </si>
  <si>
    <t>Portfolio 9292</t>
  </si>
  <si>
    <t>Portfolio 444</t>
  </si>
  <si>
    <t>Portfolio 5656</t>
  </si>
  <si>
    <t>Portfolio 5400</t>
  </si>
  <si>
    <t>Portfolio 4100</t>
  </si>
  <si>
    <t>Portfolio 7174</t>
  </si>
  <si>
    <t>Portfolio 1201</t>
  </si>
  <si>
    <t>Portfolio 6413</t>
  </si>
  <si>
    <t>Portfolio 7346</t>
  </si>
  <si>
    <t>Portfolio 9662</t>
  </si>
  <si>
    <t>Portfolio 8156</t>
  </si>
  <si>
    <t>Portfolio 6005</t>
  </si>
  <si>
    <t>Portfolio 9026</t>
  </si>
  <si>
    <t>Portfolio 8836</t>
  </si>
  <si>
    <t>Portfolio 9115</t>
  </si>
  <si>
    <t>Portfolio 3343</t>
  </si>
  <si>
    <t>Portfolio 4931</t>
  </si>
  <si>
    <t>Portfolio 2590</t>
  </si>
  <si>
    <t>Portfolio 5680</t>
  </si>
  <si>
    <t>Portfolio 8723</t>
  </si>
  <si>
    <t>Portfolio 6612</t>
  </si>
  <si>
    <t>Portfolio 3750</t>
  </si>
  <si>
    <t>Portfolio 5517</t>
  </si>
  <si>
    <t>Portfolio 6939</t>
  </si>
  <si>
    <t>Portfolio 7187</t>
  </si>
  <si>
    <t>Portfolio 3066</t>
  </si>
  <si>
    <t>Portfolio 4739</t>
  </si>
  <si>
    <t>Portfolio 6976</t>
  </si>
  <si>
    <t>Portfolio 2035</t>
  </si>
  <si>
    <t>Portfolio 4195</t>
  </si>
  <si>
    <t>Portfolio 6624</t>
  </si>
  <si>
    <t>Portfolio 8050</t>
  </si>
  <si>
    <t>Portfolio 7641</t>
  </si>
  <si>
    <t>Portfolio 5154</t>
  </si>
  <si>
    <t>Portfolio 5887</t>
  </si>
  <si>
    <t>Portfolio 3007</t>
  </si>
  <si>
    <t>Portfolio 8934</t>
  </si>
  <si>
    <t>Portfolio 927</t>
  </si>
  <si>
    <t>Portfolio 1739</t>
  </si>
  <si>
    <t>Portfolio 5304</t>
  </si>
  <si>
    <t>Portfolio 5332</t>
  </si>
  <si>
    <t>Portfolio 163</t>
  </si>
  <si>
    <t>Portfolio 6407</t>
  </si>
  <si>
    <t>Portfolio 5858</t>
  </si>
  <si>
    <t>Portfolio 4851</t>
  </si>
  <si>
    <t>Portfolio 9261</t>
  </si>
  <si>
    <t>Portfolio 4627</t>
  </si>
  <si>
    <t>Portfolio 5851</t>
  </si>
  <si>
    <t>Portfolio 5604</t>
  </si>
  <si>
    <t>Portfolio 7397</t>
  </si>
  <si>
    <t>Portfolio 333</t>
  </si>
  <si>
    <t>Portfolio 488</t>
  </si>
  <si>
    <t>Portfolio 9249</t>
  </si>
  <si>
    <t>Portfolio 2853</t>
  </si>
  <si>
    <t>Portfolio 4408</t>
  </si>
  <si>
    <t>Portfolio 7990</t>
  </si>
  <si>
    <t>Portfolio 649</t>
  </si>
  <si>
    <t>Portfolio 5445</t>
  </si>
  <si>
    <t>Portfolio 3722</t>
  </si>
  <si>
    <t>Portfolio 7817</t>
  </si>
  <si>
    <t>Portfolio 9430</t>
  </si>
  <si>
    <t>Portfolio 7742</t>
  </si>
  <si>
    <t>Portfolio 8587</t>
  </si>
  <si>
    <t>Portfolio 9029</t>
  </si>
  <si>
    <t>Portfolio 9962</t>
  </si>
  <si>
    <t>Portfolio 2722</t>
  </si>
  <si>
    <t>Portfolio 2990</t>
  </si>
  <si>
    <t>Portfolio 2131</t>
  </si>
  <si>
    <t>Portfolio 8789</t>
  </si>
  <si>
    <t>Portfolio 9037</t>
  </si>
  <si>
    <t>Portfolio 2598</t>
  </si>
  <si>
    <t>Portfolio 3729</t>
  </si>
  <si>
    <t>Portfolio 7451</t>
  </si>
  <si>
    <t>Portfolio 7145</t>
  </si>
  <si>
    <t>Portfolio 2362</t>
  </si>
  <si>
    <t>Portfolio 8663</t>
  </si>
  <si>
    <t>Portfolio 1977</t>
  </si>
  <si>
    <t>Portfolio 6553</t>
  </si>
  <si>
    <t>Portfolio 7110</t>
  </si>
  <si>
    <t>Portfolio 866</t>
  </si>
  <si>
    <t>Portfolio 1337</t>
  </si>
  <si>
    <t>Portfolio 7170</t>
  </si>
  <si>
    <t>Portfolio 6521</t>
  </si>
  <si>
    <t>Portfolio 2342</t>
  </si>
  <si>
    <t>Portfolio 5808</t>
  </si>
  <si>
    <t>Portfolio 486</t>
  </si>
  <si>
    <t>Portfolio 7444</t>
  </si>
  <si>
    <t>Portfolio 3213</t>
  </si>
  <si>
    <t>Portfolio 9023</t>
  </si>
  <si>
    <t>Portfolio 3642</t>
  </si>
  <si>
    <t>Portfolio 4486</t>
  </si>
  <si>
    <t>Portfolio 175</t>
  </si>
  <si>
    <t>Portfolio 8852</t>
  </si>
  <si>
    <t>Portfolio 8255</t>
  </si>
  <si>
    <t>Portfolio 8017</t>
  </si>
  <si>
    <t>Portfolio 6535</t>
  </si>
  <si>
    <t>Portfolio 9612</t>
  </si>
  <si>
    <t>Portfolio 2516</t>
  </si>
  <si>
    <t>Portfolio 4986</t>
  </si>
  <si>
    <t>Portfolio 7111</t>
  </si>
  <si>
    <t>Portfolio 4832</t>
  </si>
  <si>
    <t>Portfolio 9015</t>
  </si>
  <si>
    <t>Portfolio 1058</t>
  </si>
  <si>
    <t>Portfolio 6864</t>
  </si>
  <si>
    <t>Portfolio 6682</t>
  </si>
  <si>
    <t>Portfolio 2273</t>
  </si>
  <si>
    <t>Portfolio 9711</t>
  </si>
  <si>
    <t>Portfolio 854</t>
  </si>
  <si>
    <t>Portfolio 6449</t>
  </si>
  <si>
    <t>Portfolio 8954</t>
  </si>
  <si>
    <t>Portfolio 5854</t>
  </si>
  <si>
    <t>Portfolio 9673</t>
  </si>
  <si>
    <t>Portfolio 7697</t>
  </si>
  <si>
    <t>Portfolio 1759</t>
  </si>
  <si>
    <t>Portfolio 1713</t>
  </si>
  <si>
    <t>Portfolio 7403</t>
  </si>
  <si>
    <t>Portfolio 7428</t>
  </si>
  <si>
    <t>Portfolio 5196</t>
  </si>
  <si>
    <t>Portfolio 6014</t>
  </si>
  <si>
    <t>Portfolio 2249</t>
  </si>
  <si>
    <t>Portfolio 5403</t>
  </si>
  <si>
    <t>Portfolio 5378</t>
  </si>
  <si>
    <t>Portfolio 793</t>
  </si>
  <si>
    <t>Portfolio 7401</t>
  </si>
  <si>
    <t>Portfolio 2614</t>
  </si>
  <si>
    <t>Portfolio 1054</t>
  </si>
  <si>
    <t>Portfolio 2392</t>
  </si>
  <si>
    <t>Portfolio 2664</t>
  </si>
  <si>
    <t>Portfolio 2196</t>
  </si>
  <si>
    <t>Portfolio 6187</t>
  </si>
  <si>
    <t>Portfolio 826</t>
  </si>
  <si>
    <t>Portfolio 1349</t>
  </si>
  <si>
    <t>Portfolio 3136</t>
  </si>
  <si>
    <t>Portfolio 3504</t>
  </si>
  <si>
    <t>Portfolio 1436</t>
  </si>
  <si>
    <t>Portfolio 2777</t>
  </si>
  <si>
    <t>Portfolio 1850</t>
  </si>
  <si>
    <t>Portfolio 8456</t>
  </si>
  <si>
    <t>Portfolio 5328</t>
  </si>
  <si>
    <t>Portfolio 9724</t>
  </si>
  <si>
    <t>Portfolio 6701</t>
  </si>
  <si>
    <t>Portfolio 6723</t>
  </si>
  <si>
    <t>Portfolio 7573</t>
  </si>
  <si>
    <t>Portfolio 7275</t>
  </si>
  <si>
    <t>Portfolio 5357</t>
  </si>
  <si>
    <t>Portfolio 5988</t>
  </si>
  <si>
    <t>Portfolio 5619</t>
  </si>
  <si>
    <t>Portfolio 6152</t>
  </si>
  <si>
    <t>Portfolio 5084</t>
  </si>
  <si>
    <t>Portfolio 4815</t>
  </si>
  <si>
    <t>Portfolio 5842</t>
  </si>
  <si>
    <t>Portfolio 5101</t>
  </si>
  <si>
    <t>Portfolio 2311</t>
  </si>
  <si>
    <t>Portfolio 2586</t>
  </si>
  <si>
    <t>Portfolio 3881</t>
  </si>
  <si>
    <t>Portfolio 2152</t>
  </si>
  <si>
    <t>Portfolio 9040</t>
  </si>
  <si>
    <t>Portfolio 5985</t>
  </si>
  <si>
    <t>Portfolio 7955</t>
  </si>
  <si>
    <t>Portfolio 9287</t>
  </si>
  <si>
    <t>Portfolio 6498</t>
  </si>
  <si>
    <t>Portfolio 7219</t>
  </si>
  <si>
    <t>Portfolio 8288</t>
  </si>
  <si>
    <t>Portfolio 433</t>
  </si>
  <si>
    <t>Portfolio 9849</t>
  </si>
  <si>
    <t>Portfolio 8211</t>
  </si>
  <si>
    <t>Portfolio 4046</t>
  </si>
  <si>
    <t>Portfolio 8097</t>
  </si>
  <si>
    <t>Portfolio 2245</t>
  </si>
  <si>
    <t>Portfolio 7126</t>
  </si>
  <si>
    <t>Portfolio 6198</t>
  </si>
  <si>
    <t>Portfolio 5270</t>
  </si>
  <si>
    <t>Portfolio 5138</t>
  </si>
  <si>
    <t>Portfolio 5572</t>
  </si>
  <si>
    <t>Portfolio 3094</t>
  </si>
  <si>
    <t>Portfolio 2845</t>
  </si>
  <si>
    <t>Portfolio 9979</t>
  </si>
  <si>
    <t>Portfolio 6216</t>
  </si>
  <si>
    <t>Portfolio 6038</t>
  </si>
  <si>
    <t>Portfolio 205</t>
  </si>
  <si>
    <t>Portfolio 561</t>
  </si>
  <si>
    <t>Portfolio 4307</t>
  </si>
  <si>
    <t>Portfolio 3433</t>
  </si>
  <si>
    <t>Portfolio 7824</t>
  </si>
  <si>
    <t>Portfolio 5368</t>
  </si>
  <si>
    <t>Portfolio 9929</t>
  </si>
  <si>
    <t>Portfolio 2227</t>
  </si>
  <si>
    <t>Portfolio 6468</t>
  </si>
  <si>
    <t>Portfolio 6108</t>
  </si>
  <si>
    <t>Portfolio 9073</t>
  </si>
  <si>
    <t>Portfolio 9833</t>
  </si>
  <si>
    <t>Portfolio 1400</t>
  </si>
  <si>
    <t>Portfolio 4309</t>
  </si>
  <si>
    <t>Portfolio 9031</t>
  </si>
  <si>
    <t>Portfolio 9843</t>
  </si>
  <si>
    <t>Portfolio 8246</t>
  </si>
  <si>
    <t>Portfolio 1951</t>
  </si>
  <si>
    <t>Portfolio 4386</t>
  </si>
  <si>
    <t>Portfolio 5673</t>
  </si>
  <si>
    <t>Portfolio 9772</t>
  </si>
  <si>
    <t>Portfolio 6548</t>
  </si>
  <si>
    <t>Portfolio 6470</t>
  </si>
  <si>
    <t>Portfolio 1865</t>
  </si>
  <si>
    <t>Portfolio 6105</t>
  </si>
  <si>
    <t>Portfolio 5513</t>
  </si>
  <si>
    <t>Portfolio 3714</t>
  </si>
  <si>
    <t>Portfolio 9286</t>
  </si>
  <si>
    <t>Portfolio 3333</t>
  </si>
  <si>
    <t>Portfolio 2123</t>
  </si>
  <si>
    <t>Portfolio 4918</t>
  </si>
  <si>
    <t>Portfolio 1954</t>
  </si>
  <si>
    <t>Portfolio 2353</t>
  </si>
  <si>
    <t>Portfolio 8381</t>
  </si>
  <si>
    <t>Portfolio 7968</t>
  </si>
  <si>
    <t>Portfolio 1919</t>
  </si>
  <si>
    <t>Portfolio 6143</t>
  </si>
  <si>
    <t>Portfolio 3876</t>
  </si>
  <si>
    <t>Portfolio 6902</t>
  </si>
  <si>
    <t>Portfolio 5466</t>
  </si>
  <si>
    <t>Portfolio 1069</t>
  </si>
  <si>
    <t>Portfolio 2314</t>
  </si>
  <si>
    <t>Portfolio 7264</t>
  </si>
  <si>
    <t>Portfolio 7503</t>
  </si>
  <si>
    <t>Portfolio 6456</t>
  </si>
  <si>
    <t>Portfolio 2226</t>
  </si>
  <si>
    <t>Portfolio 2321</t>
  </si>
  <si>
    <t>Portfolio 5884</t>
  </si>
  <si>
    <t>Portfolio 4752</t>
  </si>
  <si>
    <t>Portfolio 5547</t>
  </si>
  <si>
    <t>Portfolio 6484</t>
  </si>
  <si>
    <t>Portfolio 7312</t>
  </si>
  <si>
    <t>Portfolio 3034</t>
  </si>
  <si>
    <t>Portfolio 6110</t>
  </si>
  <si>
    <t>Portfolio 6212</t>
  </si>
  <si>
    <t>Portfolio 4415</t>
  </si>
  <si>
    <t>Portfolio 9854</t>
  </si>
  <si>
    <t>Portfolio 5659</t>
  </si>
  <si>
    <t>Portfolio 7606</t>
  </si>
  <si>
    <t>Portfolio 4655</t>
  </si>
  <si>
    <t>Portfolio 1124</t>
  </si>
  <si>
    <t>Portfolio 8342</t>
  </si>
  <si>
    <t>Portfolio 4566</t>
  </si>
  <si>
    <t>Portfolio 1413</t>
  </si>
  <si>
    <t>Portfolio 4564</t>
  </si>
  <si>
    <t>Portfolio 1411</t>
  </si>
  <si>
    <t>Portfolio 9162</t>
  </si>
  <si>
    <t>Portfolio 8226</t>
  </si>
  <si>
    <t>Portfolio 8765</t>
  </si>
  <si>
    <t>Portfolio 154</t>
  </si>
  <si>
    <t>Portfolio 2542</t>
  </si>
  <si>
    <t>Portfolio 4121</t>
  </si>
  <si>
    <t>Portfolio 6881</t>
  </si>
  <si>
    <t>Portfolio 8775</t>
  </si>
  <si>
    <t>Portfolio 1630</t>
  </si>
  <si>
    <t>Portfolio 4753</t>
  </si>
  <si>
    <t>Portfolio 3693</t>
  </si>
  <si>
    <t>Portfolio 6760</t>
  </si>
  <si>
    <t>Portfolio 8496</t>
  </si>
  <si>
    <t>Portfolio 5252</t>
  </si>
  <si>
    <t>Portfolio 9168</t>
  </si>
  <si>
    <t>Portfolio 6633</t>
  </si>
  <si>
    <t>Portfolio 5032</t>
  </si>
  <si>
    <t>Portfolio 865</t>
  </si>
  <si>
    <t>Portfolio 2852</t>
  </si>
  <si>
    <t>Portfolio 2214</t>
  </si>
  <si>
    <t>Portfolio 8541</t>
  </si>
  <si>
    <t>Portfolio 465</t>
  </si>
  <si>
    <t>Portfolio 5275</t>
  </si>
  <si>
    <t>Portfolio 2377</t>
  </si>
  <si>
    <t>Portfolio 4677</t>
  </si>
  <si>
    <t>Portfolio 6813</t>
  </si>
  <si>
    <t>Portfolio 2599</t>
  </si>
  <si>
    <t>Portfolio 5861</t>
  </si>
  <si>
    <t>Portfolio 1186</t>
  </si>
  <si>
    <t>Portfolio 5216</t>
  </si>
  <si>
    <t>Portfolio 9756</t>
  </si>
  <si>
    <t>Portfolio 9859</t>
  </si>
  <si>
    <t>Portfolio 2961</t>
  </si>
  <si>
    <t>Portfolio 7298</t>
  </si>
  <si>
    <t>Portfolio 7522</t>
  </si>
  <si>
    <t>Portfolio 7926</t>
  </si>
  <si>
    <t>Portfolio 5077</t>
  </si>
  <si>
    <t>Portfolio 1281</t>
  </si>
  <si>
    <t>Portfolio 8023</t>
  </si>
  <si>
    <t>Portfolio 4958</t>
  </si>
  <si>
    <t>Portfolio 9892</t>
  </si>
  <si>
    <t>Portfolio 499</t>
  </si>
  <si>
    <t>Portfolio 8819</t>
  </si>
  <si>
    <t>Portfolio 1089</t>
  </si>
  <si>
    <t>Portfolio 7828</t>
  </si>
  <si>
    <t>Portfolio 6496</t>
  </si>
  <si>
    <t>Portfolio 9532</t>
  </si>
  <si>
    <t>Portfolio 7209</t>
  </si>
  <si>
    <t>Portfolio 9523</t>
  </si>
  <si>
    <t>Portfolio 7210</t>
  </si>
  <si>
    <t>Portfolio 2144</t>
  </si>
  <si>
    <t>Portfolio 867</t>
  </si>
  <si>
    <t>Portfolio 1408</t>
  </si>
  <si>
    <t>Portfolio 7390</t>
  </si>
  <si>
    <t>Portfolio 6989</t>
  </si>
  <si>
    <t>Portfolio 9402</t>
  </si>
  <si>
    <t>Portfolio 90</t>
  </si>
  <si>
    <t>Portfolio 7236</t>
  </si>
  <si>
    <t>Portfolio 6463</t>
  </si>
  <si>
    <t>Portfolio 8690</t>
  </si>
  <si>
    <t>Portfolio 2002</t>
  </si>
  <si>
    <t>Portfolio 2811</t>
  </si>
  <si>
    <t>Portfolio 235</t>
  </si>
  <si>
    <t>Portfolio 116</t>
  </si>
  <si>
    <t>Portfolio 1916</t>
  </si>
  <si>
    <t>Portfolio 4002</t>
  </si>
  <si>
    <t>Portfolio 5524</t>
  </si>
  <si>
    <t>Portfolio 8880</t>
  </si>
  <si>
    <t>Portfolio 9322</t>
  </si>
  <si>
    <t>Portfolio 7173</t>
  </si>
  <si>
    <t>Portfolio 1108</t>
  </si>
  <si>
    <t>Portfolio 372</t>
  </si>
  <si>
    <t>Portfolio 4511</t>
  </si>
  <si>
    <t>Portfolio 7574</t>
  </si>
  <si>
    <t>Portfolio 544</t>
  </si>
  <si>
    <t>Portfolio 2987</t>
  </si>
  <si>
    <t>Portfolio 4492</t>
  </si>
  <si>
    <t>Portfolio 4398</t>
  </si>
  <si>
    <t>Portfolio 4907</t>
  </si>
  <si>
    <t>Portfolio 5446</t>
  </si>
  <si>
    <t>Portfolio 1608</t>
  </si>
  <si>
    <t>Portfolio 9606</t>
  </si>
  <si>
    <t>Portfolio 5797</t>
  </si>
  <si>
    <t>Portfolio 9919</t>
  </si>
  <si>
    <t>Portfolio 3496</t>
  </si>
  <si>
    <t>Portfolio 7239</t>
  </si>
  <si>
    <t>Portfolio 9134</t>
  </si>
  <si>
    <t>Portfolio 4938</t>
  </si>
  <si>
    <t>Portfolio 2427</t>
  </si>
  <si>
    <t>Portfolio 7978</t>
  </si>
  <si>
    <t>Portfolio 6325</t>
  </si>
  <si>
    <t>Portfolio 939</t>
  </si>
  <si>
    <t>Portfolio 838</t>
  </si>
  <si>
    <t>Portfolio 8192</t>
  </si>
  <si>
    <t>Portfolio 7897</t>
  </si>
  <si>
    <t>Portfolio 3597</t>
  </si>
  <si>
    <t>Portfolio 8887</t>
  </si>
  <si>
    <t>Portfolio 9912</t>
  </si>
  <si>
    <t>Portfolio 6829</t>
  </si>
  <si>
    <t>Portfolio 2836</t>
  </si>
  <si>
    <t>Portfolio 7905</t>
  </si>
  <si>
    <t>Portfolio 1903</t>
  </si>
  <si>
    <t>Portfolio 3854</t>
  </si>
  <si>
    <t>Portfolio 9120</t>
  </si>
  <si>
    <t>Portfolio 4169</t>
  </si>
  <si>
    <t>Portfolio 4966</t>
  </si>
  <si>
    <t>Portfolio 6136</t>
  </si>
  <si>
    <t>Portfolio 3146</t>
  </si>
  <si>
    <t>Portfolio 5921</t>
  </si>
  <si>
    <t>Portfolio 5745</t>
  </si>
  <si>
    <t>Portfolio 9956</t>
  </si>
  <si>
    <t>Portfolio 8683</t>
  </si>
  <si>
    <t>Portfolio 5144</t>
  </si>
  <si>
    <t>Portfolio 6039</t>
  </si>
  <si>
    <t>Portfolio 7803</t>
  </si>
  <si>
    <t>Portfolio 1793</t>
  </si>
  <si>
    <t>Portfolio 8614</t>
  </si>
  <si>
    <t>Portfolio 5536</t>
  </si>
  <si>
    <t>Portfolio 1210</t>
  </si>
  <si>
    <t>Portfolio 2995</t>
  </si>
  <si>
    <t>Portfolio 4700</t>
  </si>
  <si>
    <t>Portfolio 2650</t>
  </si>
  <si>
    <t>Portfolio 3038</t>
  </si>
  <si>
    <t>Portfolio 9246</t>
  </si>
  <si>
    <t>Portfolio 1522</t>
  </si>
  <si>
    <t>Portfolio 2234</t>
  </si>
  <si>
    <t>Portfolio 7407</t>
  </si>
  <si>
    <t>Portfolio 7027</t>
  </si>
  <si>
    <t>Portfolio 4446</t>
  </si>
  <si>
    <t>Portfolio 3775</t>
  </si>
  <si>
    <t>Portfolio 6043</t>
  </si>
  <si>
    <t>Portfolio 1236</t>
  </si>
  <si>
    <t>Portfolio 7711</t>
  </si>
  <si>
    <t>Portfolio 6385</t>
  </si>
  <si>
    <t>Portfolio 3871</t>
  </si>
  <si>
    <t>Portfolio 9284</t>
  </si>
  <si>
    <t>Portfolio 9442</t>
  </si>
  <si>
    <t>Portfolio 8697</t>
  </si>
  <si>
    <t>Portfolio 1773</t>
  </si>
  <si>
    <t>Portfolio 9424</t>
  </si>
  <si>
    <t>Portfolio 6316</t>
  </si>
  <si>
    <t>Portfolio 9872</t>
  </si>
  <si>
    <t>Portfolio 4671</t>
  </si>
  <si>
    <t>Portfolio 7464</t>
  </si>
  <si>
    <t>Portfolio 8750</t>
  </si>
  <si>
    <t>Portfolio 9067</t>
  </si>
  <si>
    <t>Portfolio 687</t>
  </si>
  <si>
    <t>Portfolio 1540</t>
  </si>
  <si>
    <t>Portfolio 9226</t>
  </si>
  <si>
    <t>Portfolio 6871</t>
  </si>
  <si>
    <t>Portfolio 851</t>
  </si>
  <si>
    <t>Portfolio 8965</t>
  </si>
  <si>
    <t>Portfolio 8005</t>
  </si>
  <si>
    <t>Portfolio 6614</t>
  </si>
  <si>
    <t>Portfolio 6570</t>
  </si>
  <si>
    <t>Portfolio 3632</t>
  </si>
  <si>
    <t>Portfolio 1872</t>
  </si>
  <si>
    <t>Portfolio 4612</t>
  </si>
  <si>
    <t>Portfolio 4388</t>
  </si>
  <si>
    <t>Portfolio 8630</t>
  </si>
  <si>
    <t>Portfolio 2534</t>
  </si>
  <si>
    <t>Portfolio 5607</t>
  </si>
  <si>
    <t>Portfolio 6363</t>
  </si>
  <si>
    <t>Portfolio 2739</t>
  </si>
  <si>
    <t>Portfolio 4555</t>
  </si>
  <si>
    <t>Portfolio 2779</t>
  </si>
  <si>
    <t>Portfolio 9018</t>
  </si>
  <si>
    <t>Portfolio 2381</t>
  </si>
  <si>
    <t>Portfolio 8259</t>
  </si>
  <si>
    <t>Portfolio 775</t>
  </si>
  <si>
    <t>Portfolio 2499</t>
  </si>
  <si>
    <t>Portfolio 1944</t>
  </si>
  <si>
    <t>Portfolio 3481</t>
  </si>
  <si>
    <t>Portfolio 7199</t>
  </si>
  <si>
    <t>Portfolio 5512</t>
  </si>
  <si>
    <t>Portfolio 1173</t>
  </si>
  <si>
    <t>Portfolio 766</t>
  </si>
  <si>
    <t>Portfolio 3894</t>
  </si>
  <si>
    <t>Portfolio 8416</t>
  </si>
  <si>
    <t>Portfolio 4854</t>
  </si>
  <si>
    <t>Portfolio 8148</t>
  </si>
  <si>
    <t>Portfolio 3780</t>
  </si>
  <si>
    <t>Portfolio 8400</t>
  </si>
  <si>
    <t>Portfolio 5788</t>
  </si>
  <si>
    <t>Portfolio 4697</t>
  </si>
  <si>
    <t>Portfolio 1982</t>
  </si>
  <si>
    <t>Portfolio 1159</t>
  </si>
  <si>
    <t>Portfolio 8265</t>
  </si>
  <si>
    <t>Portfolio 9605</t>
  </si>
  <si>
    <t>Portfolio 4551</t>
  </si>
  <si>
    <t>Portfolio 1000</t>
  </si>
  <si>
    <t>Portfolio 6979</t>
  </si>
  <si>
    <t>Portfolio 4530</t>
  </si>
  <si>
    <t>Portfolio 4016</t>
  </si>
  <si>
    <t>Portfolio 6276</t>
  </si>
  <si>
    <t>Portfolio 6450</t>
  </si>
  <si>
    <t>Portfolio 8523</t>
  </si>
  <si>
    <t>Portfolio 3985</t>
  </si>
  <si>
    <t>Portfolio 5829</t>
  </si>
  <si>
    <t>Portfolio 1513</t>
  </si>
  <si>
    <t>Portfolio 8684</t>
  </si>
  <si>
    <t>Portfolio 4215</t>
  </si>
  <si>
    <t>Portfolio 1444</t>
  </si>
  <si>
    <t>Portfolio 4831</t>
  </si>
  <si>
    <t>Portfolio 920</t>
  </si>
  <si>
    <t>Portfolio 7786</t>
  </si>
  <si>
    <t>Portfolio 3280</t>
  </si>
  <si>
    <t>Portfolio 9489</t>
  </si>
  <si>
    <t>Portfolio 8233</t>
  </si>
  <si>
    <t>Portfolio 5385</t>
  </si>
  <si>
    <t>Portfolio 9894</t>
  </si>
  <si>
    <t>Portfolio 9453</t>
  </si>
  <si>
    <t>Portfolio 9328</t>
  </si>
  <si>
    <t>Portfolio 1473</t>
  </si>
  <si>
    <t>Portfolio 5756</t>
  </si>
  <si>
    <t>Portfolio 3997</t>
  </si>
  <si>
    <t>Portfolio 5628</t>
  </si>
  <si>
    <t>Portfolio 6032</t>
  </si>
  <si>
    <t>Portfolio 6072</t>
  </si>
  <si>
    <t>Portfolio 2706</t>
  </si>
  <si>
    <t>Portfolio 3251</t>
  </si>
  <si>
    <t>Portfolio 7058</t>
  </si>
  <si>
    <t>Portfolio 9464</t>
  </si>
  <si>
    <t>Portfolio 5769</t>
  </si>
  <si>
    <t>Portfolio 8144</t>
  </si>
  <si>
    <t>Portfolio 9197</t>
  </si>
  <si>
    <t>Portfolio 5080</t>
  </si>
  <si>
    <t>Portfolio 203</t>
  </si>
  <si>
    <t>Portfolio 3963</t>
  </si>
  <si>
    <t>Portfolio 7535</t>
  </si>
  <si>
    <t>Portfolio 362</t>
  </si>
  <si>
    <t>Portfolio 5062</t>
  </si>
  <si>
    <t>Portfolio 1110</t>
  </si>
  <si>
    <t>Portfolio 7834</t>
  </si>
  <si>
    <t>Portfolio 8305</t>
  </si>
  <si>
    <t>Portfolio 9665</t>
  </si>
  <si>
    <t>Portfolio 9620</t>
  </si>
  <si>
    <t>Portfolio 9258</t>
  </si>
  <si>
    <t>Portfolio 5424</t>
  </si>
  <si>
    <t>Portfolio 1326</t>
  </si>
  <si>
    <t>Portfolio 1425</t>
  </si>
  <si>
    <t>Portfolio 7068</t>
  </si>
  <si>
    <t>Portfolio 5092</t>
  </si>
  <si>
    <t>Portfolio 4903</t>
  </si>
  <si>
    <t>Portfolio 4127</t>
  </si>
  <si>
    <t>Portfolio 2296</t>
  </si>
  <si>
    <t>Portfolio 6828</t>
  </si>
  <si>
    <t>Portfolio 3610</t>
  </si>
  <si>
    <t>Portfolio 528</t>
  </si>
  <si>
    <t>Portfolio 7223</t>
  </si>
  <si>
    <t>Portfolio 9288</t>
  </si>
  <si>
    <t>Portfolio 5525</t>
  </si>
  <si>
    <t>Portfolio 2661</t>
  </si>
  <si>
    <t>Portfolio 7818</t>
  </si>
  <si>
    <t>Portfolio 1673</t>
  </si>
  <si>
    <t>Portfolio 6561</t>
  </si>
  <si>
    <t>Portfolio 2528</t>
  </si>
  <si>
    <t>Portfolio 8533</t>
  </si>
  <si>
    <t>Portfolio 3383</t>
  </si>
  <si>
    <t>Portfolio 2834</t>
  </si>
  <si>
    <t>Portfolio 9684</t>
  </si>
  <si>
    <t>Portfolio 9976</t>
  </si>
  <si>
    <t>Portfolio 9786</t>
  </si>
  <si>
    <t>Portfolio 6797</t>
  </si>
  <si>
    <t>Portfolio 6520</t>
  </si>
  <si>
    <t>Portfolio 1111</t>
  </si>
  <si>
    <t>Portfolio 2447</t>
  </si>
  <si>
    <t>Portfolio 7060</t>
  </si>
  <si>
    <t>Portfolio 2191</t>
  </si>
  <si>
    <t>Portfolio 2723</t>
  </si>
  <si>
    <t>Portfolio 1420</t>
  </si>
  <si>
    <t>Portfolio 5533</t>
  </si>
  <si>
    <t>Portfolio 9183</t>
  </si>
  <si>
    <t>Portfolio 5613</t>
  </si>
  <si>
    <t>Portfolio 999</t>
  </si>
  <si>
    <t>Portfolio 2632</t>
  </si>
  <si>
    <t>Portfolio 745</t>
  </si>
  <si>
    <t>Portfolio 2733</t>
  </si>
  <si>
    <t>Portfolio 5825</t>
  </si>
  <si>
    <t>Portfolio 7895</t>
  </si>
  <si>
    <t>Portfolio 7774</t>
  </si>
  <si>
    <t>Portfolio 7402</t>
  </si>
  <si>
    <t>Portfolio 7839</t>
  </si>
  <si>
    <t>Portfolio 3122</t>
  </si>
  <si>
    <t>Portfolio 2788</t>
  </si>
  <si>
    <t>Portfolio 651</t>
  </si>
  <si>
    <t>Portfolio 7488</t>
  </si>
  <si>
    <t>Portfolio 421</t>
  </si>
  <si>
    <t>Portfolio 1593</t>
  </si>
  <si>
    <t>Portfolio 8440</t>
  </si>
  <si>
    <t>Portfolio 2916</t>
  </si>
  <si>
    <t>Portfolio 3334</t>
  </si>
  <si>
    <t>Portfolio 7961</t>
  </si>
  <si>
    <t>Portfolio 8687</t>
  </si>
  <si>
    <t>Portfolio 4803</t>
  </si>
  <si>
    <t>Portfolio 2121</t>
  </si>
  <si>
    <t>Portfolio 7361</t>
  </si>
  <si>
    <t>Portfolio 8266</t>
  </si>
  <si>
    <t>Portfolio 4910</t>
  </si>
  <si>
    <t>Portfolio 1017</t>
  </si>
  <si>
    <t>Portfolio 6945</t>
  </si>
  <si>
    <t>Portfolio 9717</t>
  </si>
  <si>
    <t>Portfolio 9619</t>
  </si>
  <si>
    <t>Portfolio 5170</t>
  </si>
  <si>
    <t>Portfolio 4621</t>
  </si>
  <si>
    <t>Portfolio 6294</t>
  </si>
  <si>
    <t>Portfolio 7474</t>
  </si>
  <si>
    <t>Portfolio 3107</t>
  </si>
  <si>
    <t>Portfolio 4498</t>
  </si>
  <si>
    <t>Portfolio 405</t>
  </si>
  <si>
    <t>Portfolio 8790</t>
  </si>
  <si>
    <t>Portfolio 3084</t>
  </si>
  <si>
    <t>Portfolio 7846</t>
  </si>
  <si>
    <t>Portfolio 3633</t>
  </si>
  <si>
    <t>Portfolio 5043</t>
  </si>
  <si>
    <t>Portfolio 2525</t>
  </si>
  <si>
    <t>Portfolio 3718</t>
  </si>
  <si>
    <t>Portfolio 3170</t>
  </si>
  <si>
    <t>Portfolio 3101</t>
  </si>
  <si>
    <t>Portfolio 2094</t>
  </si>
  <si>
    <t>Portfolio 6690</t>
  </si>
  <si>
    <t>Portfolio 2838</t>
  </si>
  <si>
    <t>Portfolio 4401</t>
  </si>
  <si>
    <t>Portfolio 3545</t>
  </si>
  <si>
    <t>Portfolio 8210</t>
  </si>
  <si>
    <t>Portfolio 7104</t>
  </si>
  <si>
    <t>Portfolio 9817</t>
  </si>
  <si>
    <t>Portfolio 6927</t>
  </si>
  <si>
    <t>Portfolio 9600</t>
  </si>
  <si>
    <t>Portfolio 9173</t>
  </si>
  <si>
    <t>Portfolio 7652</t>
  </si>
  <si>
    <t>Portfolio 6756</t>
  </si>
  <si>
    <t>Portfolio 7974</t>
  </si>
  <si>
    <t>Portfolio 4073</t>
  </si>
  <si>
    <t>Portfolio 6352</t>
  </si>
  <si>
    <t>Portfolio 4117</t>
  </si>
  <si>
    <t>Portfolio 6495</t>
  </si>
  <si>
    <t>Portfolio 6130</t>
  </si>
  <si>
    <t>Portfolio 2492</t>
  </si>
  <si>
    <t>Portfolio 8754</t>
  </si>
  <si>
    <t>Portfolio 5305</t>
  </si>
  <si>
    <t>Portfolio 7244</t>
  </si>
  <si>
    <t>Portfolio 964</t>
  </si>
  <si>
    <t>Portfolio 832</t>
  </si>
  <si>
    <t>Portfolio 5126</t>
  </si>
  <si>
    <t>Portfolio 2367</t>
  </si>
  <si>
    <t>Portfolio 7262</t>
  </si>
  <si>
    <t>Portfolio 750</t>
  </si>
  <si>
    <t>Portfolio 4347</t>
  </si>
  <si>
    <t>Portfolio 8384</t>
  </si>
  <si>
    <t>Portfolio 1088</t>
  </si>
  <si>
    <t>Portfolio 4272</t>
  </si>
  <si>
    <t>Portfolio 2064</t>
  </si>
  <si>
    <t>Portfolio 1462</t>
  </si>
  <si>
    <t>Portfolio 1368</t>
  </si>
  <si>
    <t>Portfolio 73</t>
  </si>
  <si>
    <t>Portfolio 3833</t>
  </si>
  <si>
    <t>Portfolio 9722</t>
  </si>
  <si>
    <t>Portfolio 5898</t>
  </si>
  <si>
    <t>Portfolio 5810</t>
  </si>
  <si>
    <t>Portfolio 5752</t>
  </si>
  <si>
    <t>Portfolio 8856</t>
  </si>
  <si>
    <t>Portfolio 374</t>
  </si>
  <si>
    <t>Portfolio 9034</t>
  </si>
  <si>
    <t>Portfolio 4953</t>
  </si>
  <si>
    <t>Portfolio 8287</t>
  </si>
  <si>
    <t>Portfolio 9259</t>
  </si>
  <si>
    <t>Portfolio 9848</t>
  </si>
  <si>
    <t>Portfolio 4737</t>
  </si>
  <si>
    <t>Portfolio 884</t>
  </si>
  <si>
    <t>Portfolio 3888</t>
  </si>
  <si>
    <t>Portfolio 5925</t>
  </si>
  <si>
    <t>Portfolio 5247</t>
  </si>
  <si>
    <t>Portfolio 9278</t>
  </si>
  <si>
    <t>Portfolio 7266</t>
  </si>
  <si>
    <t>Portfolio 4927</t>
  </si>
  <si>
    <t>Portfolio 3042</t>
  </si>
  <si>
    <t>Portfolio 344</t>
  </si>
  <si>
    <t>Portfolio 9726</t>
  </si>
  <si>
    <t>Portfolio 278</t>
  </si>
  <si>
    <t>Portfolio 8423</t>
  </si>
  <si>
    <t>Portfolio 9021</t>
  </si>
  <si>
    <t>Portfolio 6401</t>
  </si>
  <si>
    <t>Portfolio 1915</t>
  </si>
  <si>
    <t>Portfolio 4681</t>
  </si>
  <si>
    <t>Portfolio 8355</t>
  </si>
  <si>
    <t>Portfolio 8464</t>
  </si>
  <si>
    <t>Portfolio 299</t>
  </si>
  <si>
    <t>Portfolio 7470</t>
  </si>
  <si>
    <t>Portfolio 9975</t>
  </si>
  <si>
    <t>Portfolio 3779</t>
  </si>
  <si>
    <t>Portfolio 4926</t>
  </si>
  <si>
    <t>Portfolio 1231</t>
  </si>
  <si>
    <t>Portfolio 1591</t>
  </si>
  <si>
    <t>Portfolio 9782</t>
  </si>
  <si>
    <t>Portfolio 1362</t>
  </si>
  <si>
    <t>Portfolio 8961</t>
  </si>
  <si>
    <t>Portfolio 8296</t>
  </si>
  <si>
    <t>Portfolio 7536</t>
  </si>
  <si>
    <t>Portfolio 4825</t>
  </si>
  <si>
    <t>Portfolio 8696</t>
  </si>
  <si>
    <t>Portfolio 133</t>
  </si>
  <si>
    <t>Portfolio 3507</t>
  </si>
  <si>
    <t>Portfolio 4956</t>
  </si>
  <si>
    <t>Portfolio 2630</t>
  </si>
  <si>
    <t>Portfolio 8285</t>
  </si>
  <si>
    <t>Portfolio 6575</t>
  </si>
  <si>
    <t>Portfolio 3442</t>
  </si>
  <si>
    <t>Portfolio 357</t>
  </si>
  <si>
    <t>Portfolio 8181</t>
  </si>
  <si>
    <t>Portfolio 8985</t>
  </si>
  <si>
    <t>Portfolio 9289</t>
  </si>
  <si>
    <t>Portfolio 878</t>
  </si>
  <si>
    <t>Portfolio 21</t>
  </si>
  <si>
    <t>Portfolio 1529</t>
  </si>
  <si>
    <t>Portfolio 8132</t>
  </si>
  <si>
    <t>Portfolio 4539</t>
  </si>
  <si>
    <t>Portfolio 7118</t>
  </si>
  <si>
    <t>Portfolio 8074</t>
  </si>
  <si>
    <t>Portfolio 1653</t>
  </si>
  <si>
    <t>Portfolio 6196</t>
  </si>
  <si>
    <t>Portfolio 2308</t>
  </si>
  <si>
    <t>Portfolio 6528</t>
  </si>
  <si>
    <t>Portfolio 3226</t>
  </si>
  <si>
    <t>Portfolio 7103</t>
  </si>
  <si>
    <t>Portfolio 6246</t>
  </si>
  <si>
    <t>Portfolio 9655</t>
  </si>
  <si>
    <t>Portfolio 4139</t>
  </si>
  <si>
    <t>Portfolio 3768</t>
  </si>
  <si>
    <t>Portfolio 9177</t>
  </si>
  <si>
    <t>Portfolio 8540</t>
  </si>
  <si>
    <t>Portfolio 2796</t>
  </si>
  <si>
    <t>Portfolio 4603</t>
  </si>
  <si>
    <t>Portfolio 2971</t>
  </si>
  <si>
    <t>Portfolio 2354</t>
  </si>
  <si>
    <t>Portfolio 6709</t>
  </si>
  <si>
    <t>Portfolio 7710</t>
  </si>
  <si>
    <t>Portfolio 6584</t>
  </si>
  <si>
    <t>Portfolio 3562</t>
  </si>
  <si>
    <t>Portfolio 9758</t>
  </si>
  <si>
    <t>Portfolio 3873</t>
  </si>
  <si>
    <t>Portfolio 6140</t>
  </si>
  <si>
    <t>Portfolio 7672</t>
  </si>
  <si>
    <t>Portfolio 3585</t>
  </si>
  <si>
    <t>Portfolio 2411</t>
  </si>
  <si>
    <t>Portfolio 3447</t>
  </si>
  <si>
    <t>Portfolio 6737</t>
  </si>
  <si>
    <t>Portfolio 9542</t>
  </si>
  <si>
    <t>Portfolio 1946</t>
  </si>
  <si>
    <t>Portfolio 2812</t>
  </si>
  <si>
    <t>Portfolio 8329</t>
  </si>
  <si>
    <t>Portfolio 1625</t>
  </si>
  <si>
    <t>Portfolio 6684</t>
  </si>
  <si>
    <t>Portfolio 9005</t>
  </si>
  <si>
    <t>Portfolio 9061</t>
  </si>
  <si>
    <t>Portfolio 5360</t>
  </si>
  <si>
    <t>Portfolio 6631</t>
  </si>
  <si>
    <t>Portfolio 4626</t>
  </si>
  <si>
    <t>Portfolio 7630</t>
  </si>
  <si>
    <t>Portfolio 8911</t>
  </si>
  <si>
    <t>Portfolio 2956</t>
  </si>
  <si>
    <t>Portfolio 9750</t>
  </si>
  <si>
    <t>Portfolio 6543</t>
  </si>
  <si>
    <t>Portfolio 9965</t>
  </si>
  <si>
    <t>Portfolio 6783</t>
  </si>
  <si>
    <t>Portfolio 8660</t>
  </si>
  <si>
    <t>Portfolio 328</t>
  </si>
  <si>
    <t>Portfolio 6654</t>
  </si>
  <si>
    <t>Portfolio 3212</t>
  </si>
  <si>
    <t>Portfolio 7305</t>
  </si>
  <si>
    <t>Portfolio 8240</t>
  </si>
  <si>
    <t>Portfolio 5371</t>
  </si>
  <si>
    <t>Portfolio 5588</t>
  </si>
  <si>
    <t>Portfolio 3206</t>
  </si>
  <si>
    <t>Portfolio 3593</t>
  </si>
  <si>
    <t>Portfolio 1638</t>
  </si>
  <si>
    <t>Portfolio 5634</t>
  </si>
  <si>
    <t>Portfolio 8304</t>
  </si>
  <si>
    <t>Portfolio 4451</t>
  </si>
  <si>
    <t>Portfolio 8300</t>
  </si>
  <si>
    <t>Portfolio 7413</t>
  </si>
  <si>
    <t>Portfolio 5214</t>
  </si>
  <si>
    <t>Portfolio 2331</t>
  </si>
  <si>
    <t>Portfolio 8432</t>
  </si>
  <si>
    <t>Portfolio 9335</t>
  </si>
  <si>
    <t>Portfolio 3275</t>
  </si>
  <si>
    <t>Portfolio 8629</t>
  </si>
  <si>
    <t>Portfolio 3487</t>
  </si>
  <si>
    <t>Portfolio 2147</t>
  </si>
  <si>
    <t>Portfolio 4710</t>
  </si>
  <si>
    <t>Portfolio 3709</t>
  </si>
  <si>
    <t>Portfolio 2148</t>
  </si>
  <si>
    <t>Portfolio 6064</t>
  </si>
  <si>
    <t>Portfolio 8242</t>
  </si>
  <si>
    <t>Portfolio 9485</t>
  </si>
  <si>
    <t>Portfolio 2668</t>
  </si>
  <si>
    <t>Portfolio 802</t>
  </si>
  <si>
    <t>Portfolio 38</t>
  </si>
  <si>
    <t>Portfolio 6491</t>
  </si>
  <si>
    <t>Portfolio 8874</t>
  </si>
  <si>
    <t>Portfolio 61</t>
  </si>
  <si>
    <t>Portfolio 4890</t>
  </si>
  <si>
    <t>Portfolio 6780</t>
  </si>
  <si>
    <t>Portfolio 2713</t>
  </si>
  <si>
    <t>Portfolio 2695</t>
  </si>
  <si>
    <t>Portfolio 2515</t>
  </si>
  <si>
    <t>Portfolio 4679</t>
  </si>
  <si>
    <t>Portfolio 5981</t>
  </si>
  <si>
    <t>Portfolio 5700</t>
  </si>
  <si>
    <t>Portfolio 8745</t>
  </si>
  <si>
    <t>Portfolio 7398</t>
  </si>
  <si>
    <t>Portfolio 70</t>
  </si>
  <si>
    <t>Portfolio 4182</t>
  </si>
  <si>
    <t>Portfolio 479</t>
  </si>
  <si>
    <t>Portfolio 5681</t>
  </si>
  <si>
    <t>Portfolio 2467</t>
  </si>
  <si>
    <t>Portfolio 4360</t>
  </si>
  <si>
    <t>Portfolio 364</t>
  </si>
  <si>
    <t>Portfolio 9821</t>
  </si>
  <si>
    <t>Portfolio 41</t>
  </si>
  <si>
    <t>Portfolio 3070</t>
  </si>
  <si>
    <t>Portfolio 3957</t>
  </si>
  <si>
    <t>Portfolio 358</t>
  </si>
  <si>
    <t>Portfolio 2258</t>
  </si>
  <si>
    <t>Portfolio 4048</t>
  </si>
  <si>
    <t>Portfolio 647</t>
  </si>
  <si>
    <t>Portfolio 6382</t>
  </si>
  <si>
    <t>Portfolio 1105</t>
  </si>
  <si>
    <t>Portfolio 1592</t>
  </si>
  <si>
    <t>Portfolio 1799</t>
  </si>
  <si>
    <t>Portfolio 142</t>
  </si>
  <si>
    <t>Portfolio 1078</t>
  </si>
  <si>
    <t>Portfolio 754</t>
  </si>
  <si>
    <t>Portfolio 9767</t>
  </si>
  <si>
    <t>Portfolio 1226</t>
  </si>
  <si>
    <t>Portfolio 1770</t>
  </si>
  <si>
    <t>Portfolio 4090</t>
  </si>
  <si>
    <t>Portfolio 5739</t>
  </si>
  <si>
    <t>Portfolio 7669</t>
  </si>
  <si>
    <t>Portfolio 264</t>
  </si>
  <si>
    <t>Portfolio 5158</t>
  </si>
  <si>
    <t>Portfolio 2448</t>
  </si>
  <si>
    <t>Portfolio 7627</t>
  </si>
  <si>
    <t>Portfolio 1109</t>
  </si>
  <si>
    <t>Portfolio 6763</t>
  </si>
  <si>
    <t>Portfolio 2660</t>
  </si>
  <si>
    <t>Portfolio 2133</t>
  </si>
  <si>
    <t>Portfolio 3462</t>
  </si>
  <si>
    <t>Portfolio 8947</t>
  </si>
  <si>
    <t>Portfolio 4007</t>
  </si>
  <si>
    <t>Portfolio 1798</t>
  </si>
  <si>
    <t>Portfolio 1114</t>
  </si>
  <si>
    <t>Portfolio 2907</t>
  </si>
  <si>
    <t>Portfolio 8269</t>
  </si>
  <si>
    <t>Portfolio 4018</t>
  </si>
  <si>
    <t>Portfolio 2627</t>
  </si>
  <si>
    <t>Portfolio 9584</t>
  </si>
  <si>
    <t>Portfolio 9263</t>
  </si>
  <si>
    <t>Portfolio 1893</t>
  </si>
  <si>
    <t>Portfolio 4763</t>
  </si>
  <si>
    <t>Portfolio 9638</t>
  </si>
  <si>
    <t>Portfolio 8350</t>
  </si>
  <si>
    <t>Portfolio 3230</t>
  </si>
  <si>
    <t>Portfolio 1079</t>
  </si>
  <si>
    <t>Portfolio 3917</t>
  </si>
  <si>
    <t>Portfolio 6135</t>
  </si>
  <si>
    <t>Portfolio 9823</t>
  </si>
  <si>
    <t>Portfolio 6015</t>
  </si>
  <si>
    <t>Portfolio 350</t>
  </si>
  <si>
    <t>Portfolio 2734</t>
  </si>
  <si>
    <t>Portfolio 6919</t>
  </si>
  <si>
    <t>Portfolio 8560</t>
  </si>
  <si>
    <t>Portfolio 7510</t>
  </si>
  <si>
    <t>Portfolio 6971</t>
  </si>
  <si>
    <t>Portfolio 911</t>
  </si>
  <si>
    <t>Portfolio 5319</t>
  </si>
  <si>
    <t>Portfolio 7946</t>
  </si>
  <si>
    <t>Portfolio 1594</t>
  </si>
  <si>
    <t>Portfolio 9751</t>
  </si>
  <si>
    <t>Portfolio 3065</t>
  </si>
  <si>
    <t>Portfolio 6741</t>
  </si>
  <si>
    <t>Portfolio 1347</t>
  </si>
  <si>
    <t>Portfolio 1015</t>
  </si>
  <si>
    <t>Portfolio 7591</t>
  </si>
  <si>
    <t>Portfolio 9089</t>
  </si>
  <si>
    <t>Portfolio 6351</t>
  </si>
  <si>
    <t>Portfolio 4721</t>
  </si>
  <si>
    <t>Portfolio 2758</t>
  </si>
  <si>
    <t>Portfolio 7054</t>
  </si>
  <si>
    <t>Portfolio 1553</t>
  </si>
  <si>
    <t>Portfolio 4714</t>
  </si>
  <si>
    <t>Portfolio 6426</t>
  </si>
  <si>
    <t>Portfolio 1670</t>
  </si>
  <si>
    <t>Portfolio 2933</t>
  </si>
  <si>
    <t>Portfolio 2560</t>
  </si>
  <si>
    <t>Portfolio 6123</t>
  </si>
  <si>
    <t>Portfolio 2180</t>
  </si>
  <si>
    <t>Portfolio 9492</t>
  </si>
  <si>
    <t>Portfolio 3657</t>
  </si>
  <si>
    <t>Portfolio 6170</t>
  </si>
  <si>
    <t>Portfolio 1495</t>
  </si>
  <si>
    <t>Portfolio 62</t>
  </si>
  <si>
    <t>Portfolio 3221</t>
  </si>
  <si>
    <t>Portfolio 1215</t>
  </si>
  <si>
    <t>Portfolio 6360</t>
  </si>
  <si>
    <t>Portfolio 2949</t>
  </si>
  <si>
    <t>Portfolio 7962</t>
  </si>
  <si>
    <t>Portfolio 8631</t>
  </si>
  <si>
    <t>Portfolio 1181</t>
  </si>
  <si>
    <t>Portfolio 5661</t>
  </si>
  <si>
    <t>Portfolio 4049</t>
  </si>
  <si>
    <t>Portfolio 1193</t>
  </si>
  <si>
    <t>Portfolio 1290</t>
  </si>
  <si>
    <t>Portfolio 9409</t>
  </si>
  <si>
    <t>Portfolio 6132</t>
  </si>
  <si>
    <t>Portfolio 7085</t>
  </si>
  <si>
    <t>Portfolio 1545</t>
  </si>
  <si>
    <t>Portfolio 6321</t>
  </si>
  <si>
    <t>Portfolio 6580</t>
  </si>
  <si>
    <t>Portfolio 2882</t>
  </si>
  <si>
    <t>Portfolio 1496</t>
  </si>
  <si>
    <t>Portfolio 8574</t>
  </si>
  <si>
    <t>Portfolio 2786</t>
  </si>
  <si>
    <t>Portfolio 6578</t>
  </si>
  <si>
    <t>Portfolio 6384</t>
  </si>
  <si>
    <t>Portfolio 4198</t>
  </si>
  <si>
    <t>Portfolio 8345</t>
  </si>
  <si>
    <t>Portfolio 2012</t>
  </si>
  <si>
    <t>Portfolio 8076</t>
  </si>
  <si>
    <t>Portfolio 5589</t>
  </si>
  <si>
    <t>Portfolio 8941</t>
  </si>
  <si>
    <t>Portfolio 9449</t>
  </si>
  <si>
    <t>Portfolio 2784</t>
  </si>
  <si>
    <t>Portfolio 631</t>
  </si>
  <si>
    <t>Portfolio 2282</t>
  </si>
  <si>
    <t>Portfolio 6455</t>
  </si>
  <si>
    <t>Portfolio 9814</t>
  </si>
  <si>
    <t>Portfolio 147</t>
  </si>
  <si>
    <t>Portfolio 790</t>
  </si>
  <si>
    <t>Portfolio 9677</t>
  </si>
  <si>
    <t>Portfolio 4531</t>
  </si>
  <si>
    <t>Portfolio 2283</t>
  </si>
  <si>
    <t>Portfolio 9714</t>
  </si>
  <si>
    <t>Portfolio 6698</t>
  </si>
  <si>
    <t>Portfolio 7903</t>
  </si>
  <si>
    <t>Portfolio 5199</t>
  </si>
  <si>
    <t>Portfolio 9203</t>
  </si>
  <si>
    <t>Portfolio 447</t>
  </si>
  <si>
    <t>Portfolio 4192</t>
  </si>
  <si>
    <t>Portfolio 3566</t>
  </si>
  <si>
    <t>Portfolio 5738</t>
  </si>
  <si>
    <t>Portfolio 7988</t>
  </si>
  <si>
    <t>Portfolio 2288</t>
  </si>
  <si>
    <t>Portfolio 9434</t>
  </si>
  <si>
    <t>Portfolio 4469</t>
  </si>
  <si>
    <t>Portfolio 1474</t>
  </si>
  <si>
    <t>Portfolio 5194</t>
  </si>
  <si>
    <t>Portfolio 3460</t>
  </si>
  <si>
    <t>Portfolio 3961</t>
  </si>
  <si>
    <t>Portfolio 8532</t>
  </si>
  <si>
    <t>Portfolio 3028</t>
  </si>
  <si>
    <t>Portfolio 5849</t>
  </si>
  <si>
    <t>Portfolio 1259</t>
  </si>
  <si>
    <t>Portfolio 8909</t>
  </si>
  <si>
    <t>Portfolio 6974</t>
  </si>
  <si>
    <t>Portfolio 2856</t>
  </si>
  <si>
    <t>Portfolio 3322</t>
  </si>
  <si>
    <t>Portfolio 183</t>
  </si>
  <si>
    <t>Portfolio 8396</t>
  </si>
  <si>
    <t>Portfolio 1735</t>
  </si>
  <si>
    <t>Portfolio 1844</t>
  </si>
  <si>
    <t>Portfolio 2430</t>
  </si>
  <si>
    <t>Portfolio 1768</t>
  </si>
  <si>
    <t>Portfolio 2940</t>
  </si>
  <si>
    <t>Portfolio 4690</t>
  </si>
  <si>
    <t>Portfolio 8833</t>
  </si>
  <si>
    <t>Portfolio 4291</t>
  </si>
  <si>
    <t>Portfolio 5740</t>
  </si>
  <si>
    <t>Portfolio 4999</t>
  </si>
  <si>
    <t>Portfolio 3616</t>
  </si>
  <si>
    <t>Portfolio 4676</t>
  </si>
  <si>
    <t>Portfolio 4269</t>
  </si>
  <si>
    <t>Portfolio 3457</t>
  </si>
  <si>
    <t>Portfolio 3905</t>
  </si>
  <si>
    <t>Portfolio 5927</t>
  </si>
  <si>
    <t>Portfolio 3866</t>
  </si>
  <si>
    <t>Portfolio 6607</t>
  </si>
  <si>
    <t>Portfolio 4833</t>
  </si>
  <si>
    <t>Portfolio 9599</t>
  </si>
  <si>
    <t>Portfolio 5198</t>
  </si>
  <si>
    <t>Portfolio 9615</t>
  </si>
  <si>
    <t>Portfolio 4156</t>
  </si>
  <si>
    <t>Portfolio 5117</t>
  </si>
  <si>
    <t>Portfolio 7805</t>
  </si>
  <si>
    <t>Portfolio 814</t>
  </si>
  <si>
    <t>Portfolio 780</t>
  </si>
  <si>
    <t>Portfolio 8982</t>
  </si>
  <si>
    <t>Portfolio 3190</t>
  </si>
  <si>
    <t>Portfolio 1712</t>
  </si>
  <si>
    <t>Portfolio 4495</t>
  </si>
  <si>
    <t>Portfolio 3885</t>
  </si>
  <si>
    <t>Portfolio 6297</t>
  </si>
  <si>
    <t>Portfolio 3732</t>
  </si>
  <si>
    <t>Portfolio 9101</t>
  </si>
  <si>
    <t>Portfolio 4334</t>
  </si>
  <si>
    <t>Portfolio 2386</t>
  </si>
  <si>
    <t>Portfolio 9517</t>
  </si>
  <si>
    <t>Portfolio 3329</t>
  </si>
  <si>
    <t>Portfolio 1658</t>
  </si>
  <si>
    <t>Portfolio 8430</t>
  </si>
  <si>
    <t>Portfolio 6957</t>
  </si>
  <si>
    <t>Portfolio 7677</t>
  </si>
  <si>
    <t>Portfolio 4823</t>
  </si>
  <si>
    <t>Portfolio 7012</t>
  </si>
  <si>
    <t>Portfolio 3974</t>
  </si>
  <si>
    <t>Portfolio 3121</t>
  </si>
  <si>
    <t>Portfolio 7465</t>
  </si>
  <si>
    <t>Portfolio 532</t>
  </si>
  <si>
    <t>Portfolio 5426</t>
  </si>
  <si>
    <t>Portfolio 7194</t>
  </si>
  <si>
    <t>Portfolio 8261</t>
  </si>
  <si>
    <t>Portfolio 7191</t>
  </si>
  <si>
    <t>Portfolio 1579</t>
  </si>
  <si>
    <t>Portfolio 6606</t>
  </si>
  <si>
    <t>Portfolio 9170</t>
  </si>
  <si>
    <t>Portfolio 3776</t>
  </si>
  <si>
    <t>Portfolio 7080</t>
  </si>
  <si>
    <t>Portfolio 538</t>
  </si>
  <si>
    <t>Portfolio 3725</t>
  </si>
  <si>
    <t>Portfolio 4830</t>
  </si>
  <si>
    <t>Portfolio 1778</t>
  </si>
  <si>
    <t>Portfolio 3815</t>
  </si>
  <si>
    <t>Portfolio 170</t>
  </si>
  <si>
    <t>Portfolio 6822</t>
  </si>
  <si>
    <t>Portfolio 8263</t>
  </si>
  <si>
    <t>Portfolio 5205</t>
  </si>
  <si>
    <t>Portfolio 6158</t>
  </si>
  <si>
    <t>Portfolio 8333</t>
  </si>
  <si>
    <t>Portfolio 9452</t>
  </si>
  <si>
    <t>Portfolio 9535</t>
  </si>
  <si>
    <t>Portfolio 8624</t>
  </si>
  <si>
    <t>Portfolio 6398</t>
  </si>
  <si>
    <t>Portfolio 8741</t>
  </si>
  <si>
    <t>Portfolio 9235</t>
  </si>
  <si>
    <t>Portfolio 9132</t>
  </si>
  <si>
    <t>Portfolio 1980</t>
  </si>
  <si>
    <t>Portfolio 4648</t>
  </si>
  <si>
    <t>Portfolio 619</t>
  </si>
  <si>
    <t>Portfolio 7373</t>
  </si>
  <si>
    <t>Portfolio 1312</t>
  </si>
  <si>
    <t>Portfolio 3407</t>
  </si>
  <si>
    <t>Portfolio 7533</t>
  </si>
  <si>
    <t>Portfolio 7153</t>
  </si>
  <si>
    <t>Portfolio 8764</t>
  </si>
  <si>
    <t>Portfolio 4456</t>
  </si>
  <si>
    <t>Portfolio 8055</t>
  </si>
  <si>
    <t>Portfolio 6657</t>
  </si>
  <si>
    <t>Portfolio 1651</t>
  </si>
  <si>
    <t>Portfolio 8171</t>
  </si>
  <si>
    <t>Portfolio 1258</t>
  </si>
  <si>
    <t>Portfolio 3205</t>
  </si>
  <si>
    <t>Portfolio 5430</t>
  </si>
  <si>
    <t>Portfolio 2302</t>
  </si>
  <si>
    <t>Portfolio 967</t>
  </si>
  <si>
    <t>Portfolio 1426</t>
  </si>
  <si>
    <t>Portfolio 8878</t>
  </si>
  <si>
    <t>Portfolio 3222</t>
  </si>
  <si>
    <t>Portfolio 9411</t>
  </si>
  <si>
    <t>Portfolio 9850</t>
  </si>
  <si>
    <t>Portfolio 9757</t>
  </si>
  <si>
    <t>Portfolio 8930</t>
  </si>
  <si>
    <t>Portfolio 4068</t>
  </si>
  <si>
    <t>Portfolio 7162</t>
  </si>
  <si>
    <t>Portfolio 6268</t>
  </si>
  <si>
    <t>Portfolio 6865</t>
  </si>
  <si>
    <t>Portfolio 1062</t>
  </si>
  <si>
    <t>Portfolio 8671</t>
  </si>
  <si>
    <t>Portfolio 707</t>
  </si>
  <si>
    <t>Portfolio 9943</t>
  </si>
  <si>
    <t>Portfolio 5186</t>
  </si>
  <si>
    <t>Portfolio 8298</t>
  </si>
  <si>
    <t>Portfolio 5114</t>
  </si>
  <si>
    <t>Portfolio 7090</t>
  </si>
  <si>
    <t>Portfolio 54</t>
  </si>
  <si>
    <t>Portfolio 1439</t>
  </si>
  <si>
    <t>Portfolio 8981</t>
  </si>
  <si>
    <t>Portfolio 5091</t>
  </si>
  <si>
    <t>Portfolio 539</t>
  </si>
  <si>
    <t>Portfolio 9761</t>
  </si>
  <si>
    <t>Portfolio 6178</t>
  </si>
  <si>
    <t>Portfolio 3210</t>
  </si>
  <si>
    <t>Portfolio 7671</t>
  </si>
  <si>
    <t>Portfolio 9387</t>
  </si>
  <si>
    <t>Portfolio 3</t>
  </si>
  <si>
    <t>Portfolio 3812</t>
  </si>
  <si>
    <t>Portfolio 1509</t>
  </si>
  <si>
    <t>Portfolio 8857</t>
  </si>
  <si>
    <t>Portfolio 4029</t>
  </si>
  <si>
    <t>Portfolio 611</t>
  </si>
  <si>
    <t>Portfolio 2677</t>
  </si>
  <si>
    <t>Portfolio 1327</t>
  </si>
  <si>
    <t>Portfolio 618</t>
  </si>
  <si>
    <t>Portfolio 2425</t>
  </si>
  <si>
    <t>Portfolio 4354</t>
  </si>
  <si>
    <t>Portfolio 442</t>
  </si>
  <si>
    <t>Portfolio 4216</t>
  </si>
  <si>
    <t>Portfolio 6224</t>
  </si>
  <si>
    <t>Portfolio 7935</t>
  </si>
  <si>
    <t>Portfolio 4665</t>
  </si>
  <si>
    <t>Portfolio 5149</t>
  </si>
  <si>
    <t>Portfolio 856</t>
  </si>
  <si>
    <t>Portfolio 730</t>
  </si>
  <si>
    <t>Portfolio 9576</t>
  </si>
  <si>
    <t>Portfolio 1031</t>
  </si>
  <si>
    <t>Portfolio 1240</t>
  </si>
  <si>
    <t>Portfolio 7540</t>
  </si>
  <si>
    <t>Portfolio 4382</t>
  </si>
  <si>
    <t>Portfolio 3364</t>
  </si>
  <si>
    <t>Portfolio 7147</t>
  </si>
  <si>
    <t>Portfolio 7046</t>
  </si>
  <si>
    <t>Portfolio 916</t>
  </si>
  <si>
    <t>Portfolio 853</t>
  </si>
  <si>
    <t>Portfolio 4940</t>
  </si>
  <si>
    <t>Portfolio 3154</t>
  </si>
  <si>
    <t>Portfolio 7084</t>
  </si>
  <si>
    <t>Portfolio 4370</t>
  </si>
  <si>
    <t>Portfolio 7645</t>
  </si>
  <si>
    <t>Portfolio 1585</t>
  </si>
  <si>
    <t>Portfolio 9940</t>
  </si>
  <si>
    <t>Portfolio 7566</t>
  </si>
  <si>
    <t>Portfolio 9819</t>
  </si>
  <si>
    <t>Portfolio 7872</t>
  </si>
  <si>
    <t>Portfolio 4077</t>
  </si>
  <si>
    <t>Portfolio 3465</t>
  </si>
  <si>
    <t>Portfolio 8106</t>
  </si>
  <si>
    <t>Portfolio 9760</t>
  </si>
  <si>
    <t>Portfolio 5103</t>
  </si>
  <si>
    <t>Portfolio 9166</t>
  </si>
  <si>
    <t>Portfolio 5439</t>
  </si>
  <si>
    <t>Portfolio 5660</t>
  </si>
  <si>
    <t>Portfolio 7284</t>
  </si>
  <si>
    <t>Portfolio 2105</t>
  </si>
  <si>
    <t>Portfolio 103</t>
  </si>
  <si>
    <t>Portfolio 164</t>
  </si>
  <si>
    <t>Portfolio 4099</t>
  </si>
  <si>
    <t>Portfolio 8939</t>
  </si>
  <si>
    <t>Portfolio 1767</t>
  </si>
  <si>
    <t>Portfolio 7847</t>
  </si>
  <si>
    <t>Portfolio 4078</t>
  </si>
  <si>
    <t>Portfolio 9139</t>
  </si>
  <si>
    <t>Portfolio 6799</t>
  </si>
  <si>
    <t>Portfolio 9210</t>
  </si>
  <si>
    <t>Portfolio 6097</t>
  </si>
  <si>
    <t>Portfolio 5976</t>
  </si>
  <si>
    <t>Portfolio 9845</t>
  </si>
  <si>
    <t>Portfolio 6500</t>
  </si>
  <si>
    <t>Portfolio 5712</t>
  </si>
  <si>
    <t>Portfolio 9520</t>
  </si>
  <si>
    <t>Portfolio 2008</t>
  </si>
  <si>
    <t>Portfolio 5232</t>
  </si>
  <si>
    <t>Portfolio 7159</t>
  </si>
  <si>
    <t>Portfolio 4547</t>
  </si>
  <si>
    <t>Portfolio 6154</t>
  </si>
  <si>
    <t>Portfolio 3576</t>
  </si>
  <si>
    <t>Portfolio 9507</t>
  </si>
  <si>
    <t>Portfolio 8720</t>
  </si>
  <si>
    <t>Portfolio 8527</t>
  </si>
  <si>
    <t>Portfolio 2016</t>
  </si>
  <si>
    <t>Portfolio 8449</t>
  </si>
  <si>
    <t>Portfolio 8349</t>
  </si>
  <si>
    <t>Portfolio 9730</t>
  </si>
  <si>
    <t>Portfolio 6271</t>
  </si>
  <si>
    <t>Portfolio 247</t>
  </si>
  <si>
    <t>Portfolio 6779</t>
  </si>
  <si>
    <t>Portfolio 989</t>
  </si>
  <si>
    <t>Portfolio 3500</t>
  </si>
  <si>
    <t>Portfolio 5320</t>
  </si>
  <si>
    <t>Portfolio 6423</t>
  </si>
  <si>
    <t>Portfolio 309</t>
  </si>
  <si>
    <t>Portfolio 5025</t>
  </si>
  <si>
    <t>Portfolio 7848</t>
  </si>
  <si>
    <t>Portfolio 3371</t>
  </si>
  <si>
    <t>Portfolio 9167</t>
  </si>
  <si>
    <t>Portfolio 5749</t>
  </si>
  <si>
    <t>Portfolio 3344</t>
  </si>
  <si>
    <t>Portfolio 1232</t>
  </si>
  <si>
    <t>Portfolio 3411</t>
  </si>
  <si>
    <t>Portfolio 1006</t>
  </si>
  <si>
    <t>Portfolio 1748</t>
  </si>
  <si>
    <t>Portfolio 2417</t>
  </si>
  <si>
    <t>Portfolio 3247</t>
  </si>
  <si>
    <t>Portfolio 1353</t>
  </si>
  <si>
    <t>Portfolio 7139</t>
  </si>
  <si>
    <t>Portfolio 3606</t>
  </si>
  <si>
    <t>Portfolio 9427</t>
  </si>
  <si>
    <t>Portfolio 6766</t>
  </si>
  <si>
    <t>Portfolio 9778</t>
  </si>
  <si>
    <t>Portfolio 7588</t>
  </si>
  <si>
    <t>Portfolio 1659</t>
  </si>
  <si>
    <t>Portfolio 6386</t>
  </si>
  <si>
    <t>Portfolio 7013</t>
  </si>
  <si>
    <t>Portfolio 7794</t>
  </si>
  <si>
    <t>Portfolio 1130</t>
  </si>
  <si>
    <t>Portfolio 3276</t>
  </si>
  <si>
    <t>Portfolio 5369</t>
  </si>
  <si>
    <t>Portfolio 7512</t>
  </si>
  <si>
    <t>Portfolio 1150</t>
  </si>
  <si>
    <t>Portfolio 8780</t>
  </si>
  <si>
    <t>Portfolio 3459</t>
  </si>
  <si>
    <t>Portfolio 9011</t>
  </si>
  <si>
    <t>Portfolio 581</t>
  </si>
  <si>
    <t>Portfolio 6047</t>
  </si>
  <si>
    <t>Portfolio 9444</t>
  </si>
  <si>
    <t>Portfolio 7594</t>
  </si>
  <si>
    <t>Portfolio 7701</t>
  </si>
  <si>
    <t>Portfolio 2046</t>
  </si>
  <si>
    <t>Portfolio 1477</t>
  </si>
  <si>
    <t>Portfolio 8978</t>
  </si>
  <si>
    <t>Portfolio 3927</t>
  </si>
  <si>
    <t>Portfolio 7916</t>
  </si>
  <si>
    <t>Portfolio 892</t>
  </si>
  <si>
    <t>Portfolio 2432</t>
  </si>
  <si>
    <t>Portfolio 1314</t>
  </si>
  <si>
    <t>Portfolio 7352</t>
  </si>
  <si>
    <t>Portfolio 3036</t>
  </si>
  <si>
    <t>Portfolio 6205</t>
  </si>
  <si>
    <t>Portfolio 9531</t>
  </si>
  <si>
    <t>Portfolio 8241</t>
  </si>
  <si>
    <t>Portfolio 2251</t>
  </si>
  <si>
    <t>Portfolio 3294</t>
  </si>
  <si>
    <t>Portfolio 8104</t>
  </si>
  <si>
    <t>Portfolio 7137</t>
  </si>
  <si>
    <t>Portfolio 3125</t>
  </si>
  <si>
    <t>Portfolio 4847</t>
  </si>
  <si>
    <t>Portfolio 6539</t>
  </si>
  <si>
    <t>Portfolio 7338</t>
  </si>
  <si>
    <t>Portfolio 6884</t>
  </si>
  <si>
    <t>Portfolio 2825</t>
  </si>
  <si>
    <t>Portfolio 1913</t>
  </si>
  <si>
    <t>Portfolio 8190</t>
  </si>
  <si>
    <t>Portfolio 678</t>
  </si>
  <si>
    <t>Portfolio 3629</t>
  </si>
  <si>
    <t>Portfolio 2710</t>
  </si>
  <si>
    <t>Portfolio 7878</t>
  </si>
  <si>
    <t>Portfolio 662</t>
  </si>
  <si>
    <t>Portfolio 7487</t>
  </si>
  <si>
    <t>Portfolio 4202</t>
  </si>
  <si>
    <t>Portfolio 4674</t>
  </si>
  <si>
    <t>Portfolio 8565</t>
  </si>
  <si>
    <t>Portfolio 4668</t>
  </si>
  <si>
    <t>Portfolio 2868</t>
  </si>
  <si>
    <t>Portfolio 2177</t>
  </si>
  <si>
    <t>Portfolio 2801</t>
  </si>
  <si>
    <t>Portfolio 5239</t>
  </si>
  <si>
    <t>Portfolio 3800</t>
  </si>
  <si>
    <t>Portfolio 4134</t>
  </si>
  <si>
    <t>Portfolio 399</t>
  </si>
  <si>
    <t>Portfolio 8850</t>
  </si>
  <si>
    <t>Portfolio 1965</t>
  </si>
  <si>
    <t>Portfolio 9808</t>
  </si>
  <si>
    <t>Portfolio 5396</t>
  </si>
  <si>
    <t>Portfolio 3574</t>
  </si>
  <si>
    <t>Portfolio 7991</t>
  </si>
  <si>
    <t>Portfolio 2124</t>
  </si>
  <si>
    <t>Portfolio 8125</t>
  </si>
  <si>
    <t>Portfolio 1894</t>
  </si>
  <si>
    <t>Portfolio 7309</t>
  </si>
  <si>
    <t>Portfolio 6054</t>
  </si>
  <si>
    <t>Portfolio 425</t>
  </si>
  <si>
    <t>Portfolio 1520</t>
  </si>
  <si>
    <t>Portfolio 6040</t>
  </si>
  <si>
    <t>Portfolio 2602</t>
  </si>
  <si>
    <t>Portfolio 8214</t>
  </si>
  <si>
    <t>Portfolio 411</t>
  </si>
  <si>
    <t>Portfolio 1049</t>
  </si>
  <si>
    <t>Portfolio 238</t>
  </si>
  <si>
    <t>Portfolio 3137</t>
  </si>
  <si>
    <t>Portfolio 3694</t>
  </si>
  <si>
    <t>Portfolio 8737</t>
  </si>
  <si>
    <t>Portfolio 8810</t>
  </si>
  <si>
    <t>Portfolio 8238</t>
  </si>
  <si>
    <t>Portfolio 8178</t>
  </si>
  <si>
    <t>Portfolio 9736</t>
  </si>
  <si>
    <t>Portfolio 167</t>
  </si>
  <si>
    <t>Portfolio 8974</t>
  </si>
  <si>
    <t>Portfolio 7682</t>
  </si>
  <si>
    <t>Portfolio 6189</t>
  </si>
  <si>
    <t>Portfolio 6848</t>
  </si>
  <si>
    <t>Portfolio 3352</t>
  </si>
  <si>
    <t>Portfolio 214</t>
  </si>
  <si>
    <t>Portfolio 8059</t>
  </si>
  <si>
    <t>Portfolio 3941</t>
  </si>
  <si>
    <t>Portfolio 8249</t>
  </si>
  <si>
    <t>Portfolio 2025</t>
  </si>
  <si>
    <t>Portfolio 6361</t>
  </si>
  <si>
    <t>Portfolio 2992</t>
  </si>
  <si>
    <t>Portfolio 6230</t>
  </si>
  <si>
    <t>Portfolio 2352</t>
  </si>
  <si>
    <t>Portfolio 7814</t>
  </si>
  <si>
    <t>Portfolio 3076</t>
  </si>
  <si>
    <t>Portfolio 2197</t>
  </si>
  <si>
    <t>Portfolio 9650</t>
  </si>
  <si>
    <t>Portfolio 9966</t>
  </si>
  <si>
    <t>Portfolio 9978</t>
  </si>
  <si>
    <t>Portfolio 1163</t>
  </si>
  <si>
    <t>Portfolio 935</t>
  </si>
  <si>
    <t>Portfolio 8064</t>
  </si>
  <si>
    <t>Portfolio 871</t>
  </si>
  <si>
    <t>Portfolio 8290</t>
  </si>
  <si>
    <t>Portfolio 1839</t>
  </si>
  <si>
    <t>Portfolio 5559</t>
  </si>
  <si>
    <t>Portfolio 7811</t>
  </si>
  <si>
    <t>Portfolio 4074</t>
  </si>
  <si>
    <t>Portfolio 3444</t>
  </si>
  <si>
    <t>Portfolio 7900</t>
  </si>
  <si>
    <t>Portfolio 3926</t>
  </si>
  <si>
    <t>Portfolio 7833</t>
  </si>
  <si>
    <t>Portfolio 9996</t>
  </si>
  <si>
    <t>Portfolio 8907</t>
  </si>
  <si>
    <t>Portfolio 8271</t>
  </si>
  <si>
    <t>Portfolio 2021</t>
  </si>
  <si>
    <t>Portfolio 3679</t>
  </si>
  <si>
    <t>Portfolio 3093</t>
  </si>
  <si>
    <t>Portfolio 6507</t>
  </si>
  <si>
    <t>Portfolio 7241</t>
  </si>
  <si>
    <t>Portfolio 5449</t>
  </si>
  <si>
    <t>Portfolio 7011</t>
  </si>
  <si>
    <t>Portfolio 8785</t>
  </si>
  <si>
    <t>Portfolio 760</t>
  </si>
  <si>
    <t>Portfolio 4</t>
  </si>
  <si>
    <t>Portfolio 4756</t>
  </si>
  <si>
    <t>Portfolio 5818</t>
  </si>
  <si>
    <t>Portfolio 1423</t>
  </si>
  <si>
    <t>Portfolio 9355</t>
  </si>
  <si>
    <t>Portfolio 3349</t>
  </si>
  <si>
    <t>Portfolio 5937</t>
  </si>
  <si>
    <t>Portfolio 5704</t>
  </si>
  <si>
    <t>Portfolio 5662</t>
  </si>
  <si>
    <t>Portfolio 7762</t>
  </si>
  <si>
    <t>Portfolio 3674</t>
  </si>
  <si>
    <t>Portfolio 4985</t>
  </si>
  <si>
    <t>Portfolio 1429</t>
  </si>
  <si>
    <t>Portfolio 1288</t>
  </si>
  <si>
    <t>Portfolio 3624</t>
  </si>
  <si>
    <t>Portfolio 9678</t>
  </si>
  <si>
    <t>Portfolio 4593</t>
  </si>
  <si>
    <t>Portfolio 8689</t>
  </si>
  <si>
    <t>Portfolio 1435</t>
  </si>
  <si>
    <t>Portfolio 819</t>
  </si>
  <si>
    <t>Portfolio 9227</t>
  </si>
  <si>
    <t>Portfolio 888</t>
  </si>
  <si>
    <t>Portfolio 5014</t>
  </si>
  <si>
    <t>Portfolio 4438</t>
  </si>
  <si>
    <t>Portfolio 7673</t>
  </si>
  <si>
    <t>Portfolio 7550</t>
  </si>
  <si>
    <t>Portfolio 1035</t>
  </si>
  <si>
    <t>Portfolio 9552</t>
  </si>
  <si>
    <t>Portfolio 2767</t>
  </si>
  <si>
    <t>Portfolio 7179</t>
  </si>
  <si>
    <t>Portfolio 6964</t>
  </si>
  <si>
    <t>Portfolio 8124</t>
  </si>
  <si>
    <t>Portfolio 2985</t>
  </si>
  <si>
    <t>Portfolio 8620</t>
  </si>
  <si>
    <t>Portfolio 1901</t>
  </si>
  <si>
    <t>Portfolio 8796</t>
  </si>
  <si>
    <t>Portfolio 2561</t>
  </si>
  <si>
    <t>Portfolio 3394</t>
  </si>
  <si>
    <t>Portfolio 4819</t>
  </si>
  <si>
    <t>Portfolio 2093</t>
  </si>
  <si>
    <t>Portfolio 8652</t>
  </si>
  <si>
    <t>Portfolio 1279</t>
  </si>
  <si>
    <t>Portfolio 7395</t>
  </si>
  <si>
    <t>Portfolio 5377</t>
  </si>
  <si>
    <t>Portfolio 342</t>
  </si>
  <si>
    <t>Portfolio 5004</t>
  </si>
  <si>
    <t>Portfolio 5500</t>
  </si>
  <si>
    <t>Portfolio 8715</t>
  </si>
  <si>
    <t>Portfolio 1153</t>
  </si>
  <si>
    <t>Portfolio 8538</t>
  </si>
  <si>
    <t>Portfolio 6839</t>
  </si>
  <si>
    <t>Portfolio 6872</t>
  </si>
  <si>
    <t>Portfolio 1648</t>
  </si>
  <si>
    <t>Portfolio 720</t>
  </si>
  <si>
    <t>Portfolio 8799</t>
  </si>
  <si>
    <t>Portfolio 4359</t>
  </si>
  <si>
    <t>Portfolio 8647</t>
  </si>
  <si>
    <t>Portfolio 2334</t>
  </si>
  <si>
    <t>Portfolio 1242</t>
  </si>
  <si>
    <t>Portfolio 1123</t>
  </si>
  <si>
    <t>Portfolio 1694</t>
  </si>
  <si>
    <t>Portfolio 6963</t>
  </si>
  <si>
    <t>Portfolio 5404</t>
  </si>
  <si>
    <t>Portfolio 5003</t>
  </si>
  <si>
    <t>Portfolio 1051</t>
  </si>
  <si>
    <t>Portfolio 8841</t>
  </si>
  <si>
    <t>Portfolio 9092</t>
  </si>
  <si>
    <t>Portfolio 323</t>
  </si>
  <si>
    <t>Portfolio 313</t>
  </si>
  <si>
    <t>Portfolio 7721</t>
  </si>
  <si>
    <t>Portfolio 6125</t>
  </si>
  <si>
    <t>Portfolio 2578</t>
  </si>
  <si>
    <t>Portfolio 494</t>
  </si>
  <si>
    <t>Portfolio 3910</t>
  </si>
  <si>
    <t>Portfolio 984</t>
  </si>
  <si>
    <t>Portfolio 4088</t>
  </si>
  <si>
    <t>Portfolio 7131</t>
  </si>
  <si>
    <t>Portfolio 4036</t>
  </si>
  <si>
    <t>Portfolio 408</t>
  </si>
  <si>
    <t>Portfolio 8427</t>
  </si>
  <si>
    <t>Portfolio 9244</t>
  </si>
  <si>
    <t>Portfolio 3450</t>
  </si>
  <si>
    <t>Portfolio 5006</t>
  </si>
  <si>
    <t>Portfolio 3617</t>
  </si>
  <si>
    <t>Portfolio 2665</t>
  </si>
  <si>
    <t>Portfolio 1456</t>
  </si>
  <si>
    <t>Portfolio 5773</t>
  </si>
  <si>
    <t>Portfolio 7517</t>
  </si>
  <si>
    <t>Portfolio 4650</t>
  </si>
  <si>
    <t>Portfolio 3989</t>
  </si>
  <si>
    <t>Portfolio 6754</t>
  </si>
  <si>
    <t>Portfolio 5046</t>
  </si>
  <si>
    <t>Portfolio 8854</t>
  </si>
  <si>
    <t>Portfolio 870</t>
  </si>
  <si>
    <t>Portfolio 5931</t>
  </si>
  <si>
    <t>Portfolio 8928</t>
  </si>
  <si>
    <t>Portfolio 395</t>
  </si>
  <si>
    <t>Portfolio 1284</t>
  </si>
  <si>
    <t>Portfolio 516</t>
  </si>
  <si>
    <t>Portfolio 9219</t>
  </si>
  <si>
    <t>Portfolio 4312</t>
  </si>
  <si>
    <t>Portfolio 2545</t>
  </si>
  <si>
    <t>Portfolio 7636</t>
  </si>
  <si>
    <t>Portfolio 7257</t>
  </si>
  <si>
    <t>Portfolio 6371</t>
  </si>
  <si>
    <t>Portfolio 6153</t>
  </si>
  <si>
    <t>Portfolio 1902</t>
  </si>
  <si>
    <t>Portfolio 1471</t>
  </si>
  <si>
    <t>Portfolio 212</t>
  </si>
  <si>
    <t>Portfolio 7067</t>
  </si>
  <si>
    <t>Portfolio 5249</t>
  </si>
  <si>
    <t>Portfolio 4385</t>
  </si>
  <si>
    <t>Portfolio 9469</t>
  </si>
  <si>
    <t>Portfolio 7801</t>
  </si>
  <si>
    <t>Portfolio 9336</t>
  </si>
  <si>
    <t>Portfolio 5007</t>
  </si>
  <si>
    <t>Portfolio 1554</t>
  </si>
  <si>
    <t>Portfolio 1344</t>
  </si>
  <si>
    <t>Portfolio 7195</t>
  </si>
  <si>
    <t>Portfolio 4217</t>
  </si>
  <si>
    <t>Portfolio 5231</t>
  </si>
  <si>
    <t>Portfolio 4541</t>
  </si>
  <si>
    <t>Portfolio 403</t>
  </si>
  <si>
    <t>Portfolio 7889</t>
  </si>
  <si>
    <t>Portfolio 1040</t>
  </si>
  <si>
    <t>Portfolio 899</t>
  </si>
  <si>
    <t>Portfolio 2479</t>
  </si>
  <si>
    <t>Portfolio 3625</t>
  </si>
  <si>
    <t>Portfolio 577</t>
  </si>
  <si>
    <t>Portfolio 3361</t>
  </si>
  <si>
    <t>Portfolio 711</t>
  </si>
  <si>
    <t>Portfolio 4189</t>
  </si>
  <si>
    <t>Portfolio 2876</t>
  </si>
  <si>
    <t>Portfolio 6264</t>
  </si>
  <si>
    <t>Portfolio 256</t>
  </si>
  <si>
    <t>Portfolio 1497</t>
  </si>
  <si>
    <t>Portfolio 840</t>
  </si>
  <si>
    <t>Portfolio 2167</t>
  </si>
  <si>
    <t>Portfolio 8448</t>
  </si>
  <si>
    <t>Portfolio 4589</t>
  </si>
  <si>
    <t>Portfolio 7752</t>
  </si>
  <si>
    <t>Portfolio 7014</t>
  </si>
  <si>
    <t>Portfolio 3382</t>
  </si>
  <si>
    <t>Portfolio 6893</t>
  </si>
  <si>
    <t>Portfolio 1483</t>
  </si>
  <si>
    <t>Portfolio 14</t>
  </si>
  <si>
    <t>Portfolio 4001</t>
  </si>
  <si>
    <t>Portfolio 5908</t>
  </si>
  <si>
    <t>Portfolio 3048</t>
  </si>
  <si>
    <t>Portfolio 3517</t>
  </si>
  <si>
    <t>Portfolio 4075</t>
  </si>
  <si>
    <t>Portfolio 322</t>
  </si>
  <si>
    <t>Portfolio 2278</t>
  </si>
  <si>
    <t>Portfolio 8182</t>
  </si>
  <si>
    <t>Portfolio 8099</t>
  </si>
  <si>
    <t>Portfolio 2959</t>
  </si>
  <si>
    <t>Portfolio 2854</t>
  </si>
  <si>
    <t>Portfolio 1298</t>
  </si>
  <si>
    <t>Portfolio 5815</t>
  </si>
  <si>
    <t>Portfolio 9260</t>
  </si>
  <si>
    <t>Portfolio 25</t>
  </si>
  <si>
    <t>Portfolio 253</t>
  </si>
  <si>
    <t>Portfolio 7461</t>
  </si>
  <si>
    <t>Portfolio 6458</t>
  </si>
  <si>
    <t>Portfolio 2943</t>
  </si>
  <si>
    <t>Portfolio 902</t>
  </si>
  <si>
    <t>Portfolio 5167</t>
  </si>
  <si>
    <t>Portfolio 8180</t>
  </si>
  <si>
    <t>Portfolio 1100</t>
  </si>
  <si>
    <t>Portfolio 8622</t>
  </si>
  <si>
    <t>Portfolio 7381</t>
  </si>
  <si>
    <t>Portfolio 4827</t>
  </si>
  <si>
    <t>Portfolio 7587</t>
  </si>
  <si>
    <t>Portfolio 7953</t>
  </si>
  <si>
    <t>Portfolio 2186</t>
  </si>
  <si>
    <t>Portfolio 9667</t>
  </si>
  <si>
    <t>Portfolio 910</t>
  </si>
  <si>
    <t>Portfolio 1406</t>
  </si>
  <si>
    <t>Portfolio 1107</t>
  </si>
  <si>
    <t>Portfolio 4727</t>
  </si>
  <si>
    <t>Portfolio 8086</t>
  </si>
  <si>
    <t>Portfolio 7621</t>
  </si>
  <si>
    <t>Portfolio 4351</t>
  </si>
  <si>
    <t>Portfolio 104</t>
  </si>
  <si>
    <t>Portfolio 7513</t>
  </si>
  <si>
    <t>Portfolio 6789</t>
  </si>
  <si>
    <t>Portfolio 1185</t>
  </si>
  <si>
    <t>Portfolio 4343</t>
  </si>
  <si>
    <t>Portfolio 7635</t>
  </si>
  <si>
    <t>Portfolio 7374</t>
  </si>
  <si>
    <t>Portfolio 2628</t>
  </si>
  <si>
    <t>Portfolio 8649</t>
  </si>
  <si>
    <t>Portfolio 2519</t>
  </si>
  <si>
    <t>Portfolio 6257</t>
  </si>
  <si>
    <t>Portfolio 8781</t>
  </si>
  <si>
    <t>Portfolio 4374</t>
  </si>
  <si>
    <t>Portfolio 245</t>
  </si>
  <si>
    <t>Portfolio 4043</t>
  </si>
  <si>
    <t>Portfolio 8060</t>
  </si>
  <si>
    <t>Portfolio 1243</t>
  </si>
  <si>
    <t>Portfolio 4664</t>
  </si>
  <si>
    <t>Portfolio 698</t>
  </si>
  <si>
    <t>Portfolio 4696</t>
  </si>
  <si>
    <t>Portfolio 4576</t>
  </si>
  <si>
    <t>Portfolio 1900</t>
  </si>
  <si>
    <t>Portfolio 3592</t>
  </si>
  <si>
    <t>Portfolio 573</t>
  </si>
  <si>
    <t>Portfolio 2977</t>
  </si>
  <si>
    <t>Portfolio 4155</t>
  </si>
  <si>
    <t>Portfolio 3133</t>
  </si>
  <si>
    <t>Portfolio 763</t>
  </si>
  <si>
    <t>Portfolio 4840</t>
  </si>
  <si>
    <t>Portfolio 8102</t>
  </si>
  <si>
    <t>Portfolio 6289</t>
  </si>
  <si>
    <t>Portfolio 946</t>
  </si>
  <si>
    <t>Portfolio 901</t>
  </si>
  <si>
    <t>Portfolio 112</t>
  </si>
  <si>
    <t>Portfolio 1887</t>
  </si>
  <si>
    <t>Portfolio 8680</t>
  </si>
  <si>
    <t>Portfolio 7571</t>
  </si>
  <si>
    <t>Portfolio 9216</t>
  </si>
  <si>
    <t>Portfolio 8385</t>
  </si>
  <si>
    <t>Portfolio 6389</t>
  </si>
  <si>
    <t>Portfolio 3975</t>
  </si>
  <si>
    <t>Portfolio 6089</t>
  </si>
  <si>
    <t>Portfolio 2879</t>
  </si>
  <si>
    <t>Portfolio 2151</t>
  </si>
  <si>
    <t>Portfolio 8557</t>
  </si>
  <si>
    <t>Portfolio 2877</t>
  </si>
  <si>
    <t>Portfolio 7370</t>
  </si>
  <si>
    <t>Portfolio 413</t>
  </si>
  <si>
    <t>Portfolio 896</t>
  </si>
  <si>
    <t>Portfolio 9231</t>
  </si>
  <si>
    <t>Portfolio 2867</t>
  </si>
  <si>
    <t>Portfolio 3813</t>
  </si>
  <si>
    <t>Portfolio 194</t>
  </si>
  <si>
    <t>Portfolio 3074</t>
  </si>
  <si>
    <t>Portfolio 2717</t>
  </si>
  <si>
    <t>Portfolio 1644</t>
  </si>
  <si>
    <t>Portfolio 4522</t>
  </si>
  <si>
    <t>Portfolio 6283</t>
  </si>
  <si>
    <t>Portfolio 8864</t>
  </si>
  <si>
    <t>Portfolio 8616</t>
  </si>
  <si>
    <t>Portfolio 5442</t>
  </si>
  <si>
    <t>Portfolio 2881</t>
  </si>
  <si>
    <t>Portfolio 9476</t>
  </si>
  <si>
    <t>Portfolio 3643</t>
  </si>
  <si>
    <t>Portfolio 3051</t>
  </si>
  <si>
    <t>Portfolio 7360</t>
  </si>
  <si>
    <t>Portfolio 7967</t>
  </si>
  <si>
    <t>Portfolio 4736</t>
  </si>
  <si>
    <t>Portfolio 9716</t>
  </si>
  <si>
    <t>Portfolio 231</t>
  </si>
  <si>
    <t>Portfolio 1552</t>
  </si>
  <si>
    <t>Portfolio 6838</t>
  </si>
  <si>
    <t>Portfolio 5153</t>
  </si>
  <si>
    <t>Portfolio 216</t>
  </si>
  <si>
    <t>Portfolio 3342</t>
  </si>
  <si>
    <t>Portfolio 6852</t>
  </si>
  <si>
    <t>Portfolio 8914</t>
  </si>
  <si>
    <t>Portfolio 3508</t>
  </si>
  <si>
    <t>Portfolio 1377</t>
  </si>
  <si>
    <t>Portfolio 193</t>
  </si>
  <si>
    <t>Portfolio 6200</t>
  </si>
  <si>
    <t>Portfolio 9629</t>
  </si>
  <si>
    <t>Portfolio 5323</t>
  </si>
  <si>
    <t>Portfolio 1572</t>
  </si>
  <si>
    <t>Portfolio 5491</t>
  </si>
  <si>
    <t>Portfolio 5451</t>
  </si>
  <si>
    <t>Portfolio 1983</t>
  </si>
  <si>
    <t>Portfolio 9062</t>
  </si>
  <si>
    <t>Portfolio 8072</t>
  </si>
  <si>
    <t>Portfolio 7077</t>
  </si>
  <si>
    <t>Portfolio 5069</t>
  </si>
  <si>
    <t>Portfolio 4962</t>
  </si>
  <si>
    <t>Portfolio 132</t>
  </si>
  <si>
    <t>Portfolio 3672</t>
  </si>
  <si>
    <t>Portfolio 5890</t>
  </si>
  <si>
    <t>Portfolio 7171</t>
  </si>
  <si>
    <t>Portfolio 6685</t>
  </si>
  <si>
    <t>Portfolio 541</t>
  </si>
  <si>
    <t>Portfolio 1223</t>
  </si>
  <si>
    <t>Portfolio 6605</t>
  </si>
  <si>
    <t>Portfolio 7207</t>
  </si>
  <si>
    <t>Portfolio 6916</t>
  </si>
  <si>
    <t>Portfolio 2763</t>
  </si>
  <si>
    <t>Portfolio 8827</t>
  </si>
  <si>
    <t>Portfolio 3719</t>
  </si>
  <si>
    <t>Portfolio 7551</t>
  </si>
  <si>
    <t>Portfolio 7830</t>
  </si>
  <si>
    <t>Portfolio 6821</t>
  </si>
  <si>
    <t>Portfolio 1671</t>
  </si>
  <si>
    <t>Portfolio 3486</t>
  </si>
  <si>
    <t>Portfolio 4925</t>
  </si>
  <si>
    <t>Portfolio 2312</t>
  </si>
  <si>
    <t>Portfolio 7785</t>
  </si>
  <si>
    <t>Portfolio 4969</t>
  </si>
  <si>
    <t>Portfolio 2456</t>
  </si>
  <si>
    <t>Portfolio 3095</t>
  </si>
  <si>
    <t>Portfolio 5013</t>
  </si>
  <si>
    <t>Portfolio 833</t>
  </si>
  <si>
    <t>Portfolio 718</t>
  </si>
  <si>
    <t>Portfolio 5394</t>
  </si>
  <si>
    <t>Portfolio 418</t>
  </si>
  <si>
    <t>Portfolio 2450</t>
  </si>
  <si>
    <t>Portfolio 1570</t>
  </si>
  <si>
    <t>Portfolio 3514</t>
  </si>
  <si>
    <t>Portfolio 7120</t>
  </si>
  <si>
    <t>Portfolio 8740</t>
  </si>
  <si>
    <t>Portfolio 4067</t>
  </si>
  <si>
    <t>Portfolio 5493</t>
  </si>
  <si>
    <t>Portfolio 6765</t>
  </si>
  <si>
    <t>Portfolio 7642</t>
  </si>
  <si>
    <t>Portfolio 554</t>
  </si>
  <si>
    <t>Portfolio 1533</t>
  </si>
  <si>
    <t>Portfolio 5950</t>
  </si>
  <si>
    <t>Portfolio 4311</t>
  </si>
  <si>
    <t>Portfolio 3339</t>
  </si>
  <si>
    <t>Portfolio 518</t>
  </si>
  <si>
    <t>Portfolio 972</t>
  </si>
  <si>
    <t>Portfolio 6946</t>
  </si>
  <si>
    <t>Portfolio 2580</t>
  </si>
  <si>
    <t>Portfolio 2999</t>
  </si>
  <si>
    <t>Portfolio 6148</t>
  </si>
  <si>
    <t>Portfolio 6566</t>
  </si>
  <si>
    <t>Portfolio 7918</t>
  </si>
  <si>
    <t>Portfolio 2615</t>
  </si>
  <si>
    <t>Portfolio 6347</t>
  </si>
  <si>
    <t>Portfolio 2139</t>
  </si>
  <si>
    <t>Portfolio 4407</t>
  </si>
  <si>
    <t>Portfolio 555</t>
  </si>
  <si>
    <t>Portfolio 9637</t>
  </si>
  <si>
    <t>Portfolio 4988</t>
  </si>
  <si>
    <t>Portfolio 2857</t>
  </si>
  <si>
    <t>Portfolio 6855</t>
  </si>
  <si>
    <t>Portfolio 1449</t>
  </si>
  <si>
    <t>Portfolio 8455</t>
  </si>
  <si>
    <t>Portfolio 1227</t>
  </si>
  <si>
    <t>Portfolio 6890</t>
  </si>
  <si>
    <t>Portfolio 9564</t>
  </si>
  <si>
    <t>Portfolio 9834</t>
  </si>
  <si>
    <t>Portfolio 5616</t>
  </si>
  <si>
    <t>Portfolio 2798</t>
  </si>
  <si>
    <t>Portfolio 5258</t>
  </si>
  <si>
    <t>Portfolio 6977</t>
  </si>
  <si>
    <t>Portfolio 8066</t>
  </si>
  <si>
    <t>Portfolio 6867</t>
  </si>
  <si>
    <t>Portfolio 9475</t>
  </si>
  <si>
    <t>Portfolio 636</t>
  </si>
  <si>
    <t>Portfolio 8058</t>
  </si>
  <si>
    <t>Portfolio 8607</t>
  </si>
  <si>
    <t>Portfolio 1277</t>
  </si>
  <si>
    <t>Portfolio 4921</t>
  </si>
  <si>
    <t>Portfolio 5443</t>
  </si>
  <si>
    <t>Portfolio 3980</t>
  </si>
  <si>
    <t>Portfolio 5758</t>
  </si>
  <si>
    <t>Portfolio 5213</t>
  </si>
  <si>
    <t>Portfolio 8019</t>
  </si>
  <si>
    <t>Portfolio 8608</t>
  </si>
  <si>
    <t>Portfolio 2422</t>
  </si>
  <si>
    <t>Portfolio 634</t>
  </si>
  <si>
    <t>Portfolio 1068</t>
  </si>
  <si>
    <t>Portfolio 439</t>
  </si>
  <si>
    <t>Portfolio 7597</t>
  </si>
  <si>
    <t>Portfolio 8966</t>
  </si>
  <si>
    <t>Portfolio 5087</t>
  </si>
  <si>
    <t>Portfolio 7049</t>
  </si>
  <si>
    <t>Portfolio 5334</t>
  </si>
  <si>
    <t>Portfolio 601</t>
  </si>
  <si>
    <t>Portfolio 2556</t>
  </si>
  <si>
    <t>Portfolio 3139</t>
  </si>
  <si>
    <t>Portfolio 5692</t>
  </si>
  <si>
    <t>Portfolio 2771</t>
  </si>
  <si>
    <t>Portfolio 6623</t>
  </si>
  <si>
    <t>Portfolio 7781</t>
  </si>
  <si>
    <t>Portfolio 7676</t>
  </si>
  <si>
    <t>Portfolio 5600</t>
  </si>
  <si>
    <t>Portfolio 9566</t>
  </si>
  <si>
    <t>Portfolio 9390</t>
  </si>
  <si>
    <t>Portfolio 521</t>
  </si>
  <si>
    <t>Portfolio 7260</t>
  </si>
  <si>
    <t>Portfolio 3178</t>
  </si>
  <si>
    <t>Portfolio 7744</t>
  </si>
  <si>
    <t>Portfolio 5556</t>
  </si>
  <si>
    <t>Portfolio 9670</t>
  </si>
  <si>
    <t>Portfolio 380</t>
  </si>
  <si>
    <t>Portfolio 4147</t>
  </si>
  <si>
    <t>Portfolio 8138</t>
  </si>
  <si>
    <t>Portfolio 8276</t>
  </si>
  <si>
    <t>Portfolio 5856</t>
  </si>
  <si>
    <t>Portfolio 6524</t>
  </si>
  <si>
    <t>Portfolio 1359</t>
  </si>
  <si>
    <t>Portfolio 8900</t>
  </si>
  <si>
    <t>Portfolio 4081</t>
  </si>
  <si>
    <t>Portfolio 1129</t>
  </si>
  <si>
    <t>Portfolio 7629</t>
  </si>
  <si>
    <t>Portfolio 881</t>
  </si>
  <si>
    <t>Portfolio 207</t>
  </si>
  <si>
    <t>Portfolio 6549</t>
  </si>
  <si>
    <t>Portfolio 5531</t>
  </si>
  <si>
    <t>Portfolio 681</t>
  </si>
  <si>
    <t>Portfolio 5955</t>
  </si>
  <si>
    <t>Portfolio 136</t>
  </si>
  <si>
    <t>Portfolio 1892</t>
  </si>
  <si>
    <t>Portfolio 7450</t>
  </si>
  <si>
    <t>Portfolio 320</t>
  </si>
  <si>
    <t>Portfolio 6131</t>
  </si>
  <si>
    <t>Portfolio 3735</t>
  </si>
  <si>
    <t>Portfolio 8408</t>
  </si>
  <si>
    <t>Portfolio 7114</t>
  </si>
  <si>
    <t>Portfolio 6784</t>
  </si>
  <si>
    <t>Portfolio 7925</t>
  </si>
  <si>
    <t>Portfolio 9993</t>
  </si>
  <si>
    <t>Portfolio 895</t>
  </si>
  <si>
    <t>Portfolio 5392</t>
  </si>
  <si>
    <t>Portfolio 8153</t>
  </si>
  <si>
    <t>Portfolio 143</t>
  </si>
  <si>
    <t>Portfolio 3499</t>
  </si>
  <si>
    <t>Portfolio 7949</t>
  </si>
  <si>
    <t>Portfolio 566</t>
  </si>
  <si>
    <t>Portfolio 6242</t>
  </si>
  <si>
    <t>Portfolio 4514</t>
  </si>
  <si>
    <t>Portfolio 227</t>
  </si>
  <si>
    <t>Portfolio 6030</t>
  </si>
  <si>
    <t>Portfolio 6924</t>
  </si>
  <si>
    <t>Portfolio 6793</t>
  </si>
  <si>
    <t>Portfolio 7608</t>
  </si>
  <si>
    <t>Portfolio 7514</t>
  </si>
  <si>
    <t>Portfolio 4657</t>
  </si>
  <si>
    <t>Portfolio 835</t>
  </si>
  <si>
    <t>Portfolio 3102</t>
  </si>
  <si>
    <t>Portfolio 2003</t>
  </si>
  <si>
    <t>Portfolio 6914</t>
  </si>
  <si>
    <t>Portfolio 8260</t>
  </si>
  <si>
    <t>Portfolio 24</t>
  </si>
  <si>
    <t>Portfolio 6119</t>
  </si>
  <si>
    <t>Portfolio 5677</t>
  </si>
  <si>
    <t>Portfolio 5649</t>
  </si>
  <si>
    <t>Portfolio 1012</t>
  </si>
  <si>
    <t>Portfolio 9611</t>
  </si>
  <si>
    <t>Portfolio 9017</t>
  </si>
  <si>
    <t>Portfolio 5151</t>
  </si>
  <si>
    <t>Portfolio 4345</t>
  </si>
  <si>
    <t>Portfolio 3754</t>
  </si>
  <si>
    <t>Portfolio 4191</t>
  </si>
  <si>
    <t>Portfolio 937</t>
  </si>
  <si>
    <t>Portfolio 3620</t>
  </si>
  <si>
    <t>Portfolio 3715</t>
  </si>
  <si>
    <t>Portfolio 761</t>
  </si>
  <si>
    <t>Portfolio 1493</t>
  </si>
  <si>
    <t>Portfolio 3423</t>
  </si>
  <si>
    <t>Portfolio 3631</t>
  </si>
  <si>
    <t>Portfolio 8530</t>
  </si>
  <si>
    <t>Portfolio 8356</t>
  </si>
  <si>
    <t>Portfolio 586</t>
  </si>
  <si>
    <t>Portfolio 2600</t>
  </si>
  <si>
    <t>Portfolio 8364</t>
  </si>
  <si>
    <t>Portfolio 3441</t>
  </si>
  <si>
    <t>Portfolio 4704</t>
  </si>
  <si>
    <t>Portfolio 3553</t>
  </si>
  <si>
    <t>Portfolio 8719</t>
  </si>
  <si>
    <t>Portfolio 7293</t>
  </si>
  <si>
    <t>Portfolio 224</t>
  </si>
  <si>
    <t>Portfolio 2659</t>
  </si>
  <si>
    <t>Portfolio 7853</t>
  </si>
  <si>
    <t>Portfolio 4086</t>
  </si>
  <si>
    <t>Portfolio 4556</t>
  </si>
  <si>
    <t>Portfolio 2232</t>
  </si>
  <si>
    <t>Portfolio 7349</t>
  </si>
  <si>
    <t>Portfolio 3586</t>
  </si>
  <si>
    <t>Portfolio 7763</t>
  </si>
  <si>
    <t>Portfolio 4214</t>
  </si>
  <si>
    <t>Portfolio 9785</t>
  </si>
  <si>
    <t>Portfolio 9281</t>
  </si>
  <si>
    <t>Portfolio 2102</t>
  </si>
  <si>
    <t>Portfolio 2816</t>
  </si>
  <si>
    <t>Portfolio 1461</t>
  </si>
  <si>
    <t>Portfolio 2343</t>
  </si>
  <si>
    <t>Portfolio 4972</t>
  </si>
  <si>
    <t>Portfolio 6702</t>
  </si>
  <si>
    <t>Portfolio 3008</t>
  </si>
  <si>
    <t>Portfolio 2605</t>
  </si>
  <si>
    <t>Portfolio 1482</t>
  </si>
  <si>
    <t>Portfolio 6601</t>
  </si>
  <si>
    <t>Portfolio 281</t>
  </si>
  <si>
    <t>Portfolio 6794</t>
  </si>
  <si>
    <t>Portfolio 8700</t>
  </si>
  <si>
    <t>Portfolio 8588</t>
  </si>
  <si>
    <t>Portfolio 6926</t>
  </si>
  <si>
    <t>Portfolio 7717</t>
  </si>
  <si>
    <t>Portfolio 5824</t>
  </si>
  <si>
    <t>Portfolio 7306</t>
  </si>
  <si>
    <t>Portfolio 4402</t>
  </si>
  <si>
    <t>Portfolio 4302</t>
  </si>
  <si>
    <t>Portfolio 1191</t>
  </si>
  <si>
    <t>Portfolio 3456</t>
  </si>
  <si>
    <t>Portfolio 3892</t>
  </si>
  <si>
    <t>Portfolio 4042</t>
  </si>
  <si>
    <t>Portfolio 1632</t>
  </si>
  <si>
    <t>Portfolio 145</t>
  </si>
  <si>
    <t>Portfolio 6327</t>
  </si>
  <si>
    <t>Portfolio 1662</t>
  </si>
  <si>
    <t>Portfolio 6307</t>
  </si>
  <si>
    <t>Portfolio 5341</t>
  </si>
  <si>
    <t>Portfolio 4264</t>
  </si>
  <si>
    <t>Portfolio 7783</t>
  </si>
  <si>
    <t>Portfolio 2712</t>
  </si>
  <si>
    <t>Portfolio 310</t>
  </si>
  <si>
    <t>Portfolio 8951</t>
  </si>
  <si>
    <t>Portfolio 296</t>
  </si>
  <si>
    <t>Portfolio 1343</t>
  </si>
  <si>
    <t>Portfolio 8439</t>
  </si>
  <si>
    <t>Portfolio 7560</t>
  </si>
  <si>
    <t>Portfolio 3410</t>
  </si>
  <si>
    <t>Portfolio 9142</t>
  </si>
  <si>
    <t>Portfolio 1042</t>
  </si>
  <si>
    <t>Portfolio 6172</t>
  </si>
  <si>
    <t>Portfolio 7712</t>
  </si>
  <si>
    <t>Portfolio 8949</t>
  </si>
  <si>
    <t>Portfolio 126</t>
  </si>
  <si>
    <t>Portfolio 6090</t>
  </si>
  <si>
    <t>Portfolio 3103</t>
  </si>
  <si>
    <t>Portfolio 7151</t>
  </si>
  <si>
    <t>Portfolio 602</t>
  </si>
  <si>
    <t>Portfolio 4898</t>
  </si>
  <si>
    <t>Portfolio 7516</t>
  </si>
  <si>
    <t>Portfolio 3739</t>
  </si>
  <si>
    <t>Portfolio 2110</t>
  </si>
  <si>
    <t>Portfolio 9303</t>
  </si>
  <si>
    <t>Portfolio 9401</t>
  </si>
  <si>
    <t>Portfolio 5866</t>
  </si>
  <si>
    <t>Portfolio 2326</t>
  </si>
  <si>
    <t>Portfolio 1575</t>
  </si>
  <si>
    <t>Portfolio 6533</t>
  </si>
  <si>
    <t>Portfolio 9161</t>
  </si>
  <si>
    <t>Portfolio 2728</t>
  </si>
  <si>
    <t>Portfolio 261</t>
  </si>
  <si>
    <t>Portfolio 5212</t>
  </si>
  <si>
    <t>Portfolio 5116</t>
  </si>
  <si>
    <t>Portfolio 513</t>
  </si>
  <si>
    <t>Portfolio 1308</t>
  </si>
  <si>
    <t>Portfolio 5933</t>
  </si>
  <si>
    <t>Portfolio 3277</t>
  </si>
  <si>
    <t>Portfolio 6208</t>
  </si>
  <si>
    <t>Portfolio 8782</t>
  </si>
  <si>
    <t>Portfolio 7657</t>
  </si>
  <si>
    <t>Portfolio 2000</t>
  </si>
  <si>
    <t>Portfolio 1760</t>
  </si>
  <si>
    <t>Portfolio 3475</t>
  </si>
  <si>
    <t>Portfolio 6009</t>
  </si>
  <si>
    <t>Portfolio 6249</t>
  </si>
  <si>
    <t>Portfolio 5503</t>
  </si>
  <si>
    <t>Portfolio 1758</t>
  </si>
  <si>
    <t>Portfolio 8510</t>
  </si>
  <si>
    <t>Portfolio 8462</t>
  </si>
  <si>
    <t>Portfolio 8357</t>
  </si>
  <si>
    <t>Portfolio 9046</t>
  </si>
  <si>
    <t>Portfolio 4505</t>
  </si>
  <si>
    <t>Portfolio 4337</t>
  </si>
  <si>
    <t>Portfolio 1287</t>
  </si>
  <si>
    <t>Portfolio 7002</t>
  </si>
  <si>
    <t>Portfolio 9790</t>
  </si>
  <si>
    <t>Portfolio 1583</t>
  </si>
  <si>
    <t>Portfolio 2886</t>
  </si>
  <si>
    <t>Portfolio 6579</t>
  </si>
  <si>
    <t>Portfolio 7655</t>
  </si>
  <si>
    <t>Portfolio 5273</t>
  </si>
  <si>
    <t>Portfolio 470</t>
  </si>
  <si>
    <t>Portfolio 1817</t>
  </si>
  <si>
    <t>Portfolio 8862</t>
  </si>
  <si>
    <t>Portfolio 3605</t>
  </si>
  <si>
    <t>Portfolio 6475</t>
  </si>
  <si>
    <t>Portfolio 47</t>
  </si>
  <si>
    <t>Portfolio 5687</t>
  </si>
  <si>
    <t>Portfolio 1304</t>
  </si>
  <si>
    <t>Portfolio 6278</t>
  </si>
  <si>
    <t>Portfolio 3791</t>
  </si>
  <si>
    <t>Portfolio 6186</t>
  </si>
  <si>
    <t>Portfolio 7255</t>
  </si>
  <si>
    <t>Portfolio 886</t>
  </si>
  <si>
    <t>Portfolio 4485</t>
  </si>
  <si>
    <t>Portfolio 7849</t>
  </si>
  <si>
    <t>Portfolio 708</t>
  </si>
  <si>
    <t>Portfolio 1886</t>
  </si>
  <si>
    <t>Portfolio 1682</t>
  </si>
  <si>
    <t>Portfolio 3934</t>
  </si>
  <si>
    <t>Portfolio 7061</t>
  </si>
  <si>
    <t>Portfolio 3953</t>
  </si>
  <si>
    <t>Portfolio 4251</t>
  </si>
  <si>
    <t>Portfolio 5374</t>
  </si>
  <si>
    <t>Portfolio 477</t>
  </si>
  <si>
    <t>Portfolio 8600</t>
  </si>
  <si>
    <t>Portfolio 9455</t>
  </si>
  <si>
    <t>Portfolio 9837</t>
  </si>
  <si>
    <t>Portfolio 8969</t>
  </si>
  <si>
    <t>Portfolio 8003</t>
  </si>
  <si>
    <t>Portfolio 6975</t>
  </si>
  <si>
    <t>Portfolio 4489</t>
  </si>
  <si>
    <t>Portfolio 9141</t>
  </si>
  <si>
    <t>Portfolio 246</t>
  </si>
  <si>
    <t>Portfolio 6181</t>
  </si>
  <si>
    <t>Portfolio 7417</t>
  </si>
  <si>
    <t>Portfolio 3099</t>
  </si>
  <si>
    <t>Portfolio 1883</t>
  </si>
  <si>
    <t>Portfolio 7070</t>
  </si>
  <si>
    <t>Portfolio 9715</t>
  </si>
  <si>
    <t>Portfolio 1762</t>
  </si>
  <si>
    <t>Portfolio 8024</t>
  </si>
  <si>
    <t>Portfolio 1841</t>
  </si>
  <si>
    <t>Portfolio 4460</t>
  </si>
  <si>
    <t>Portfolio 9484</t>
  </si>
  <si>
    <t>Portfolio 5575</t>
  </si>
  <si>
    <t>Portfolio 108</t>
  </si>
  <si>
    <t>Portfolio 7832</t>
  </si>
  <si>
    <t>Portfolio 7062</t>
  </si>
  <si>
    <t>Portfolio 2099</t>
  </si>
  <si>
    <t>Portfolio 8903</t>
  </si>
  <si>
    <t>Portfolio 9791</t>
  </si>
  <si>
    <t>Portfolio 6146</t>
  </si>
  <si>
    <t>Portfolio 8678</t>
  </si>
  <si>
    <t>Portfolio 1764</t>
  </si>
  <si>
    <t>Portfolio 3613</t>
  </si>
  <si>
    <t>Portfolio 3817</t>
  </si>
  <si>
    <t>Portfolio 809</t>
  </si>
  <si>
    <t>Portfolio 8213</t>
  </si>
  <si>
    <t>Portfolio 1294</t>
  </si>
  <si>
    <t>Portfolio 752</t>
  </si>
  <si>
    <t>Portfolio 4239</t>
  </si>
  <si>
    <t>Portfolio 9718</t>
  </si>
  <si>
    <t>Portfolio 4061</t>
  </si>
  <si>
    <t>Portfolio 7327</t>
  </si>
  <si>
    <t>Portfolio 3091</t>
  </si>
  <si>
    <t>Portfolio 2648</t>
  </si>
  <si>
    <t>Portfolio 7073</t>
  </si>
  <si>
    <t>Portfolio 1039</t>
  </si>
  <si>
    <t>Portfolio 3242</t>
  </si>
  <si>
    <t>Portfolio 69</t>
  </si>
  <si>
    <t>Portfolio 7411</t>
  </si>
  <si>
    <t>Portfolio 8599</t>
  </si>
  <si>
    <t>Portfolio 3182</t>
  </si>
  <si>
    <t>Portfolio 9230</t>
  </si>
  <si>
    <t>Portfolio 3428</t>
  </si>
  <si>
    <t>Portfolio 9699</t>
  </si>
  <si>
    <t>Portfolio 6404</t>
  </si>
  <si>
    <t>Portfolio 5009</t>
  </si>
  <si>
    <t>Portfolio 6220</t>
  </si>
  <si>
    <t>Portfolio 7792</t>
  </si>
  <si>
    <t>Portfolio 3077</t>
  </si>
  <si>
    <t>Portfolio 9857</t>
  </si>
  <si>
    <t>Portfolio 7901</t>
  </si>
  <si>
    <t>Portfolio 3654</t>
  </si>
  <si>
    <t>Portfolio 1931</t>
  </si>
  <si>
    <t>Portfolio 1544</t>
  </si>
  <si>
    <t>Portfolio 4450</t>
  </si>
  <si>
    <t>Portfolio 8045</t>
  </si>
  <si>
    <t>Portfolio 3678</t>
  </si>
  <si>
    <t>Portfolio 2862</t>
  </si>
  <si>
    <t>Portfolio 6245</t>
  </si>
  <si>
    <t>Portfolio 6564</t>
  </si>
  <si>
    <t>Portfolio 5067</t>
  </si>
  <si>
    <t>Portfolio 8520</t>
  </si>
  <si>
    <t>Portfolio 3930</t>
  </si>
  <si>
    <t>Portfolio 1113</t>
  </si>
  <si>
    <t>Portfolio 8731</t>
  </si>
  <si>
    <t>Portfolio 4187</t>
  </si>
  <si>
    <t>Portfolio 9006</t>
  </si>
  <si>
    <t>Portfolio 4915</t>
  </si>
  <si>
    <t>Portfolio 8729</t>
  </si>
  <si>
    <t>Portfolio 6357</t>
  </si>
  <si>
    <t>Portfolio 3922</t>
  </si>
  <si>
    <t>Portfolio 9994</t>
  </si>
  <si>
    <t>Portfolio 305</t>
  </si>
  <si>
    <t>Portfolio 6322</t>
  </si>
  <si>
    <t>Portfolio 6255</t>
  </si>
  <si>
    <t>Portfolio 324</t>
  </si>
  <si>
    <t>Portfolio 2981</t>
  </si>
  <si>
    <t>Portfolio 7760</t>
  </si>
  <si>
    <t>Portfolio 5813</t>
  </si>
  <si>
    <t>Portfolio 4006</t>
  </si>
  <si>
    <t>Portfolio 1821</t>
  </si>
  <si>
    <t>Portfolio 1246</t>
  </si>
  <si>
    <t>Portfolio 5492</t>
  </si>
  <si>
    <t>Portfolio 3389</t>
  </si>
  <si>
    <t>Portfolio 7862</t>
  </si>
  <si>
    <t>Portfolio 160</t>
  </si>
  <si>
    <t>Portfolio 6590</t>
  </si>
  <si>
    <t>Portfolio 27</t>
  </si>
  <si>
    <t>Portfolio 9950</t>
  </si>
  <si>
    <t>Portfolio 9059</t>
  </si>
  <si>
    <t>Portfolio 3909</t>
  </si>
  <si>
    <t>Portfolio 2181</t>
  </si>
  <si>
    <t>Portfolio 6786</t>
  </si>
  <si>
    <t>Portfolio 3987</t>
  </si>
  <si>
    <t>Portfolio 9549</t>
  </si>
  <si>
    <t>Portfolio 4591</t>
  </si>
  <si>
    <t>Portfolio 2141</t>
  </si>
  <si>
    <t>Portfolio 6888</t>
  </si>
  <si>
    <t>Portfolio 9437</t>
  </si>
  <si>
    <t>Portfolio 3405</t>
  </si>
  <si>
    <t>Portfolio 8886</t>
  </si>
  <si>
    <t>Portfolio 7310</t>
  </si>
  <si>
    <t>Portfolio 4587</t>
  </si>
  <si>
    <t>Portfolio 1633</t>
  </si>
  <si>
    <t>Portfolio 4135</t>
  </si>
  <si>
    <t>Portfolio 9968</t>
  </si>
  <si>
    <t>Portfolio 8633</t>
  </si>
  <si>
    <t>Portfolio 2849</t>
  </si>
  <si>
    <t>Portfolio 8141</t>
  </si>
  <si>
    <t>Portfolio 8812</t>
  </si>
  <si>
    <t>Portfolio 66</t>
  </si>
  <si>
    <t>Portfolio 6559</t>
  </si>
  <si>
    <t>Portfolio 74</t>
  </si>
  <si>
    <t>Portfolio 3318</t>
  </si>
  <si>
    <t>Portfolio 5018</t>
  </si>
  <si>
    <t>Portfolio 9835</t>
  </si>
  <si>
    <t>Portfolio 8450</t>
  </si>
  <si>
    <t>Portfolio 3540</t>
  </si>
  <si>
    <t>Portfolio 3419</t>
  </si>
  <si>
    <t>Portfolio 8544</t>
  </si>
  <si>
    <t>Portfolio 2466</t>
  </si>
  <si>
    <t>Portfolio 1002</t>
  </si>
  <si>
    <t>Portfolio 6748</t>
  </si>
  <si>
    <t>Portfolio 1045</t>
  </si>
  <si>
    <t>Portfolio 8194</t>
  </si>
  <si>
    <t>Portfolio 2361</t>
  </si>
  <si>
    <t>Portfolio 8067</t>
  </si>
  <si>
    <t>Portfolio 9793</t>
  </si>
  <si>
    <t>Portfolio 6740</t>
  </si>
  <si>
    <t>Portfolio 2506</t>
  </si>
  <si>
    <t>Portfolio 1698</t>
  </si>
  <si>
    <t>Portfolio 733</t>
  </si>
  <si>
    <t>Portfolio 4172</t>
  </si>
  <si>
    <t>Portfolio 2465</t>
  </si>
  <si>
    <t>Portfolio 8853</t>
  </si>
  <si>
    <t>Portfolio 7911</t>
  </si>
  <si>
    <t>Portfolio 6329</t>
  </si>
  <si>
    <t>Portfolio 6227</t>
  </si>
  <si>
    <t>Portfolio 3944</t>
  </si>
  <si>
    <t>Portfolio 9712</t>
  </si>
  <si>
    <t>Portfolio 8804</t>
  </si>
  <si>
    <t>Portfolio 7664</t>
  </si>
  <si>
    <t>Portfolio 1879</t>
  </si>
  <si>
    <t>Portfolio 473</t>
  </si>
  <si>
    <t>Portfolio 7640</t>
  </si>
  <si>
    <t>Portfolio 1076</t>
  </si>
  <si>
    <t>Portfolio 7372</t>
  </si>
  <si>
    <t>Portfolio 4828</t>
  </si>
  <si>
    <t>Portfolio 4071</t>
  </si>
  <si>
    <t>Portfolio 1204</t>
  </si>
  <si>
    <t>Portfolio 2350</t>
  </si>
  <si>
    <t>Portfolio 7568</t>
  </si>
  <si>
    <t>Portfolio 2015</t>
  </si>
  <si>
    <t>Portfolio 4477</t>
  </si>
  <si>
    <t>Portfolio 5726</t>
  </si>
  <si>
    <t>Portfolio 6390</t>
  </si>
  <si>
    <t>Portfolio 2720</t>
  </si>
  <si>
    <t>Portfolio 2964</t>
  </si>
  <si>
    <t>Portfolio 1668</t>
  </si>
  <si>
    <t>Portfolio 9395</t>
  </si>
  <si>
    <t>Portfolio 491</t>
  </si>
  <si>
    <t>Portfolio 1490</t>
  </si>
  <si>
    <t>Portfolio 4391</t>
  </si>
  <si>
    <t>Portfolio 9572</t>
  </si>
  <si>
    <t>Portfolio 8915</t>
  </si>
  <si>
    <t>Portfolio 987</t>
  </si>
  <si>
    <t>Portfolio 1366</t>
  </si>
  <si>
    <t>Portfolio 8094</t>
  </si>
  <si>
    <t>Portfolio 9025</t>
  </si>
  <si>
    <t>Portfolio 2941</t>
  </si>
  <si>
    <t>Portfolio 5686</t>
  </si>
  <si>
    <t>Portfolio 2406</t>
  </si>
  <si>
    <t>Portfolio 9999</t>
  </si>
  <si>
    <t>Portfolio 2752</t>
  </si>
  <si>
    <t>Portfolio 4600</t>
  </si>
  <si>
    <t>Portfolio 1889</t>
  </si>
  <si>
    <t>Portfolio 8831</t>
  </si>
  <si>
    <t>Portfolio 7003</t>
  </si>
  <si>
    <t>Portfolio 4340</t>
  </si>
  <si>
    <t>Portfolio 7100</t>
  </si>
  <si>
    <t>Portfolio 3354</t>
  </si>
  <si>
    <t>Portfolio 7019</t>
  </si>
  <si>
    <t>Portfolio 5055</t>
  </si>
  <si>
    <t>Portfolio 8755</t>
  </si>
  <si>
    <t>Portfolio 4995</t>
  </si>
  <si>
    <t>Portfolio 4000</t>
  </si>
  <si>
    <t>Portfolio 1885</t>
  </si>
  <si>
    <t>Portfolio 4152</t>
  </si>
  <si>
    <t>Portfolio 5441</t>
  </si>
  <si>
    <t>Portfolio 5621</t>
  </si>
  <si>
    <t>Portfolio 8522</t>
  </si>
  <si>
    <t>Portfolio 8053</t>
  </si>
  <si>
    <t>Portfolio 8229</t>
  </si>
  <si>
    <t>Portfolio 8816</t>
  </si>
  <si>
    <t>Portfolio 6345</t>
  </si>
  <si>
    <t>Portfolio 6159</t>
  </si>
  <si>
    <t>Portfolio 7386</t>
  </si>
  <si>
    <t>Portfolio 287</t>
  </si>
  <si>
    <t>Portfolio 4562</t>
  </si>
  <si>
    <t>Portfolio 8956</t>
  </si>
  <si>
    <t>Portfolio 5068</t>
  </si>
  <si>
    <t>Portfolio 4138</t>
  </si>
  <si>
    <t>Portfolio 7168</t>
  </si>
  <si>
    <t>Portfolio 7569</t>
  </si>
  <si>
    <t>Portfolio 3824</t>
  </si>
  <si>
    <t>Portfolio 8962</t>
  </si>
  <si>
    <t>Portfolio 8635</t>
  </si>
  <si>
    <t>Portfolio 3903</t>
  </si>
  <si>
    <t>Portfolio 1987</t>
  </si>
  <si>
    <t>Portfolio 699</t>
  </si>
  <si>
    <t>Portfolio 8694</t>
  </si>
  <si>
    <t>Portfolio 2537</t>
  </si>
  <si>
    <t>Portfolio 7245</t>
  </si>
  <si>
    <t>Portfolio 8295</t>
  </si>
  <si>
    <t>Portfolio 5287</t>
  </si>
  <si>
    <t>Portfolio 7345</t>
  </si>
  <si>
    <t>Portfolio 2716</t>
  </si>
  <si>
    <t>Portfolio 7816</t>
  </si>
  <si>
    <t>Portfolio 2194</t>
  </si>
  <si>
    <t>Portfolio 3782</t>
  </si>
  <si>
    <t>Portfolio 7584</t>
  </si>
  <si>
    <t>Portfolio 9928</t>
  </si>
  <si>
    <t>Portfolio 5877</t>
  </si>
  <si>
    <t>Portfolio 8117</t>
  </si>
  <si>
    <t>Portfolio 3701</t>
  </si>
  <si>
    <t>Portfolio 8564</t>
  </si>
  <si>
    <t>Portfolio 7644</t>
  </si>
  <si>
    <t>Portfolio 4403</t>
  </si>
  <si>
    <t>Portfolio 8081</t>
  </si>
  <si>
    <t>Portfolio 9394</t>
  </si>
  <si>
    <t>Portfolio 6465</t>
  </si>
  <si>
    <t>Portfolio 800</t>
  </si>
  <si>
    <t>Portfolio 2953</t>
  </si>
  <si>
    <t>Portfolio 5759</t>
  </si>
  <si>
    <t>Portfolio 6215</t>
  </si>
  <si>
    <t>Portfolio 4447</t>
  </si>
  <si>
    <t>Portfolio 5953</t>
  </si>
  <si>
    <t>Portfolio 8593</t>
  </si>
  <si>
    <t>Portfolio 8728</t>
  </si>
  <si>
    <t>Portfolio 7931</t>
  </si>
  <si>
    <t>Portfolio 2162</t>
  </si>
  <si>
    <t>Portfolio 8051</t>
  </si>
  <si>
    <t>Portfolio 11</t>
  </si>
  <si>
    <t>Portfolio 991</t>
  </si>
  <si>
    <t>Portfolio 859</t>
  </si>
  <si>
    <t>Portfolio 3920</t>
  </si>
  <si>
    <t>Portfolio 8506</t>
  </si>
  <si>
    <t>Portfolio 7972</t>
  </si>
  <si>
    <t>Portfolio 2060</t>
  </si>
  <si>
    <t>Portfolio 8</t>
  </si>
  <si>
    <t>Portfolio 3047</t>
  </si>
  <si>
    <t>Portfolio 9178</t>
  </si>
  <si>
    <t>Portfolio 4175</t>
  </si>
  <si>
    <t>Portfolio 2444</t>
  </si>
  <si>
    <t>Portfolio 1858</t>
  </si>
  <si>
    <t>Portfolio 316</t>
  </si>
  <si>
    <t>Portfolio 5885</t>
  </si>
  <si>
    <t>Portfolio 9983</t>
  </si>
  <si>
    <t>Portfolio 115</t>
  </si>
  <si>
    <t>Portfolio 8967</t>
  </si>
  <si>
    <t>Portfolio 338</t>
  </si>
  <si>
    <t>Portfolio 2970</t>
  </si>
  <si>
    <t>Portfolio 7378</t>
  </si>
  <si>
    <t>Portfolio 2223</t>
  </si>
  <si>
    <t>Portfolio 6109</t>
  </si>
  <si>
    <t>Portfolio 2927</t>
  </si>
  <si>
    <t>Portfolio 5518</t>
  </si>
  <si>
    <t>Portfolio 9172</t>
  </si>
  <si>
    <t>Portfolio 6163</t>
  </si>
  <si>
    <t>Portfolio 255</t>
  </si>
  <si>
    <t>Portfolio 280</t>
  </si>
  <si>
    <t>Portfolio 2405</t>
  </si>
  <si>
    <t>Portfolio 9598</t>
  </si>
  <si>
    <t>Portfolio 2800</t>
  </si>
  <si>
    <t>Portfolio 4390</t>
  </si>
  <si>
    <t>Portfolio 9592</t>
  </si>
  <si>
    <t>Portfolio 3469</t>
  </si>
  <si>
    <t>Portfolio 3229</t>
  </si>
  <si>
    <t>Portfolio 7037</t>
  </si>
  <si>
    <t>Portfolio 114</t>
  </si>
  <si>
    <t>Portfolio 6137</t>
  </si>
  <si>
    <t>Portfolio 3599</t>
  </si>
  <si>
    <t>Portfolio 307</t>
  </si>
  <si>
    <t>Portfolio 4085</t>
  </si>
  <si>
    <t>Portfolio 9204</t>
  </si>
  <si>
    <t>Portfolio 3758</t>
  </si>
  <si>
    <t>Portfolio 4773</t>
  </si>
  <si>
    <t>Portfolio 3967</t>
  </si>
  <si>
    <t>Portfolio 9127</t>
  </si>
  <si>
    <t>Portfolio 8901</t>
  </si>
  <si>
    <t>Portfolio 6007</t>
  </si>
  <si>
    <t>Portfolio 3249</t>
  </si>
  <si>
    <t>Portfolio 7732</t>
  </si>
  <si>
    <t>Portfolio 9510</t>
  </si>
  <si>
    <t>Portfolio 9908</t>
  </si>
  <si>
    <t>Portfolio 5408</t>
  </si>
  <si>
    <t>Portfolio 2470</t>
  </si>
  <si>
    <t>Portfolio 373</t>
  </si>
  <si>
    <t>Portfolio 9702</t>
  </si>
  <si>
    <t>Portfolio 1905</t>
  </si>
  <si>
    <t>Portfolio 9431</t>
  </si>
  <si>
    <t>Portfolio 9016</t>
  </si>
  <si>
    <t>Portfolio 9913</t>
  </si>
  <si>
    <t>Portfolio 243</t>
  </si>
  <si>
    <t>Portfolio 717</t>
  </si>
  <si>
    <t>Portfolio 9190</t>
  </si>
  <si>
    <t>Portfolio 6678</t>
  </si>
  <si>
    <t>Portfolio 9234</t>
  </si>
  <si>
    <t>Portfolio 4324</t>
  </si>
  <si>
    <t>Portfolio 2888</t>
  </si>
  <si>
    <t>Portfolio 6641</t>
  </si>
  <si>
    <t>Portfolio 2704</t>
  </si>
  <si>
    <t>Portfolio 7526</t>
  </si>
  <si>
    <t>Portfolio 8232</t>
  </si>
  <si>
    <t>Portfolio 9362</t>
  </si>
  <si>
    <t>Portfolio 660</t>
  </si>
  <si>
    <t>Portfolio 7667</t>
  </si>
  <si>
    <t>Portfolio 2192</t>
  </si>
  <si>
    <t>Portfolio 8386</t>
  </si>
  <si>
    <t>Portfolio 9237</t>
  </si>
  <si>
    <t>Portfolio 4275</t>
  </si>
  <si>
    <t>Portfolio 1467</t>
  </si>
  <si>
    <t>Portfolio 6121</t>
  </si>
  <si>
    <t>Portfolio 609</t>
  </si>
  <si>
    <t>Portfolio 2684</t>
  </si>
  <si>
    <t>Portfolio 756</t>
  </si>
  <si>
    <t>Portfolio 8038</t>
  </si>
  <si>
    <t>Portfolio 3491</t>
  </si>
  <si>
    <t>Portfolio 3802</t>
  </si>
  <si>
    <t>Portfolio 7840</t>
  </si>
  <si>
    <t>Portfolio 1738</t>
  </si>
  <si>
    <t>Portfolio 792</t>
  </si>
  <si>
    <t>Portfolio 354</t>
  </si>
  <si>
    <t>Portfolio 9748</t>
  </si>
  <si>
    <t>Portfolio 5962</t>
  </si>
  <si>
    <t>Portfolio 4166</t>
  </si>
  <si>
    <t>Portfolio 6492</t>
  </si>
  <si>
    <t>Portfolio 3106</t>
  </si>
  <si>
    <t>Portfolio 6795</t>
  </si>
  <si>
    <t>Portfolio 4254</t>
  </si>
  <si>
    <t>Portfolio 8591</t>
  </si>
  <si>
    <t>Portfolio 5045</t>
  </si>
  <si>
    <t>Portfolio 5516</t>
  </si>
  <si>
    <t>Portfolio 8648</t>
  </si>
  <si>
    <t>Portfolio 5959</t>
  </si>
  <si>
    <t>Portfolio 9482</t>
  </si>
  <si>
    <t>Portfolio 8352</t>
  </si>
  <si>
    <t>Portfolio 5913</t>
  </si>
  <si>
    <t>Portfolio 4797</t>
  </si>
  <si>
    <t>Portfolio 5894</t>
  </si>
  <si>
    <t>Portfolio 2508</t>
  </si>
  <si>
    <t>Portfolio 6379</t>
  </si>
  <si>
    <t>Portfolio 4436</t>
  </si>
  <si>
    <t>Portfolio 5181</t>
  </si>
  <si>
    <t>Portfolio 3740</t>
  </si>
  <si>
    <t>Portfolio 1564</t>
  </si>
  <si>
    <t>Portfolio 2084</t>
  </si>
  <si>
    <t>Portfolio 2872</t>
  </si>
  <si>
    <t>Portfolio 9733</t>
  </si>
  <si>
    <t>Portfolio 1771</t>
  </si>
  <si>
    <t>Portfolio 1723</t>
  </si>
  <si>
    <t>Portfolio 5100</t>
  </si>
  <si>
    <t>Portfolio 7907</t>
  </si>
  <si>
    <t>Portfolio 992</t>
  </si>
  <si>
    <t>Portfolio 6715</t>
  </si>
  <si>
    <t>Portfolio 1158</t>
  </si>
  <si>
    <t>Portfolio 1649</t>
  </si>
  <si>
    <t>Portfolio 3319</t>
  </si>
  <si>
    <t>Portfolio 2942</t>
  </si>
  <si>
    <t>Portfolio 9581</t>
  </si>
  <si>
    <t>Portfolio 7308</t>
  </si>
  <si>
    <t>Portfolio 1369</t>
  </si>
  <si>
    <t>Portfolio 2889</t>
  </si>
  <si>
    <t>Portfolio 1364</t>
  </si>
  <si>
    <t>Portfolio 6762</t>
  </si>
  <si>
    <t>Portfolio 8158</t>
  </si>
  <si>
    <t>Portfolio 1687</t>
  </si>
  <si>
    <t>Portfolio 2335</t>
  </si>
  <si>
    <t>Portfolio 6248</t>
  </si>
  <si>
    <t>Portfolio 4968</t>
  </si>
  <si>
    <t>Portfolio 701</t>
  </si>
  <si>
    <t>Portfolio 8485</t>
  </si>
  <si>
    <t>Portfolio 6656</t>
  </si>
  <si>
    <t>Portfolio 843</t>
  </si>
  <si>
    <t>Portfolio 1654</t>
  </si>
  <si>
    <t>Portfolio 4957</t>
  </si>
  <si>
    <t>Portfolio 7330</t>
  </si>
  <si>
    <t>Portfolio 1617</t>
  </si>
  <si>
    <t>Portfolio 807</t>
  </si>
  <si>
    <t>Portfolio 9504</t>
  </si>
  <si>
    <t>Portfolio 2681</t>
  </si>
  <si>
    <t>Portfolio 8426</t>
  </si>
  <si>
    <t>Portfolio 4834</t>
  </si>
  <si>
    <t>Portfolio 4900</t>
  </si>
  <si>
    <t>Portfolio 3098</t>
  </si>
  <si>
    <t>Portfolio 8846</t>
  </si>
  <si>
    <t>Portfolio 1966</t>
  </si>
  <si>
    <t>Portfolio 3302</t>
  </si>
  <si>
    <t>Portfolio 4318</t>
  </si>
  <si>
    <t>Portfolio 8493</t>
  </si>
  <si>
    <t>Portfolio 8701</t>
  </si>
  <si>
    <t>Portfolio 6550</t>
  </si>
  <si>
    <t>Portfolio 9417</t>
  </si>
  <si>
    <t>Portfolio 8036</t>
  </si>
  <si>
    <t>Portfolio 5432</t>
  </si>
  <si>
    <t>Portfolio 8043</t>
  </si>
  <si>
    <t>Portfolio 4905</t>
  </si>
  <si>
    <t>Portfolio 6239</t>
  </si>
  <si>
    <t>Portfolio 4993</t>
  </si>
  <si>
    <t>Portfolio 3346</t>
  </si>
  <si>
    <t>Portfolio 8989</t>
  </si>
  <si>
    <t>Portfolio 8307</t>
  </si>
  <si>
    <t>Portfolio 9291</t>
  </si>
  <si>
    <t>Portfolio 9527</t>
  </si>
  <si>
    <t>Portfolio 9121</t>
  </si>
  <si>
    <t>Portfolio 4040</t>
  </si>
  <si>
    <t>Portfolio 9521</t>
  </si>
  <si>
    <t>Portfolio 5675</t>
  </si>
  <si>
    <t>Portfolio 30</t>
  </si>
  <si>
    <t>Portfolio 71</t>
  </si>
  <si>
    <t>Portfolio 8716</t>
  </si>
  <si>
    <t>Portfolio 155</t>
  </si>
  <si>
    <t>Portfolio 8223</t>
  </si>
  <si>
    <t>Portfolio 273</t>
  </si>
  <si>
    <t>Portfolio 6232</t>
  </si>
  <si>
    <t>Portfolio 9654</t>
  </si>
  <si>
    <t>Portfolio 583</t>
  </si>
  <si>
    <t>Portfolio 8542</t>
  </si>
  <si>
    <t>Portfolio 962</t>
  </si>
  <si>
    <t>Portfolio 6092</t>
  </si>
  <si>
    <t>Portfolio 6262</t>
  </si>
  <si>
    <t>Portfolio 3088</t>
  </si>
  <si>
    <t>Portfolio 7290</t>
  </si>
  <si>
    <t>Portfolio 9460</t>
  </si>
  <si>
    <t>Portfolio 5796</t>
  </si>
  <si>
    <t>Portfolio 9679</t>
  </si>
  <si>
    <t>Portfolio 6194</t>
  </si>
  <si>
    <t>Portfolio 9958</t>
  </si>
  <si>
    <t>Portfolio 596</t>
  </si>
  <si>
    <t>Portfolio 7315</t>
  </si>
  <si>
    <t>Portfolio 844</t>
  </si>
  <si>
    <t>Portfolio 8988</t>
  </si>
  <si>
    <t>Portfolio 6815</t>
  </si>
  <si>
    <t>Portfolio 1282</t>
  </si>
  <si>
    <t>Portfolio 723</t>
  </si>
  <si>
    <t>Portfolio 5104</t>
  </si>
  <si>
    <t>Portfolio 1458</t>
  </si>
  <si>
    <t>Portfolio 8421</t>
  </si>
  <si>
    <t>Portfolio 1601</t>
  </si>
  <si>
    <t>Portfolio 3835</t>
  </si>
  <si>
    <t>Portfolio 9685</t>
  </si>
  <si>
    <t>Portfolio 7213</t>
  </si>
  <si>
    <t>Portfolio 7438</t>
  </si>
  <si>
    <t>Portfolio 605</t>
  </si>
  <si>
    <t>Portfolio 5219</t>
  </si>
  <si>
    <t>Portfolio 9416</t>
  </si>
  <si>
    <t>Portfolio 8644</t>
  </si>
  <si>
    <t>Portfolio 2604</t>
  </si>
  <si>
    <t>Portfolio 7356</t>
  </si>
  <si>
    <t>Portfolio 5997</t>
  </si>
  <si>
    <t>Portfolio 2262</t>
  </si>
  <si>
    <t>Portfolio 4578</t>
  </si>
  <si>
    <t>Portfolio 3756</t>
  </si>
  <si>
    <t>Portfolio 360</t>
  </si>
  <si>
    <t>Portfolio 7271</t>
  </si>
  <si>
    <t>Portfolio 9955</t>
  </si>
  <si>
    <t>Portfolio 4886</t>
  </si>
  <si>
    <t>Portfolio 3055</t>
  </si>
  <si>
    <t>Portfolio 4493</t>
  </si>
  <si>
    <t>Portfolio 8872</t>
  </si>
  <si>
    <t>Portfolio 1622</t>
  </si>
  <si>
    <t>Portfolio 5873</t>
  </si>
  <si>
    <t>Portfolio 8990</t>
  </si>
  <si>
    <t>Portfolio 7989</t>
  </si>
  <si>
    <t>Portfolio 2306</t>
  </si>
  <si>
    <t>Portfolio 4948</t>
  </si>
  <si>
    <t>Portfolio 1025</t>
  </si>
  <si>
    <t>Portfolio 493</t>
  </si>
  <si>
    <t>Portfolio 2477</t>
  </si>
  <si>
    <t>Portfolio 4149</t>
  </si>
  <si>
    <t>Portfolio 7965</t>
  </si>
  <si>
    <t>Portfolio 2984</t>
  </si>
  <si>
    <t>Portfolio 3621</t>
  </si>
  <si>
    <t>Portfolio 9472</t>
  </si>
  <si>
    <t>Portfolio 8119</t>
  </si>
  <si>
    <t>Portfolio 3384</t>
  </si>
  <si>
    <t>Portfolio 8744</t>
  </si>
  <si>
    <t>Portfolio 9481</t>
  </si>
  <si>
    <t>Portfolio 9071</t>
  </si>
  <si>
    <t>Portfolio 8851</t>
  </si>
  <si>
    <t>Portfolio 9727</t>
  </si>
  <si>
    <t>Portfolio 3338</t>
  </si>
  <si>
    <t>Portfolio 2908</t>
  </si>
  <si>
    <t>Portfolio 7039</t>
  </si>
  <si>
    <t>Portfolio 5999</t>
  </si>
  <si>
    <t>Portfolio 5215</t>
  </si>
  <si>
    <t>Portfolio 4478</t>
  </si>
  <si>
    <t>Portfolio 4333</t>
  </si>
  <si>
    <t>Portfolio 3601</t>
  </si>
  <si>
    <t>Portfolio 6680</t>
  </si>
  <si>
    <t>Portfolio 6843</t>
  </si>
  <si>
    <t>Portfolio 7614</t>
  </si>
  <si>
    <t>Portfolio 331</t>
  </si>
  <si>
    <t>Portfolio 8253</t>
  </si>
  <si>
    <t>Portfolio 3397</t>
  </si>
  <si>
    <t>Portfolio 2690</t>
  </si>
  <si>
    <t>Portfolio 1769</t>
  </si>
  <si>
    <t>Portfolio 2637</t>
  </si>
  <si>
    <t>Portfolio 1034</t>
  </si>
  <si>
    <t>Portfolio 127</t>
  </si>
  <si>
    <t>Portfolio 3104</t>
  </si>
  <si>
    <t>Portfolio 7036</t>
  </si>
  <si>
    <t>Portfolio 545</t>
  </si>
  <si>
    <t>Portfolio 4934</t>
  </si>
  <si>
    <t>Portfolio 7525</t>
  </si>
  <si>
    <t>Portfolio 8091</t>
  </si>
  <si>
    <t>Portfolio 9105</t>
  </si>
  <si>
    <t>Portfolio 988</t>
  </si>
  <si>
    <t>Portfolio 5546</t>
  </si>
  <si>
    <t>Portfolio 180</t>
  </si>
  <si>
    <t>Portfolio 2252</t>
  </si>
  <si>
    <t>Portfolio 957</t>
  </si>
  <si>
    <t>Portfolio 4404</t>
  </si>
  <si>
    <t>Portfolio 908</t>
  </si>
  <si>
    <t>Portfolio 8977</t>
  </si>
  <si>
    <t>Portfolio 6859</t>
  </si>
  <si>
    <t>Portfolio 6436</t>
  </si>
  <si>
    <t>Portfolio 4709</t>
  </si>
  <si>
    <t>Portfolio 6399</t>
  </si>
  <si>
    <t>Portfolio 17</t>
  </si>
  <si>
    <t>Portfolio 5523</t>
  </si>
  <si>
    <t>Portfolio 753</t>
  </si>
  <si>
    <t>Portfolio 8822</t>
  </si>
  <si>
    <t>Portfolio 6650</t>
  </si>
  <si>
    <t>Portfolio 1815</t>
  </si>
  <si>
    <t>Portfolio 959</t>
  </si>
  <si>
    <t>Portfolio 990</t>
  </si>
  <si>
    <t>Portfolio 2348</t>
  </si>
  <si>
    <t>Portfolio 3282</t>
  </si>
  <si>
    <t>Portfolio 6738</t>
  </si>
  <si>
    <t>Portfolio 1832</t>
  </si>
  <si>
    <t>Portfolio 9014</t>
  </si>
  <si>
    <t>Portfolio 7894</t>
  </si>
  <si>
    <t>Portfolio 7809</t>
  </si>
  <si>
    <t>Portfolio 9593</t>
  </si>
  <si>
    <t>Portfolio 4699</t>
  </si>
  <si>
    <t>Portfolio 377</t>
  </si>
  <si>
    <t>Portfolio 9169</t>
  </si>
  <si>
    <t>Portfolio 4185</t>
  </si>
  <si>
    <t>Portfolio 810</t>
  </si>
  <si>
    <t>Portfolio 7562</t>
  </si>
  <si>
    <t>Portfolio 3003</t>
  </si>
  <si>
    <t>Portfolio 8469</t>
  </si>
  <si>
    <t>Portfolio 1488</t>
  </si>
  <si>
    <t>Portfolio 4256</t>
  </si>
  <si>
    <t>Portfolio 6369</t>
  </si>
  <si>
    <t>Portfolio 874</t>
  </si>
  <si>
    <t>Portfolio 2896</t>
  </si>
  <si>
    <t>Portfolio 8511</t>
  </si>
  <si>
    <t>Portfolio 5827</t>
  </si>
  <si>
    <t>Portfolio 4376</t>
  </si>
  <si>
    <t>Portfolio 7886</t>
  </si>
  <si>
    <t>Portfolio 3696</t>
  </si>
  <si>
    <t>Portfolio 695</t>
  </si>
  <si>
    <t>Portfolio 7795</t>
  </si>
  <si>
    <t>Portfolio 1403</t>
  </si>
  <si>
    <t>Portfolio 3160</t>
  </si>
  <si>
    <t>Portfolio 8971</t>
  </si>
  <si>
    <t>Portfolio 7365</t>
  </si>
  <si>
    <t>Portfolio 5852</t>
  </si>
  <si>
    <t>Portfolio 5760</t>
  </si>
  <si>
    <t>Portfolio 5973</t>
  </si>
  <si>
    <t>Portfolio 5282</t>
  </si>
  <si>
    <t>Portfolio 8787</t>
  </si>
  <si>
    <t>Portfolio 665</t>
  </si>
  <si>
    <t>Portfolio 4344</t>
  </si>
  <si>
    <t>Portfolio 1241</t>
  </si>
  <si>
    <t>Portfolio 6593</t>
  </si>
  <si>
    <t>Portfolio 6944</t>
  </si>
  <si>
    <t>Portfolio 1421</t>
  </si>
  <si>
    <t>Portfolio 1237</t>
  </si>
  <si>
    <t>Portfolio 6091</t>
  </si>
  <si>
    <t>Portfolio 2238</t>
  </si>
  <si>
    <t>Portfolio 410</t>
  </si>
  <si>
    <t>Portfolio 1354</t>
  </si>
  <si>
    <t>Portfolio 3274</t>
  </si>
  <si>
    <t>Portfolio 7471</t>
  </si>
  <si>
    <t>Portfolio 5504</t>
  </si>
  <si>
    <t>Portfolio 107</t>
  </si>
  <si>
    <t>Portfolio 574</t>
  </si>
  <si>
    <t>Portfolio 4792</t>
  </si>
  <si>
    <t>Portfolio 1519</t>
  </si>
  <si>
    <t>Portfolio 3370</t>
  </si>
  <si>
    <t>Portfolio 9467</t>
  </si>
  <si>
    <t>Portfolio 8774</t>
  </si>
  <si>
    <t>Portfolio 5315</t>
  </si>
  <si>
    <t>Portfolio 5641</t>
  </si>
  <si>
    <t>Portfolio 3554</t>
  </si>
  <si>
    <t>Portfolio 6560</t>
  </si>
  <si>
    <t>Portfolio 9770</t>
  </si>
  <si>
    <t>Portfolio 1981</t>
  </si>
  <si>
    <t>Portfolio 9052</t>
  </si>
  <si>
    <t>Portfolio 2203</t>
  </si>
  <si>
    <t>Portfolio 7770</t>
  </si>
  <si>
    <t>Portfolio 4548</t>
  </si>
  <si>
    <t>Portfolio 7229</t>
  </si>
  <si>
    <t>Portfolio 8559</t>
  </si>
  <si>
    <t>Portfolio 6788</t>
  </si>
  <si>
    <t>Portfolio 5107</t>
  </si>
  <si>
    <t>Portfolio 3306</t>
  </si>
  <si>
    <t>Portfolio 7784</t>
  </si>
  <si>
    <t>Portfolio 1830</t>
  </si>
  <si>
    <t>Portfolio 7928</t>
  </si>
  <si>
    <t>Portfolio 1311</t>
  </si>
  <si>
    <t>Portfolio 3952</t>
  </si>
  <si>
    <t>Portfolio 1396</t>
  </si>
  <si>
    <t>Portfolio 86</t>
  </si>
  <si>
    <t>Portfolio 4579</t>
  </si>
  <si>
    <t>Portfolio 6812</t>
  </si>
  <si>
    <t>Portfolio 6644</t>
  </si>
  <si>
    <t>Portfolio 3510</t>
  </si>
  <si>
    <t>Portfolio 9607</t>
  </si>
  <si>
    <t>Portfolio 4829</t>
  </si>
  <si>
    <t>Portfolio 3305</t>
  </si>
  <si>
    <t>Portfolio 1050</t>
  </si>
  <si>
    <t>Portfolio 3645</t>
  </si>
  <si>
    <t>Portfolio 6693</t>
  </si>
  <si>
    <t>Portfolio 5965</t>
  </si>
  <si>
    <t>Portfolio 458</t>
  </si>
  <si>
    <t>Portfolio 5717</t>
  </si>
  <si>
    <t>Portfolio 3326</t>
  </si>
  <si>
    <t>Portfolio 3546</t>
  </si>
  <si>
    <t>Portfolio 9347</t>
  </si>
  <si>
    <t>Portfolio 8609</t>
  </si>
  <si>
    <t>Portfolio 345</t>
  </si>
  <si>
    <t>Portfolio 9093</t>
  </si>
  <si>
    <t>Portfolio 8848</t>
  </si>
  <si>
    <t>Portfolio 1566</t>
  </si>
  <si>
    <t>Portfolio 3299</t>
  </si>
  <si>
    <t>Portfolio 3232</t>
  </si>
  <si>
    <t>Portfolio 8709</t>
  </si>
  <si>
    <t>Portfolio 7958</t>
  </si>
  <si>
    <t>Portfolio 2607</t>
  </si>
  <si>
    <t>Portfolio 8325</t>
  </si>
  <si>
    <t>Portfolio 9970</t>
  </si>
  <si>
    <t>Portfolio 6056</t>
  </si>
  <si>
    <t>Portfolio 8664</t>
  </si>
  <si>
    <t>Portfolio 7198</t>
  </si>
  <si>
    <t>Portfolio 6161</t>
  </si>
  <si>
    <t>Portfolio 8149</t>
  </si>
  <si>
    <t>Portfolio 6004</t>
  </si>
  <si>
    <t>Portfolio 6907</t>
  </si>
  <si>
    <t>Portfolio 1782</t>
  </si>
  <si>
    <t>Portfolio 4058</t>
  </si>
  <si>
    <t>Portfolio 7810</t>
  </si>
  <si>
    <t>Portfolio 329</t>
  </si>
  <si>
    <t>Portfolio 8821</t>
  </si>
  <si>
    <t>Portfolio 3335</t>
  </si>
  <si>
    <t>Portfolio 6837</t>
  </si>
  <si>
    <t>Portfolio 4225</t>
  </si>
  <si>
    <t>Portfolio 5293</t>
  </si>
  <si>
    <t>Portfolio 5719</t>
  </si>
  <si>
    <t>Portfolio 3303</t>
  </si>
  <si>
    <t>Portfolio 5949</t>
  </si>
  <si>
    <t>Portfolio 8021</t>
  </si>
  <si>
    <t>Portfolio 3880</t>
  </si>
  <si>
    <t>Portfolio 4636</t>
  </si>
  <si>
    <t>Portfolio 7435</t>
  </si>
  <si>
    <t>Portfolio 889</t>
  </si>
  <si>
    <t>Portfolio 4687</t>
  </si>
  <si>
    <t>Portfolio 4735</t>
  </si>
  <si>
    <t>Portfolio 4280</t>
  </si>
  <si>
    <t>Portfolio 677</t>
  </si>
  <si>
    <t>Portfolio 2458</t>
  </si>
  <si>
    <t>Portfolio 4257</t>
  </si>
  <si>
    <t>Portfolio 5958</t>
  </si>
  <si>
    <t>Portfolio 912</t>
  </si>
  <si>
    <t>Portfolio 9565</t>
  </si>
  <si>
    <t>Portfolio 6263</t>
  </si>
  <si>
    <t>Portfolio 7765</t>
  </si>
  <si>
    <t>Portfolio 8243</t>
  </si>
  <si>
    <t>Portfolio 4742</t>
  </si>
  <si>
    <t>Portfolio 2001</t>
  </si>
  <si>
    <t>Portfolio 5028</t>
  </si>
  <si>
    <t>Portfolio 1371</t>
  </si>
  <si>
    <t>Portfolio 3580</t>
  </si>
  <si>
    <t>Portfolio 2998</t>
  </si>
  <si>
    <t>Portfolio 8380</t>
  </si>
  <si>
    <t>Portfolio 1597</t>
  </si>
  <si>
    <t>Portfolio 5066</t>
  </si>
  <si>
    <t>Portfolio 9122</t>
  </si>
  <si>
    <t>Portfolio 6704</t>
  </si>
  <si>
    <t>Portfolio 2861</t>
  </si>
  <si>
    <t>Portfolio 2027</t>
  </si>
  <si>
    <t>Portfolio 3988</t>
  </si>
  <si>
    <t>Portfolio 9935</t>
  </si>
  <si>
    <t>Portfolio 8195</t>
  </si>
  <si>
    <t>Portfolio 7626</t>
  </si>
  <si>
    <t>Portfolio 5163</t>
  </si>
  <si>
    <t>Portfolio 8431</t>
  </si>
  <si>
    <t>Portfolio 928</t>
  </si>
  <si>
    <t>Portfolio 3515</t>
  </si>
  <si>
    <t>Portfolio 6374</t>
  </si>
  <si>
    <t>Portfolio 4079</t>
  </si>
  <si>
    <t>Portfolio 8208</t>
  </si>
  <si>
    <t>Portfolio 648</t>
  </si>
  <si>
    <t>Portfolio 639</t>
  </si>
  <si>
    <t>Portfolio 4435</t>
  </si>
  <si>
    <t>Portfolio 8868</t>
  </si>
  <si>
    <t>Portfolio 3012</t>
  </si>
  <si>
    <t>Portfolio 5254</t>
  </si>
  <si>
    <t>Portfolio 891</t>
  </si>
  <si>
    <t>Portfolio 472</t>
  </si>
  <si>
    <t>Portfolio 8020</t>
  </si>
  <si>
    <t>Portfolio 2562</t>
  </si>
  <si>
    <t>Portfolio 6853</t>
  </si>
  <si>
    <t>Portfolio 8040</t>
  </si>
  <si>
    <t>Portfolio 6240</t>
  </si>
  <si>
    <t>Portfolio 4159</t>
  </si>
  <si>
    <t>Portfolio 1260</t>
  </si>
  <si>
    <t>Portfolio 6658</t>
  </si>
  <si>
    <t>Portfolio 2056</t>
  </si>
  <si>
    <t>Portfolio 9540</t>
  </si>
  <si>
    <t>Portfolio 5220</t>
  </si>
  <si>
    <t>Portfolio 6481</t>
  </si>
  <si>
    <t>Portfolio 953</t>
  </si>
  <si>
    <t>Portfolio 9524</t>
  </si>
  <si>
    <t>Portfolio 6134</t>
  </si>
  <si>
    <t>Portfolio 3581</t>
  </si>
  <si>
    <t>Portfolio 3865</t>
  </si>
  <si>
    <t>Portfolio 8747</t>
  </si>
  <si>
    <t>Portfolio 4051</t>
  </si>
  <si>
    <t>Portfolio 3471</t>
  </si>
  <si>
    <t>Portfolio 6469</t>
  </si>
  <si>
    <t>Portfolio 8047</t>
  </si>
  <si>
    <t>Portfolio 4069</t>
  </si>
  <si>
    <t>Portfolio 9088</t>
  </si>
  <si>
    <t>Portfolio 2253</t>
  </si>
  <si>
    <t>Portfolio 7425</t>
  </si>
  <si>
    <t>Portfolio 8996</t>
  </si>
  <si>
    <t>Portfolio 461</t>
  </si>
  <si>
    <t>Portfolio 8041</t>
  </si>
  <si>
    <t>Portfolio 637</t>
  </si>
  <si>
    <t>Portfolio 5339</t>
  </si>
  <si>
    <t>Portfolio 1213</t>
  </si>
  <si>
    <t>Portfolio 1558</t>
  </si>
  <si>
    <t>Portfolio 1753</t>
  </si>
  <si>
    <t>Portfolio 4970</t>
  </si>
  <si>
    <t>Portfolio 6954</t>
  </si>
  <si>
    <t>Portfolio 1043</t>
  </si>
  <si>
    <t>Portfolio 4963</t>
  </si>
  <si>
    <t>Portfolio 7158</t>
  </si>
  <si>
    <t>Portfolio 6415</t>
  </si>
  <si>
    <t>Portfolio 7469</t>
  </si>
  <si>
    <t>Portfolio 7405</t>
  </si>
  <si>
    <t>Portfolio 5853</t>
  </si>
  <si>
    <t>Portfolio 8566</t>
  </si>
  <si>
    <t>Portfolio 9364</t>
  </si>
  <si>
    <t>Portfolio 3744</t>
  </si>
  <si>
    <t>Portfolio 7876</t>
  </si>
  <si>
    <t>Portfolio 3796</t>
  </si>
  <si>
    <t>Portfolio 9610</t>
  </si>
  <si>
    <t>Portfolio 975</t>
  </si>
  <si>
    <t>Portfolio 8997</t>
  </si>
  <si>
    <t>Portfolio 4050</t>
  </si>
  <si>
    <t>Portfolio 6290</t>
  </si>
  <si>
    <t>Portfolio 3273</t>
  </si>
  <si>
    <t>Portfolio 6408</t>
  </si>
  <si>
    <t>Portfolio 5963</t>
  </si>
  <si>
    <t>Portfolio 2294</t>
  </si>
  <si>
    <t>Portfolio 7331</t>
  </si>
  <si>
    <t>Portfolio 6931</t>
  </si>
  <si>
    <t>Portfolio 9070</t>
  </si>
  <si>
    <t>Portfolio 2870</t>
  </si>
  <si>
    <t>Portfolio 2452</t>
  </si>
  <si>
    <t>Portfolio 3761</t>
  </si>
  <si>
    <t>Portfolio 8048</t>
  </si>
  <si>
    <t>Portfolio 1775</t>
  </si>
  <si>
    <t>Portfolio 4448</t>
  </si>
  <si>
    <t>Portfolio 1724</t>
  </si>
  <si>
    <t>Portfolio 123</t>
  </si>
  <si>
    <t>Portfolio 9832</t>
  </si>
  <si>
    <t>Portfolio 6035</t>
  </si>
  <si>
    <t>Portfolio 9043</t>
  </si>
  <si>
    <t>Portfolio 9628</t>
  </si>
  <si>
    <t>Portfolio 842</t>
  </si>
  <si>
    <t>Portfolio 3231</t>
  </si>
  <si>
    <t>Portfolio 4698</t>
  </si>
  <si>
    <t>Portfolio 7263</t>
  </si>
  <si>
    <t>Portfolio 9313</t>
  </si>
  <si>
    <t>Portfolio 3807</t>
  </si>
  <si>
    <t>Portfolio 7602</t>
  </si>
  <si>
    <t>Portfolio 5237</t>
  </si>
  <si>
    <t>Portfolio 1691</t>
  </si>
  <si>
    <t>Portfolio 1090</t>
  </si>
  <si>
    <t>Portfolio 3575</t>
  </si>
  <si>
    <t>Portfolio 6370</t>
  </si>
  <si>
    <t>Portfolio 3857</t>
  </si>
  <si>
    <t>Portfolio 5860</t>
  </si>
  <si>
    <t>Portfolio 4561</t>
  </si>
  <si>
    <t>Portfolio 2593</t>
  </si>
  <si>
    <t>Portfolio 3421</t>
  </si>
  <si>
    <t>Portfolio 1557</t>
  </si>
  <si>
    <t>Portfolio 4595</t>
  </si>
  <si>
    <t>Portfolio 8808</t>
  </si>
  <si>
    <t>Portfolio 6955</t>
  </si>
  <si>
    <t>Portfolio 3477</t>
  </si>
  <si>
    <t>Portfolio 9720</t>
  </si>
  <si>
    <t>Portfolio 5139</t>
  </si>
  <si>
    <t>Portfolio 6296</t>
  </si>
  <si>
    <t>Portfolio 7684</t>
  </si>
  <si>
    <t>Portfolio 9140</t>
  </si>
  <si>
    <t>Portfolio 2445</t>
  </si>
  <si>
    <t>Portfolio 9745</t>
  </si>
  <si>
    <t>Portfolio 9332</t>
  </si>
  <si>
    <t>Portfolio 2106</t>
  </si>
  <si>
    <t>Portfolio 2023</t>
  </si>
  <si>
    <t>Portfolio 5872</t>
  </si>
  <si>
    <t>Portfolio 1743</t>
  </si>
  <si>
    <t>Portfolio 1442</t>
  </si>
  <si>
    <t>Portfolio 5123</t>
  </si>
  <si>
    <t>Portfolio 1046</t>
  </si>
  <si>
    <t>Portfolio 4361</t>
  </si>
  <si>
    <t>Portfolio 7963</t>
  </si>
  <si>
    <t>Portfolio 6978</t>
  </si>
  <si>
    <t>Portfolio 1947</t>
  </si>
  <si>
    <t>Portfolio 4750</t>
  </si>
  <si>
    <t>Portfolio 5665</t>
  </si>
  <si>
    <t>Portfolio 3747</t>
  </si>
  <si>
    <t>Portfolio 1899</t>
  </si>
  <si>
    <t>Portfolio 4273</t>
  </si>
  <si>
    <t>Portfolio 5932</t>
  </si>
  <si>
    <t>Portfolio 7354</t>
  </si>
  <si>
    <t>Portfolio 5585</t>
  </si>
  <si>
    <t>Portfolio 4713</t>
  </si>
  <si>
    <t>Portfolio 6948</t>
  </si>
  <si>
    <t>Portfolio 4232</t>
  </si>
  <si>
    <t>Portfolio 5594</t>
  </si>
  <si>
    <t>Portfolio 7552</t>
  </si>
  <si>
    <t>Portfolio 3769</t>
  </si>
  <si>
    <t>Portfolio 2924</t>
  </si>
  <si>
    <t>Portfolio 5288</t>
  </si>
  <si>
    <t>Portfolio 5429</t>
  </si>
  <si>
    <t>Portfolio 9807</t>
  </si>
  <si>
    <t>Portfolio 1792</t>
  </si>
  <si>
    <t>Portfolio 2904</t>
  </si>
  <si>
    <t>Portfolio 8869</t>
  </si>
  <si>
    <t>Portfolio 551</t>
  </si>
  <si>
    <t>Portfolio 6895</t>
  </si>
  <si>
    <t>Portfolio 6279</t>
  </si>
  <si>
    <t>Portfolio 7050</t>
  </si>
  <si>
    <t>Portfolio 4163</t>
  </si>
  <si>
    <t>Portfolio 8641</t>
  </si>
  <si>
    <t>Portfolio 8590</t>
  </si>
  <si>
    <t>Portfolio 4757</t>
  </si>
  <si>
    <t>Portfolio 7985</t>
  </si>
  <si>
    <t>Portfolio 9696</t>
  </si>
  <si>
    <t>Portfolio 7101</t>
  </si>
  <si>
    <t>Portfolio 5722</t>
  </si>
  <si>
    <t>Portfolio 2400</t>
  </si>
  <si>
    <t>Portfolio 4518</t>
  </si>
  <si>
    <t>Portfolio 6479</t>
  </si>
  <si>
    <t>Portfolio 5465</t>
  </si>
  <si>
    <t>Portfolio 3923</t>
  </si>
  <si>
    <t>Portfolio 5729</t>
  </si>
  <si>
    <t>Portfolio 3868</t>
  </si>
  <si>
    <t>Portfolio 6613</t>
  </si>
  <si>
    <t>Portfolio 4594</t>
  </si>
  <si>
    <t>Portfolio 6067</t>
  </si>
  <si>
    <t>Portfolio 8610</t>
  </si>
  <si>
    <t>Portfolio 1321</t>
  </si>
  <si>
    <t>Portfolio 5529</t>
  </si>
  <si>
    <t>Portfolio 9200</t>
  </si>
  <si>
    <t>Portfolio 9622</t>
  </si>
  <si>
    <t>Portfolio 8727</t>
  </si>
  <si>
    <t>Portfolio 5689</t>
  </si>
  <si>
    <t>Portfolio 1740</t>
  </si>
  <si>
    <t>Portfolio 9095</t>
  </si>
  <si>
    <t>Portfolio 1949</t>
  </si>
  <si>
    <t>Portfolio 8693</t>
  </si>
  <si>
    <t>Portfolio 5792</t>
  </si>
  <si>
    <t>Portfolio 1225</t>
  </si>
  <si>
    <t>Portfolio 7316</t>
  </si>
  <si>
    <t>Portfolio 2304</t>
  </si>
  <si>
    <t>Portfolio 8129</t>
  </si>
  <si>
    <t>Portfolio 8375</t>
  </si>
  <si>
    <t>Portfolio 1164</t>
  </si>
  <si>
    <t>Portfolio 3535</t>
  </si>
  <si>
    <t>Portfolio 82</t>
  </si>
  <si>
    <t>Portfolio 5709</t>
  </si>
  <si>
    <t>Portfolio 3207</t>
  </si>
  <si>
    <t>Portfolio 4552</t>
  </si>
  <si>
    <t>Portfolio 7720</t>
  </si>
  <si>
    <t>Portfolio 2210</t>
  </si>
  <si>
    <t>Portfolio 7486</t>
  </si>
  <si>
    <t>Portfolio 8735</t>
  </si>
  <si>
    <t>Portfolio 7556</t>
  </si>
  <si>
    <t>Portfolio 6167</t>
  </si>
  <si>
    <t>Portfolio 507</t>
  </si>
  <si>
    <t>Portfolio 2847</t>
  </si>
  <si>
    <t>Portfolio 6718</t>
  </si>
  <si>
    <t>Portfolio 7567</t>
  </si>
  <si>
    <t>Portfolio 4304</t>
  </si>
  <si>
    <t>Portfolio 9187</t>
  </si>
  <si>
    <t>Portfolio 9207</t>
  </si>
  <si>
    <t>Portfolio 496</t>
  </si>
  <si>
    <t>Portfolio 2936</t>
  </si>
  <si>
    <t>Portfolio 9086</t>
  </si>
  <si>
    <t>Portfolio 7341</t>
  </si>
  <si>
    <t>Portfolio 8736</t>
  </si>
  <si>
    <t>Portfolio 176</t>
  </si>
  <si>
    <t>Portfolio 1606</t>
  </si>
  <si>
    <t>Portfolio 2727</t>
  </si>
  <si>
    <t>Portfolio 9298</t>
  </si>
  <si>
    <t>Portfolio 4816</t>
  </si>
  <si>
    <t>Portfolio 885</t>
  </si>
  <si>
    <t>Portfolio 4116</t>
  </si>
  <si>
    <t>Portfolio 6603</t>
  </si>
  <si>
    <t>Portfolio 7646</t>
  </si>
  <si>
    <t>Portfolio 4118</t>
  </si>
  <si>
    <t>Portfolio 7379</t>
  </si>
  <si>
    <t>Portfolio 7604</t>
  </si>
  <si>
    <t>Portfolio 4534</t>
  </si>
  <si>
    <t>Portfolio 2968</t>
  </si>
  <si>
    <t>Portfolio 6191</t>
  </si>
  <si>
    <t>Portfolio 582</t>
  </si>
  <si>
    <t>Portfolio 9343</t>
  </si>
  <si>
    <t>Portfolio 2198</t>
  </si>
  <si>
    <t>Portfolio 3030</t>
  </si>
  <si>
    <t>Portfolio 3123</t>
  </si>
  <si>
    <t>Portfolio 7447</t>
  </si>
  <si>
    <t>Portfolio 3269</t>
  </si>
  <si>
    <t>Portfolio 3915</t>
  </si>
  <si>
    <t>Portfolio 6925</t>
  </si>
  <si>
    <t>Portfolio 5190</t>
  </si>
  <si>
    <t>Portfolio 152</t>
  </si>
  <si>
    <t>Portfolio 9910</t>
  </si>
  <si>
    <t>Portfolio 6792</t>
  </si>
  <si>
    <t>Portfolio 6844</t>
  </si>
  <si>
    <t>Portfolio 4431</t>
  </si>
  <si>
    <t>Portfolio 921</t>
  </si>
  <si>
    <t>Portfolio 7583</t>
  </si>
  <si>
    <t>Portfolio 5034</t>
  </si>
  <si>
    <t>Portfolio 3290</t>
  </si>
  <si>
    <t>Portfolio 5919</t>
  </si>
  <si>
    <t>Portfolio 2439</t>
  </si>
  <si>
    <t>Portfolio 3533</t>
  </si>
  <si>
    <t>Portfolio 6722</t>
  </si>
  <si>
    <t>Portfolio 2368</t>
  </si>
  <si>
    <t>Portfolio 9942</t>
  </si>
  <si>
    <t>Portfolio 8140</t>
  </si>
  <si>
    <t>Portfolio 7893</t>
  </si>
  <si>
    <t>Portfolio 5127</t>
  </si>
  <si>
    <t>Portfolio 7211</t>
  </si>
  <si>
    <t>Portfolio 6567</t>
  </si>
  <si>
    <t>Portfolio 3711</t>
  </si>
  <si>
    <t>Portfolio 1297</t>
  </si>
  <si>
    <t>Portfolio 7687</t>
  </si>
  <si>
    <t>Portfolio 1708</t>
  </si>
  <si>
    <t>Portfolio 2163</t>
  </si>
  <si>
    <t>Portfolio 9624</t>
  </si>
  <si>
    <t>Portfolio 6581</t>
  </si>
  <si>
    <t>Portfolio 4889</t>
  </si>
  <si>
    <t>Portfolio 1631</t>
  </si>
  <si>
    <t>Portfolio 2481</t>
  </si>
  <si>
    <t>Portfolio 1637</t>
  </si>
  <si>
    <t>Portfolio 7787</t>
  </si>
  <si>
    <t>Portfolio 2926</t>
  </si>
  <si>
    <t>Portfolio 1143</t>
  </si>
  <si>
    <t>Portfolio 7613</t>
  </si>
  <si>
    <t>Portfolio 1184</t>
  </si>
  <si>
    <t>Portfolio 525</t>
  </si>
  <si>
    <t>Portfolio 5300</t>
  </si>
  <si>
    <t>Portfolio 9314</t>
  </si>
  <si>
    <t>Portfolio 8248</t>
  </si>
  <si>
    <t>Portfolio 7218</t>
  </si>
  <si>
    <t>Portfolio 2224</t>
  </si>
  <si>
    <t>Portfolio 2140</t>
  </si>
  <si>
    <t>Portfolio 6981</t>
  </si>
  <si>
    <t>Portfolio 5421</t>
  </si>
  <si>
    <t>Portfolio 6335</t>
  </si>
  <si>
    <t>Portfolio 599</t>
  </si>
  <si>
    <t>Portfolio 1387</t>
  </si>
  <si>
    <t>Portfolio 241</t>
  </si>
  <si>
    <t>Portfolio 3374</t>
  </si>
  <si>
    <t>Portfolio 6883</t>
  </si>
  <si>
    <t>Portfolio 8826</t>
  </si>
  <si>
    <t>Portfolio 9713</t>
  </si>
  <si>
    <t>Portfolio 3449</t>
  </si>
  <si>
    <t>Portfolio 8452</t>
  </si>
  <si>
    <t>Portfolio 9705</t>
  </si>
  <si>
    <t>Portfolio 5603</t>
  </si>
  <si>
    <t>Portfolio 7212</t>
  </si>
  <si>
    <t>Portfolio 32</t>
  </si>
  <si>
    <t>Portfolio 1816</t>
  </si>
  <si>
    <t>Portfolio 2645</t>
  </si>
  <si>
    <t>Portfolio 8377</t>
  </si>
  <si>
    <t>Portfolio 400</t>
  </si>
  <si>
    <t>Portfolio 617</t>
  </si>
  <si>
    <t>Portfolio 9341</t>
  </si>
  <si>
    <t>Portfolio 2646</t>
  </si>
  <si>
    <t>Portfolio 2649</t>
  </si>
  <si>
    <t>Portfolio 4241</t>
  </si>
  <si>
    <t>Portfolio 3721</t>
  </si>
  <si>
    <t>Portfolio 4285</t>
  </si>
  <si>
    <t>Portfolio 4964</t>
  </si>
  <si>
    <t>Portfolio 4457</t>
  </si>
  <si>
    <t>Portfolio 137</t>
  </si>
  <si>
    <t>Portfolio 4146</t>
  </si>
  <si>
    <t>Portfolio 1122</t>
  </si>
  <si>
    <t>Portfolio 2643</t>
  </si>
  <si>
    <t>Portfolio 1285</t>
  </si>
  <si>
    <t>Portfolio 5551</t>
  </si>
  <si>
    <t>Portfolio 1589</t>
  </si>
  <si>
    <t>Portfolio 3689</t>
  </si>
  <si>
    <t>Portfolio 8294</t>
  </si>
  <si>
    <t>Portfolio 9201</t>
  </si>
  <si>
    <t>Portfolio 9412</t>
  </si>
  <si>
    <t>Portfolio 976</t>
  </si>
  <si>
    <t>Portfolio 6305</t>
  </si>
  <si>
    <t>Portfolio 822</t>
  </si>
  <si>
    <t>Portfolio 3867</t>
  </si>
  <si>
    <t>Portfolio 2157</t>
  </si>
  <si>
    <t>Portfolio 9560</t>
  </si>
  <si>
    <t>Portfolio 1588</t>
  </si>
  <si>
    <t>Portfolio 1910</t>
  </si>
  <si>
    <t>Portfolio 6312</t>
  </si>
  <si>
    <t>Portfolio 8351</t>
  </si>
  <si>
    <t>Portfolio 9587</t>
  </si>
  <si>
    <t>Portfolio 4912</t>
  </si>
  <si>
    <t>Portfolio 36</t>
  </si>
  <si>
    <t>Portfolio 8953</t>
  </si>
  <si>
    <t>Portfolio 7605</t>
  </si>
  <si>
    <t>Portfolio 3946</t>
  </si>
  <si>
    <t>Portfolio 2413</t>
  </si>
  <si>
    <t>Portfolio 3373</t>
  </si>
  <si>
    <t>Portfolio 8933</t>
  </si>
  <si>
    <t>Portfolio 484</t>
  </si>
  <si>
    <t>Portfolio 5070</t>
  </si>
  <si>
    <t>Portfolio 4278</t>
  </si>
  <si>
    <t>Portfolio 7481</t>
  </si>
  <si>
    <t>Portfolio 9802</t>
  </si>
  <si>
    <t>Portfolio 3763</t>
  </si>
  <si>
    <t>Portfolio 9028</t>
  </si>
  <si>
    <t>Portfolio 8798</t>
  </si>
  <si>
    <t>Portfolio 1833</t>
  </si>
  <si>
    <t>Portfolio 4031</t>
  </si>
  <si>
    <t>Portfolio 6745</t>
  </si>
  <si>
    <t>Portfolio 6885</t>
  </si>
  <si>
    <t>Portfolio 3046</t>
  </si>
  <si>
    <t>Portfolio 7934</t>
  </si>
  <si>
    <t>Portfolio 1702</t>
  </si>
  <si>
    <t>Portfolio 2261</t>
  </si>
  <si>
    <t>Portfolio 8343</t>
  </si>
  <si>
    <t>Portfolio 8550</t>
  </si>
  <si>
    <t>Portfolio 1216</t>
  </si>
  <si>
    <t>Portfolio 5030</t>
  </si>
  <si>
    <t>Portfolio 2930</t>
  </si>
  <si>
    <t>Portfolio 2464</t>
  </si>
  <si>
    <t>Portfolio 5266</t>
  </si>
  <si>
    <t>Portfolio 6694</t>
  </si>
  <si>
    <t>Portfolio 8167</t>
  </si>
  <si>
    <t>Portfolio 6204</t>
  </si>
  <si>
    <t>Portfolio 6362</t>
  </si>
  <si>
    <t>Portfolio 3340</t>
  </si>
  <si>
    <t>Portfolio 818</t>
  </si>
  <si>
    <t>Portfolio 9920</t>
  </si>
  <si>
    <t>Portfolio 96</t>
  </si>
  <si>
    <t>Portfolio 1940</t>
  </si>
  <si>
    <t>Portfolio 4745</t>
  </si>
  <si>
    <t>Portfolio 5624</t>
  </si>
  <si>
    <t>Portfolio 8884</t>
  </si>
  <si>
    <t>Portfolio 6676</t>
  </si>
  <si>
    <t>Portfolio 2138</t>
  </si>
  <si>
    <t>Portfolio 1263</t>
  </si>
  <si>
    <t>Portfolio 2736</t>
  </si>
  <si>
    <t>Portfolio 1527</t>
  </si>
  <si>
    <t>Portfolio 335</t>
  </si>
  <si>
    <t>Portfolio 1307</t>
  </si>
  <si>
    <t>Portfolio 8197</t>
  </si>
  <si>
    <t>Portfolio 3649</t>
  </si>
  <si>
    <t>Portfolio 5121</t>
  </si>
  <si>
    <t>Portfolio 6228</t>
  </si>
  <si>
    <t>Portfolio 2451</t>
  </si>
  <si>
    <t>Portfolio 158</t>
  </si>
  <si>
    <t>Portfolio 2146</t>
  </si>
  <si>
    <t>Portfolio 8433</t>
  </si>
  <si>
    <t>Portfolio 1137</t>
  </si>
  <si>
    <t>Portfolio 6845</t>
  </si>
  <si>
    <t>Portfolio 9153</t>
  </si>
  <si>
    <t>Portfolio 348</t>
  </si>
  <si>
    <t>Portfolio 2623</t>
  </si>
  <si>
    <t>Portfolio 1363</t>
  </si>
  <si>
    <t>Portfolio 719</t>
  </si>
  <si>
    <t>Portfolio 8196</t>
  </si>
  <si>
    <t>Portfolio 509</t>
  </si>
  <si>
    <t>Portfolio 1676</t>
  </si>
  <si>
    <t>Portfolio 6412</t>
  </si>
  <si>
    <t>Portfolio 1220</t>
  </si>
  <si>
    <t>Portfolio 5399</t>
  </si>
  <si>
    <t>Portfolio 113</t>
  </si>
  <si>
    <t>Portfolio 5376</t>
  </si>
  <si>
    <t>Portfolio 1804</t>
  </si>
  <si>
    <t>Portfolio 1167</t>
  </si>
  <si>
    <t>Portfolio 2029</t>
  </si>
  <si>
    <t>Portfolio 9927</t>
  </si>
  <si>
    <t>Portfolio 5208</t>
  </si>
  <si>
    <t>Portfolio 8231</t>
  </si>
  <si>
    <t>Portfolio 1067</t>
  </si>
  <si>
    <t>Portfolio 4894</t>
  </si>
  <si>
    <t>Portfolio 7637</t>
  </si>
  <si>
    <t>Portfolio 5480</t>
  </si>
  <si>
    <t>Portfolio 3072</t>
  </si>
  <si>
    <t>Portfolio 5310</t>
  </si>
  <si>
    <t>Portfolio 3936</t>
  </si>
  <si>
    <t>Portfolio 9225</t>
  </si>
  <si>
    <t>Portfolio 9414</t>
  </si>
  <si>
    <t>Portfolio 5864</t>
  </si>
  <si>
    <t>Portfolio 852</t>
  </si>
  <si>
    <t>Portfolio 7177</t>
  </si>
  <si>
    <t>Portfolio 8251</t>
  </si>
  <si>
    <t>Portfolio 8863</t>
  </si>
  <si>
    <t>Portfolio 1772</t>
  </si>
  <si>
    <t>Portfolio 6992</t>
  </si>
  <si>
    <t>Portfolio 3933</t>
  </si>
  <si>
    <t>Portfolio 8188</t>
  </si>
  <si>
    <t>Portfolio 9435</t>
  </si>
  <si>
    <t>Portfolio 6508</t>
  </si>
  <si>
    <t>Portfolio 1261</t>
  </si>
  <si>
    <t>Portfolio 81</t>
  </si>
  <si>
    <t>Portfolio 2150</t>
  </si>
  <si>
    <t>Portfolio 9803</t>
  </si>
  <si>
    <t>Portfolio 608</t>
  </si>
  <si>
    <t>Portfolio 9824</t>
  </si>
  <si>
    <t>Portfolio 3020</t>
  </si>
  <si>
    <t>Portfolio 4148</t>
  </si>
  <si>
    <t>Portfolio 5362</t>
  </si>
  <si>
    <t>Portfolio 1394</t>
  </si>
  <si>
    <t>Portfolio 949</t>
  </si>
  <si>
    <t>Portfolio 1849</t>
  </si>
  <si>
    <t>Portfolio 6563</t>
  </si>
  <si>
    <t>Portfolio 5705</t>
  </si>
  <si>
    <t>Portfolio 3862</t>
  </si>
  <si>
    <t>Portfolio 512</t>
  </si>
  <si>
    <t>Portfolio 5161</t>
  </si>
  <si>
    <t>Portfolio 6494</t>
  </si>
  <si>
    <t>Portfolio 4129</t>
  </si>
  <si>
    <t>Portfolio 4775</t>
  </si>
  <si>
    <t>Portfolio 19</t>
  </si>
  <si>
    <t>Portfolio 1993</t>
  </si>
  <si>
    <t>Portfolio 1267</t>
  </si>
  <si>
    <t>Portfolio 6594</t>
  </si>
  <si>
    <t>Portfolio 2050</t>
  </si>
  <si>
    <t>Portfolio 9953</t>
  </si>
  <si>
    <t>Portfolio 5554</t>
  </si>
  <si>
    <t>Portfolio 7823</t>
  </si>
  <si>
    <t>Portfolio 1904</t>
  </si>
  <si>
    <t>Portfolio 1956</t>
  </si>
  <si>
    <t>Portfolio 1136</t>
  </si>
  <si>
    <t>Portfolio 4137</t>
  </si>
  <si>
    <t>Portfolio 7321</t>
  </si>
  <si>
    <t>Portfolio 1746</t>
  </si>
  <si>
    <t>Portfolio 285</t>
  </si>
  <si>
    <t>Portfolio 564</t>
  </si>
  <si>
    <t>Portfolio 5471</t>
  </si>
  <si>
    <t>Portfolio 4545</t>
  </si>
  <si>
    <t>Portfolio 3623</t>
  </si>
  <si>
    <t>Portfolio 3214</t>
  </si>
  <si>
    <t>Portfolio 5145</t>
  </si>
  <si>
    <t>Portfolio 3483</t>
  </si>
  <si>
    <t>Portfolio 4124</t>
  </si>
  <si>
    <t>Portfolio 5280</t>
  </si>
  <si>
    <t>Portfolio 5970</t>
  </si>
  <si>
    <t>Portfolio 3563</t>
  </si>
  <si>
    <t>Portfolio 4462</t>
  </si>
  <si>
    <t>Portfolio 2268</t>
  </si>
  <si>
    <t>Portfolio 8177</t>
  </si>
  <si>
    <t>Portfolio 9534</t>
  </si>
  <si>
    <t>Portfolio 781</t>
  </si>
  <si>
    <t>Portfolio 2721</t>
  </si>
  <si>
    <t>Portfolio 6414</t>
  </si>
  <si>
    <t>Portfolio 2871</t>
  </si>
  <si>
    <t>Portfolio 5763</t>
  </si>
  <si>
    <t>Portfolio 6396</t>
  </si>
  <si>
    <t>Portfolio 2988</t>
  </si>
  <si>
    <t>Portfolio 5115</t>
  </si>
  <si>
    <t>Portfolio 4542</t>
  </si>
  <si>
    <t>Portfolio 3202</t>
  </si>
  <si>
    <t>Portfolio 9205</t>
  </si>
  <si>
    <t>Portfolio 31</t>
  </si>
  <si>
    <t>Portfolio 7855</t>
  </si>
  <si>
    <t>Portfolio 7326</t>
  </si>
  <si>
    <t>Portfolio 2875</t>
  </si>
  <si>
    <t>Portfolio 6620</t>
  </si>
  <si>
    <t>Portfolio 2103</t>
  </si>
  <si>
    <t>Portfolio 5033</t>
  </si>
  <si>
    <t>Portfolio 880</t>
  </si>
  <si>
    <t>Portfolio 5348</t>
  </si>
  <si>
    <t>Portfolio 3784</t>
  </si>
  <si>
    <t>Portfolio 527</t>
  </si>
  <si>
    <t>Portfolio 6877</t>
  </si>
  <si>
    <t>Portfolio 8957</t>
  </si>
  <si>
    <t>Portfolio 9846</t>
  </si>
  <si>
    <t>Portfolio 3852</t>
  </si>
  <si>
    <t>Portfolio 3320</t>
  </si>
  <si>
    <t>Portfolio 6058</t>
  </si>
  <si>
    <t>Portfolio 226</t>
  </si>
  <si>
    <t>Portfolio 3640</t>
  </si>
  <si>
    <t>Portfolio 6425</t>
  </si>
  <si>
    <t>Portfolio 526</t>
  </si>
  <si>
    <t>Portfolio 4262</t>
  </si>
  <si>
    <t>Portfolio 3415</t>
  </si>
  <si>
    <t>Portfolio 690</t>
  </si>
  <si>
    <t>Portfolio 5081</t>
  </si>
  <si>
    <t>Portfolio 402</t>
  </si>
  <si>
    <t>Portfolio 9646</t>
  </si>
  <si>
    <t>Portfolio 5438</t>
  </si>
  <si>
    <t>Portfolio 1831</t>
  </si>
  <si>
    <t>Portfolio 2346</t>
  </si>
  <si>
    <t>Portfolio 7109</t>
  </si>
  <si>
    <t>Portfolio 7981</t>
  </si>
  <si>
    <t>Portfolio 6538</t>
  </si>
  <si>
    <t>Portfolio 6003</t>
  </si>
  <si>
    <t>Portfolio 9660</t>
  </si>
  <si>
    <t>Portfolio 6719</t>
  </si>
  <si>
    <t>Portfolio 5224</t>
  </si>
  <si>
    <t>Portfolio 2610</t>
  </si>
  <si>
    <t>Portfolio 9944</t>
  </si>
  <si>
    <t>Portfolio 4604</t>
  </si>
  <si>
    <t>Portfolio 6798</t>
  </si>
  <si>
    <t>Portfolio 2555</t>
  </si>
  <si>
    <t>Portfolio 5557</t>
  </si>
  <si>
    <t>Portfolio 7342</t>
  </si>
  <si>
    <t>Portfolio 7836</t>
  </si>
  <si>
    <t>Portfolio 744</t>
  </si>
  <si>
    <t>Portfolio 5893</t>
  </si>
  <si>
    <t>Portfolio 2514</t>
  </si>
  <si>
    <t>Portfolio 703</t>
  </si>
  <si>
    <t>Portfolio 556</t>
  </si>
  <si>
    <t>Portfolio 3155</t>
  </si>
  <si>
    <t>Portfolio 4112</t>
  </si>
  <si>
    <t>Portfolio 6903</t>
  </si>
  <si>
    <t>Portfolio 428</t>
  </si>
  <si>
    <t>Portfolio 7875</t>
  </si>
  <si>
    <t>Portfolio 3897</t>
  </si>
  <si>
    <t>Portfolio 5407</t>
  </si>
  <si>
    <t>Portfolio 5539</t>
  </si>
  <si>
    <t>Portfolio 2017</t>
  </si>
  <si>
    <t>Portfolio 3745</t>
  </si>
  <si>
    <t>Portfolio 6777</t>
  </si>
  <si>
    <t>Portfolio 5679</t>
  </si>
  <si>
    <t>Portfolio 5358</t>
  </si>
  <si>
    <t>Portfolio 4920</t>
  </si>
  <si>
    <t>Portfolio 6998</t>
  </si>
  <si>
    <t>Portfolio 2551</t>
  </si>
  <si>
    <t>Portfolio 2989</t>
  </si>
  <si>
    <t>Portfolio 3064</t>
  </si>
  <si>
    <t>Portfolio 5723</t>
  </si>
  <si>
    <t>Portfolio 2807</t>
  </si>
  <si>
    <t>Portfolio 7504</t>
  </si>
  <si>
    <t>Portfolio 4160</t>
  </si>
  <si>
    <t>Portfolio 314</t>
  </si>
  <si>
    <t>Portfolio 4483</t>
  </si>
  <si>
    <t>Portfolio 4497</t>
  </si>
  <si>
    <t>Portfolio 1485</t>
  </si>
  <si>
    <t>Portfolio 615</t>
  </si>
  <si>
    <t>Portfolio 604</t>
  </si>
  <si>
    <t>Portfolio 2850</t>
  </si>
  <si>
    <t>Portfolio 2397</t>
  </si>
  <si>
    <t>Portfolio 7408</t>
  </si>
  <si>
    <t>Portfolio 3168</t>
  </si>
  <si>
    <t>Portfolio 4540</t>
  </si>
  <si>
    <t>Portfolio 5690</t>
  </si>
  <si>
    <t>Portfolio 9740</t>
  </si>
  <si>
    <t>Portfolio 5623</t>
  </si>
  <si>
    <t>Portfolio 8844</t>
  </si>
  <si>
    <t>Portfolio 590</t>
  </si>
  <si>
    <t>Portfolio 6301</t>
  </si>
  <si>
    <t>Portfolio 936</t>
  </si>
  <si>
    <t>Portfolio 4983</t>
  </si>
  <si>
    <t>Portfolio 6</t>
  </si>
  <si>
    <t>Portfolio 5979</t>
  </si>
  <si>
    <t>Portfolio 7252</t>
  </si>
  <si>
    <t>Portfolio 9209</t>
  </si>
  <si>
    <t>Portfolio 3163</t>
  </si>
  <si>
    <t>Portfolio 9918</t>
  </si>
  <si>
    <t>Portfolio 3309</t>
  </si>
  <si>
    <t>Portfolio 9674</t>
  </si>
  <si>
    <t>Portfolio 3789</t>
  </si>
  <si>
    <t>Portfolio 4813</t>
  </si>
  <si>
    <t>Portfolio 5056</t>
  </si>
  <si>
    <t>Portfolio 5037</t>
  </si>
  <si>
    <t>Portfolio 4303</t>
  </si>
  <si>
    <t>Portfolio 4054</t>
  </si>
  <si>
    <t>Portfolio 6308</t>
  </si>
  <si>
    <t>Portfolio 710</t>
  </si>
  <si>
    <t>Portfolio 3445</t>
  </si>
  <si>
    <t>Portfolio 6513</t>
  </si>
  <si>
    <t>Portfolio 4841</t>
  </si>
  <si>
    <t>Portfolio 3272</t>
  </si>
  <si>
    <t>Portfolio 1895</t>
  </si>
  <si>
    <t>Portfolio 6177</t>
  </si>
  <si>
    <t>Portfolio 1112</t>
  </si>
  <si>
    <t>Portfolio 4902</t>
  </si>
  <si>
    <t>Portfolio 3089</t>
  </si>
  <si>
    <t>Portfolio 7024</t>
  </si>
  <si>
    <t>Portfolio 122</t>
  </si>
  <si>
    <t>Portfolio 4449</t>
  </si>
  <si>
    <t>Portfolio 7869</t>
  </si>
  <si>
    <t>Portfolio 88</t>
  </si>
  <si>
    <t>Portfolio 2158</t>
  </si>
  <si>
    <t>Portfolio 9729</t>
  </si>
  <si>
    <t>Portfolio 8922</t>
  </si>
  <si>
    <t>Portfolio 740</t>
  </si>
  <si>
    <t>Portfolio 2119</t>
  </si>
  <si>
    <t>Portfolio 5811</t>
  </si>
  <si>
    <t>Portfolio 409</t>
  </si>
  <si>
    <t>Portfolio 9590</t>
  </si>
  <si>
    <t>Portfolio 7619</t>
  </si>
  <si>
    <t>Portfolio 9734</t>
  </si>
  <si>
    <t>Portfolio 2765</t>
  </si>
  <si>
    <t>Portfolio 5420</t>
  </si>
  <si>
    <t>Portfolio 3194</t>
  </si>
  <si>
    <t>Portfolio 6350</t>
  </si>
  <si>
    <t>Portfolio 7320</t>
  </si>
  <si>
    <t>Portfolio 9329</t>
  </si>
  <si>
    <t>Portfolio 4508</t>
  </si>
  <si>
    <t>Portfolio 9420</t>
  </si>
  <si>
    <t>Portfolio 459</t>
  </si>
  <si>
    <t>Portfolio 9180</t>
  </si>
  <si>
    <t>Portfolio 5095</t>
  </si>
  <si>
    <t>Portfolio 1271</t>
  </si>
  <si>
    <t>Portfolio 9951</t>
  </si>
  <si>
    <t>Portfolio 4470</t>
  </si>
  <si>
    <t>Portfolio 6751</t>
  </si>
  <si>
    <t>Portfolio 1433</t>
  </si>
  <si>
    <t>Portfolio 9363</t>
  </si>
  <si>
    <t>Portfolio 8477</t>
  </si>
  <si>
    <t>Portfolio 5741</t>
  </si>
  <si>
    <t>Portfolio 9270</t>
  </si>
  <si>
    <t>Portfolio 1342</t>
  </si>
  <si>
    <t>Portfolio 1925</t>
  </si>
  <si>
    <t>Portfolio 4181</t>
  </si>
  <si>
    <t>Portfolio 3954</t>
  </si>
  <si>
    <t>Portfolio 199</t>
  </si>
  <si>
    <t>Portfolio 3529</t>
  </si>
  <si>
    <t>Portfolio 5948</t>
  </si>
  <si>
    <t>Portfolio 8428</t>
  </si>
  <si>
    <t>Portfolio 6947</t>
  </si>
  <si>
    <t>Portfolio 4935</t>
  </si>
  <si>
    <t>Portfolio 9545</t>
  </si>
  <si>
    <t>Portfolio 1221</t>
  </si>
  <si>
    <t>Portfolio 1268</t>
  </si>
  <si>
    <t>Portfolio 5960</t>
  </si>
  <si>
    <t>Portfolio 3806</t>
  </si>
  <si>
    <t>Portfolio 2910</t>
  </si>
  <si>
    <t>Portfolio 4246</t>
  </si>
  <si>
    <t>Portfolio 262</t>
  </si>
  <si>
    <t>Portfolio 3208</t>
  </si>
  <si>
    <t>Portfolio 4261</t>
  </si>
  <si>
    <t>Portfolio 2725</t>
  </si>
  <si>
    <t>Portfolio 4425</t>
  </si>
  <si>
    <t>Portfolio 6229</t>
  </si>
  <si>
    <t>Portfolio 4366</t>
  </si>
  <si>
    <t>Portfolio 9076</t>
  </si>
  <si>
    <t>Portfolio 5180</t>
  </si>
  <si>
    <t>Portfolio 8443</t>
  </si>
  <si>
    <t>Portfolio 9982</t>
  </si>
  <si>
    <t>Portfolio 3292</t>
  </si>
  <si>
    <t>Portfolio 5178</t>
  </si>
  <si>
    <t>Portfolio 5570</t>
  </si>
  <si>
    <t>Portfolio 4015</t>
  </si>
  <si>
    <t>Portfolio 4782</t>
  </si>
  <si>
    <t>Portfolio 7656</t>
  </si>
  <si>
    <t>Portfolio 4939</t>
  </si>
  <si>
    <t>Portfolio 7620</t>
  </si>
  <si>
    <t>Portfolio 1790</t>
  </si>
  <si>
    <t>Portfolio 2372</t>
  </si>
  <si>
    <t>Portfolio 5292</t>
  </si>
  <si>
    <t>Portfolio 4946</t>
  </si>
  <si>
    <t>Portfolio 5026</t>
  </si>
  <si>
    <t>Portfolio 4850</t>
  </si>
  <si>
    <t>Portfolio 5202</t>
  </si>
  <si>
    <t>Portfolio 5335</t>
  </si>
  <si>
    <t>Portfolio 1469</t>
  </si>
  <si>
    <t>Portfolio 9339</t>
  </si>
  <si>
    <t>Portfolio 6509</t>
  </si>
  <si>
    <t>Portfolio 587</t>
  </si>
  <si>
    <t>Portfolio 7707</t>
  </si>
  <si>
    <t>Portfolio 8030</t>
  </si>
  <si>
    <t>Portfolio 5462</t>
  </si>
  <si>
    <t>Portfolio 8899</t>
  </si>
  <si>
    <t>Portfolio 4395</t>
  </si>
  <si>
    <t>Portfolio 7096</t>
  </si>
  <si>
    <t>Portfolio 9375</t>
  </si>
  <si>
    <t>Portfolio 1726</t>
  </si>
  <si>
    <t>Portfolio 3454</t>
  </si>
  <si>
    <t>Portfolio 7232</t>
  </si>
  <si>
    <t>Portfolio 1205</t>
  </si>
  <si>
    <t>Portfolio 7269</t>
  </si>
  <si>
    <t>Portfolio 2009</t>
  </si>
  <si>
    <t>Portfolio 4249</t>
  </si>
  <si>
    <t>Portfolio 8331</t>
  </si>
  <si>
    <t>Portfolio 8413</t>
  </si>
  <si>
    <t>Portfolio 8152</t>
  </si>
  <si>
    <t>Portfolio 3549</t>
  </si>
  <si>
    <t>Portfolio 1460</t>
  </si>
  <si>
    <t>Portfolio 8829</t>
  </si>
  <si>
    <t>Portfolio 7440</t>
  </si>
  <si>
    <t>Portfolio 6381</t>
  </si>
  <si>
    <t>Portfolio 803</t>
  </si>
  <si>
    <t>Portfolio 5637</t>
  </si>
  <si>
    <t>Portfolio 5312</t>
  </si>
  <si>
    <t>Portfolio 1538</t>
  </si>
  <si>
    <t>Portfolio 6085</t>
  </si>
  <si>
    <t>Portfolio 9636</t>
  </si>
  <si>
    <t>Portfolio 4028</t>
  </si>
  <si>
    <t>Portfolio 6557</t>
  </si>
  <si>
    <t>Portfolio 2489</t>
  </si>
  <si>
    <t>Portfolio 8330</t>
  </si>
  <si>
    <t>Portfolio 3526</t>
  </si>
  <si>
    <t>Portfolio 1074</t>
  </si>
  <si>
    <t>Portfolio 4908</t>
  </si>
  <si>
    <t>Portfolio 5710</t>
  </si>
  <si>
    <t>Portfolio 3544</t>
  </si>
  <si>
    <t>Portfolio 3325</t>
  </si>
  <si>
    <t>Portfolio 4180</t>
  </si>
  <si>
    <t>Portfolio 8015</t>
  </si>
  <si>
    <t>Portfolio 4661</t>
  </si>
  <si>
    <t>Portfolio 8437</t>
  </si>
  <si>
    <t>Portfolio 2935</t>
  </si>
  <si>
    <t>Portfolio 5701</t>
  </si>
  <si>
    <t>Portfolio 7638</t>
  </si>
  <si>
    <t>Portfolio 5629</t>
  </si>
  <si>
    <t>Portfolio 2155</t>
  </si>
  <si>
    <t>Portfolio 7134</t>
  </si>
  <si>
    <t>Portfolio 4689</t>
  </si>
  <si>
    <t>Portfolio 6055</t>
  </si>
  <si>
    <t>Portfolio 355</t>
  </si>
  <si>
    <t>Portfolio 5912</t>
  </si>
  <si>
    <t>Portfolio 6868</t>
  </si>
  <si>
    <t>Portfolio 4686</t>
  </si>
  <si>
    <t>Portfolio 1348</t>
  </si>
  <si>
    <t>Portfolio 5599</t>
  </si>
  <si>
    <t>Portfolio 9596</t>
  </si>
  <si>
    <t>Portfolio 1942</t>
  </si>
  <si>
    <t>Portfolio 951</t>
  </si>
  <si>
    <t>Portfolio 7188</t>
  </si>
  <si>
    <t>Portfolio 9546</t>
  </si>
  <si>
    <t>Portfolio 4259</t>
  </si>
  <si>
    <t>Portfolio 8805</t>
  </si>
  <si>
    <t>Portfolio 6473</t>
  </si>
  <si>
    <t>Portfolio 191</t>
  </si>
  <si>
    <t>Portfolio 4227</t>
  </si>
  <si>
    <t>Portfolio 6168</t>
  </si>
  <si>
    <t>Portfolio 1003</t>
  </si>
  <si>
    <t>Portfolio 3324</t>
  </si>
  <si>
    <t>Portfolio 9506</t>
  </si>
  <si>
    <t>Portfolio 2957</t>
  </si>
  <si>
    <t>Portfolio 9755</t>
  </si>
  <si>
    <t>Portfolio 3681</t>
  </si>
  <si>
    <t>Portfolio 9346</t>
  </si>
  <si>
    <t>Portfolio 3238</t>
  </si>
  <si>
    <t>Portfolio 9483</t>
  </si>
  <si>
    <t>Portfolio 2686</t>
  </si>
  <si>
    <t>Portfolio 2072</t>
  </si>
  <si>
    <t>Portfolio 6236</t>
  </si>
  <si>
    <t>Portfolio 9799</t>
  </si>
  <si>
    <t>Portfolio 2037</t>
  </si>
  <si>
    <t>Portfolio 3060</t>
  </si>
  <si>
    <t>Portfolio 1120</t>
  </si>
  <si>
    <t>Portfolio 2039</t>
  </si>
  <si>
    <t>Portfolio 3793</t>
  </si>
  <si>
    <t>Portfolio 9443</t>
  </si>
  <si>
    <t>Portfolio 1187</t>
  </si>
  <si>
    <t>Portfolio 51</t>
  </si>
  <si>
    <t>Portfolio 1621</t>
  </si>
  <si>
    <t>Portfolio 4901</t>
  </si>
  <si>
    <t>Portfolio 6634</t>
  </si>
  <si>
    <t>Portfolio 671</t>
  </si>
  <si>
    <t>Portfolio 8926</t>
  </si>
  <si>
    <t>Portfolio 9544</t>
  </si>
  <si>
    <t>Portfolio 2579</t>
  </si>
  <si>
    <t>Portfolio 2082</t>
  </si>
  <si>
    <t>Portfolio 2692</t>
  </si>
  <si>
    <t>Portfolio 5545</t>
  </si>
  <si>
    <t>Portfolio 1505</t>
  </si>
  <si>
    <t>Portfolio 5765</t>
  </si>
  <si>
    <t>Portfolio 3778</t>
  </si>
  <si>
    <t>Portfolio 2863</t>
  </si>
  <si>
    <t>Portfolio 3572</t>
  </si>
  <si>
    <t>Portfolio 576</t>
  </si>
  <si>
    <t>Portfolio 6674</t>
  </si>
  <si>
    <t>Portfolio 4282</t>
  </si>
  <si>
    <t>Portfolio 3083</t>
  </si>
  <si>
    <t>Portfolio 8797</t>
  </si>
  <si>
    <t>Portfolio 8262</t>
  </si>
  <si>
    <t>Portfolio 4430</t>
  </si>
  <si>
    <t>Portfolio 7867</t>
  </si>
  <si>
    <t>Portfolio 5550</t>
  </si>
  <si>
    <t>Portfolio 6683</t>
  </si>
  <si>
    <t>Portfolio 797</t>
  </si>
  <si>
    <t>Portfolio 661</t>
  </si>
  <si>
    <t>Portfolio 531</t>
  </si>
  <si>
    <t>Portfolio 5064</t>
  </si>
  <si>
    <t>Portfolio 2250</t>
  </si>
  <si>
    <t>Portfolio 7076</t>
  </si>
  <si>
    <t>Portfolio 8763</t>
  </si>
  <si>
    <t>Portfolio 3707</t>
  </si>
  <si>
    <t>Portfolio 8480</t>
  </si>
  <si>
    <t>Portfolio 960</t>
  </si>
  <si>
    <t>Portfolio 7813</t>
  </si>
  <si>
    <t>Portfolio 6025</t>
  </si>
  <si>
    <t>Portfolio 2038</t>
  </si>
  <si>
    <t>Portfolio 8289</t>
  </si>
  <si>
    <t>Portfolio 9056</t>
  </si>
  <si>
    <t>Portfolio 4716</t>
  </si>
  <si>
    <t>Portfolio 2153</t>
  </si>
  <si>
    <t>Portfolio 5297</t>
  </si>
  <si>
    <t>Portfolio 4442</t>
  </si>
  <si>
    <t>Portfolio 7971</t>
  </si>
  <si>
    <t>Portfolio 1494</t>
  </si>
  <si>
    <t>Portfolio 2062</t>
  </si>
  <si>
    <t>Portfolio 9497</t>
  </si>
  <si>
    <t>Portfolio 9087</t>
  </si>
  <si>
    <t>Portfolio 3583</t>
  </si>
  <si>
    <t>Portfolio 3552</t>
  </si>
  <si>
    <t>Portfolio 6493</t>
  </si>
  <si>
    <t>Portfolio 9963</t>
  </si>
  <si>
    <t>Portfolio 4543</t>
  </si>
  <si>
    <t>Portfolio 6873</t>
  </si>
  <si>
    <t>Portfolio 3982</t>
  </si>
  <si>
    <t>Portfolio 7527</t>
  </si>
  <si>
    <t>Portfolio 7908</t>
  </si>
  <si>
    <t>Portfolio 6274</t>
  </si>
  <si>
    <t>Portfolio 684</t>
  </si>
  <si>
    <t>Portfolio 9116</t>
  </si>
  <si>
    <t>Portfolio 8454</t>
  </si>
  <si>
    <t>Portfolio 2051</t>
  </si>
  <si>
    <t>Portfolio 6166</t>
  </si>
  <si>
    <t>Portfolio 2947</t>
  </si>
  <si>
    <t>Portfolio 3688</t>
  </si>
  <si>
    <t>Portfolio 5059</t>
  </si>
  <si>
    <t>Portfolio 4719</t>
  </si>
  <si>
    <t>Portfolio 4098</t>
  </si>
  <si>
    <t>Portfolio 7601</t>
  </si>
  <si>
    <t>Portfolio 4512</t>
  </si>
  <si>
    <t>Portfolio 9865</t>
  </si>
  <si>
    <t>Portfolio 7235</t>
  </si>
  <si>
    <t>Portfolio 2323</t>
  </si>
  <si>
    <t>Portfolio 4586</t>
  </si>
  <si>
    <t>Portfolio 8871</t>
  </si>
  <si>
    <t>Portfolio 2041</t>
  </si>
  <si>
    <t>Portfolio 4524</t>
  </si>
  <si>
    <t>Portfolio 8634</t>
  </si>
  <si>
    <t>Portfolio 3925</t>
  </si>
  <si>
    <t>Portfolio 7509</t>
  </si>
  <si>
    <t>Portfolio 5800</t>
  </si>
  <si>
    <t>Portfolio 2582</t>
  </si>
  <si>
    <t>Portfolio 5817</t>
  </si>
  <si>
    <t>Portfolio 498</t>
  </si>
  <si>
    <t>Portfolio 9694</t>
  </si>
  <si>
    <t>Portfolio 1147</t>
  </si>
  <si>
    <t>Portfolio 9651</t>
  </si>
  <si>
    <t>Portfolio 7476</t>
  </si>
  <si>
    <t>Portfolio 2810</t>
  </si>
  <si>
    <t>Portfolio 3536</t>
  </si>
  <si>
    <t>Portfolio 2932</t>
  </si>
  <si>
    <t>Portfolio 4243</t>
  </si>
  <si>
    <t>Portfolio 1264</t>
  </si>
  <si>
    <t>Portfolio 823</t>
  </si>
  <si>
    <t>Portfolio 9323</t>
  </si>
  <si>
    <t>Portfolio 9308</t>
  </si>
  <si>
    <t>Portfolio 4233</t>
  </si>
  <si>
    <t>Portfolio 1244</t>
  </si>
  <si>
    <t>Portfolio 7713</t>
  </si>
  <si>
    <t>Portfolio 2190</t>
  </si>
  <si>
    <t>Portfolio 8420</t>
  </si>
  <si>
    <t>Portfolio 5911</t>
  </si>
  <si>
    <t>Portfolio 8212</t>
  </si>
  <si>
    <t>Portfolio 8675</t>
  </si>
  <si>
    <t>Portfolio 3595</t>
  </si>
  <si>
    <t>Portfolio 8281</t>
  </si>
  <si>
    <t>Portfolio 9164</t>
  </si>
  <si>
    <t>Portfolio 5635</t>
  </si>
  <si>
    <t>Portfolio 535</t>
  </si>
  <si>
    <t>Portfolio 1807</t>
  </si>
  <si>
    <t>Portfolio 5099</t>
  </si>
  <si>
    <t>Portfolio 8906</t>
  </si>
  <si>
    <t>Portfolio 5840</t>
  </si>
  <si>
    <t>Portfolio 393</t>
  </si>
  <si>
    <t>Portfolio 5468</t>
  </si>
  <si>
    <t>Portfolio 2280</t>
  </si>
  <si>
    <t>Portfolio 2527</t>
  </si>
  <si>
    <t>Portfolio 8768</t>
  </si>
  <si>
    <t>Portfolio 4954</t>
  </si>
  <si>
    <t>Portfolio 3823</t>
  </si>
  <si>
    <t>Portfolio 6720</t>
  </si>
  <si>
    <t>Portfolio 1355</t>
  </si>
  <si>
    <t>Portfolio 4253</t>
  </si>
  <si>
    <t>Portfolio 2911</t>
  </si>
  <si>
    <t>Portfolio 3138</t>
  </si>
  <si>
    <t>Portfolio 1848</t>
  </si>
  <si>
    <t>Portfolio 8543</t>
  </si>
  <si>
    <t>Portfolio 7825</t>
  </si>
  <si>
    <t>Portfolio 2438</t>
  </si>
  <si>
    <t>Portfolio 3005</t>
  </si>
  <si>
    <t>Portfolio 549</t>
  </si>
  <si>
    <t>Portfolio 7387</t>
  </si>
  <si>
    <t>Portfolio 452</t>
  </si>
  <si>
    <t>Portfolio 697</t>
  </si>
  <si>
    <t>Portfolio 1547</t>
  </si>
  <si>
    <t>Portfolio 2897</t>
  </si>
  <si>
    <t>Portfolio 5089</t>
  </si>
  <si>
    <t>Portfolio 3882</t>
  </si>
  <si>
    <t>Portfolio 7548</t>
  </si>
  <si>
    <t>Portfolio 4399</t>
  </si>
  <si>
    <t>Portfolio 1959</t>
  </si>
  <si>
    <t>Portfolio 4123</t>
  </si>
  <si>
    <t>Portfolio 1867</t>
  </si>
  <si>
    <t>Portfolio 5809</t>
  </si>
  <si>
    <t>Portfolio 2073</t>
  </si>
  <si>
    <t>Portfolio 6343</t>
  </si>
  <si>
    <t>Portfolio 2766</t>
  </si>
  <si>
    <t>Portfolio 5485</t>
  </si>
  <si>
    <t>Portfolio 4286</t>
  </si>
  <si>
    <t>Portfolio 5568</t>
  </si>
  <si>
    <t>Portfolio 3983</t>
  </si>
  <si>
    <t>Portfolio 6477</t>
  </si>
  <si>
    <t>Portfolio 7063</t>
  </si>
  <si>
    <t>Portfolio 4479</t>
  </si>
  <si>
    <t>Portfolio 6375</t>
  </si>
  <si>
    <t>Portfolio 2512</t>
  </si>
  <si>
    <t>Portfolio 2473</t>
  </si>
  <si>
    <t>Portfolio 6284</t>
  </si>
  <si>
    <t>Portfolio 7152</t>
  </si>
  <si>
    <t>Portfolio 4313</t>
  </si>
  <si>
    <t>Portfolio 5106</t>
  </si>
  <si>
    <t>Portfolio 5612</t>
  </si>
  <si>
    <t>Portfolio 4353</t>
  </si>
  <si>
    <t>Portfolio 3443</t>
  </si>
  <si>
    <t>Portfolio 6099</t>
  </si>
  <si>
    <t>Portfolio 8308</t>
  </si>
  <si>
    <t>Portfolio 7249</t>
  </si>
  <si>
    <t>Portfolio 1448</t>
  </si>
  <si>
    <t>Portfolio 5192</t>
  </si>
  <si>
    <t>Portfolio 3962</t>
  </si>
  <si>
    <t>Portfolio 2789</t>
  </si>
  <si>
    <t>Portfolio 8732</t>
  </si>
  <si>
    <t>Portfolio 1506</t>
  </si>
  <si>
    <t>Portfolio 5942</t>
  </si>
  <si>
    <t>Portfolio 1318</t>
  </si>
  <si>
    <t>Portfolio 5311</t>
  </si>
  <si>
    <t>Portfolio 3896</t>
  </si>
  <si>
    <t>Portfolio 1828</t>
  </si>
  <si>
    <t>Portfolio 72</t>
  </si>
  <si>
    <t>Portfolio 8718</t>
  </si>
  <si>
    <t>Portfolio 8913</t>
  </si>
  <si>
    <t>Portfolio 1499</t>
  </si>
  <si>
    <t>Portfolio 1022</t>
  </si>
  <si>
    <t>Portfolio 3577</t>
  </si>
  <si>
    <t>Portfolio 7688</t>
  </si>
  <si>
    <t>Portfolio 5683</t>
  </si>
  <si>
    <t>Portfolio 5041</t>
  </si>
  <si>
    <t>Portfolio 2640</t>
  </si>
  <si>
    <t>Portfolio 5111</t>
  </si>
  <si>
    <t>Portfolio 739</t>
  </si>
  <si>
    <t>Portfolio 4794</t>
  </si>
  <si>
    <t>Portfolio 4598</t>
  </si>
  <si>
    <t>Portfolio 3266</t>
  </si>
  <si>
    <t>Portfolio 8993</t>
  </si>
  <si>
    <t>Portfolio 8410</t>
  </si>
  <si>
    <t>Portfolio 5229</t>
  </si>
  <si>
    <t>Portfolio 7105</t>
  </si>
  <si>
    <t>Portfolio 8159</t>
  </si>
  <si>
    <t>Portfolio 3797</t>
  </si>
  <si>
    <t>Portfolio 3565</t>
  </si>
  <si>
    <t>Portfolio 4734</t>
  </si>
  <si>
    <t>Portfolio 1011</t>
  </si>
  <si>
    <t>Portfolio 1317</t>
  </si>
  <si>
    <t>Portfolio 1997</t>
  </si>
  <si>
    <t>Portfolio 9458</t>
  </si>
  <si>
    <t>Portfolio 8373</t>
  </si>
  <si>
    <t>Portfolio 9379</t>
  </si>
  <si>
    <t>Portfolio 4549</t>
  </si>
  <si>
    <t>Portfolio 4590</t>
  </si>
  <si>
    <t>Portfolio 6967</t>
  </si>
  <si>
    <t>Portfolio 1528</t>
  </si>
  <si>
    <t>Portfolio 9903</t>
  </si>
  <si>
    <t>Portfolio 8227</t>
  </si>
  <si>
    <t>Portfolio 2267</t>
  </si>
  <si>
    <t>Portfolio 6892</t>
  </si>
  <si>
    <t>Portfolio 747</t>
  </si>
  <si>
    <t>Portfolio 91</t>
  </si>
  <si>
    <t>Portfolio 7169</t>
  </si>
  <si>
    <t>Portfolio 8118</t>
  </si>
  <si>
    <t>Portfolio 8313</t>
  </si>
  <si>
    <t>Portfolio 5469</t>
  </si>
  <si>
    <t>Portfolio 5203</t>
  </si>
  <si>
    <t>Portfolio 1252</t>
  </si>
  <si>
    <t>Portfolio 7143</t>
  </si>
  <si>
    <t>Portfolio 5839</t>
  </si>
  <si>
    <t>Portfolio 6913</t>
  </si>
  <si>
    <t>Portfolio 4111</t>
  </si>
  <si>
    <t>Portfolio 3393</t>
  </si>
  <si>
    <t>Portfolio 5120</t>
  </si>
  <si>
    <t>Portfolio 2291</t>
  </si>
  <si>
    <t>Portfolio 8845</t>
  </si>
  <si>
    <t>Portfolio 3532</t>
  </si>
  <si>
    <t>Portfolio 6987</t>
  </si>
  <si>
    <t>Portfolio 1569</t>
  </si>
  <si>
    <t>Portfolio 3853</t>
  </si>
  <si>
    <t>Portfolio 9580</t>
  </si>
  <si>
    <t>Portfolio 8783</t>
  </si>
  <si>
    <t>Portfolio 5177</t>
  </si>
  <si>
    <t>Portfolio 9239</t>
  </si>
  <si>
    <t>Portfolio 2007</t>
  </si>
  <si>
    <t>Portfolio 8340</t>
  </si>
  <si>
    <t>Portfolio 6326</t>
  </si>
  <si>
    <t>Portfolio 3078</t>
  </si>
  <si>
    <t>Portfolio 8322</t>
  </si>
  <si>
    <t>Portfolio 4768</t>
  </si>
  <si>
    <t>Portfolio 7892</t>
  </si>
  <si>
    <t>Portfolio 2575</t>
  </si>
  <si>
    <t>Portfolio 3877</t>
  </si>
  <si>
    <t>Portfolio 4032</t>
  </si>
  <si>
    <t>Portfolio 5651</t>
  </si>
  <si>
    <t>Portfolio 1125</t>
  </si>
  <si>
    <t>Portfolio 5482</t>
  </si>
  <si>
    <t>Portfolio 1432</t>
  </si>
  <si>
    <t>Portfolio 4458</t>
  </si>
  <si>
    <t>Portfolio 9759</t>
  </si>
  <si>
    <t>Portfolio 3143</t>
  </si>
  <si>
    <t>Portfolio 8299</t>
  </si>
  <si>
    <t>Portfolio 2437</t>
  </si>
  <si>
    <t>Portfolio 5228</t>
  </si>
  <si>
    <t>Portfolio 9672</t>
  </si>
  <si>
    <t>Portfolio 8734</t>
  </si>
  <si>
    <t>Portfolio 5481</t>
  </si>
  <si>
    <t>Portfolio 6355</t>
  </si>
  <si>
    <t>Portfolio 6619</t>
  </si>
  <si>
    <t>Portfolio 4869</t>
  </si>
  <si>
    <t>Portfolio 5489</t>
  </si>
  <si>
    <t>Portfolio 5548</t>
  </si>
  <si>
    <t>Portfolio 1010</t>
  </si>
  <si>
    <t>Portfolio 5299</t>
  </si>
  <si>
    <t>Portfolio 189</t>
  </si>
  <si>
    <t>Portfolio 2398</t>
  </si>
  <si>
    <t>Portfolio 7130</t>
  </si>
  <si>
    <t>Portfolio 1203</t>
  </si>
  <si>
    <t>Portfolio 3855</t>
  </si>
  <si>
    <t>Portfolio 5207</t>
  </si>
  <si>
    <t>Portfolio 7391</t>
  </si>
  <si>
    <t>Portfolio 8012</t>
  </si>
  <si>
    <t>Portfolio 7733</t>
  </si>
  <si>
    <t>Portfolio 4325</t>
  </si>
  <si>
    <t>Portfolio 8376</t>
  </si>
  <si>
    <t>Portfolio 9777</t>
  </si>
  <si>
    <t>Portfolio 2333</t>
  </si>
  <si>
    <t>Portfolio 1097</t>
  </si>
  <si>
    <t>Portfolio 2279</t>
  </si>
  <si>
    <t>Portfolio 4643</t>
  </si>
  <si>
    <t>Portfolio 8297</t>
  </si>
  <si>
    <t>Portfolio 8484</t>
  </si>
  <si>
    <t>Portfolio 7115</t>
  </si>
  <si>
    <t>Portfolio 330</t>
  </si>
  <si>
    <t>Portfolio 9932</t>
  </si>
  <si>
    <t>Portfolio 4708</t>
  </si>
  <si>
    <t>Portfolio 1854</t>
  </si>
  <si>
    <t>Portfolio 4942</t>
  </si>
  <si>
    <t>Portfolio 2030</t>
  </si>
  <si>
    <t>Portfolio 2269</t>
  </si>
  <si>
    <t>Portfolio 3875</t>
  </si>
  <si>
    <t>Portfolio 8209</t>
  </si>
  <si>
    <t>Portfolio 6075</t>
  </si>
  <si>
    <t>Portfolio 4022</t>
  </si>
  <si>
    <t>Portfolio 201</t>
  </si>
  <si>
    <t>Portfolio 8632</t>
  </si>
  <si>
    <t>Portfolio 5597</t>
  </si>
  <si>
    <t>Portfolio 3662</t>
  </si>
  <si>
    <t>Portfolio 9621</t>
  </si>
  <si>
    <t>Portfolio 7355</t>
  </si>
  <si>
    <t>Portfolio 2744</t>
  </si>
  <si>
    <t>Portfolio 1584</t>
  </si>
  <si>
    <t>Portfolio 7565</t>
  </si>
  <si>
    <t>Portfolio 6179</t>
  </si>
  <si>
    <t>Portfolio 6402</t>
  </si>
  <si>
    <t>Portfolio 9193</t>
  </si>
  <si>
    <t>Portfolio 2791</t>
  </si>
  <si>
    <t>Portfolio 8392</t>
  </si>
  <si>
    <t>Portfolio 9366</t>
  </si>
  <si>
    <t>Portfolio 2174</t>
  </si>
  <si>
    <t>Portfolio 4853</t>
  </si>
  <si>
    <t>Portfolio 955</t>
  </si>
  <si>
    <t>Portfolio 1066</t>
  </si>
  <si>
    <t>Portfolio 3161</t>
  </si>
  <si>
    <t>Portfolio 7053</t>
  </si>
  <si>
    <t>Portfolio 5583</t>
  </si>
  <si>
    <t>Portfolio 9486</t>
  </si>
  <si>
    <t>Portfolio 7943</t>
  </si>
  <si>
    <t>Portfolio 4327</t>
  </si>
  <si>
    <t>Portfolio 9900</t>
  </si>
  <si>
    <t>Portfolio 2538</t>
  </si>
  <si>
    <t>Portfolio 2510</t>
  </si>
  <si>
    <t>Portfolio 2286</t>
  </si>
  <si>
    <t>Portfolio 2219</t>
  </si>
  <si>
    <t>Portfolio 7007</t>
  </si>
  <si>
    <t>Portfolio 1906</t>
  </si>
  <si>
    <t>Portfolio 1023</t>
  </si>
  <si>
    <t>Portfolio 6082</t>
  </si>
  <si>
    <t>Portfolio 8470</t>
  </si>
  <si>
    <t>Portfolio 3840</t>
  </si>
  <si>
    <t>Portfolio 4080</t>
  </si>
  <si>
    <t>Portfolio 9280</t>
  </si>
  <si>
    <t>Portfolio 340</t>
  </si>
  <si>
    <t>Portfolio 5564</t>
  </si>
  <si>
    <t>Portfolio 7043</t>
  </si>
  <si>
    <t>Portfolio 4805</t>
  </si>
  <si>
    <t>Portfolio 2375</t>
  </si>
  <si>
    <t>Portfolio 1695</t>
  </si>
  <si>
    <t>Portfolio 7434</t>
  </si>
  <si>
    <t>Portfolio 2195</t>
  </si>
  <si>
    <t>Portfolio 5668</t>
  </si>
  <si>
    <t>Portfolio 6635</t>
  </si>
  <si>
    <t>Portfolio 4527</t>
  </si>
  <si>
    <t>Portfolio 5991</t>
  </si>
  <si>
    <t>Portfolio 1238</t>
  </si>
  <si>
    <t>Portfolio 1132</t>
  </si>
  <si>
    <t>Portfolio 2873</t>
  </si>
  <si>
    <t>Portfolio 2633</t>
  </si>
  <si>
    <t>Portfolio 4459</t>
  </si>
  <si>
    <t>Portfolio 3402</t>
  </si>
  <si>
    <t>Portfolio 2270</t>
  </si>
  <si>
    <t>Portfolio 7055</t>
  </si>
  <si>
    <t>Portfolio 3948</t>
  </si>
  <si>
    <t>Portfolio 7731</t>
  </si>
  <si>
    <t>Portfolio 9508</t>
  </si>
  <si>
    <t>Portfolio 1358</t>
  </si>
  <si>
    <t>Portfolio 9129</t>
  </si>
  <si>
    <t>Portfolio 7020</t>
  </si>
  <si>
    <t>Portfolio 3310</t>
  </si>
  <si>
    <t>Portfolio 7176</t>
  </si>
  <si>
    <t>Portfolio 83</t>
  </si>
  <si>
    <t>Portfolio 9723</t>
  </si>
  <si>
    <t>Portfolio 6460</t>
  </si>
  <si>
    <t>Portfolio 6155</t>
  </si>
  <si>
    <t>Portfolio 8779</t>
  </si>
  <si>
    <t>Portfolio 1127</t>
  </si>
  <si>
    <t>Portfolio 7040</t>
  </si>
  <si>
    <t>Portfolio 5063</t>
  </si>
  <si>
    <t>Portfolio 741</t>
  </si>
  <si>
    <t>Portfolio 3191</t>
  </si>
  <si>
    <t>Portfolio 2305</t>
  </si>
  <si>
    <t>Portfolio 8834</t>
  </si>
  <si>
    <t>Portfolio 9985</t>
  </si>
  <si>
    <t>Portfolio 3834</t>
  </si>
  <si>
    <t>Portfolio 6111</t>
  </si>
  <si>
    <t>Portfolio 3388</t>
  </si>
  <si>
    <t>Portfolio 248</t>
  </si>
  <si>
    <t>Portfolio 3021</t>
  </si>
  <si>
    <t>Portfolio 5956</t>
  </si>
  <si>
    <t>Portfolio 3265</t>
  </si>
  <si>
    <t>Portfolio 3241</t>
  </si>
  <si>
    <t>Portfolio 9990</t>
  </si>
  <si>
    <t>Portfolio 3560</t>
  </si>
  <si>
    <t>Portfolio 9838</t>
  </si>
  <si>
    <t>Portfolio 2486</t>
  </si>
  <si>
    <t>Portfolio 8497</t>
  </si>
  <si>
    <t>Portfolio 485</t>
  </si>
  <si>
    <t>Portfolio 7048</t>
  </si>
  <si>
    <t>Portfolio 1678</t>
  </si>
  <si>
    <t>Portfolio 3493</t>
  </si>
  <si>
    <t>Portfolio 1484</t>
  </si>
  <si>
    <t>Portfolio 8612</t>
  </si>
  <si>
    <t>Portfolio 6106</t>
  </si>
  <si>
    <t>Portfolio 2274</t>
  </si>
  <si>
    <t>Portfolio 4509</t>
  </si>
  <si>
    <t>Portfolio 1030</t>
  </si>
  <si>
    <t>Portfolio 6063</t>
  </si>
  <si>
    <t>Portfolio 3494</t>
  </si>
  <si>
    <t>Portfolio 5035</t>
  </si>
  <si>
    <t>Portfolio 2567</t>
  </si>
  <si>
    <t>Portfolio 9474</t>
  </si>
  <si>
    <t>Portfolio 3550</t>
  </si>
  <si>
    <t>Portfolio 7392</t>
  </si>
  <si>
    <t>Portfolio 5580</t>
  </si>
  <si>
    <t>Portfolio 7772</t>
  </si>
  <si>
    <t>Portfolio 6120</t>
  </si>
  <si>
    <t>Portfolio 5807</t>
  </si>
  <si>
    <t>Portfolio 8807</t>
  </si>
  <si>
    <t>Portfolio 2010</t>
  </si>
  <si>
    <t>Portfolio 2526</t>
  </si>
  <si>
    <t>Portfolio 9658</t>
  </si>
  <si>
    <t>Portfolio 7891</t>
  </si>
  <si>
    <t>Portfolio 9543</t>
  </si>
  <si>
    <t>Portfolio 8220</t>
  </si>
  <si>
    <t>Portfolio 7490</t>
  </si>
  <si>
    <t>Portfolio 746</t>
  </si>
  <si>
    <t>Portfolio 6710</t>
  </si>
  <si>
    <t>Portfolio 6819</t>
  </si>
  <si>
    <t>Portfolio 4822</t>
  </si>
  <si>
    <t>Portfolio 9623</t>
  </si>
  <si>
    <t>Portfolio 5929</t>
  </si>
  <si>
    <t>Portfolio 3403</t>
  </si>
  <si>
    <t>Portfolio 8199</t>
  </si>
  <si>
    <t>Portfolio 1922</t>
  </si>
  <si>
    <t>Portfolio 7423</t>
  </si>
  <si>
    <t>Portfolio 3256</t>
  </si>
  <si>
    <t>Portfolio 6598</t>
  </si>
  <si>
    <t>Portfolio 6532</t>
  </si>
  <si>
    <t>Portfolio 1812</t>
  </si>
  <si>
    <t>Portfolio 7599</t>
  </si>
  <si>
    <t>Portfolio 5241</t>
  </si>
  <si>
    <t>Portfolio 9948</t>
  </si>
  <si>
    <t>Portfolio 9218</t>
  </si>
  <si>
    <t>Portfolio 4289</t>
  </si>
  <si>
    <t>Portfolio 3765</t>
  </si>
  <si>
    <t>Portfolio 3723</t>
  </si>
  <si>
    <t>Portfolio 806</t>
  </si>
  <si>
    <t>Portfolio 3261</t>
  </si>
  <si>
    <t>Portfolio 8332</t>
  </si>
  <si>
    <t>Portfolio 5871</t>
  </si>
  <si>
    <t>Portfolio 9686</t>
  </si>
  <si>
    <t>Portfolio 3524</t>
  </si>
  <si>
    <t>Portfolio 4629</t>
  </si>
  <si>
    <t>Portfolio 6366</t>
  </si>
  <si>
    <t>Portfolio 4218</t>
  </si>
  <si>
    <t>Portfolio 2975</t>
  </si>
  <si>
    <t>Portfolio 6445</t>
  </si>
  <si>
    <t>Portfolio 4798</t>
  </si>
  <si>
    <t>Portfolio 1986</t>
  </si>
  <si>
    <t>Portfolio 7570</t>
  </si>
  <si>
    <t>Portfolio 600</t>
  </si>
  <si>
    <t>Portfolio 385</t>
  </si>
  <si>
    <t>Portfolio 5521</t>
  </si>
  <si>
    <t>Portfolio 522</t>
  </si>
  <si>
    <t>Portfolio 3831</t>
  </si>
  <si>
    <t>Portfolio 2137</t>
  </si>
  <si>
    <t>Portfolio 3999</t>
  </si>
  <si>
    <t>Portfolio 1550</t>
  </si>
  <si>
    <t>Portfolio 2083</t>
  </si>
  <si>
    <t>Portfolio 4712</t>
  </si>
  <si>
    <t>Portfolio 738</t>
  </si>
  <si>
    <t>Portfolio 9250</t>
  </si>
  <si>
    <t>Portfolio 5375</t>
  </si>
  <si>
    <t>Portfolio 5050</t>
  </si>
  <si>
    <t>Portfolio 220</t>
  </si>
  <si>
    <t>Portfolio 6804</t>
  </si>
  <si>
    <t>Portfolio 6886</t>
  </si>
  <si>
    <t>Portfolio 346</t>
  </si>
  <si>
    <t>Portfolio 6774</t>
  </si>
  <si>
    <t>Portfolio 4767</t>
  </si>
  <si>
    <t>Portfolio 7821</t>
  </si>
  <si>
    <t>Portfolio 1283</t>
  </si>
  <si>
    <t>Portfolio 9020</t>
  </si>
  <si>
    <t>Portfolio 8738</t>
  </si>
  <si>
    <t>Portfolio 2229</t>
  </si>
  <si>
    <t>Portfolio 95</t>
  </si>
  <si>
    <t>Portfolio 3164</t>
  </si>
  <si>
    <t>Portfolio 5553</t>
  </si>
  <si>
    <t>Portfolio 9436</t>
  </si>
  <si>
    <t>Portfolio 1175</t>
  </si>
  <si>
    <t>Portfolio 3914</t>
  </si>
  <si>
    <t>Portfolio 9388</t>
  </si>
  <si>
    <t>Portfolio 6522</t>
  </si>
  <si>
    <t>Portfolio 2495</t>
  </si>
  <si>
    <t>Portfolio 5389</t>
  </si>
  <si>
    <t>Portfolio 8958</t>
  </si>
  <si>
    <t>Portfolio 5047</t>
  </si>
  <si>
    <t>Portfolio 3770</t>
  </si>
  <si>
    <t>Portfolio 6928</t>
  </si>
  <si>
    <t>Portfolio 5843</t>
  </si>
  <si>
    <t>Portfolio 8088</t>
  </si>
  <si>
    <t>Portfolio 5187</t>
  </si>
  <si>
    <t>Portfolio 4019</t>
  </si>
  <si>
    <t>Portfolio 2409</t>
  </si>
  <si>
    <t>Portfolio 1133</t>
  </si>
  <si>
    <t>Portfolio 9954</t>
  </si>
  <si>
    <t>Portfolio 5875</t>
  </si>
  <si>
    <t>Portfolio 3638</t>
  </si>
  <si>
    <t>Portfolio 8504</t>
  </si>
  <si>
    <t>Portfolio 1685</t>
  </si>
  <si>
    <t>Portfolio 6285</t>
  </si>
  <si>
    <t>Portfolio 3286</t>
  </si>
  <si>
    <t>Portfolio 5342</t>
  </si>
  <si>
    <t>Portfolio 8938</t>
  </si>
  <si>
    <t>Portfolio 9575</t>
  </si>
  <si>
    <t>Portfolio 9649</t>
  </si>
  <si>
    <t>Portfolio 2090</t>
  </si>
  <si>
    <t>Portfolio 4608</t>
  </si>
  <si>
    <t>Portfolio 9156</t>
  </si>
  <si>
    <t>Portfolio 4467</t>
  </si>
  <si>
    <t>Portfolio 489</t>
  </si>
  <si>
    <t>Portfolio 6796</t>
  </si>
  <si>
    <t>Portfolio 2991</t>
  </si>
  <si>
    <t>Portfolio 8711</t>
  </si>
  <si>
    <t>Portfolio 172</t>
  </si>
  <si>
    <t>Portfolio 7175</t>
  </si>
  <si>
    <t>Portfolio 5618</t>
  </si>
  <si>
    <t>Portfolio 204</t>
  </si>
  <si>
    <t>Portfolio 64</t>
  </si>
  <si>
    <t>Portfolio 8733</t>
  </si>
  <si>
    <t>Portfolio 3743</t>
  </si>
  <si>
    <t>Portfolio 438</t>
  </si>
  <si>
    <t>Portfolio 7059</t>
  </si>
  <si>
    <t>Portfolio 7075</t>
  </si>
  <si>
    <t>Portfolio 9058</t>
  </si>
  <si>
    <t>Portfolio 3969</t>
  </si>
  <si>
    <t>Portfolio 8326</t>
  </si>
  <si>
    <t>Portfolio 8221</t>
  </si>
  <si>
    <t>Portfolio 5261</t>
  </si>
  <si>
    <t>Portfolio 3223</t>
  </si>
  <si>
    <t>Portfolio 8876</t>
  </si>
  <si>
    <t>Portfolio 9988</t>
  </si>
  <si>
    <t>Portfolio 6104</t>
  </si>
  <si>
    <t>Portfolio 6348</t>
  </si>
  <si>
    <t>Portfolio 8090</t>
  </si>
  <si>
    <t>Portfolio 6173</t>
  </si>
  <si>
    <t>Portfolio 3244</t>
  </si>
  <si>
    <t>Portfolio 6261</t>
  </si>
  <si>
    <t>Portfolio 229</t>
  </si>
  <si>
    <t>Portfolio 5828</t>
  </si>
  <si>
    <t>Portfolio 7216</t>
  </si>
  <si>
    <t>Portfolio 2011</t>
  </si>
  <si>
    <t>Portfolio 1452</t>
  </si>
  <si>
    <t>Portfolio 7335</t>
  </si>
  <si>
    <t>Portfolio 9392</t>
  </si>
  <si>
    <t>Portfolio 4732</t>
  </si>
  <si>
    <t>Portfolio 4979</t>
  </si>
  <si>
    <t>Portfolio 1896</t>
  </si>
  <si>
    <t>Portfolio 271</t>
  </si>
  <si>
    <t>Portfolio 4252</t>
  </si>
  <si>
    <t>Portfolio 1749</t>
  </si>
  <si>
    <t>Portfolio 652</t>
  </si>
  <si>
    <t>Portfolio 7093</t>
  </si>
  <si>
    <t>Portfolio 5837</t>
  </si>
  <si>
    <t>Portfolio 135</t>
  </si>
  <si>
    <t>Portfolio 8112</t>
  </si>
  <si>
    <t>Portfolio 663</t>
  </si>
  <si>
    <t>Portfolio 8794</t>
  </si>
  <si>
    <t>Portfolio 3503</t>
  </si>
  <si>
    <t>Portfolio 1082</t>
  </si>
  <si>
    <t>Portfolio 1943</t>
  </si>
  <si>
    <t>Portfolio 1004</t>
  </si>
  <si>
    <t>Portfolio 8655</t>
  </si>
  <si>
    <t>Portfolio 7150</t>
  </si>
  <si>
    <t>Portfolio 4012</t>
  </si>
  <si>
    <t>Portfolio 4875</t>
  </si>
  <si>
    <t>Portfolio 8236</t>
  </si>
  <si>
    <t>Portfolio 3622</t>
  </si>
  <si>
    <t>Portfolio 8033</t>
  </si>
  <si>
    <t>Portfolio 6027</t>
  </si>
  <si>
    <t>Portfolio 706</t>
  </si>
  <si>
    <t>Portfolio 3814</t>
  </si>
  <si>
    <t>Portfolio 4024</t>
  </si>
  <si>
    <t>Portfolio 8397</t>
  </si>
  <si>
    <t>Portfolio 8976</t>
  </si>
  <si>
    <t>Portfolio 9211</t>
  </si>
  <si>
    <t>Portfolio 1573</t>
  </si>
  <si>
    <t>Portfolio 9728</t>
  </si>
  <si>
    <t>Portfolio 3246</t>
  </si>
  <si>
    <t>Portfolio 5984</t>
  </si>
  <si>
    <t>Portfolio 8828</t>
  </si>
  <si>
    <t>Portfolio 5555</t>
  </si>
  <si>
    <t>Portfolio 3192</t>
  </si>
  <si>
    <t>Portfolio 1908</t>
  </si>
  <si>
    <t>Portfolio 7000</t>
  </si>
  <si>
    <t>Portfolio 6060</t>
  </si>
  <si>
    <t>Portfolio 7837</t>
  </si>
  <si>
    <t>Portfolio 4092</t>
  </si>
  <si>
    <t>Portfolio 9825</t>
  </si>
  <si>
    <t>Portfolio 3314</t>
  </si>
  <si>
    <t>Portfolio 8193</t>
  </si>
  <si>
    <t>Portfolio 1056</t>
  </si>
  <si>
    <t>Portfolio 7318</t>
  </si>
  <si>
    <t>Portfolio 77</t>
  </si>
  <si>
    <t>Portfolio 6755</t>
  </si>
  <si>
    <t>Portfolio 8219</t>
  </si>
  <si>
    <t>Portfolio 8314</t>
  </si>
  <si>
    <t>Portfolio 2207</t>
  </si>
  <si>
    <t>Portfolio 5175</t>
  </si>
  <si>
    <t>Portfolio 1930</t>
  </si>
  <si>
    <t>Portfolio 7220</t>
  </si>
  <si>
    <t>Portfolio 2407</t>
  </si>
  <si>
    <t>Portfolio 593</t>
  </si>
  <si>
    <t>Portfolio 9252</t>
  </si>
  <si>
    <t>Portfolio 4724</t>
  </si>
  <si>
    <t>Portfolio 7754</t>
  </si>
  <si>
    <t>Portfolio 7463</t>
  </si>
  <si>
    <t>Portfolio 2130</t>
  </si>
  <si>
    <t>Portfolio 3759</t>
  </si>
  <si>
    <t>Portfolio 7496</t>
  </si>
  <si>
    <t>Portfolio 9608</t>
  </si>
  <si>
    <t>Portfolio 266</t>
  </si>
  <si>
    <t>Portfolio 1560</t>
  </si>
  <si>
    <t>Portfolio 6309</t>
  </si>
  <si>
    <t>Portfolio 5440</t>
  </si>
  <si>
    <t>Portfolio 713</t>
  </si>
  <si>
    <t>Portfolio 8321</t>
  </si>
  <si>
    <t>Portfolio 29</t>
  </si>
  <si>
    <t>Portfolio 99</t>
  </si>
  <si>
    <t>Portfolio 5823</t>
  </si>
  <si>
    <t>Portfolio 162</t>
  </si>
  <si>
    <t>Portfolio 2702</t>
  </si>
  <si>
    <t>Portfolio 5899</t>
  </si>
  <si>
    <t>Portfolio 1162</t>
  </si>
  <si>
    <t>Portfolio 7932</t>
  </si>
  <si>
    <t>Portfolio 6358</t>
  </si>
  <si>
    <t>Portfolio 474</t>
  </si>
  <si>
    <t>Portfolio 3132</t>
  </si>
  <si>
    <t>Portfolio 5027</t>
  </si>
  <si>
    <t>Portfolio 7064</t>
  </si>
  <si>
    <t>Portfolio 3199</t>
  </si>
  <si>
    <t>Portfolio 2778</t>
  </si>
  <si>
    <t>Portfolio 2242</t>
  </si>
  <si>
    <t>Portfolio 7929</t>
  </si>
  <si>
    <t>Portfolio 9151</t>
  </si>
  <si>
    <t>Portfolio 4201</t>
  </si>
  <si>
    <t>Portfolio 4583</t>
  </si>
  <si>
    <t>Portfolio 7850</t>
  </si>
  <si>
    <t>Portfolio 7078</t>
  </si>
  <si>
    <t>Portfolio 3660</t>
  </si>
  <si>
    <t>Portfolio 9519</t>
  </si>
  <si>
    <t>Portfolio 5122</t>
  </si>
  <si>
    <t>Portfolio 8927</t>
  </si>
  <si>
    <t>Portfolio 4705</t>
  </si>
  <si>
    <t>Portfolio 4328</t>
  </si>
  <si>
    <t>Portfolio 4363</t>
  </si>
  <si>
    <t>Portfolio 3590</t>
  </si>
  <si>
    <t>Portfolio 5938</t>
  </si>
  <si>
    <t>Portfolio 4533</t>
  </si>
  <si>
    <t>Portfolio 2357</t>
  </si>
  <si>
    <t>Portfolio 4707</t>
  </si>
  <si>
    <t>Portfolio 8318</t>
  </si>
  <si>
    <t>Portfolio 8344</t>
  </si>
  <si>
    <t>Portfolio 9311</t>
  </si>
  <si>
    <t>Portfolio 2978</t>
  </si>
  <si>
    <t>Portfolio 3134</t>
  </si>
  <si>
    <t>Portfolio 5201</t>
  </si>
  <si>
    <t>Portfolio 6592</t>
  </si>
  <si>
    <t>Portfolio 3291</t>
  </si>
  <si>
    <t>Portfolio 8201</t>
  </si>
  <si>
    <t>Portfolio 6530</t>
  </si>
  <si>
    <t>Portfolio 2780</t>
  </si>
  <si>
    <t>Portfolio 28</t>
  </si>
  <si>
    <t>Portfolio 4651</t>
  </si>
  <si>
    <t>Portfolio 5321</t>
  </si>
  <si>
    <t>Portfolio 1692</t>
  </si>
  <si>
    <t>Portfolio 4035</t>
  </si>
  <si>
    <t>Portfolio 9075</t>
  </si>
  <si>
    <t>Portfolio 3112</t>
  </si>
  <si>
    <t>Portfolio 1907</t>
  </si>
  <si>
    <t>Portfolio 9763</t>
  </si>
  <si>
    <t>Portfolio 7668</t>
  </si>
  <si>
    <t>Portfolio 7427</t>
  </si>
  <si>
    <t>Portfolio 6544</t>
  </si>
  <si>
    <t>Portfolio 5276</t>
  </si>
  <si>
    <t>Portfolio 5134</t>
  </si>
  <si>
    <t>Portfolio 8121</t>
  </si>
  <si>
    <t>Portfolio 9334</t>
  </si>
  <si>
    <t>Portfolio 8071</t>
  </si>
  <si>
    <t>Portfolio 1548</t>
  </si>
  <si>
    <t>Portfolio 3596</t>
  </si>
  <si>
    <t>Portfolio 4030</t>
  </si>
  <si>
    <t>Portfolio 5128</t>
  </si>
  <si>
    <t>Portfolio 5799</t>
  </si>
  <si>
    <t>Portfolio 3113</t>
  </si>
  <si>
    <t>Portfolio 1324</t>
  </si>
  <si>
    <t>Portfolio 8115</t>
  </si>
  <si>
    <t>Portfolio 9318</t>
  </si>
  <si>
    <t>Portfolio 1248</t>
  </si>
  <si>
    <t>Portfolio 7582</t>
  </si>
  <si>
    <t>Portfolio 6778</t>
  </si>
  <si>
    <t>Portfolio 6217</t>
  </si>
  <si>
    <t>Portfolio 3615</t>
  </si>
  <si>
    <t>Portfolio 8860</t>
  </si>
  <si>
    <t>Portfolio 7133</t>
  </si>
  <si>
    <t>Portfolio 674</t>
  </si>
  <si>
    <t>Portfolio 9360</t>
  </si>
  <si>
    <t>Portfolio 1909</t>
  </si>
  <si>
    <t>Portfolio 9537</t>
  </si>
  <si>
    <t>Portfolio 4482</t>
  </si>
  <si>
    <t>Portfolio 6306</t>
  </si>
  <si>
    <t>Portfolio 7144</t>
  </si>
  <si>
    <t>Portfolio 5725</t>
  </si>
  <si>
    <t>Portfolio 5271</t>
  </si>
  <si>
    <t>Portfolio 5657</t>
  </si>
  <si>
    <t>Portfolio 7484</t>
  </si>
  <si>
    <t>Portfolio 4729</t>
  </si>
  <si>
    <t>Portfolio 6292</t>
  </si>
  <si>
    <t>Portfolio 8932</t>
  </si>
  <si>
    <t>Portfolio 887</t>
  </si>
  <si>
    <t>Portfolio 2747</t>
  </si>
  <si>
    <t>Portfolio 8895</t>
  </si>
  <si>
    <t>Portfolio 4082</t>
  </si>
  <si>
    <t>Portfolio 7325</t>
  </si>
  <si>
    <t>Portfolio 2701</t>
  </si>
  <si>
    <t>Portfolio 371</t>
  </si>
  <si>
    <t>Portfolio 386</t>
  </si>
  <si>
    <t>Portfolio 7082</t>
  </si>
  <si>
    <t>Portfolio 4855</t>
  </si>
  <si>
    <t>Portfolio 7758</t>
  </si>
  <si>
    <t>Portfolio 1731</t>
  </si>
  <si>
    <t>Portfolio 4364</t>
  </si>
  <si>
    <t>Portfolio 8092</t>
  </si>
  <si>
    <t>Portfolio 7910</t>
  </si>
  <si>
    <t>Portfolio 9290</t>
  </si>
  <si>
    <t>Portfolio 5595</t>
  </si>
  <si>
    <t>Portfolio 7538</t>
  </si>
  <si>
    <t>Portfolio 861</t>
  </si>
  <si>
    <t>Portfolio 2982</t>
  </si>
  <si>
    <t>Portfolio 7066</t>
  </si>
  <si>
    <t>Portfolio 5336</t>
  </si>
  <si>
    <t>Portfolio 1151</t>
  </si>
  <si>
    <t>Portfolio 7005</t>
  </si>
  <si>
    <t>Portfolio 5577</t>
  </si>
  <si>
    <t>Portfolio 9680</t>
  </si>
  <si>
    <t>Portfolio 4695</t>
  </si>
  <si>
    <t>Portfolio 6677</t>
  </si>
  <si>
    <t>Portfolio 5306</t>
  </si>
  <si>
    <t>Portfolio 2469</t>
  </si>
  <si>
    <t>Portfolio 3193</t>
  </si>
  <si>
    <t>Portfolio 8487</t>
  </si>
  <si>
    <t>Portfolio 4787</t>
  </si>
  <si>
    <t>Portfolio 1524</t>
  </si>
  <si>
    <t>Portfolio 5798</t>
  </si>
  <si>
    <t>Portfolio 8621</t>
  </si>
  <si>
    <t>Portfolio 8791</t>
  </si>
  <si>
    <t>Portfolio 9041</t>
  </si>
  <si>
    <t>Portfolio 777</t>
  </si>
  <si>
    <t>Portfolio 7227</t>
  </si>
  <si>
    <t>Portfolio 8016</t>
  </si>
  <si>
    <t>Portfolio 2592</t>
  </si>
  <si>
    <t>Portfolio 7994</t>
  </si>
  <si>
    <t>Portfolio 4609</t>
  </si>
  <si>
    <t>Portfolio 2617</t>
  </si>
  <si>
    <t>Portfolio 5387</t>
  </si>
  <si>
    <t>Portfolio 487</t>
  </si>
  <si>
    <t>Portfolio 772</t>
  </si>
  <si>
    <t>Portfolio 2436</t>
  </si>
  <si>
    <t>Portfolio 4937</t>
  </si>
  <si>
    <t>Portfolio 3472</t>
  </si>
  <si>
    <t>Portfolio 3369</t>
  </si>
  <si>
    <t>Portfolio 2740</t>
  </si>
  <si>
    <t>Portfolio 8654</t>
  </si>
  <si>
    <t>Portfolio 8095</t>
  </si>
  <si>
    <t>Portfolio 824</t>
  </si>
  <si>
    <t>Portfolio 2559</t>
  </si>
  <si>
    <t>Portfolio 8771</t>
  </si>
  <si>
    <t>Portfolio 4151</t>
  </si>
  <si>
    <t>Portfolio 3301</t>
  </si>
  <si>
    <t>Portfolio 1057</t>
  </si>
  <si>
    <t>Portfolio 4161</t>
  </si>
  <si>
    <t>Portfolio 919</t>
  </si>
  <si>
    <t>Portfolio 6770</t>
  </si>
  <si>
    <t>Portfolio 2805</t>
  </si>
  <si>
    <t>Portfolio 7038</t>
  </si>
  <si>
    <t>Portfolio 8760</t>
  </si>
  <si>
    <t>Portfolio 3895</t>
  </si>
  <si>
    <t>Portfolio 7332</t>
  </si>
  <si>
    <t>Portfolio 3111</t>
  </si>
  <si>
    <t>Portfolio 7700</t>
  </si>
  <si>
    <t>Portfolio 9097</t>
  </si>
  <si>
    <t>Portfolio 2831</t>
  </si>
  <si>
    <t>Portfolio 3686</t>
  </si>
  <si>
    <t>Portfolio 6586</t>
  </si>
  <si>
    <t>Portfolio 9282</t>
  </si>
  <si>
    <t>Portfolio 4476</t>
  </si>
  <si>
    <t>Portfolio 3253</t>
  </si>
  <si>
    <t>Portfolio 4294</t>
  </si>
  <si>
    <t>Portfolio 9451</t>
  </si>
  <si>
    <t>Portfolio 974</t>
  </si>
  <si>
    <t>Portfolio 9579</t>
  </si>
  <si>
    <t>Portfolio 5530</t>
  </si>
  <si>
    <t>Portfolio 5350</t>
  </si>
  <si>
    <t>Portfolio 6417</t>
  </si>
  <si>
    <t>Portfolio 7798</t>
  </si>
  <si>
    <t>Portfolio 7277</t>
  </si>
  <si>
    <t>Portfolio 4996</t>
  </si>
  <si>
    <t>Portfolio 4897</t>
  </si>
  <si>
    <t>Portfolio 3955</t>
  </si>
  <si>
    <t>Portfolio 4119</t>
  </si>
  <si>
    <t>Portfolio 2550</t>
  </si>
  <si>
    <t>Portfolio 5061</t>
  </si>
  <si>
    <t>Portfolio 7845</t>
  </si>
  <si>
    <t>Portfolio 7906</t>
  </si>
  <si>
    <t>Portfolio 26</t>
  </si>
  <si>
    <t>Portfolio 3804</t>
  </si>
  <si>
    <t>Portfolio 6542</t>
  </si>
  <si>
    <t>Portfolio 1361</t>
  </si>
  <si>
    <t>Portfolio 4506</t>
  </si>
  <si>
    <t>Portfolio 3644</t>
  </si>
  <si>
    <t>Portfolio 8859</t>
  </si>
  <si>
    <t>Portfolio 1024</t>
  </si>
  <si>
    <t>Portfolio 6117</t>
  </si>
  <si>
    <t>Portfolio 4538</t>
  </si>
  <si>
    <t>Portfolio 1855</t>
  </si>
  <si>
    <t>Portfolio 550</t>
  </si>
  <si>
    <t>Portfolio 9094</t>
  </si>
  <si>
    <t>Portfolio 1503</t>
  </si>
  <si>
    <t>Portfolio 6428</t>
  </si>
  <si>
    <t>Portfolio 924</t>
  </si>
  <si>
    <t>Portfolio 2132</t>
  </si>
  <si>
    <t>Portfolio 4959</t>
  </si>
  <si>
    <t>Portfolio 9206</t>
  </si>
  <si>
    <t>Portfolio 6904</t>
  </si>
  <si>
    <t>Portfolio 8894</t>
  </si>
  <si>
    <t>Portfolio 6260</t>
  </si>
  <si>
    <t>Portfolio 1834</t>
  </si>
  <si>
    <t>Portfolio 4919</t>
  </si>
  <si>
    <t>Portfolio 1936</t>
  </si>
  <si>
    <t>Portfolio 572</t>
  </si>
  <si>
    <t>Portfolio 4133</t>
  </si>
  <si>
    <t>Portfolio 1300</t>
  </si>
  <si>
    <t>Portfolio 6333</t>
  </si>
  <si>
    <t>Portfolio 8278</t>
  </si>
  <si>
    <t>Portfolio 9915</t>
  </si>
  <si>
    <t>Portfolio 8896</t>
  </si>
  <si>
    <t>Portfolio 5847</t>
  </si>
  <si>
    <t>Portfolio 9698</t>
  </si>
  <si>
    <t>Portfolio 2299</t>
  </si>
  <si>
    <t>Portfolio 8577</t>
  </si>
  <si>
    <t>Portfolio 4666</t>
  </si>
  <si>
    <t>Portfolio 2315</t>
  </si>
  <si>
    <t>Portfolio 2892</t>
  </si>
  <si>
    <t>Portfolio 8316</t>
  </si>
  <si>
    <t>Portfolio 3049</t>
  </si>
  <si>
    <t>Portfolio 1941</t>
  </si>
  <si>
    <t>Portfolio 1741</t>
  </si>
  <si>
    <t>Portfolio 315</t>
  </si>
  <si>
    <t>Portfolio 5582</t>
  </si>
  <si>
    <t>Portfolio 4400</t>
  </si>
  <si>
    <t>Portfolio 7065</t>
  </si>
  <si>
    <t>Portfolio 4047</t>
  </si>
  <si>
    <t>Portfolio 2483</t>
  </si>
  <si>
    <t>Portfolio 4096</t>
  </si>
  <si>
    <t>Portfolio 1577</t>
  </si>
  <si>
    <t>Portfolio 6457</t>
  </si>
  <si>
    <t>Portfolio 7047</t>
  </si>
  <si>
    <t>Portfolio 8695</t>
  </si>
  <si>
    <t>Portfolio 7982</t>
  </si>
  <si>
    <t>Portfolio 5909</t>
  </si>
  <si>
    <t>Portfolio 3148</t>
  </si>
  <si>
    <t>Portfolio 4223</t>
  </si>
  <si>
    <t>Portfolio 5135</t>
  </si>
  <si>
    <t>Portfolio 8476</t>
  </si>
  <si>
    <t>Portfolio 3898</t>
  </si>
  <si>
    <t>Portfolio 5544</t>
  </si>
  <si>
    <t>Portfolio 6184</t>
  </si>
  <si>
    <t>Portfolio 9356</t>
  </si>
  <si>
    <t>Portfolio 4747</t>
  </si>
  <si>
    <t>Portfolio 8515</t>
  </si>
  <si>
    <t>Portfolio 6596</t>
  </si>
  <si>
    <t>Portfolio 8434</t>
  </si>
  <si>
    <t>Portfolio 6372</t>
  </si>
  <si>
    <t>Portfolio 9447</t>
  </si>
  <si>
    <t>Portfolio 4176</t>
  </si>
  <si>
    <t>Portfolio 1660</t>
  </si>
  <si>
    <t>Portfolio 623</t>
  </si>
  <si>
    <t>Portfolio 148</t>
  </si>
  <si>
    <t>Portfolio 5364</t>
  </si>
  <si>
    <t>Portfolio 2558</t>
  </si>
  <si>
    <t>Portfolio 3079</t>
  </si>
  <si>
    <t>Portfolio 2827</t>
  </si>
  <si>
    <t>Portfolio 4646</t>
  </si>
  <si>
    <t>Portfolio 1881</t>
  </si>
  <si>
    <t>Portfolio 369</t>
  </si>
  <si>
    <t>Portfolio 2675</t>
  </si>
  <si>
    <t>Portfolio 9147</t>
  </si>
  <si>
    <t>Portfolio 4667</t>
  </si>
  <si>
    <t>Portfolio 7399</t>
  </si>
  <si>
    <t>Portfolio 3656</t>
  </si>
  <si>
    <t>Portfolio 3710</t>
  </si>
  <si>
    <t>Portfolio 3117</t>
  </si>
  <si>
    <t>Portfolio 3594</t>
  </si>
  <si>
    <t>Portfolio 5005</t>
  </si>
  <si>
    <t>Portfolio 9914</t>
  </si>
  <si>
    <t>Portfolio 4474</t>
  </si>
  <si>
    <t>Portfolio 8328</t>
  </si>
  <si>
    <t>Portfolio 6918</t>
  </si>
  <si>
    <t>Portfolio 2165</t>
  </si>
  <si>
    <t>Portfolio 9221</t>
  </si>
  <si>
    <t>Portfolio 6169</t>
  </si>
  <si>
    <t>Portfolio 5805</t>
  </si>
  <si>
    <t>Portfolio 1157</t>
  </si>
  <si>
    <t>Portfolio 1813</t>
  </si>
  <si>
    <t>Portfolio 4433</t>
  </si>
  <si>
    <t>Portfolio 4673</t>
  </si>
  <si>
    <t>Portfolio 8414</t>
  </si>
  <si>
    <t>Portfolio 9594</t>
  </si>
  <si>
    <t>Portfolio 6898</t>
  </si>
  <si>
    <t>Portfolio 2097</t>
  </si>
  <si>
    <t>Portfolio 4443</t>
  </si>
  <si>
    <t>Portfolio 5772</t>
  </si>
  <si>
    <t>Portfolio 4685</t>
  </si>
  <si>
    <t>Portfolio 272</t>
  </si>
  <si>
    <t>Portfolio 8570</t>
  </si>
  <si>
    <t>Portfolio 8200</t>
  </si>
  <si>
    <t>Portfolio 2770</t>
  </si>
  <si>
    <t>Portfolio 3035</t>
  </si>
  <si>
    <t>Portfolio 8069</t>
  </si>
  <si>
    <t>Portfolio 7973</t>
  </si>
  <si>
    <t>Portfolio 6517</t>
  </si>
  <si>
    <t>Portfolio 6679</t>
  </si>
  <si>
    <t>Portfolio 6742</t>
  </si>
  <si>
    <t>Portfolio 2591</t>
  </si>
  <si>
    <t>Portfolio 5867</t>
  </si>
  <si>
    <t>Portfolio 6354</t>
  </si>
  <si>
    <t>Portfolio 1319</t>
  </si>
  <si>
    <t>Portfolio 4281</t>
  </si>
  <si>
    <t>Portfolio 9828</t>
  </si>
  <si>
    <t>Portfolio 353</t>
  </si>
  <si>
    <t>Portfolio 1292</t>
  </si>
  <si>
    <t>Portfolio 5148</t>
  </si>
  <si>
    <t>Portfolio 2319</t>
  </si>
  <si>
    <t>Portfolio 1950</t>
  </si>
  <si>
    <t>Portfolio 4618</t>
  </si>
  <si>
    <t>Portfolio 1200</t>
  </si>
  <si>
    <t>Portfolio 2301</t>
  </si>
  <si>
    <t>Portfolio 8818</t>
  </si>
  <si>
    <t>Portfolio 5865</t>
  </si>
  <si>
    <t>Portfolio 6626</t>
  </si>
  <si>
    <t>Portfolio 6990</t>
  </si>
  <si>
    <t>Portfolio 6675</t>
  </si>
  <si>
    <t>Portfolio 4573</t>
  </si>
  <si>
    <t>Portfolio 7482</t>
  </si>
  <si>
    <t>Portfolio 3872</t>
  </si>
  <si>
    <t>Portfolio 3217</t>
  </si>
  <si>
    <t>Portfolio 4520</t>
  </si>
  <si>
    <t>Portfolio 5234</t>
  </si>
  <si>
    <t>Portfolio 6053</t>
  </si>
  <si>
    <t>Portfolio 9874</t>
  </si>
  <si>
    <t>Portfolio 9909</t>
  </si>
  <si>
    <t>Portfolio 4572</t>
  </si>
  <si>
    <t>Portfolio 196</t>
  </si>
  <si>
    <t>Portfolio 2799</t>
  </si>
  <si>
    <t>Portfolio 6188</t>
  </si>
  <si>
    <t>Portfolio 7685</t>
  </si>
  <si>
    <t>Portfolio 5850</t>
  </si>
  <si>
    <t>Portfolio 6968</t>
  </si>
  <si>
    <t>Portfolio 2920</t>
  </si>
  <si>
    <t>Portfolio 9841</t>
  </si>
  <si>
    <t>Portfolio 3528</t>
  </si>
  <si>
    <t>Portfolio 7555</t>
  </si>
  <si>
    <t>Portfolio 6142</t>
  </si>
  <si>
    <t>Portfolio 1404</t>
  </si>
  <si>
    <t>Portfolio 2209</t>
  </si>
  <si>
    <t>Portfolio 2657</t>
  </si>
  <si>
    <t>Portfolio 4420</t>
  </si>
  <si>
    <t>Portfolio 4532</t>
  </si>
  <si>
    <t>Portfolio 2746</t>
  </si>
  <si>
    <t>Portfolio 3522</t>
  </si>
  <si>
    <t>Portfolio 1824</t>
  </si>
  <si>
    <t>Portfolio 552</t>
  </si>
  <si>
    <t>Portfolio 1501</t>
  </si>
  <si>
    <t>Portfolio 9616</t>
  </si>
  <si>
    <t>Portfolio 2212</t>
  </si>
  <si>
    <t>Portfolio 480</t>
  </si>
  <si>
    <t>Portfolio 9057</t>
  </si>
  <si>
    <t>Portfolio 9614</t>
  </si>
  <si>
    <t>Portfolio 146</t>
  </si>
  <si>
    <t>Portfolio 2891</t>
  </si>
  <si>
    <t>Portfolio 7851</t>
  </si>
  <si>
    <t>Portfolio 9515</t>
  </si>
  <si>
    <t>Portfolio 150</t>
  </si>
  <si>
    <t>Portfolio 85</t>
  </si>
  <si>
    <t>Portfolio 166</t>
  </si>
  <si>
    <t>Portfolio 5195</t>
  </si>
  <si>
    <t>Portfolio 3651</t>
  </si>
  <si>
    <t>Portfolio 4654</t>
  </si>
  <si>
    <t>Portfolio 7724</t>
  </si>
  <si>
    <t>Portfolio 9096</t>
  </si>
  <si>
    <t>Portfolio 4804</t>
  </si>
  <si>
    <t>Portfolio 4928</t>
  </si>
  <si>
    <t>Portfolio 9321</t>
  </si>
  <si>
    <t>Portfolio 4165</t>
  </si>
  <si>
    <t>Portfolio 1378</t>
  </si>
  <si>
    <t>Portfolio 5279</t>
  </si>
  <si>
    <t>Portfolio 5370</t>
  </si>
  <si>
    <t>Portfolio 9102</t>
  </si>
  <si>
    <t>Portfolio 9306</t>
  </si>
  <si>
    <t>Portfolio 8370</t>
  </si>
  <si>
    <t>Portfolio 7956</t>
  </si>
  <si>
    <t>Portfolio 7863</t>
  </si>
  <si>
    <t>Portfolio 7319</t>
  </si>
  <si>
    <t>Portfolio 3830</t>
  </si>
  <si>
    <t>Portfolio 5415</t>
  </si>
  <si>
    <t>Portfolio 2418</t>
  </si>
  <si>
    <t>Portfolio 9764</t>
  </si>
  <si>
    <t>Portfolio 9547</t>
  </si>
  <si>
    <t>Portfolio 8944</t>
  </si>
  <si>
    <t>Portfolio 6980</t>
  </si>
  <si>
    <t>Portfolio 5058</t>
  </si>
  <si>
    <t>Portfolio 7155</t>
  </si>
  <si>
    <t>Portfolio 8157</t>
  </si>
  <si>
    <t>Portfolio 4288</t>
  </si>
  <si>
    <t>Portfolio 5614</t>
  </si>
  <si>
    <t>Portfolio 5566</t>
  </si>
  <si>
    <t>Portfolio 9813</t>
  </si>
  <si>
    <t>Portfolio 9337</t>
  </si>
  <si>
    <t>Portfolio 9498</t>
  </si>
  <si>
    <t>Portfolio 994</t>
  </si>
  <si>
    <t>Portfolio 4441</t>
  </si>
  <si>
    <t>Portfolio 5346</t>
  </si>
  <si>
    <t>Portfolio 7443</t>
  </si>
  <si>
    <t>Portfolio 5173</t>
  </si>
  <si>
    <t>Portfolio 7718</t>
  </si>
  <si>
    <t>Portfolio 1701</t>
  </si>
  <si>
    <t>Portfolio 3724</t>
  </si>
  <si>
    <t>Portfolio 8601</t>
  </si>
  <si>
    <t>Portfolio 9457</t>
  </si>
  <si>
    <t>Portfolio 6151</t>
  </si>
  <si>
    <t>Portfolio 367</t>
  </si>
  <si>
    <t>Portfolio 6346</t>
  </si>
  <si>
    <t>Portfolio 6995</t>
  </si>
  <si>
    <t>Portfolio 9794</t>
  </si>
  <si>
    <t>Portfolio 9627</t>
  </si>
  <si>
    <t>Portfolio 7996</t>
  </si>
  <si>
    <t>Portfolio 7820</t>
  </si>
  <si>
    <t>Portfolio 3169</t>
  </si>
  <si>
    <t>Portfolio 4653</t>
  </si>
  <si>
    <t>Portfolio 5502</t>
  </si>
  <si>
    <t>Portfolio 2654</t>
  </si>
  <si>
    <t>Portfolio 4317</t>
  </si>
  <si>
    <t>Portfolio 5640</t>
  </si>
  <si>
    <t>Portfolio 4150</t>
  </si>
  <si>
    <t>Portfolio 1217</t>
  </si>
  <si>
    <t>Portfolio 1303</t>
  </si>
  <si>
    <t>Portfolio 5532</t>
  </si>
  <si>
    <t>Portfolio 4916</t>
  </si>
  <si>
    <t>Portfolio 8605</t>
  </si>
  <si>
    <t>Portfolio 736</t>
  </si>
  <si>
    <t>Portfolio 1195</t>
  </si>
  <si>
    <t>Portfolio 5936</t>
  </si>
  <si>
    <t>Portfolio 6573</t>
  </si>
  <si>
    <t>Portfolio 2330</t>
  </si>
  <si>
    <t>Portfolio 4270</t>
  </si>
  <si>
    <t>Portfolio 4494</t>
  </si>
  <si>
    <t>Portfolio 6646</t>
  </si>
  <si>
    <t>Portfolio 3847</t>
  </si>
  <si>
    <t>Portfolio 2783</t>
  </si>
  <si>
    <t>Portfolio 3587</t>
  </si>
  <si>
    <t>Portfolio 2127</t>
  </si>
  <si>
    <t>Portfolio 6597</t>
  </si>
  <si>
    <t>Portfolio 6970</t>
  </si>
  <si>
    <t>Portfolio 7117</t>
  </si>
  <si>
    <t>Portfolio 2293</t>
  </si>
  <si>
    <t>Portfolio 983</t>
  </si>
  <si>
    <t>Portfolio 3746</t>
  </si>
  <si>
    <t>Portfolio 8317</t>
  </si>
  <si>
    <t>Portfolio 3794</t>
  </si>
  <si>
    <t>Portfolio 9359</t>
  </si>
  <si>
    <t>Portfolio 6464</t>
  </si>
  <si>
    <t>Portfolio 186</t>
  </si>
  <si>
    <t>Portfolio 1720</t>
  </si>
  <si>
    <t>Portfolio 1001</t>
  </si>
  <si>
    <t>Portfolio 5826</t>
  </si>
  <si>
    <t>Portfolio 3399</t>
  </si>
  <si>
    <t>Portfolio 6775</t>
  </si>
  <si>
    <t>Portfolio 4362</t>
  </si>
  <si>
    <t>Portfolio 3958</t>
  </si>
  <si>
    <t>Portfolio 4694</t>
  </si>
  <si>
    <t>Portfolio 1756</t>
  </si>
  <si>
    <t>Portfolio 7035</t>
  </si>
  <si>
    <t>Portfolio 3964</t>
  </si>
  <si>
    <t>Portfolio 3960</t>
  </si>
  <si>
    <t>Portfolio 93</t>
  </si>
  <si>
    <t>Portfolio 5125</t>
  </si>
  <si>
    <t>Portfolio 8075</t>
  </si>
  <si>
    <t>Portfolio 3752</t>
  </si>
  <si>
    <t>Portfolio 449</t>
  </si>
  <si>
    <t>Portfolio 5467</t>
  </si>
  <si>
    <t>Portfolio 7722</t>
  </si>
  <si>
    <t>Portfolio 2703</t>
  </si>
  <si>
    <t>Portfolio 3884</t>
  </si>
  <si>
    <t>Portfolio 9659</t>
  </si>
  <si>
    <t>Portfolio 9054</t>
  </si>
  <si>
    <t>Portfolio 4888</t>
  </si>
  <si>
    <t>Portfolio 6692</t>
  </si>
  <si>
    <t>Portfolio 9149</t>
  </si>
  <si>
    <t>Portfolio 1206</t>
  </si>
  <si>
    <t>Portfolio 2014</t>
  </si>
  <si>
    <t>Portfolio 8910</t>
  </si>
  <si>
    <t>Portfolio 897</t>
  </si>
  <si>
    <t>Portfolio 712</t>
  </si>
  <si>
    <t>Portfolio 9789</t>
  </si>
  <si>
    <t>Portfolio 7416</t>
  </si>
  <si>
    <t>Portfolio 7666</t>
  </si>
  <si>
    <t>Portfolio 9342</t>
  </si>
  <si>
    <t>Portfolio 5835</t>
  </si>
  <si>
    <t>Portfolio 5891</t>
  </si>
  <si>
    <t>Portfolio 7759</t>
  </si>
  <si>
    <t>Portfolio 4625</t>
  </si>
  <si>
    <t>Portfolio 8770</t>
  </si>
  <si>
    <t>Portfolio 363</t>
  </si>
  <si>
    <t>Portfolio 5119</t>
  </si>
  <si>
    <t>Portfolio 9688</t>
  </si>
  <si>
    <t>Portfolio 5189</t>
  </si>
  <si>
    <t>Portfolio 669</t>
  </si>
  <si>
    <t>Portfolio 5706</t>
  </si>
  <si>
    <t>Portfolio 1027</t>
  </si>
  <si>
    <t>Portfolio 2347</t>
  </si>
  <si>
    <t>Portfolio 3683</t>
  </si>
  <si>
    <t>Portfolio 4130</t>
  </si>
  <si>
    <t>Portfolio 6251</t>
  </si>
  <si>
    <t>Portfolio 7409</t>
  </si>
  <si>
    <t>Portfolio 1207</t>
  </si>
  <si>
    <t>Portfolio 3434</t>
  </si>
  <si>
    <t>Portfolio 5720</t>
  </si>
  <si>
    <t>Portfolio 8931</t>
  </si>
  <si>
    <t>Portfolio 6377</t>
  </si>
  <si>
    <t>Portfolio 658</t>
  </si>
  <si>
    <t>Portfolio 2909</t>
  </si>
  <si>
    <t>Portfolio 607</t>
  </si>
  <si>
    <t>Portfolio 8394</t>
  </si>
  <si>
    <t>Portfolio 3365</t>
  </si>
  <si>
    <t>Portfolio 1615</t>
  </si>
  <si>
    <t>Portfolio 6823</t>
  </si>
  <si>
    <t>Portfolio 1466</t>
  </si>
  <si>
    <t>Portfolio 5581</t>
  </si>
  <si>
    <t>Portfolio 6519</t>
  </si>
  <si>
    <t>Portfolio 1675</t>
  </si>
  <si>
    <t>Portfolio 7376</t>
  </si>
  <si>
    <t>Portfolio 9997</t>
  </si>
  <si>
    <t>Portfolio 517</t>
  </si>
  <si>
    <t>Portfolio 8656</t>
  </si>
  <si>
    <t>Portfolio 6482</t>
  </si>
  <si>
    <t>Portfolio 1640</t>
  </si>
  <si>
    <t>Portfolio 5966</t>
  </si>
  <si>
    <t>Portfolio 8142</t>
  </si>
  <si>
    <t>Portfolio 5118</t>
  </si>
  <si>
    <t>Portfolio 3798</t>
  </si>
  <si>
    <t>Portfolio 6471</t>
  </si>
  <si>
    <t>Portfolio 3619</t>
  </si>
  <si>
    <t>Portfolio 4662</t>
  </si>
  <si>
    <t>Portfolio 9551</t>
  </si>
  <si>
    <t>Portfolio 3201</t>
  </si>
  <si>
    <t>Portfolio 6044</t>
  </si>
  <si>
    <t>Portfolio 616</t>
  </si>
  <si>
    <t>Portfolio 8752</t>
  </si>
  <si>
    <t>Portfolio 9946</t>
  </si>
  <si>
    <t>Portfolio 9526</t>
  </si>
  <si>
    <t>Portfolio 3115</t>
  </si>
  <si>
    <t>Portfolio 968</t>
  </si>
  <si>
    <t>Portfolio 4066</t>
  </si>
  <si>
    <t>Portfolio 2063</t>
  </si>
  <si>
    <t>Portfolio 1322</t>
  </si>
  <si>
    <t>Portfolio 3845</t>
  </si>
  <si>
    <t>Portfolio 6076</t>
  </si>
  <si>
    <t>Portfolio 1197</t>
  </si>
  <si>
    <t>Portfolio 7919</t>
  </si>
  <si>
    <t>Portfolio 495</t>
  </si>
  <si>
    <t>Portfolio 288</t>
  </si>
  <si>
    <t>Portfolio 1047</t>
  </si>
  <si>
    <t>Portfolio 2024</t>
  </si>
  <si>
    <t>Portfolio 448</t>
  </si>
  <si>
    <t>Portfolio 1705</t>
  </si>
  <si>
    <t>Portfolio 6540</t>
  </si>
  <si>
    <t>Portfolio 16</t>
  </si>
  <si>
    <t>Portfolio 1860</t>
  </si>
  <si>
    <t>Portfolio 4113</t>
  </si>
  <si>
    <t>Portfolio 2962</t>
  </si>
  <si>
    <t>Portfolio 2044</t>
  </si>
  <si>
    <t>Portfolio 5048</t>
  </si>
  <si>
    <t>Portfolio 6234</t>
  </si>
  <si>
    <t>Portfolio 7987</t>
  </si>
  <si>
    <t>Portfolio 2536</t>
  </si>
  <si>
    <t>Portfolio 9065</t>
  </si>
  <si>
    <t>Portfolio 6531</t>
  </si>
  <si>
    <t>Portfolio 9214</t>
  </si>
  <si>
    <t>Portfolio 7873</t>
  </si>
  <si>
    <t>Portfolio 628</t>
  </si>
  <si>
    <t>Portfolio 7359</t>
  </si>
  <si>
    <t>Portfolio 9721</t>
  </si>
  <si>
    <t>Portfolio 417</t>
  </si>
  <si>
    <t>Portfolio 7737</t>
  </si>
  <si>
    <t>Portfolio 3648</t>
  </si>
  <si>
    <t>Portfolio 726</t>
  </si>
  <si>
    <t>Portfolio 686</t>
  </si>
  <si>
    <t>Portfolio 2187</t>
  </si>
  <si>
    <t>Portfolio 7698</t>
  </si>
  <si>
    <t>Portfolio 9887</t>
  </si>
  <si>
    <t>Portfolio 5886</t>
  </si>
  <si>
    <t>Portfolio 5073</t>
  </si>
  <si>
    <t>Portfolio 926</t>
  </si>
  <si>
    <t>Portfolio 9732</t>
  </si>
  <si>
    <t>Portfolio 8358</t>
  </si>
  <si>
    <t>Portfolio 961</t>
  </si>
  <si>
    <t>Portfolio 336</t>
  </si>
  <si>
    <t>Portfolio 9816</t>
  </si>
  <si>
    <t>Portfolio 836</t>
  </si>
  <si>
    <t>Portfolio 3336</t>
  </si>
  <si>
    <t>Portfolio 6126</t>
  </si>
  <si>
    <t>Portfolio 5862</t>
  </si>
  <si>
    <t>Portfolio 855</t>
  </si>
  <si>
    <t>Portfolio 5644</t>
  </si>
  <si>
    <t>Portfolio 8189</t>
  </si>
  <si>
    <t>Portfolio 3317</t>
  </si>
  <si>
    <t>Portfolio 1935</t>
  </si>
  <si>
    <t>Portfolio 6773</t>
  </si>
  <si>
    <t>Portfolio 2264</t>
  </si>
  <si>
    <t>Portfolio 9188</t>
  </si>
  <si>
    <t>Portfolio 8665</t>
  </si>
  <si>
    <t>Portfolio 5693</t>
  </si>
  <si>
    <t>Portfolio 3809</t>
  </si>
  <si>
    <t>Portfolio 3085</t>
  </si>
  <si>
    <t>Portfolio 5764</t>
  </si>
  <si>
    <t>Portfolio 57</t>
  </si>
  <si>
    <t>Portfolio 579</t>
  </si>
  <si>
    <t>Portfolio 463</t>
  </si>
  <si>
    <t>Portfolio 1737</t>
  </si>
  <si>
    <t>Portfolio 8666</t>
  </si>
  <si>
    <t>Portfolio 9569</t>
  </si>
  <si>
    <t>Portfolio 4417</t>
  </si>
  <si>
    <t>Portfolio 3006</t>
  </si>
  <si>
    <t>Portfolio 5351</t>
  </si>
  <si>
    <t>Portfolio 3409</t>
  </si>
  <si>
    <t>Portfolio 4973</t>
  </si>
  <si>
    <t>Portfolio 3742</t>
  </si>
  <si>
    <t>Portfolio 3538</t>
  </si>
  <si>
    <t>Portfolio 8717</t>
  </si>
  <si>
    <t>Portfolio 2092</t>
  </si>
  <si>
    <t>Portfolio 4633</t>
  </si>
  <si>
    <t>Portfolio 2980</t>
  </si>
  <si>
    <t>Portfolio 4199</t>
  </si>
  <si>
    <t>Portfolio 6029</t>
  </si>
  <si>
    <t>Portfolio 8904</t>
  </si>
  <si>
    <t>Portfolio 5776</t>
  </si>
  <si>
    <t>Portfolio 1437</t>
  </si>
  <si>
    <t>Portfolio 1829</t>
  </si>
  <si>
    <t>Portfolio 4862</t>
  </si>
  <si>
    <t>Portfolio 2642</t>
  </si>
  <si>
    <t>Portfolio 5434</t>
  </si>
  <si>
    <t>Portfolio 2341</t>
  </si>
  <si>
    <t>Portfolio 6966</t>
  </si>
  <si>
    <t>Portfolio 4605</t>
  </si>
  <si>
    <t>Portfolio 7426</t>
  </si>
  <si>
    <t>Portfolio 2412</t>
  </si>
  <si>
    <t>Portfolio 8395</t>
  </si>
  <si>
    <t>Portfolio 8793</t>
  </si>
  <si>
    <t>Portfolio 5757</t>
  </si>
  <si>
    <t>Portfolio 6499</t>
  </si>
  <si>
    <t>Portfolio 715</t>
  </si>
  <si>
    <t>Portfolio 5721</t>
  </si>
  <si>
    <t>Portfolio 7313</t>
  </si>
  <si>
    <t>Portfolio 9780</t>
  </si>
  <si>
    <t>Portfolio 563</t>
  </si>
  <si>
    <t>Portfolio 4553</t>
  </si>
  <si>
    <t>Portfolio 7460</t>
  </si>
  <si>
    <t>Portfolio 4115</t>
  </si>
  <si>
    <t>Portfolio 657</t>
  </si>
  <si>
    <t>Portfolio 6782</t>
  </si>
  <si>
    <t>Portfolio 3189</t>
  </si>
  <si>
    <t>Portfolio 6574</t>
  </si>
  <si>
    <t>Portfolio 7674</t>
  </si>
  <si>
    <t>Portfolio 6882</t>
  </si>
  <si>
    <t>Portfolio 6302</t>
  </si>
  <si>
    <t>Portfolio 9831</t>
  </si>
  <si>
    <t>Portfolio 6529</t>
  </si>
  <si>
    <t>Portfolio 8739</t>
  </si>
  <si>
    <t>Portfolio 8162</t>
  </si>
  <si>
    <t>Portfolio 5381</t>
  </si>
  <si>
    <t>Portfolio 8653</t>
  </si>
  <si>
    <t>Portfolio 4868</t>
  </si>
  <si>
    <t>Portfolio 9771</t>
  </si>
  <si>
    <t>Portfolio 6353</t>
  </si>
  <si>
    <t>Portfolio 7854</t>
  </si>
  <si>
    <t>Portfolio 6472</t>
  </si>
  <si>
    <t>Portfolio 9856</t>
  </si>
  <si>
    <t>Portfolio 4419</t>
  </si>
  <si>
    <t>Portfolio 1446</t>
  </si>
  <si>
    <t>Portfolio 3284</t>
  </si>
  <si>
    <t>Portfolio 506</t>
  </si>
  <si>
    <t>Portfolio 3126</t>
  </si>
  <si>
    <t>Portfolio 7246</t>
  </si>
  <si>
    <t>Portfolio 8327</t>
  </si>
  <si>
    <t>Portfolio 6073</t>
  </si>
  <si>
    <t>Portfolio 2564</t>
  </si>
  <si>
    <t>Portfolio 8517</t>
  </si>
  <si>
    <t>Portfolio 3653</t>
  </si>
  <si>
    <t>Portfolio 2440</t>
  </si>
  <si>
    <t>Portfolio 8417</t>
  </si>
  <si>
    <t>Portfolio 8602</t>
  </si>
  <si>
    <t>Portfolio 4104</t>
  </si>
  <si>
    <t>Portfolio 443</t>
  </si>
  <si>
    <t>Portfolio 8625</t>
  </si>
  <si>
    <t>Portfolio 536</t>
  </si>
  <si>
    <t>Portfolio 9202</t>
  </si>
  <si>
    <t>Portfolio 4772</t>
  </si>
  <si>
    <t>Portfolio 5065</t>
  </si>
  <si>
    <t>Portfolio 2384</t>
  </si>
  <si>
    <t>Portfolio 5251</t>
  </si>
  <si>
    <t>Portfolio 3360</t>
  </si>
  <si>
    <t>Portfolio 9113</t>
  </si>
  <si>
    <t>Portfolio 200</t>
  </si>
  <si>
    <t>Portfolio 7653</t>
  </si>
  <si>
    <t>Portfolio 8597</t>
  </si>
  <si>
    <t>Portfolio 9176</t>
  </si>
  <si>
    <t>Portfolio 7603</t>
  </si>
  <si>
    <t>Portfolio 3612</t>
  </si>
  <si>
    <t>Portfolio 4083</t>
  </si>
  <si>
    <t>Portfolio 6820</t>
  </si>
  <si>
    <t>Portfolio 3422</t>
  </si>
  <si>
    <t>Portfolio 8626</t>
  </si>
  <si>
    <t>Portfolio 5398</t>
  </si>
  <si>
    <t>Portfolio 7650</t>
  </si>
  <si>
    <t>Portfolio 3458</t>
  </si>
  <si>
    <t>Portfolio 1272</t>
  </si>
  <si>
    <t>Portfolio 9747</t>
  </si>
  <si>
    <t>Portfolio 1316</t>
  </si>
  <si>
    <t>Portfolio 375</t>
  </si>
  <si>
    <t>Portfolio 748</t>
  </si>
  <si>
    <t>Portfolio 7528</t>
  </si>
  <si>
    <t>Portfolio 6201</t>
  </si>
  <si>
    <t>Portfolio 4544</t>
  </si>
  <si>
    <t>Portfolio 3350</t>
  </si>
  <si>
    <t>Portfolio 3902</t>
  </si>
  <si>
    <t>Portfolio 9555</t>
  </si>
  <si>
    <t>Portfolio 7323</t>
  </si>
  <si>
    <t>Portfolio 1372</t>
  </si>
  <si>
    <t>Portfolio 1581</t>
  </si>
  <si>
    <t>Portfolio 2588</t>
  </si>
  <si>
    <t>Portfolio 6711</t>
  </si>
  <si>
    <t>Portfolio 4932</t>
  </si>
  <si>
    <t>Portfolio 9124</t>
  </si>
  <si>
    <t>Portfolio 7248</t>
  </si>
  <si>
    <t>Portfolio 3355</t>
  </si>
  <si>
    <t>Portfolio 3490</t>
  </si>
  <si>
    <t>Portfolio 6649</t>
  </si>
  <si>
    <t>Portfolio 4581</t>
  </si>
  <si>
    <t>Portfolio 622</t>
  </si>
  <si>
    <t>Portfolio 2363</t>
  </si>
  <si>
    <t>Portfolio 9744</t>
  </si>
  <si>
    <t>Portfolio 6113</t>
  </si>
  <si>
    <t>Portfolio 3356</t>
  </si>
  <si>
    <t>Portfolio 9317</t>
  </si>
  <si>
    <t>Portfolio 571</t>
  </si>
  <si>
    <t>Portfolio 7081</t>
  </si>
  <si>
    <t>Portfolio 9257</t>
  </si>
  <si>
    <t>Portfolio 8268</t>
  </si>
  <si>
    <t>Portfolio 6504</t>
  </si>
  <si>
    <t>Portfolio 3069</t>
  </si>
  <si>
    <t>Portfolio 2497</t>
  </si>
  <si>
    <t>Portfolio 5361</t>
  </si>
  <si>
    <t>Portfolio 2188</t>
  </si>
  <si>
    <t>Portfolio 9509</t>
  </si>
  <si>
    <t>Portfolio 9038</t>
  </si>
  <si>
    <t>Portfolio 9182</t>
  </si>
  <si>
    <t>Portfolio 8823</t>
  </si>
  <si>
    <t>Portfolio 6213</t>
  </si>
  <si>
    <t>Portfolio 1736</t>
  </si>
  <si>
    <t>Portfolio 4501</t>
  </si>
  <si>
    <t>Portfolio 510</t>
  </si>
  <si>
    <t>Portfolio 7340</t>
  </si>
  <si>
    <t>Portfolio 1</t>
  </si>
  <si>
    <t>Portfolio 9039</t>
  </si>
  <si>
    <t>Portfolio 847</t>
  </si>
  <si>
    <t>Portfolio 2423</t>
  </si>
  <si>
    <t>Portfolio 5968</t>
  </si>
  <si>
    <t>Portfolio 3327</t>
  </si>
  <si>
    <t>Portfolio 8338</t>
  </si>
  <si>
    <t>Portfolio 8037</t>
  </si>
  <si>
    <t>Portfolio 4426</t>
  </si>
  <si>
    <t>Portfolio 7563</t>
  </si>
  <si>
    <t>Portfolio 78</t>
  </si>
  <si>
    <t>Portfolio 7458</t>
  </si>
  <si>
    <t>Portfolio 9050</t>
  </si>
  <si>
    <t>Portfolio 9753</t>
  </si>
  <si>
    <t>Portfolio 909</t>
  </si>
  <si>
    <t>Portfolio 6286</t>
  </si>
  <si>
    <t>Portfolio 7819</t>
  </si>
  <si>
    <t>Portfolio 6461</t>
  </si>
  <si>
    <t>Portfolio 8813</t>
  </si>
  <si>
    <t>Portfolio 7917</t>
  </si>
  <si>
    <t>Portfolio 5528</t>
  </si>
  <si>
    <t>Portfolio 4577</t>
  </si>
  <si>
    <t>Portfolio 3378</t>
  </si>
  <si>
    <t>Portfolio 422</t>
  </si>
  <si>
    <t>Portfolio 6409</t>
  </si>
  <si>
    <t>Portfolio 6210</t>
  </si>
  <si>
    <t>Portfolio 8403</t>
  </si>
  <si>
    <t>Portfolio 2256</t>
  </si>
  <si>
    <t>Portfolio 8524</t>
  </si>
  <si>
    <t>Portfolio 1663</t>
  </si>
  <si>
    <t>Portfolio 6098</t>
  </si>
  <si>
    <t>Portfolio 3142</t>
  </si>
  <si>
    <t>Portfolio 1661</t>
  </si>
  <si>
    <t>Portfolio 9877</t>
  </si>
  <si>
    <t>Portfolio 6107</t>
  </si>
  <si>
    <t>Portfolio 7125</t>
  </si>
  <si>
    <t>Portfolio 4230</t>
  </si>
  <si>
    <t>Portfolio 7719</t>
  </si>
  <si>
    <t>Portfolio 4087</t>
  </si>
  <si>
    <t>Portfolio 569</t>
  </si>
  <si>
    <t>Portfolio 6856</t>
  </si>
  <si>
    <t>Portfolio 5245</t>
  </si>
  <si>
    <t>Portfolio 4231</t>
  </si>
  <si>
    <t>Portfolio 7493</t>
  </si>
  <si>
    <t>Portfolio 3748</t>
  </si>
  <si>
    <t>Portfolio 3437</t>
  </si>
  <si>
    <t>Portfolio 2216</t>
  </si>
  <si>
    <t>Portfolio 3375</t>
  </si>
  <si>
    <t>Portfolio 8166</t>
  </si>
  <si>
    <t>Portfolio 5652</t>
  </si>
  <si>
    <t>Portfolio 4357</t>
  </si>
  <si>
    <t>Portfolio 2658</t>
  </si>
  <si>
    <t>Portfolio 1827</t>
  </si>
  <si>
    <t>Portfolio 8579</t>
  </si>
  <si>
    <t>Portfolio 7747</t>
  </si>
  <si>
    <t>Portfolio 2263</t>
  </si>
  <si>
    <t>Portfolio 9099</t>
  </si>
  <si>
    <t>Portfolio 4484</t>
  </si>
  <si>
    <t>Portfolio 3184</t>
  </si>
  <si>
    <t>Portfolio 2946</t>
  </si>
  <si>
    <t>Portfolio 8151</t>
  </si>
  <si>
    <t>Portfolio 4179</t>
  </si>
  <si>
    <t>Portfolio 524</t>
  </si>
  <si>
    <t>Portfolio 5285</t>
  </si>
  <si>
    <t>Portfolio 3045</t>
  </si>
  <si>
    <t>Portfolio 5272</t>
  </si>
  <si>
    <t>Portfolio 3720</t>
  </si>
  <si>
    <t>Portfolio 4041</t>
  </si>
  <si>
    <t>Portfolio 4437</t>
  </si>
  <si>
    <t>Portfolio 4274</t>
  </si>
  <si>
    <t>Portfolio 6983</t>
  </si>
  <si>
    <t>Portfolio 6368</t>
  </si>
  <si>
    <t>Portfolio 9725</t>
  </si>
  <si>
    <t>Portfolio 7380</t>
  </si>
  <si>
    <t>Portfolio 2518</t>
  </si>
  <si>
    <t>Portfolio 7959</t>
  </si>
  <si>
    <t>Portfolio 2358</t>
  </si>
  <si>
    <t>Portfolio 4766</t>
  </si>
  <si>
    <t>Portfolio 6681</t>
  </si>
  <si>
    <t>Portfolio 8096</t>
  </si>
  <si>
    <t>Portfolio 4355</t>
  </si>
  <si>
    <t>Portfolio 2088</t>
  </si>
  <si>
    <t>Portfolio 8519</t>
  </si>
  <si>
    <t>Portfolio 2885</t>
  </si>
  <si>
    <t>Portfolio 9884</t>
  </si>
  <si>
    <t>Portfolio 4412</t>
  </si>
  <si>
    <t>Portfolio 5982</t>
  </si>
  <si>
    <t>Portfolio 4455</t>
  </si>
  <si>
    <t>Portfolio 3931</t>
  </si>
  <si>
    <t>Portfolio 8595</t>
  </si>
  <si>
    <t>Portfolio 5458</t>
  </si>
  <si>
    <t>Portfolio 198</t>
  </si>
  <si>
    <t>Portfolio 7761</t>
  </si>
  <si>
    <t>Portfolio 1690</t>
  </si>
  <si>
    <t>Portfolio 9175</t>
  </si>
  <si>
    <t>Portfolio 8482</t>
  </si>
  <si>
    <t>Portfolio 3869</t>
  </si>
  <si>
    <t>Portfolio 5164</t>
  </si>
  <si>
    <t>Portfolio 8168</t>
  </si>
  <si>
    <t>Portfolio 125</t>
  </si>
  <si>
    <t>Portfolio 7788</t>
  </si>
  <si>
    <t>Portfolio 6599</t>
  </si>
  <si>
    <t>Portfolio 9196</t>
  </si>
  <si>
    <t>Portfolio 250</t>
  </si>
  <si>
    <t>Portfolio 282</t>
  </si>
  <si>
    <t>Portfolio 98</t>
  </si>
  <si>
    <t>Portfolio 119</t>
  </si>
  <si>
    <t>Portfolio 5993</t>
  </si>
  <si>
    <t>Portfolio 5340</t>
  </si>
  <si>
    <t>Portfolio 1706</t>
  </si>
  <si>
    <t>Portfolio 9879</t>
  </si>
  <si>
    <t>Portfolio 9154</t>
  </si>
  <si>
    <t>Portfolio 3398</t>
  </si>
  <si>
    <t>Portfolio 5456</t>
  </si>
  <si>
    <t>Portfolio 8583</t>
  </si>
  <si>
    <t>Portfolio 2639</t>
  </si>
  <si>
    <t>Portfolio 2544</t>
  </si>
  <si>
    <t>Portfolio 7766</t>
  </si>
  <si>
    <t>Portfolio 4418</t>
  </si>
  <si>
    <t>Portfolio 2726</t>
  </si>
  <si>
    <t>Portfolio 6941</t>
  </si>
  <si>
    <t>Portfolio 5419</t>
  </si>
  <si>
    <t>Portfolio 1994</t>
  </si>
  <si>
    <t>Portfolio 6565</t>
  </si>
  <si>
    <t>Portfolio 2577</t>
  </si>
  <si>
    <t>Portfolio 3766</t>
  </si>
  <si>
    <t>Portfolio 8742</t>
  </si>
  <si>
    <t>Portfolio 6270</t>
  </si>
  <si>
    <t>Portfolio 6525</t>
  </si>
  <si>
    <t>Portfolio 4319</t>
  </si>
  <si>
    <t>Portfolio 1532</t>
  </si>
  <si>
    <t>Portfolio 7494</t>
  </si>
  <si>
    <t>Portfolio 9769</t>
  </si>
  <si>
    <t>Portfolio 5844</t>
  </si>
  <si>
    <t>Portfolio 5422</t>
  </si>
  <si>
    <t>Portfolio 9852</t>
  </si>
  <si>
    <t>Portfolio 6831</t>
  </si>
  <si>
    <t>Portfolio 5496</t>
  </si>
  <si>
    <t>Portfolio 7521</t>
  </si>
  <si>
    <t>Portfolio 773</t>
  </si>
  <si>
    <t>Portfolio 9731</t>
  </si>
  <si>
    <t>Portfolio 8273</t>
  </si>
  <si>
    <t>Portfolio 3762</t>
  </si>
  <si>
    <t>Portfolio 1188</t>
  </si>
  <si>
    <t>Portfolio 2597</t>
  </si>
  <si>
    <t>Portfolio 7441</t>
  </si>
  <si>
    <t>Portfolio 4771</t>
  </si>
  <si>
    <t>Portfolio 8726</t>
  </si>
  <si>
    <t>Portfolio 1710</t>
  </si>
  <si>
    <t>Portfolio 1299</t>
  </si>
  <si>
    <t>Portfolio 3024</t>
  </si>
  <si>
    <t>Portfolio 7979</t>
  </si>
  <si>
    <t>Portfolio 5883</t>
  </si>
  <si>
    <t>Portfolio 2830</t>
  </si>
  <si>
    <t>Portfolio 4410</t>
  </si>
  <si>
    <t>Portfolio 4896</t>
  </si>
  <si>
    <t>Portfolio 6018</t>
  </si>
  <si>
    <t>Portfolio 6901</t>
  </si>
  <si>
    <t>Portfolio 8714</t>
  </si>
  <si>
    <t>Portfolio 10000</t>
  </si>
  <si>
    <t>Portfolio 2762</t>
  </si>
  <si>
    <t>Portfolio 7986</t>
  </si>
  <si>
    <t>Portfolio 5185</t>
  </si>
  <si>
    <t>Portfolio 7632</t>
  </si>
  <si>
    <t>Portfolio 934</t>
  </si>
  <si>
    <t>Portfolio 4027</t>
  </si>
  <si>
    <t>Portfolio 2112</t>
  </si>
  <si>
    <t>Portfolio 6183</t>
  </si>
  <si>
    <t>Portfolio 1926</t>
  </si>
  <si>
    <t>Portfolio 8079</t>
  </si>
  <si>
    <t>Portfolio 1305</t>
  </si>
  <si>
    <t>Portfolio 6483</t>
  </si>
  <si>
    <t>Portfolio 1021</t>
  </si>
  <si>
    <t>Portfolio 2042</t>
  </si>
  <si>
    <t>Portfolio 8049</t>
  </si>
  <si>
    <t>Portfolio 7923</t>
  </si>
  <si>
    <t>Portfolio 508</t>
  </si>
  <si>
    <t>Portfolio 276</t>
  </si>
  <si>
    <t>Portfolio 4062</t>
  </si>
  <si>
    <t>Portfolio 5155</t>
  </si>
  <si>
    <t>Portfolio 9035</t>
  </si>
  <si>
    <t>Portfolio 464</t>
  </si>
  <si>
    <t>Portfolio 1696</t>
  </si>
  <si>
    <t>Portfolio 5888</t>
  </si>
  <si>
    <t>Portfolio 3887</t>
  </si>
  <si>
    <t>Portfolio 6776</t>
  </si>
  <si>
    <t>Portfolio 8761</t>
  </si>
  <si>
    <t>Portfolio 3377</t>
  </si>
  <si>
    <t>Portfolio 3385</t>
  </si>
  <si>
    <t>Portfolio 7297</t>
  </si>
  <si>
    <t>Portfolio 2461</t>
  </si>
  <si>
    <t>Portfolio 1182</t>
  </si>
  <si>
    <t>Portfolio 2688</t>
  </si>
  <si>
    <t>Portfolio 7615</t>
  </si>
  <si>
    <t>Portfolio 7136</t>
  </si>
  <si>
    <t>Portfolio 8398</t>
  </si>
  <si>
    <t>Portfolio 267</t>
  </si>
  <si>
    <t>Portfolio 4871</t>
  </si>
  <si>
    <t>Portfolio 3316</t>
  </si>
  <si>
    <t>Portfolio 7492</t>
  </si>
  <si>
    <t>Portfolio 8127</t>
  </si>
  <si>
    <t>Portfolio 3345</t>
  </si>
  <si>
    <t>Portfolio 3559</t>
  </si>
  <si>
    <t>Portfolio 825</t>
  </si>
  <si>
    <t>Portfolio 3856</t>
  </si>
  <si>
    <t>Portfolio 7202</t>
  </si>
  <si>
    <t>Portfolio 8669</t>
  </si>
  <si>
    <t>Portfolio 7887</t>
  </si>
  <si>
    <t>Portfolio 2822</t>
  </si>
  <si>
    <t>Portfolio 8495</t>
  </si>
  <si>
    <t>Portfolio 3180</t>
  </si>
  <si>
    <t>Portfolio 5684</t>
  </si>
  <si>
    <t>Portfolio 9652</t>
  </si>
  <si>
    <t>Portfolio 5242</t>
  </si>
  <si>
    <t>Portfolio 8103</t>
  </si>
  <si>
    <t>Portfolio 2963</t>
  </si>
  <si>
    <t>Portfolio 8315</t>
  </si>
  <si>
    <t>Portfolio 1498</t>
  </si>
  <si>
    <t>Portfolio 9974</t>
  </si>
  <si>
    <t>Portfolio 638</t>
  </si>
  <si>
    <t>Portfolio 4305</t>
  </si>
  <si>
    <t>Portfolio 397</t>
  </si>
  <si>
    <t>Portfolio 7948</t>
  </si>
  <si>
    <t>Portfolio 3473</t>
  </si>
  <si>
    <t>Portfolio 4209</t>
  </si>
  <si>
    <t>Portfolio 3436</t>
  </si>
  <si>
    <t>Portfolio 1280</t>
  </si>
  <si>
    <t>Portfolio 8404</t>
  </si>
  <si>
    <t>Portfolio 5574</t>
  </si>
  <si>
    <t>Portfolio 5412</t>
  </si>
  <si>
    <t>Portfolio 7558</t>
  </si>
  <si>
    <t>Portfolio 109</t>
  </si>
  <si>
    <t>Portfolio 1957</t>
  </si>
  <si>
    <t>Portfolio 4730</t>
  </si>
  <si>
    <t>Portfolio 7148</t>
  </si>
  <si>
    <t>Portfolio 643</t>
  </si>
  <si>
    <t>Portfolio 2679</t>
  </si>
  <si>
    <t>Portfolio 2609</t>
  </si>
  <si>
    <t>Portfolio 1118</t>
  </si>
  <si>
    <t>Portfolio 1556</t>
  </si>
  <si>
    <t>Portfolio 3730</t>
  </si>
  <si>
    <t>Portfolio 6334</t>
  </si>
  <si>
    <t>Portfolio 2566</t>
  </si>
  <si>
    <t>Portfolio 5425</t>
  </si>
  <si>
    <t>Portfolio 4571</t>
  </si>
  <si>
    <t>Portfolio 5264</t>
  </si>
  <si>
    <t>Portfolio 2647</t>
  </si>
  <si>
    <t>Portfolio 1689</t>
  </si>
  <si>
    <t>Portfolio 3140</t>
  </si>
  <si>
    <t>Portfolio 6768</t>
  </si>
  <si>
    <t>Portfolio 2521</t>
  </si>
  <si>
    <t>Portfolio 9349</t>
  </si>
  <si>
    <t>Portfolio 9410</t>
  </si>
  <si>
    <t>Portfolio 5814</t>
  </si>
  <si>
    <t>Portfolio 5707</t>
  </si>
  <si>
    <t>Portfolio 8786</t>
  </si>
  <si>
    <t>Portfolio 8801</t>
  </si>
  <si>
    <t>Portfolio 6452</t>
  </si>
  <si>
    <t>Portfolio 2435</t>
  </si>
  <si>
    <t>Portfolio 1761</t>
  </si>
  <si>
    <t>Portfolio 624</t>
  </si>
  <si>
    <t>Portfolio 1384</t>
  </si>
  <si>
    <t>Portfolio 8759</t>
  </si>
  <si>
    <t>Portfolio 2313</t>
  </si>
  <si>
    <t>Portfolio 237</t>
  </si>
  <si>
    <t>Portfolio 7072</t>
  </si>
  <si>
    <t>Portfolio 8382</t>
  </si>
  <si>
    <t>Portfolio 635</t>
  </si>
  <si>
    <t>Portfolio 9304</t>
  </si>
  <si>
    <t>Portfolio 2841</t>
  </si>
  <si>
    <t>Portfolio 9984</t>
  </si>
  <si>
    <t>Portfolio 2125</t>
  </si>
  <si>
    <t>Portfolio 6383</t>
  </si>
  <si>
    <t>Portfolio 2236</t>
  </si>
  <si>
    <t>Portfolio 8815</t>
  </si>
  <si>
    <t>Portfolio 7736</t>
  </si>
  <si>
    <t>Portfolio 302</t>
  </si>
  <si>
    <t>Portfolio 8179</t>
  </si>
  <si>
    <t>Portfolio 868</t>
  </si>
  <si>
    <t>Portfolio 4788</t>
  </si>
  <si>
    <t>Portfolio 8085</t>
  </si>
  <si>
    <t>Portfolio 251</t>
  </si>
  <si>
    <t>Portfolio 4874</t>
  </si>
  <si>
    <t>Portfolio 118</t>
  </si>
  <si>
    <t>Portfolio 1535</t>
  </si>
  <si>
    <t>Portfolio 3537</t>
  </si>
  <si>
    <t>Portfolio 6771</t>
  </si>
  <si>
    <t>Portfolio 724</t>
  </si>
  <si>
    <t>Portfolio 4632</t>
  </si>
  <si>
    <t>Portfolio 9863</t>
  </si>
  <si>
    <t>Portfolio 5071</t>
  </si>
  <si>
    <t>Portfolio 4684</t>
  </si>
  <si>
    <t>Portfolio 6909</t>
  </si>
  <si>
    <t>Portfolio 2287</t>
  </si>
  <si>
    <t>Portfolio 1620</t>
  </si>
  <si>
    <t>Portfolio 6638</t>
  </si>
  <si>
    <t>Portfolio 5309</t>
  </si>
  <si>
    <t>Portfolio 6222</t>
  </si>
  <si>
    <t>Portfolio 9781</t>
  </si>
  <si>
    <t>Portfolio 1332</t>
  </si>
  <si>
    <t>Portfolio 4277</t>
  </si>
  <si>
    <t>Portfolio 1616</t>
  </si>
  <si>
    <t>Portfolio 7437</t>
  </si>
  <si>
    <t>Portfolio 9880</t>
  </si>
  <si>
    <t>Portfolio 7777</t>
  </si>
  <si>
    <t>Portfolio 8247</t>
  </si>
  <si>
    <t>Portfolio 1393</t>
  </si>
  <si>
    <t>Portfolio 6256</t>
  </si>
  <si>
    <t>Portfolio 1972</t>
  </si>
  <si>
    <t>Portfolio 7665</t>
  </si>
  <si>
    <t>Portfolio 3175</t>
  </si>
  <si>
    <t>Portfolio 8551</t>
  </si>
  <si>
    <t>Portfolio 7238</t>
  </si>
  <si>
    <t>Portfolio 5501</t>
  </si>
  <si>
    <t>Portfolio 2239</t>
  </si>
  <si>
    <t>Portfolio 1697</t>
  </si>
  <si>
    <t>Portfolio 6490</t>
  </si>
  <si>
    <t>Portfolio 9350</t>
  </si>
  <si>
    <t>Portfolio 1655</t>
  </si>
  <si>
    <t>Portfolio 4184</t>
  </si>
  <si>
    <t>Portfolio 9307</t>
  </si>
  <si>
    <t>Portfolio 6480</t>
  </si>
  <si>
    <t>Portfolio 4809</t>
  </si>
  <si>
    <t>Portfolio 7883</t>
  </si>
  <si>
    <t>Portfolio 7436</t>
  </si>
  <si>
    <t>Portfolio 6706</t>
  </si>
  <si>
    <t>Portfolio 9036</t>
  </si>
  <si>
    <t>Portfolio 9647</t>
  </si>
  <si>
    <t>Portfolio 8500</t>
  </si>
  <si>
    <t>Portfolio 215</t>
  </si>
  <si>
    <t>Portfolio 4142</t>
  </si>
  <si>
    <t>Portfolio 2613</t>
  </si>
  <si>
    <t>Portfolio 7748</t>
  </si>
  <si>
    <t>Portfolio 4128</t>
  </si>
  <si>
    <t>Portfolio 5639</t>
  </si>
  <si>
    <t>Portfolio 6667</t>
  </si>
  <si>
    <t>Portfolio 6171</t>
  </si>
  <si>
    <t>Portfolio 6295</t>
  </si>
  <si>
    <t>Portfolio 8029</t>
  </si>
  <si>
    <t>Portfolio 277</t>
  </si>
  <si>
    <t>Portfolio 6300</t>
  </si>
  <si>
    <t>Portfolio 5347</t>
  </si>
  <si>
    <t>Portfolio 7420</t>
  </si>
  <si>
    <t>Portfolio 6833</t>
  </si>
  <si>
    <t>Portfolio 3708</t>
  </si>
  <si>
    <t>Portfolio 6318</t>
  </si>
  <si>
    <t>Portfolio 3858</t>
  </si>
  <si>
    <t>Portfolio 7882</t>
  </si>
  <si>
    <t>Portfolio 2638</t>
  </si>
  <si>
    <t>Portfolio 8830</t>
  </si>
  <si>
    <t>Portfolio 6572</t>
  </si>
  <si>
    <t>Portfolio 7773</t>
  </si>
  <si>
    <t>Portfolio 460</t>
  </si>
  <si>
    <t>Portfolio 8475</t>
  </si>
  <si>
    <t>Portfolio 8207</t>
  </si>
  <si>
    <t>Portfolio 1784</t>
  </si>
  <si>
    <t>Portfolio 7394</t>
  </si>
  <si>
    <t>Portfolio 5453</t>
  </si>
  <si>
    <t>Portfolio 2462</t>
  </si>
  <si>
    <t>Portfolio 3470</t>
  </si>
  <si>
    <t>Portfolio 3228</t>
  </si>
  <si>
    <t>Portfolio 9891</t>
  </si>
  <si>
    <t>Portfolio 9500</t>
  </si>
  <si>
    <t>Portfolio 2753</t>
  </si>
  <si>
    <t>Portfolio 8835</t>
  </si>
  <si>
    <t>Portfolio 3979</t>
  </si>
  <si>
    <t>Portfolio 8840</t>
  </si>
  <si>
    <t>Portfolio 3237</t>
  </si>
  <si>
    <t>Portfolio 7034</t>
  </si>
  <si>
    <t>Portfolio 5576</t>
  </si>
  <si>
    <t>Portfolio 7933</t>
  </si>
  <si>
    <t>Portfolio 5183</t>
  </si>
  <si>
    <t>Portfolio 2501</t>
  </si>
  <si>
    <t>Portfolio 3439</t>
  </si>
  <si>
    <t>Portfolio 7868</t>
  </si>
  <si>
    <t>Portfolio 2996</t>
  </si>
  <si>
    <t>Portfolio 6625</t>
  </si>
  <si>
    <t>Portfolio 6910</t>
  </si>
  <si>
    <t>Portfolio 6824</t>
  </si>
  <si>
    <t>Portfolio 7455</t>
  </si>
  <si>
    <t>Portfolio 5256</t>
  </si>
  <si>
    <t>Portfolio 9222</t>
  </si>
  <si>
    <t>Portfolio 2276</t>
  </si>
  <si>
    <t>Portfolio 9671</t>
  </si>
  <si>
    <t>Portfolio 9926</t>
  </si>
  <si>
    <t>Portfolio 1781</t>
  </si>
  <si>
    <t>Portfolio 6466</t>
  </si>
  <si>
    <t>Portfolio 8897</t>
  </si>
  <si>
    <t>Portfolio 7502</t>
  </si>
  <si>
    <t>Portfolio 6917</t>
  </si>
  <si>
    <t>Portfolio 8360</t>
  </si>
  <si>
    <t>Portfolio 839</t>
  </si>
  <si>
    <t>Portfolio 173</t>
  </si>
  <si>
    <t>Portfolio 7141</t>
  </si>
  <si>
    <t>Portfolio 557</t>
  </si>
  <si>
    <t>Portfolio 779</t>
  </si>
  <si>
    <t>Portfolio 7592</t>
  </si>
  <si>
    <t>Portfolio 4870</t>
  </si>
  <si>
    <t>Portfolio 1214</t>
  </si>
  <si>
    <t>Portfolio 197</t>
  </si>
  <si>
    <t>Portfolio 8567</t>
  </si>
  <si>
    <t>Portfolio 8999</t>
  </si>
  <si>
    <t>Portfolio 407</t>
  </si>
  <si>
    <t>Portfolio 1786</t>
  </si>
  <si>
    <t>Portfolio 2020</t>
  </si>
  <si>
    <t>Portfolio 8685</t>
  </si>
  <si>
    <t>Portfolio 2087</t>
  </si>
  <si>
    <t>Portfolio 5954</t>
  </si>
  <si>
    <t>Portfolio 8136</t>
  </si>
  <si>
    <t>Portfolio 7051</t>
  </si>
  <si>
    <t>Portfolio 6878</t>
  </si>
  <si>
    <t>Portfolio 445</t>
  </si>
  <si>
    <t>Portfolio 4852</t>
  </si>
  <si>
    <t>Portfolio 5159</t>
  </si>
  <si>
    <t>Portfolio 7415</t>
  </si>
  <si>
    <t>Portfolio 4358</t>
  </si>
  <si>
    <t>Portfolio 5366</t>
  </si>
  <si>
    <t>Portfolio 2345</t>
  </si>
  <si>
    <t>Portfolio 8274</t>
  </si>
  <si>
    <t>Portfolio 8575</t>
  </si>
  <si>
    <t>Portfolio 7709</t>
  </si>
  <si>
    <t>Portfolio 3147</t>
  </si>
  <si>
    <t>Portfolio 1328</t>
  </si>
  <si>
    <t>Portfolio 7156</t>
  </si>
  <si>
    <t>Portfolio 4372</t>
  </si>
  <si>
    <t>Portfolio 6145</t>
  </si>
  <si>
    <t>Portfolio 5647</t>
  </si>
  <si>
    <t>Portfolio 6489</t>
  </si>
  <si>
    <t>Portfolio 1801</t>
  </si>
  <si>
    <t>Portfolio 291</t>
  </si>
  <si>
    <t>Portfolio 6238</t>
  </si>
  <si>
    <t>Portfolio 219</t>
  </si>
  <si>
    <t>Portfolio 2175</t>
  </si>
  <si>
    <t>Portfolio 9971</t>
  </si>
  <si>
    <t>Portfolio 722</t>
  </si>
  <si>
    <t>Portfolio 4789</t>
  </si>
  <si>
    <t>Portfolio 9345</t>
  </si>
  <si>
    <t>Portfolio 6705</t>
  </si>
  <si>
    <t>Portfolio 8337</t>
  </si>
  <si>
    <t>Portfolio 5593</t>
  </si>
  <si>
    <t>Portfolio 8361</t>
  </si>
  <si>
    <t>Portfolio 998</t>
  </si>
  <si>
    <t>Portfolio 4316</t>
  </si>
  <si>
    <t>Portfolio 514</t>
  </si>
  <si>
    <t>Portfolio 5998</t>
  </si>
  <si>
    <t>Portfolio 2208</t>
  </si>
  <si>
    <t>Portfolio 9666</t>
  </si>
  <si>
    <t>Portfolio 5918</t>
  </si>
  <si>
    <t>Portfolio 1094</t>
  </si>
  <si>
    <t>Portfolio 6879</t>
  </si>
  <si>
    <t>Portfolio 1491</t>
  </si>
  <si>
    <t>Portfolio 5152</t>
  </si>
  <si>
    <t>Portfolio 4754</t>
  </si>
  <si>
    <t>Portfolio 3492</t>
  </si>
  <si>
    <t>Portfolio 8135</t>
  </si>
  <si>
    <t>Portfolio 6602</t>
  </si>
  <si>
    <t>Portfolio 8748</t>
  </si>
  <si>
    <t>Portfolio 1007</t>
  </si>
  <si>
    <t>Portfolio 5630</t>
  </si>
  <si>
    <t>Portfolio 8368</t>
  </si>
  <si>
    <t>Portfolio 8100</t>
  </si>
  <si>
    <t>Portfolio 6643</t>
  </si>
  <si>
    <t>Portfolio 2620</t>
  </si>
  <si>
    <t>Portfolio 6750</t>
  </si>
  <si>
    <t>Portfolio 8275</t>
  </si>
  <si>
    <t>Portfolio 7178</t>
  </si>
  <si>
    <t>Portfolio 2164</t>
  </si>
  <si>
    <t>Portfolio 2616</t>
  </si>
  <si>
    <t>Portfolio 6115</t>
  </si>
  <si>
    <t>Portfolio 7274</t>
  </si>
  <si>
    <t>Portfolio 1976</t>
  </si>
  <si>
    <t>Portfolio 1539</t>
  </si>
  <si>
    <t>Portfolio 7192</t>
  </si>
  <si>
    <t>Portfolio 9690</t>
  </si>
  <si>
    <t>Portfolio 834</t>
  </si>
  <si>
    <t>Portfolio 1517</t>
  </si>
  <si>
    <t>Portfolio 8225</t>
  </si>
  <si>
    <t>Portfolio 4726</t>
  </si>
  <si>
    <t>Portfolio 1709</t>
  </si>
  <si>
    <t>Portfolio 6000</t>
  </si>
  <si>
    <t>Portfolio 3516</t>
  </si>
  <si>
    <t>Portfolio 7927</t>
  </si>
  <si>
    <t>Portfolio 9889</t>
  </si>
  <si>
    <t>Portfolio 1401</t>
  </si>
  <si>
    <t>Portfolio 6630</t>
  </si>
  <si>
    <t>Portfolio 1096</t>
  </si>
  <si>
    <t>Portfolio 812</t>
  </si>
  <si>
    <t>Portfolio 8438</t>
  </si>
  <si>
    <t>Portfolio 4208</t>
  </si>
  <si>
    <t>Portfolio 5782</t>
  </si>
  <si>
    <t>Portfolio 9595</t>
  </si>
  <si>
    <t>Portfolio 9905</t>
  </si>
  <si>
    <t>Portfolio 8379</t>
  </si>
  <si>
    <t>Portfolio 8272</t>
  </si>
  <si>
    <t>Portfolio 4965</t>
  </si>
  <si>
    <t>Portfolio 4070</t>
  </si>
  <si>
    <t>Portfolio 7852</t>
  </si>
  <si>
    <t>Portfolio 8983</t>
  </si>
  <si>
    <t>Portfolio 5053</t>
  </si>
  <si>
    <t>Portfolio 2004</t>
  </si>
  <si>
    <t>Portfolio 5592</t>
  </si>
  <si>
    <t>Portfolio 4814</t>
  </si>
  <si>
    <t>Portfolio 1680</t>
  </si>
  <si>
    <t>Portfolio 7861</t>
  </si>
  <si>
    <t>Portfolio 2118</t>
  </si>
  <si>
    <t>Portfolio 4711</t>
  </si>
  <si>
    <t>Portfolio 7596</t>
  </si>
  <si>
    <t>Portfolio 6266</t>
  </si>
  <si>
    <t>Portfolio 8773</t>
  </si>
  <si>
    <t>Portfolio 6406</t>
  </si>
  <si>
    <t>Portfolio 3604</t>
  </si>
  <si>
    <t>Portfolio 1256</t>
  </si>
  <si>
    <t>Portfolio 3057</t>
  </si>
  <si>
    <t>Portfolio 5834</t>
  </si>
  <si>
    <t>Portfolio 6806</t>
  </si>
  <si>
    <t>Portfolio 3233</t>
  </si>
  <si>
    <t>Portfolio 9354</t>
  </si>
  <si>
    <t>Portfolio 3347</t>
  </si>
  <si>
    <t>Portfolio 6265</t>
  </si>
  <si>
    <t>Portfolio 1978</t>
  </si>
  <si>
    <t>Portfolio 9013</t>
  </si>
  <si>
    <t>Portfolio 8063</t>
  </si>
  <si>
    <t>Portfolio 1842</t>
  </si>
  <si>
    <t>Portfolio 585</t>
  </si>
  <si>
    <t>Portfolio 3773</t>
  </si>
  <si>
    <t>Portfolio 6403</t>
  </si>
  <si>
    <t>Portfolio 4683</t>
  </si>
  <si>
    <t>Portfolio 1808</t>
  </si>
  <si>
    <t>Portfolio 7358</t>
  </si>
  <si>
    <t>Portfolio 1250</t>
  </si>
  <si>
    <t>Portfolio 1968</t>
  </si>
  <si>
    <t>Portfolio 6197</t>
  </si>
  <si>
    <t>Portfolio 6045</t>
  </si>
  <si>
    <t>Portfolio 8057</t>
  </si>
  <si>
    <t>Portfolio 6832</t>
  </si>
  <si>
    <t>Portfolio 8861</t>
  </si>
  <si>
    <t>Portfolio 6443</t>
  </si>
  <si>
    <t>Portfolio 1810</t>
  </si>
  <si>
    <t>Portfolio 3243</t>
  </si>
  <si>
    <t>Portfolio 6627</t>
  </si>
  <si>
    <t>Portfolio 9391</t>
  </si>
  <si>
    <t>Portfolio 2233</t>
  </si>
  <si>
    <t>Portfolio 4220</t>
  </si>
  <si>
    <t>Portfolio 5534</t>
  </si>
  <si>
    <t>Portfolio 419</t>
  </si>
  <si>
    <t>Portfolio 7225</t>
  </si>
  <si>
    <t>Portfolio 1845</t>
  </si>
  <si>
    <t>Portfolio 9703</t>
  </si>
  <si>
    <t>Portfolio 9641</t>
  </si>
  <si>
    <t>Portfolio 4693</t>
  </si>
  <si>
    <t>Portfolio 5022</t>
  </si>
  <si>
    <t>Portfolio 1134</t>
  </si>
  <si>
    <t>Portfolio 6427</t>
  </si>
  <si>
    <t>Portfolio 9271</t>
  </si>
  <si>
    <t>Portfolio 2182</t>
  </si>
  <si>
    <t>Portfolio 5308</t>
  </si>
  <si>
    <t>Portfolio 5992</t>
  </si>
  <si>
    <t>Portfolio 6193</t>
  </si>
  <si>
    <t>Portfolio 3114</t>
  </si>
  <si>
    <t>Portfolio 4701</t>
  </si>
  <si>
    <t>Portfolio 446</t>
  </si>
  <si>
    <t>Portfolio 8998</t>
  </si>
  <si>
    <t>Portfolio 8925</t>
  </si>
  <si>
    <t>Portfolio 3165</t>
  </si>
  <si>
    <t>Portfolio 5812</t>
  </si>
  <si>
    <t>Portfolio 4004</t>
  </si>
  <si>
    <t>Portfolio 4844</t>
  </si>
  <si>
    <t>Portfolio 3639</t>
  </si>
  <si>
    <t>Portfolio 52</t>
  </si>
  <si>
    <t>Portfolio 837</t>
  </si>
  <si>
    <t>Portfolio 2241</t>
  </si>
  <si>
    <t>Portfolio 3822</t>
  </si>
  <si>
    <t>Portfolio 3713</t>
  </si>
  <si>
    <t>Portfolio 4153</t>
  </si>
  <si>
    <t>Portfolio 3484</t>
  </si>
  <si>
    <t>Portfolio 7347</t>
  </si>
  <si>
    <t>Portfolio 4464</t>
  </si>
  <si>
    <t>Portfolio 2634</t>
  </si>
  <si>
    <t>Portfolio 4741</t>
  </si>
  <si>
    <t>Portfolio 5774</t>
  </si>
  <si>
    <t>Portfolio 9396</t>
  </si>
  <si>
    <t>Portfolio 5221</t>
  </si>
  <si>
    <t>Portfolio 5633</t>
  </si>
  <si>
    <t>Portfolio 9556</t>
  </si>
  <si>
    <t>Portfolio 1791</t>
  </si>
  <si>
    <t>Portfolio 5074</t>
  </si>
  <si>
    <t>Portfolio 1156</t>
  </si>
  <si>
    <t>Portfolio 1514</t>
  </si>
  <si>
    <t>Portfolio 2383</t>
  </si>
  <si>
    <t>Portfolio 3368</t>
  </si>
  <si>
    <t>Portfolio 8065</t>
  </si>
  <si>
    <t>Portfolio 2858</t>
  </si>
  <si>
    <t>Portfolio 3578</t>
  </si>
  <si>
    <t>Portfolio 259</t>
  </si>
  <si>
    <t>Portfolio 1179</t>
  </si>
  <si>
    <t>Portfolio 1643</t>
  </si>
  <si>
    <t>Portfolio 3029</t>
  </si>
  <si>
    <t>Portfolio 5204</t>
  </si>
  <si>
    <t>Portfolio 954</t>
  </si>
  <si>
    <t>Portfolio 3195</t>
  </si>
  <si>
    <t>Portfolio 3849</t>
  </si>
  <si>
    <t>Portfolio 6086</t>
  </si>
  <si>
    <t>Portfolio 4234</t>
  </si>
  <si>
    <t>Portfolio 97</t>
  </si>
  <si>
    <t>Portfolio 9995</t>
  </si>
  <si>
    <t>Portfolio 5560</t>
  </si>
  <si>
    <t>Portfolio 548</t>
  </si>
  <si>
    <t>Portfolio 9213</t>
  </si>
  <si>
    <t>Portfolio 3128</t>
  </si>
  <si>
    <t>Portfolio 1975</t>
  </si>
  <si>
    <t>Portfolio 9695</t>
  </si>
  <si>
    <t>Portfolio 8667</t>
  </si>
  <si>
    <t>Portfolio 7368</t>
  </si>
  <si>
    <t>Portfolio 9351</t>
  </si>
  <si>
    <t>Portfolio 1262</t>
  </si>
  <si>
    <t>Portfolio 2540</t>
  </si>
  <si>
    <t>Portfolio 1245</t>
  </si>
  <si>
    <t>Portfolio 2700</t>
  </si>
  <si>
    <t>Portfolio 4496</t>
  </si>
  <si>
    <t>Portfolio 9338</t>
  </si>
  <si>
    <t>Portfolio 217</t>
  </si>
  <si>
    <t>Portfolio 9143</t>
  </si>
  <si>
    <t>Portfolio 5075</t>
  </si>
  <si>
    <t>Portfolio 8126</t>
  </si>
  <si>
    <t>Portfolio 7243</t>
  </si>
  <si>
    <t>Portfolio 1333</t>
  </si>
  <si>
    <t>Portfolio 2624</t>
  </si>
  <si>
    <t>Portfolio 9163</t>
  </si>
  <si>
    <t>Portfolio 1732</t>
  </si>
  <si>
    <t>Portfolio 1953</t>
  </si>
  <si>
    <t>Portfolio 9987</t>
  </si>
  <si>
    <t>Portfolio 9465</t>
  </si>
  <si>
    <t>Portfolio 758</t>
  </si>
  <si>
    <t>Portfolio 80</t>
  </si>
  <si>
    <t>Portfolio 8555</t>
  </si>
  <si>
    <t>Portfolio 1273</t>
  </si>
  <si>
    <t>Portfolio 9830</t>
  </si>
  <si>
    <t>Portfolio 416</t>
  </si>
  <si>
    <t>Portfolio 1295</t>
  </si>
  <si>
    <t>Portfolio 3951</t>
  </si>
  <si>
    <t>Portfolio 9514</t>
  </si>
  <si>
    <t>Portfolio 2513</t>
  </si>
  <si>
    <t>Portfolio 8293</t>
  </si>
  <si>
    <t>Portfolio 3906</t>
  </si>
  <si>
    <t>Portfolio 5036</t>
  </si>
  <si>
    <t>Portfolio 8436</t>
  </si>
  <si>
    <t>Portfolio 9836</t>
  </si>
  <si>
    <t>Portfolio 4717</t>
  </si>
  <si>
    <t>Portfolio 4109</t>
  </si>
  <si>
    <t>Portfolio 5405</t>
  </si>
  <si>
    <t>Portfolio 8341</t>
  </si>
  <si>
    <t>Portfolio 5384</t>
  </si>
  <si>
    <t>Portfolio 2230</t>
  </si>
  <si>
    <t>Portfolio 3063</t>
  </si>
  <si>
    <t>Portfolio 9232</t>
  </si>
  <si>
    <t>Portfolio 242</t>
  </si>
  <si>
    <t>Portfolio 7553</t>
  </si>
  <si>
    <t>Portfolio 5836</t>
  </si>
  <si>
    <t>Portfolio 1391</t>
  </si>
  <si>
    <t>Portfolio 6571</t>
  </si>
  <si>
    <t>Portfolio 1647</t>
  </si>
  <si>
    <t>Portfolio 1635</t>
  </si>
  <si>
    <t>Portfolio 2068</t>
  </si>
  <si>
    <t>Portfolio 4944</t>
  </si>
  <si>
    <t>Portfolio 110</t>
  </si>
  <si>
    <t>Portfolio 8809</t>
  </si>
  <si>
    <t>Portfolio 2421</t>
  </si>
  <si>
    <t>Portfolio 3166</t>
  </si>
  <si>
    <t>Portfolio 9701</t>
  </si>
  <si>
    <t>Portfolio 182</t>
  </si>
  <si>
    <t>Portfolio 4122</t>
  </si>
  <si>
    <t>Portfolio 9296</t>
  </si>
  <si>
    <t>Portfolio 3749</t>
  </si>
  <si>
    <t>Portfolio 8031</t>
  </si>
  <si>
    <t>Portfolio 2994</t>
  </si>
  <si>
    <t>Portfolio 6816</t>
  </si>
  <si>
    <t>Portfolio 1688</t>
  </si>
  <si>
    <t>Portfolio 8310</t>
  </si>
  <si>
    <t>Portfolio 8598</t>
  </si>
  <si>
    <t>Portfolio 6900</t>
  </si>
  <si>
    <t>Portfolio 2478</t>
  </si>
  <si>
    <t>Portfolio 5987</t>
  </si>
  <si>
    <t>Portfolio 654</t>
  </si>
  <si>
    <t>Portfolio 4283</t>
  </si>
  <si>
    <t>Portfolio 5771</t>
  </si>
  <si>
    <t>Portfolio 8916</t>
  </si>
  <si>
    <t>Portfolio 8363</t>
  </si>
  <si>
    <t>Portfolio 2426</t>
  </si>
  <si>
    <t>Portfolio 4715</t>
  </si>
  <si>
    <t>Portfolio 9689</t>
  </si>
  <si>
    <t>Portfolio 2316</t>
  </si>
  <si>
    <t>Portfolio 9084</t>
  </si>
  <si>
    <t>Portfolio 3337</t>
  </si>
  <si>
    <t>Portfolio 700</t>
  </si>
  <si>
    <t>Portfolio 7912</t>
  </si>
  <si>
    <t>Portfolio 1838</t>
  </si>
  <si>
    <t>Portfolio 9634</t>
  </si>
  <si>
    <t>Portfolio 7706</t>
  </si>
  <si>
    <t>Portfolio 6686</t>
  </si>
  <si>
    <t>Portfolio 9295</t>
  </si>
  <si>
    <t>Portfolio 7495</t>
  </si>
  <si>
    <t>Portfolio 5329</t>
  </si>
  <si>
    <t>Portfolio 138</t>
  </si>
  <si>
    <t>Portfolio 9885</t>
  </si>
  <si>
    <t>Portfolio 3878</t>
  </si>
  <si>
    <t>Portfolio 8479</t>
  </si>
  <si>
    <t>Portfolio 2795</t>
  </si>
  <si>
    <t>Portfolio 4570</t>
  </si>
  <si>
    <t>Portfolio 388</t>
  </si>
  <si>
    <t>Portfolio 209</t>
  </si>
  <si>
    <t>Portfolio 7679</t>
  </si>
  <si>
    <t>Portfolio 3033</t>
  </si>
  <si>
    <t>Portfolio 9860</t>
  </si>
  <si>
    <t>Portfolio 4205</t>
  </si>
  <si>
    <t>Portfolio 2373</t>
  </si>
  <si>
    <t>Portfolio 4796</t>
  </si>
  <si>
    <t>Portfolio 3312</t>
  </si>
  <si>
    <t>Portfolio 9090</t>
  </si>
  <si>
    <t>Portfolio 944</t>
  </si>
  <si>
    <t>Portfolio 9938</t>
  </si>
  <si>
    <t>Portfolio 705</t>
  </si>
  <si>
    <t>Portfolio 2154</t>
  </si>
  <si>
    <t>Portfolio 3861</t>
  </si>
  <si>
    <t>Portfolio 796</t>
  </si>
  <si>
    <t>Portfolio 298</t>
  </si>
  <si>
    <t>Portfolio 4765</t>
  </si>
  <si>
    <t>Portfolio 702</t>
  </si>
  <si>
    <t>Portfolio 7371</t>
  </si>
  <si>
    <t>Portfolio 1375</t>
  </si>
  <si>
    <t>Portfolio 9853</t>
  </si>
  <si>
    <t>Portfolio 6747</t>
  </si>
  <si>
    <t>Portfolio 8111</t>
  </si>
  <si>
    <t>Portfolio 2059</t>
  </si>
  <si>
    <t>Portfolio 2089</t>
  </si>
  <si>
    <t>Portfolio 7924</t>
  </si>
  <si>
    <t>Portfolio 1970</t>
  </si>
  <si>
    <t>Portfolio 1492</t>
  </si>
  <si>
    <t>Portfolio 7477</t>
  </si>
  <si>
    <t>Portfolio 3379</t>
  </si>
  <si>
    <t>Portfolio 4008</t>
  </si>
  <si>
    <t>Portfolio 9367</t>
  </si>
  <si>
    <t>Portfolio 4723</t>
  </si>
  <si>
    <t>Portfolio 8960</t>
  </si>
  <si>
    <t>Portfolio 5505</t>
  </si>
  <si>
    <t>Portfolio 8706</t>
  </si>
  <si>
    <t>Portfolio 9439</t>
  </si>
  <si>
    <t>Portfolio 7278</t>
  </si>
  <si>
    <t>Portfolio 8258</t>
  </si>
  <si>
    <t>Portfolio 1890</t>
  </si>
  <si>
    <t>Portfolio 9275</t>
  </si>
  <si>
    <t>Portfolio 7884</t>
  </si>
  <si>
    <t>Portfolio 6728</t>
  </si>
  <si>
    <t>Portfolio 5140</t>
  </si>
  <si>
    <t>Portfolio 8855</t>
  </si>
  <si>
    <t>Portfolio 8937</t>
  </si>
  <si>
    <t>Portfolio 387</t>
  </si>
  <si>
    <t>Portfolio 3176</t>
  </si>
  <si>
    <t>Portfolio 1967</t>
  </si>
  <si>
    <t>Portfolio 7127</t>
  </si>
  <si>
    <t>Portfolio 1863</t>
  </si>
  <si>
    <t>Portfolio 7939</t>
  </si>
  <si>
    <t>Portfolio 130</t>
  </si>
  <si>
    <t>Portfolio 8617</t>
  </si>
  <si>
    <t>Portfolio 8636</t>
  </si>
  <si>
    <t>Portfolio 7203</t>
  </si>
  <si>
    <t>Portfolio 9585</t>
  </si>
  <si>
    <t>Portfolio 4352</t>
  </si>
  <si>
    <t>Portfolio 2222</t>
  </si>
  <si>
    <t>Portfolio 5428</t>
  </si>
  <si>
    <t>Portfolio 4790</t>
  </si>
  <si>
    <t>Portfolio 3728</t>
  </si>
  <si>
    <t>Portfolio 8409</t>
  </si>
  <si>
    <t>Portfolio 2359</t>
  </si>
  <si>
    <t>Portfolio 691</t>
  </si>
  <si>
    <t>Portfolio 9557</t>
  </si>
  <si>
    <t>Portfolio 8980</t>
  </si>
  <si>
    <t>Portfolio 35</t>
  </si>
  <si>
    <t>Portfolio 2755</t>
  </si>
  <si>
    <t>Portfolio 8943</t>
  </si>
  <si>
    <t>Portfolio 1356</t>
  </si>
  <si>
    <t>Portfolio 1286</t>
  </si>
  <si>
    <t>Portfolio 8143</t>
  </si>
  <si>
    <t>Portfolio 6717</t>
  </si>
  <si>
    <t>Portfolio 2912</t>
  </si>
  <si>
    <t>Portfolio 7950</t>
  </si>
  <si>
    <t>Portfolio 9340</t>
  </si>
  <si>
    <t>Portfolio 2364</t>
  </si>
  <si>
    <t>Portfolio 3009</t>
  </si>
  <si>
    <t>Portfolio 6485</t>
  </si>
  <si>
    <t>Portfolio 8108</t>
  </si>
  <si>
    <t>Portfolio 7165</t>
  </si>
  <si>
    <t>Portfolio 7102</t>
  </si>
  <si>
    <t>Portfolio 4368</t>
  </si>
  <si>
    <t>Portfolio 4744</t>
  </si>
  <si>
    <t>Portfolio 6253</t>
  </si>
  <si>
    <t>Portfolio 1567</t>
  </si>
  <si>
    <t>Portfolio 5313</t>
  </si>
  <si>
    <t>Portfolio 5672</t>
  </si>
  <si>
    <t>Portfolio 7337</t>
  </si>
  <si>
    <t>Portfolio 5832</t>
  </si>
  <si>
    <t>Portfolio 6356</t>
  </si>
  <si>
    <t>Portfolio 982</t>
  </si>
  <si>
    <t>Portfolio 1823</t>
  </si>
  <si>
    <t>Portfolio 1070</t>
  </si>
  <si>
    <t>Portfolio 9633</t>
  </si>
  <si>
    <t>Portfolio 7628</t>
  </si>
  <si>
    <t>Portfolio 6298</t>
  </si>
  <si>
    <t>Portfolio 3588</t>
  </si>
  <si>
    <t>Portfolio 9224</t>
  </si>
  <si>
    <t>Portfolio 4491</t>
  </si>
  <si>
    <t>Portfolio 75</t>
  </si>
  <si>
    <t>Portfolio 3682</t>
  </si>
  <si>
    <t>Portfolio 7768</t>
  </si>
  <si>
    <t>Portfolio 3655</t>
  </si>
  <si>
    <t>Portfolio 7769</t>
  </si>
  <si>
    <t>Portfolio 2169</t>
  </si>
  <si>
    <t>Portfolio 9223</t>
  </si>
  <si>
    <t>Portfolio 2475</t>
  </si>
  <si>
    <t>Portfolio 831</t>
  </si>
  <si>
    <t>Portfolio 3467</t>
  </si>
  <si>
    <t>Portfolio 5977</t>
  </si>
  <si>
    <t>Portfolio 7280</t>
  </si>
  <si>
    <t>Portfolio 997</t>
  </si>
  <si>
    <t>Portfolio 3153</t>
  </si>
  <si>
    <t>Portfolio 46</t>
  </si>
  <si>
    <t>Portfolio 5411</t>
  </si>
  <si>
    <t>Portfolio 6488</t>
  </si>
  <si>
    <t>Portfolio 87</t>
  </si>
  <si>
    <t>Portfolio 6616</t>
  </si>
  <si>
    <t>Portfolio 171</t>
  </si>
  <si>
    <t>Portfolio 4293</t>
  </si>
  <si>
    <t>Portfolio 9002</t>
  </si>
  <si>
    <t>Portfolio 5767</t>
  </si>
  <si>
    <t>Portfolio 8244</t>
  </si>
  <si>
    <t>Portfolio 5098</t>
  </si>
  <si>
    <t>Portfolio 1578</t>
  </si>
  <si>
    <t>Portfolio 7018</t>
  </si>
  <si>
    <t>Portfolio 5775</t>
  </si>
  <si>
    <t>Portfolio 6077</t>
  </si>
  <si>
    <t>Portfolio 9305</t>
  </si>
  <si>
    <t>Portfolio 3463</t>
  </si>
  <si>
    <t>Portfolio 5423</t>
  </si>
  <si>
    <t>Portfolio 192</t>
  </si>
  <si>
    <t>Portfolio 1587</t>
  </si>
  <si>
    <t>Portfolio 2055</t>
  </si>
  <si>
    <t>Portfolio 2776</t>
  </si>
  <si>
    <t>Portfolio 6876</t>
  </si>
  <si>
    <t>Portfolio 9030</t>
  </si>
  <si>
    <t>Portfolio 883</t>
  </si>
  <si>
    <t>Portfolio 8445</t>
  </si>
  <si>
    <t>Portfolio 3186</t>
  </si>
  <si>
    <t>Portfolio 7112</t>
  </si>
  <si>
    <t>Portfolio 1104</t>
  </si>
  <si>
    <t>Portfolio 8311</t>
  </si>
  <si>
    <t>Portfolio 1346</t>
  </si>
  <si>
    <t>Portfolio 8264</t>
  </si>
  <si>
    <t>Portfolio 5648</t>
  </si>
  <si>
    <t>Portfolio 3179</t>
  </si>
  <si>
    <t>Portfolio 2401</t>
  </si>
  <si>
    <t>Portfolio 5372</t>
  </si>
  <si>
    <t>Portfolio 4295</t>
  </si>
  <si>
    <t>Portfolio 9741</t>
  </si>
  <si>
    <t>Portfolio 8762</t>
  </si>
  <si>
    <t>Portfolio 4861</t>
  </si>
  <si>
    <t>Portfolio 993</t>
  </si>
  <si>
    <t>Portfolio 7026</t>
  </si>
  <si>
    <t>Portfolio 5024</t>
  </si>
  <si>
    <t>Portfolio 6174</t>
  </si>
  <si>
    <t>Portfolio 6803</t>
  </si>
  <si>
    <t>Portfolio 9539</t>
  </si>
  <si>
    <t>Portfolio 9709</t>
  </si>
  <si>
    <t>Portfolio 3298</t>
  </si>
  <si>
    <t>Portfolio 1410</t>
  </si>
  <si>
    <t>Portfolio 9574</t>
  </si>
  <si>
    <t>Portfolio 4884</t>
  </si>
  <si>
    <t>Portfolio 4276</t>
  </si>
  <si>
    <t>Portfolio 9192</t>
  </si>
  <si>
    <t>Portfolio 7475</t>
  </si>
  <si>
    <t>Portfolio 161</t>
  </si>
  <si>
    <t>Portfolio 1869</t>
  </si>
  <si>
    <t>Portfolio 6505</t>
  </si>
  <si>
    <t>Portfolio 2434</t>
  </si>
  <si>
    <t>Portfolio 7541</t>
  </si>
  <si>
    <t>Portfolio 181</t>
  </si>
  <si>
    <t>Portfolio 7806</t>
  </si>
  <si>
    <t>Portfolio 1117</t>
  </si>
  <si>
    <t>Portfolio 9042</t>
  </si>
  <si>
    <t>Portfolio 1370</t>
  </si>
  <si>
    <t>Portfolio 9365</t>
  </si>
  <si>
    <t>Portfolio 9945</t>
  </si>
  <si>
    <t>Portfolio 4778</t>
  </si>
  <si>
    <t>Portfolio 4786</t>
  </si>
  <si>
    <t>Portfolio 1293</t>
  </si>
  <si>
    <t>Portfolio 3181</t>
  </si>
  <si>
    <t>Portfolio 5939</t>
  </si>
  <si>
    <t>Portfolio 2115</t>
  </si>
  <si>
    <t>Portfolio 3832</t>
  </si>
  <si>
    <t>Portfolio 503</t>
  </si>
  <si>
    <t>Portfolio 9829</t>
  </si>
  <si>
    <t>Portfolio 5217</t>
  </si>
  <si>
    <t>Portfolio 9516</t>
  </si>
  <si>
    <t>Portfolio 6791</t>
  </si>
  <si>
    <t>Portfolio 7723</t>
  </si>
  <si>
    <t>Portfolio 9522</t>
  </si>
  <si>
    <t>Portfolio 2541</t>
  </si>
  <si>
    <t>Portfolio 6764</t>
  </si>
  <si>
    <t>Portfolio 9155</t>
  </si>
  <si>
    <t>Portfolio 9960</t>
  </si>
  <si>
    <t>Portfolio 2215</t>
  </si>
  <si>
    <t>Portfolio 4848</t>
  </si>
  <si>
    <t>Portfolio 8282</t>
  </si>
  <si>
    <t>Portfolio 6568</t>
  </si>
  <si>
    <t>Portfolio 7695</t>
  </si>
  <si>
    <t>Portfolio 9248</t>
  </si>
  <si>
    <t>Portfolio 8018</t>
  </si>
  <si>
    <t>Portfolio 2429</t>
  </si>
  <si>
    <t>Portfolio 5736</t>
  </si>
  <si>
    <t>Portfolio 6920</t>
  </si>
  <si>
    <t>Portfolio 6206</t>
  </si>
  <si>
    <t>Portfolio 4669</t>
  </si>
  <si>
    <t>Portfolio 8638</t>
  </si>
  <si>
    <t>Portfolio 6291</t>
  </si>
  <si>
    <t>Portfolio 4550</t>
  </si>
  <si>
    <t>Portfolio 930</t>
  </si>
  <si>
    <t>Portfolio 3498</t>
  </si>
  <si>
    <t>Portfolio 3641</t>
  </si>
  <si>
    <t>Portfolio 1516</t>
  </si>
  <si>
    <t>Portfolio 612</t>
  </si>
  <si>
    <t>Portfolio 4296</t>
  </si>
  <si>
    <t>Portfolio 5268</t>
  </si>
  <si>
    <t>Portfolio 811</t>
  </si>
  <si>
    <t>Portfolio 3928</t>
  </si>
  <si>
    <t>Portfolio 4839</t>
  </si>
  <si>
    <t>Portfolio 2595</t>
  </si>
  <si>
    <t>Portfolio 5345</t>
  </si>
  <si>
    <t>Portfolio 4056</t>
  </si>
  <si>
    <t>Portfolio 2385</t>
  </si>
  <si>
    <t>Portfolio 5768</t>
  </si>
  <si>
    <t>Portfolio 2218</t>
  </si>
  <si>
    <t>Portfolio 3753</t>
  </si>
  <si>
    <t>Portfolio 2587</t>
  </si>
  <si>
    <t>Portfolio 8098</t>
  </si>
  <si>
    <t>Portfolio 5743</t>
  </si>
  <si>
    <t>Portfolio 5390</t>
  </si>
  <si>
    <t>Portfolio 3611</t>
  </si>
  <si>
    <t>Portfolio 9765</t>
  </si>
  <si>
    <t>Portfolio 7135</t>
  </si>
  <si>
    <t>Portfolio 3268</t>
  </si>
  <si>
    <t>Portfolio 9541</t>
  </si>
  <si>
    <t>Portfolio 3527</t>
  </si>
  <si>
    <t>Portfolio 1774</t>
  </si>
  <si>
    <t>Portfolio 5277</t>
  </si>
  <si>
    <t>Portfolio 5625</t>
  </si>
  <si>
    <t>Portfolio 3916</t>
  </si>
  <si>
    <t>Portfolio 9429</t>
  </si>
  <si>
    <t>Portfolio 4393</t>
  </si>
  <si>
    <t>Portfolio 2013</t>
  </si>
  <si>
    <t>Portfolio 5735</t>
  </si>
  <si>
    <t>Portfolio 3321</t>
  </si>
  <si>
    <t>Portfolio 4144</t>
  </si>
  <si>
    <t>Portfolio 7056</t>
  </si>
  <si>
    <t>Portfolio 4299</t>
  </si>
  <si>
    <t>Portfolio 1472</t>
  </si>
  <si>
    <t>Portfolio 8078</t>
  </si>
  <si>
    <t>Portfolio 9643</t>
  </si>
  <si>
    <t>Portfolio 4102</t>
  </si>
  <si>
    <t>Portfolio 1929</t>
  </si>
  <si>
    <t>Portfolio 1874</t>
  </si>
  <si>
    <t>Portfolio 1721</t>
  </si>
  <si>
    <t>Portfolio 1806</t>
  </si>
  <si>
    <t>Portfolio 3359</t>
  </si>
  <si>
    <t>Portfolio 4784</t>
  </si>
  <si>
    <t>Portfolio 2937</t>
  </si>
  <si>
    <t>Portfolio 7829</t>
  </si>
  <si>
    <t>Portfolio 9400</t>
  </si>
  <si>
    <t>Portfolio 8825</t>
  </si>
  <si>
    <t>Portfolio 283</t>
  </si>
  <si>
    <t>Portfolio 1626</t>
  </si>
  <si>
    <t>Portfolio 7947</t>
  </si>
  <si>
    <t>Portfolio 6743</t>
  </si>
  <si>
    <t>Portfolio 979</t>
  </si>
  <si>
    <t>Portfolio 8446</t>
  </si>
  <si>
    <t>Portfolio 5737</t>
  </si>
  <si>
    <t>Portfolio 9479</t>
  </si>
  <si>
    <t>Portfolio 6397</t>
  </si>
  <si>
    <t>Portfolio 7534</t>
  </si>
  <si>
    <t>Portfolio 3297</t>
  </si>
  <si>
    <t>Portfolio 4335</t>
  </si>
  <si>
    <t>Portfolio 1719</t>
  </si>
  <si>
    <t>Portfolio 351</t>
  </si>
  <si>
    <t>Portfolio 5354</t>
  </si>
  <si>
    <t>Portfolio 5974</t>
  </si>
  <si>
    <t>Portfolio 9735</t>
  </si>
  <si>
    <t>Portfolio 4301</t>
  </si>
  <si>
    <t>Portfolio 3609</t>
  </si>
  <si>
    <t>Portfolio 8279</t>
  </si>
  <si>
    <t>Portfolio 7181</t>
  </si>
  <si>
    <t>Portfolio 4774</t>
  </si>
  <si>
    <t>Portfolio 9630</t>
  </si>
  <si>
    <t>Portfolio 1923</t>
  </si>
  <si>
    <t>Portfolio 4521</t>
  </si>
  <si>
    <t>Portfolio 2625</t>
  </si>
  <si>
    <t>Portfolio 2329</t>
  </si>
  <si>
    <t>Portfolio 7421</t>
  </si>
  <si>
    <t>Portfolio 3025</t>
  </si>
  <si>
    <t>Portfolio 7251</t>
  </si>
  <si>
    <t>Portfolio 9133</t>
  </si>
  <si>
    <t>Portfolio 368</t>
  </si>
  <si>
    <t>Portfolio 5961</t>
  </si>
  <si>
    <t>Portfolio 6648</t>
  </si>
  <si>
    <t>Portfolio 2289</t>
  </si>
  <si>
    <t>Portfolio 3912</t>
  </si>
  <si>
    <t>Portfolio 8613</t>
  </si>
  <si>
    <t>Portfolio 2100</t>
  </si>
  <si>
    <t>Portfolio 4607</t>
  </si>
  <si>
    <t>Portfolio 5609</t>
  </si>
  <si>
    <t>Portfolio 3904</t>
  </si>
  <si>
    <t>Portfolio 667</t>
  </si>
  <si>
    <t>Portfolio 5650</t>
  </si>
  <si>
    <t>Portfolio 1033</t>
  </si>
  <si>
    <t>Portfolio 4064</t>
  </si>
  <si>
    <t>Portfolio 966</t>
  </si>
  <si>
    <t>Portfolio 1338</t>
  </si>
  <si>
    <t>Portfolio 1948</t>
  </si>
  <si>
    <t>Portfolio 3141</t>
  </si>
  <si>
    <t>Portfolio 2803</t>
  </si>
  <si>
    <t>Portfolio 9001</t>
  </si>
  <si>
    <t>Portfolio 3843</t>
  </si>
  <si>
    <t>Portfolio 8224</t>
  </si>
  <si>
    <t>Portfolio 642</t>
  </si>
  <si>
    <t>Portfolio 7083</t>
  </si>
  <si>
    <t>Portfolio 3252</t>
  </si>
  <si>
    <t>Portfolio 4271</t>
  </si>
  <si>
    <t>Portfolio 8165</t>
  </si>
  <si>
    <t>Portfolio 5935</t>
  </si>
  <si>
    <t>Portfolio 6949</t>
  </si>
  <si>
    <t>Portfolio 3438</t>
  </si>
  <si>
    <t>Portfolio 7324</t>
  </si>
  <si>
    <t>Portfolio 2322</t>
  </si>
  <si>
    <t>Portfolio 1028</t>
  </si>
  <si>
    <t>Portfolio 2769</t>
  </si>
  <si>
    <t>Portfolio 7501</t>
  </si>
  <si>
    <t>Portfolio 268</t>
  </si>
  <si>
    <t>Portfolio 6440</t>
  </si>
  <si>
    <t>Portfolio 7466</t>
  </si>
  <si>
    <t>Portfolio 2820</t>
  </si>
  <si>
    <t>Portfolio 6373</t>
  </si>
  <si>
    <t>Portfolio 2543</t>
  </si>
  <si>
    <t>Portfolio 3712</t>
  </si>
  <si>
    <t>Portfolio 8746</t>
  </si>
  <si>
    <t>Portfolio 8451</t>
  </si>
  <si>
    <t>Portfolio 632</t>
  </si>
  <si>
    <t>Portfolio 7193</t>
  </si>
  <si>
    <t>Portfolio 2066</t>
  </si>
  <si>
    <t>Portfolio 5475</t>
  </si>
  <si>
    <t>Portfolio 6156</t>
  </si>
  <si>
    <t>Portfolio 7511</t>
  </si>
  <si>
    <t>Portfolio 783</t>
  </si>
  <si>
    <t>Portfolio 1249</t>
  </si>
  <si>
    <t>Portfolio 6672</t>
  </si>
  <si>
    <t>Portfolio 5023</t>
  </si>
  <si>
    <t>Portfolio 8556</t>
  </si>
  <si>
    <t>Portfolio 6214</t>
  </si>
  <si>
    <t>Portfolio 208</t>
  </si>
  <si>
    <t>Portfolio 1141</t>
  </si>
  <si>
    <t>Portfolio 3874</t>
  </si>
  <si>
    <t>Portfolio 6622</t>
  </si>
  <si>
    <t>Portfolio 187</t>
  </si>
  <si>
    <t>Portfolio 8411</t>
  </si>
  <si>
    <t>Portfolio 9738</t>
  </si>
  <si>
    <t>Portfolio 5417</t>
  </si>
  <si>
    <t>Portfolio 2366</t>
  </si>
  <si>
    <t>Portfolio 1537</t>
  </si>
  <si>
    <t>Portfolio 2694</t>
  </si>
  <si>
    <t>Portfolio 7586</t>
  </si>
  <si>
    <t>Portfolio 2178</t>
  </si>
  <si>
    <t>Portfolio 7166</t>
  </si>
  <si>
    <t>Portfolio 8245</t>
  </si>
  <si>
    <t>Portfolio 6965</t>
  </si>
  <si>
    <t>Portfolio 729</t>
  </si>
  <si>
    <t>Portfolio 9875</t>
  </si>
  <si>
    <t>Portfolio 8303</t>
  </si>
  <si>
    <t>Portfolio 4414</t>
  </si>
  <si>
    <t>Portfolio 4235</t>
  </si>
  <si>
    <t>Portfolio 2484</t>
  </si>
  <si>
    <t>Portfolio 1331</t>
  </si>
  <si>
    <t>Portfolio 4588</t>
  </si>
  <si>
    <t>Portfolio 7</t>
  </si>
  <si>
    <t>Portfolio 2076</t>
  </si>
  <si>
    <t>Portfolio 8054</t>
  </si>
  <si>
    <t>Portfolio 1897</t>
  </si>
  <si>
    <t>Portfolio 4826</t>
  </si>
  <si>
    <t>Portfolio 7866</t>
  </si>
  <si>
    <t>Portfolio 8425</t>
  </si>
  <si>
    <t>Portfolio 2835</t>
  </si>
  <si>
    <t>Portfolio 4559</t>
  </si>
  <si>
    <t>Portfolio 2569</t>
  </si>
  <si>
    <t>Portfolio 3704</t>
  </si>
  <si>
    <t>Portfolio 9707</t>
  </si>
  <si>
    <t>Portfolio 5732</t>
  </si>
  <si>
    <t>Portfolio 5901</t>
  </si>
  <si>
    <t>Portfolio 9631</t>
  </si>
  <si>
    <t>Portfolio 3144</t>
  </si>
  <si>
    <t>Portfolio 4380</t>
  </si>
  <si>
    <t>Portfolio 3118</t>
  </si>
  <si>
    <t>Portfolio 8549</t>
  </si>
  <si>
    <t>Portfolio 7045</t>
  </si>
  <si>
    <t>Portfolio 1657</t>
  </si>
  <si>
    <t>Portfolio 8640</t>
  </si>
  <si>
    <t>Portfolio 5794</t>
  </si>
  <si>
    <t>Portfolio 2057</t>
  </si>
  <si>
    <t>Portfolio 1019</t>
  </si>
  <si>
    <t>Portfolio 9185</t>
  </si>
  <si>
    <t>Portfolio 5191</t>
  </si>
  <si>
    <t>Portfolio 3760</t>
  </si>
  <si>
    <t>Portfolio 1412</t>
  </si>
  <si>
    <t>Portfolio 3726</t>
  </si>
  <si>
    <t>Portfolio 4585</t>
  </si>
  <si>
    <t>Portfolio 5846</t>
  </si>
  <si>
    <t>Portfolio 4297</t>
  </si>
  <si>
    <t>Portfolio 2179</t>
  </si>
  <si>
    <t>Portfolio 1669</t>
  </si>
  <si>
    <t>Portfolio 857</t>
  </si>
  <si>
    <t>Portfolio 8703</t>
  </si>
  <si>
    <t>Portfolio 1430</t>
  </si>
  <si>
    <t>Portfolio 8502</t>
  </si>
  <si>
    <t>Portfolio 4863</t>
  </si>
  <si>
    <t>Portfolio 4989</t>
  </si>
  <si>
    <t>Portfolio 9804</t>
  </si>
  <si>
    <t>Portfolio 3699</t>
  </si>
  <si>
    <t>Portfolio 9494</t>
  </si>
  <si>
    <t>Portfolio 469</t>
  </si>
  <si>
    <t>Portfolio 7857</t>
  </si>
  <si>
    <t>Portfolio 4857</t>
  </si>
  <si>
    <t>Portfolio 6258</t>
  </si>
  <si>
    <t>Portfolio 8890</t>
  </si>
  <si>
    <t>Portfolio 1744</t>
  </si>
  <si>
    <t>Portfolio 3124</t>
  </si>
  <si>
    <t>Portfolio 10</t>
  </si>
  <si>
    <t>Portfolio 1257</t>
  </si>
  <si>
    <t>Portfolio 1805</t>
  </si>
  <si>
    <t>Portfolio 1064</t>
  </si>
  <si>
    <t>Portfolio 9072</t>
  </si>
  <si>
    <t>Portfolio 2493</t>
  </si>
  <si>
    <t>Portfolio 2901</t>
  </si>
  <si>
    <t>Portfolio 8535</t>
  </si>
  <si>
    <t>Portfolio 5142</t>
  </si>
  <si>
    <t>Portfolio 4637</t>
  </si>
  <si>
    <t>Portfolio 8346</t>
  </si>
  <si>
    <t>Portfolio 1852</t>
  </si>
  <si>
    <t>Portfolio 128</t>
  </si>
  <si>
    <t>Portfolio 3311</t>
  </si>
  <si>
    <t>Portfolio 5079</t>
  </si>
  <si>
    <t>Portfolio 7622</t>
  </si>
  <si>
    <t>Portfolio 60</t>
  </si>
  <si>
    <t>Portfolio 5676</t>
  </si>
  <si>
    <t>Portfolio 6608</t>
  </si>
  <si>
    <t>Portfolio 9613</t>
  </si>
  <si>
    <t>Portfolio 682</t>
  </si>
  <si>
    <t>Portfolio 6439</t>
  </si>
  <si>
    <t>Portfolio 9687</t>
  </si>
  <si>
    <t>Portfolio 603</t>
  </si>
  <si>
    <t>Portfolio 3082</t>
  </si>
  <si>
    <t>Portfolio 2285</t>
  </si>
  <si>
    <t>Portfolio 6259</t>
  </si>
  <si>
    <t>Portfolio 7660</t>
  </si>
  <si>
    <t>Portfolio 5298</t>
  </si>
  <si>
    <t>Portfolio 157</t>
  </si>
  <si>
    <t>Portfolio 225</t>
  </si>
  <si>
    <t>Portfolio 5924</t>
  </si>
  <si>
    <t>Portfolio 704</t>
  </si>
  <si>
    <t>Portfolio 5601</t>
  </si>
  <si>
    <t>Portfolio 8359</t>
  </si>
  <si>
    <t>Portfolio 4764</t>
  </si>
  <si>
    <t>Portfolio 7915</t>
  </si>
  <si>
    <t>Portfolio 3598</t>
  </si>
  <si>
    <t>Portfolio 952</t>
  </si>
  <si>
    <t>Portfolio 5406</t>
  </si>
  <si>
    <t>Portfolio 6734</t>
  </si>
  <si>
    <t>Portfolio 8068</t>
  </si>
  <si>
    <t>Portfolio 9664</t>
  </si>
  <si>
    <t>Portfolio 6116</t>
  </si>
  <si>
    <t>Portfolio 519</t>
  </si>
  <si>
    <t>Portfolio 7703</t>
  </si>
  <si>
    <t>Portfolio 9012</t>
  </si>
  <si>
    <t>Portfolio 4795</t>
  </si>
  <si>
    <t>Portfolio 6700</t>
  </si>
  <si>
    <t>Portfolio 1239</t>
  </si>
  <si>
    <t>Portfolio 2846</t>
  </si>
  <si>
    <t>Portfolio 8778</t>
  </si>
  <si>
    <t>Portfolio 3671</t>
  </si>
  <si>
    <t>Portfolio 1168</t>
  </si>
  <si>
    <t>Portfolio 1796</t>
  </si>
  <si>
    <t>Portfolio 9925</t>
  </si>
  <si>
    <t>Portfolio 9923</t>
  </si>
  <si>
    <t>Portfolio 2950</t>
  </si>
  <si>
    <t>Portfolio 7467</t>
  </si>
  <si>
    <t>Portfolio 3827</t>
  </si>
  <si>
    <t>Portfolio 3071</t>
  </si>
  <si>
    <t>Portfolio 1422</t>
  </si>
  <si>
    <t>Portfolio 2790</t>
  </si>
  <si>
    <t>Portfolio 4481</t>
  </si>
  <si>
    <t>Portfolio 5540</t>
  </si>
  <si>
    <t>Portfolio 4381</t>
  </si>
  <si>
    <t>Portfolio 7976</t>
  </si>
  <si>
    <t>Portfolio 742</t>
  </si>
  <si>
    <t>Portfolio 1642</t>
  </si>
  <si>
    <t>Portfolio 4567</t>
  </si>
  <si>
    <t>Portfolio 873</t>
  </si>
  <si>
    <t>Portfolio 4445</t>
  </si>
  <si>
    <t>Portfolio 8301</t>
  </si>
  <si>
    <t>Portfolio 4473</t>
  </si>
  <si>
    <t>Portfolio 8080</t>
  </si>
  <si>
    <t>Portfolio 6972</t>
  </si>
  <si>
    <t>Portfolio 9812</t>
  </si>
  <si>
    <t>Portfolio 7727</t>
  </si>
  <si>
    <t>Portfolio 6442</t>
  </si>
  <si>
    <t>Portfolio 4887</t>
  </si>
  <si>
    <t>Portfolio 3795</t>
  </si>
  <si>
    <t>Portfolio 3067</t>
  </si>
  <si>
    <t>Portfolio 5388</t>
  </si>
  <si>
    <t>Portfolio 1934</t>
  </si>
  <si>
    <t>Portfolio 5819</t>
  </si>
  <si>
    <t>Portfolio 7017</t>
  </si>
  <si>
    <t>Portfolio 4620</t>
  </si>
  <si>
    <t>Portfolio 7008</t>
  </si>
  <si>
    <t>Portfolio 6687</t>
  </si>
  <si>
    <t>Portfolio 8776</t>
  </si>
  <si>
    <t>Portfolio 6114</t>
  </si>
  <si>
    <t>Portfolio 3110</t>
  </si>
  <si>
    <t>Portfolio 1835</t>
  </si>
  <si>
    <t>Portfolio 140</t>
  </si>
  <si>
    <t>Portfolio 6934</t>
  </si>
  <si>
    <t>Portfolio 188</t>
  </si>
  <si>
    <t>Portfolio 5166</t>
  </si>
  <si>
    <t>Portfolio 2292</t>
  </si>
  <si>
    <t>Portfolio 7412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</si>
</sst>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ortfol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Markowitz simulation 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Portfolio!$R$1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Portfolio!$S$2:$S$10001</c:f>
            </c:numRef>
          </c:xVal>
          <c:yVal>
            <c:numRef>
              <c:f>Portfolio!$R$2:$R$10001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568211"/>
        <c:axId val="2076864669"/>
      </c:scatterChart>
      <c:valAx>
        <c:axId val="15985682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 Return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6864669"/>
      </c:valAx>
      <c:valAx>
        <c:axId val="20768646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Volatility (Risk)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8568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8</xdr:row>
      <xdr:rowOff>47625</xdr:rowOff>
    </xdr:from>
    <xdr:ext cx="8210550" cy="7410450"/>
    <xdr:graphicFrame>
      <xdr:nvGraphicFramePr>
        <xdr:cNvPr id="1" name="Chart 1" title="Markowitz simulation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Q1:Z10001" displayName="Table1" name="Table1" id="1">
  <tableColumns count="10">
    <tableColumn name="Portfolio" id="1"/>
    <tableColumn name="Expected Return" id="2"/>
    <tableColumn name="Volatility (Risk)" id="3"/>
    <tableColumn name="Sharpe Ratio" id="4"/>
    <tableColumn name="1 Weight" id="5"/>
    <tableColumn name="2 Weight" id="6"/>
    <tableColumn name="3 Weight" id="7"/>
    <tableColumn name="4 Weight" id="8"/>
    <tableColumn name="5 Weight" id="9"/>
    <tableColumn name="6 Weight" id="10"/>
  </tableColumns>
  <tableStyleInfo name="Portfol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E1" s="1" t="s">
        <v>1</v>
      </c>
      <c r="H1" s="1" t="s">
        <v>2</v>
      </c>
      <c r="K1" s="1" t="s">
        <v>3</v>
      </c>
      <c r="N1" s="1" t="s">
        <v>4</v>
      </c>
      <c r="Q1" s="1" t="s">
        <v>5</v>
      </c>
    </row>
    <row r="2">
      <c r="B2" s="2" t="str">
        <f>IFERROR(__xludf.DUMMYFUNCTION("GOOGLEFINANCE(""CSCO"",""Price"",DATE(2021,1,1),TODAY(),""daily"")"),"Date")</f>
        <v>Date</v>
      </c>
      <c r="C2" s="2" t="str">
        <f>IFERROR(__xludf.DUMMYFUNCTION("""COMPUTED_VALUE"""),"Close")</f>
        <v>Close</v>
      </c>
      <c r="E2" s="2" t="str">
        <f>IFERROR(__xludf.DUMMYFUNCTION("GOOGLEFINANCE(""NVA"",""Price"",DATE(2021,1,1),TODAY(),""daily"")"),"Date")</f>
        <v>Date</v>
      </c>
      <c r="F2" s="2" t="str">
        <f>IFERROR(__xludf.DUMMYFUNCTION("""COMPUTED_VALUE"""),"Close")</f>
        <v>Close</v>
      </c>
      <c r="H2" s="2" t="str">
        <f>IFERROR(__xludf.DUMMYFUNCTION("GOOGLEFINANCE(""RR"",""Price"",DATE(2021,1,1),TODAY(),""daily"")"),"Date")</f>
        <v>Date</v>
      </c>
      <c r="I2" s="2" t="str">
        <f>IFERROR(__xludf.DUMMYFUNCTION("""COMPUTED_VALUE"""),"Close")</f>
        <v>Close</v>
      </c>
      <c r="K2" s="2" t="str">
        <f>IFERROR(__xludf.DUMMYFUNCTION("GOOGLEFINANCE(""LLOY"",""Price"",DATE(2021,1,1),TODAY(),""daily"")"),"Date")</f>
        <v>Date</v>
      </c>
      <c r="L2" s="2" t="str">
        <f>IFERROR(__xludf.DUMMYFUNCTION("""COMPUTED_VALUE"""),"Close")</f>
        <v>Close</v>
      </c>
      <c r="N2" s="2" t="str">
        <f>IFERROR(__xludf.DUMMYFUNCTION("GOOGLEFINANCE(""BP"",""Price"",DATE(2021,1,1),TODAY(),""daily"")"),"Date")</f>
        <v>Date</v>
      </c>
      <c r="O2" s="2" t="str">
        <f>IFERROR(__xludf.DUMMYFUNCTION("""COMPUTED_VALUE"""),"Close")</f>
        <v>Close</v>
      </c>
      <c r="Q2" s="2" t="str">
        <f>IFERROR(__xludf.DUMMYFUNCTION("GOOGLEFINANCE(""PG"",""Price"",DATE(2021,1,1),TODAY(),""daily"")"),"Date")</f>
        <v>Date</v>
      </c>
      <c r="R2" s="2" t="str">
        <f>IFERROR(__xludf.DUMMYFUNCTION("""COMPUTED_VALUE"""),"Close")</f>
        <v>Close</v>
      </c>
    </row>
    <row r="3">
      <c r="B3" s="3">
        <f>IFERROR(__xludf.DUMMYFUNCTION("""COMPUTED_VALUE"""),44200.66666666667)</f>
        <v>44200.66667</v>
      </c>
      <c r="C3" s="2">
        <f>IFERROR(__xludf.DUMMYFUNCTION("""COMPUTED_VALUE"""),43.96)</f>
        <v>43.96</v>
      </c>
      <c r="E3" s="3">
        <f>IFERROR(__xludf.DUMMYFUNCTION("""COMPUTED_VALUE"""),45497.66666666667)</f>
        <v>45497.66667</v>
      </c>
      <c r="F3" s="2">
        <f>IFERROR(__xludf.DUMMYFUNCTION("""COMPUTED_VALUE"""),0.96)</f>
        <v>0.96</v>
      </c>
      <c r="H3" s="3">
        <f>IFERROR(__xludf.DUMMYFUNCTION("""COMPUTED_VALUE"""),45247.66666666667)</f>
        <v>45247.66667</v>
      </c>
      <c r="I3" s="2">
        <f>IFERROR(__xludf.DUMMYFUNCTION("""COMPUTED_VALUE"""),5.25)</f>
        <v>5.25</v>
      </c>
      <c r="K3" s="3">
        <f>IFERROR(__xludf.DUMMYFUNCTION("""COMPUTED_VALUE"""),44200.6875)</f>
        <v>44200.6875</v>
      </c>
      <c r="L3" s="2">
        <f>IFERROR(__xludf.DUMMYFUNCTION("""COMPUTED_VALUE"""),34.84)</f>
        <v>34.84</v>
      </c>
      <c r="N3" s="3">
        <f>IFERROR(__xludf.DUMMYFUNCTION("""COMPUTED_VALUE"""),44200.66666666667)</f>
        <v>44200.66667</v>
      </c>
      <c r="O3" s="2">
        <f>IFERROR(__xludf.DUMMYFUNCTION("""COMPUTED_VALUE"""),20.83)</f>
        <v>20.83</v>
      </c>
      <c r="Q3" s="3">
        <f>IFERROR(__xludf.DUMMYFUNCTION("""COMPUTED_VALUE"""),44200.66666666667)</f>
        <v>44200.66667</v>
      </c>
      <c r="R3" s="2">
        <f>IFERROR(__xludf.DUMMYFUNCTION("""COMPUTED_VALUE"""),137.82)</f>
        <v>137.82</v>
      </c>
    </row>
    <row r="4">
      <c r="B4" s="3">
        <f>IFERROR(__xludf.DUMMYFUNCTION("""COMPUTED_VALUE"""),44201.66666666667)</f>
        <v>44201.66667</v>
      </c>
      <c r="C4" s="2">
        <f>IFERROR(__xludf.DUMMYFUNCTION("""COMPUTED_VALUE"""),43.98)</f>
        <v>43.98</v>
      </c>
      <c r="E4" s="3">
        <f>IFERROR(__xludf.DUMMYFUNCTION("""COMPUTED_VALUE"""),45498.66666666667)</f>
        <v>45498.66667</v>
      </c>
      <c r="F4" s="2">
        <f>IFERROR(__xludf.DUMMYFUNCTION("""COMPUTED_VALUE"""),0.96)</f>
        <v>0.96</v>
      </c>
      <c r="H4" s="3">
        <f>IFERROR(__xludf.DUMMYFUNCTION("""COMPUTED_VALUE"""),45250.66666666667)</f>
        <v>45250.66667</v>
      </c>
      <c r="I4" s="2">
        <f>IFERROR(__xludf.DUMMYFUNCTION("""COMPUTED_VALUE"""),5.66)</f>
        <v>5.66</v>
      </c>
      <c r="K4" s="3">
        <f>IFERROR(__xludf.DUMMYFUNCTION("""COMPUTED_VALUE"""),44201.6875)</f>
        <v>44201.6875</v>
      </c>
      <c r="L4" s="2">
        <f>IFERROR(__xludf.DUMMYFUNCTION("""COMPUTED_VALUE"""),35.21)</f>
        <v>35.21</v>
      </c>
      <c r="N4" s="3">
        <f>IFERROR(__xludf.DUMMYFUNCTION("""COMPUTED_VALUE"""),44201.66666666667)</f>
        <v>44201.66667</v>
      </c>
      <c r="O4" s="2">
        <f>IFERROR(__xludf.DUMMYFUNCTION("""COMPUTED_VALUE"""),22.38)</f>
        <v>22.38</v>
      </c>
      <c r="Q4" s="3">
        <f>IFERROR(__xludf.DUMMYFUNCTION("""COMPUTED_VALUE"""),44201.66666666667)</f>
        <v>44201.66667</v>
      </c>
      <c r="R4" s="2">
        <f>IFERROR(__xludf.DUMMYFUNCTION("""COMPUTED_VALUE"""),138.7)</f>
        <v>138.7</v>
      </c>
    </row>
    <row r="5">
      <c r="B5" s="3">
        <f>IFERROR(__xludf.DUMMYFUNCTION("""COMPUTED_VALUE"""),44202.66666666667)</f>
        <v>44202.66667</v>
      </c>
      <c r="C5" s="2">
        <f>IFERROR(__xludf.DUMMYFUNCTION("""COMPUTED_VALUE"""),44.4)</f>
        <v>44.4</v>
      </c>
      <c r="E5" s="3">
        <f>IFERROR(__xludf.DUMMYFUNCTION("""COMPUTED_VALUE"""),45499.66666666667)</f>
        <v>45499.66667</v>
      </c>
      <c r="F5" s="2">
        <f>IFERROR(__xludf.DUMMYFUNCTION("""COMPUTED_VALUE"""),1.0)</f>
        <v>1</v>
      </c>
      <c r="H5" s="3">
        <f>IFERROR(__xludf.DUMMYFUNCTION("""COMPUTED_VALUE"""),45251.66666666667)</f>
        <v>45251.66667</v>
      </c>
      <c r="I5" s="2">
        <f>IFERROR(__xludf.DUMMYFUNCTION("""COMPUTED_VALUE"""),5.55)</f>
        <v>5.55</v>
      </c>
      <c r="K5" s="3">
        <f>IFERROR(__xludf.DUMMYFUNCTION("""COMPUTED_VALUE"""),44202.6875)</f>
        <v>44202.6875</v>
      </c>
      <c r="L5" s="2">
        <f>IFERROR(__xludf.DUMMYFUNCTION("""COMPUTED_VALUE"""),37.16)</f>
        <v>37.16</v>
      </c>
      <c r="N5" s="3">
        <f>IFERROR(__xludf.DUMMYFUNCTION("""COMPUTED_VALUE"""),44202.66666666667)</f>
        <v>44202.66667</v>
      </c>
      <c r="O5" s="2">
        <f>IFERROR(__xludf.DUMMYFUNCTION("""COMPUTED_VALUE"""),23.41)</f>
        <v>23.41</v>
      </c>
      <c r="Q5" s="3">
        <f>IFERROR(__xludf.DUMMYFUNCTION("""COMPUTED_VALUE"""),44202.66666666667)</f>
        <v>44202.66667</v>
      </c>
      <c r="R5" s="2">
        <f>IFERROR(__xludf.DUMMYFUNCTION("""COMPUTED_VALUE"""),140.16)</f>
        <v>140.16</v>
      </c>
    </row>
    <row r="6">
      <c r="B6" s="3">
        <f>IFERROR(__xludf.DUMMYFUNCTION("""COMPUTED_VALUE"""),44203.66666666667)</f>
        <v>44203.66667</v>
      </c>
      <c r="C6" s="2">
        <f>IFERROR(__xludf.DUMMYFUNCTION("""COMPUTED_VALUE"""),44.96)</f>
        <v>44.96</v>
      </c>
      <c r="E6" s="3">
        <f>IFERROR(__xludf.DUMMYFUNCTION("""COMPUTED_VALUE"""),45502.66666666667)</f>
        <v>45502.66667</v>
      </c>
      <c r="F6" s="2">
        <f>IFERROR(__xludf.DUMMYFUNCTION("""COMPUTED_VALUE"""),1.01)</f>
        <v>1.01</v>
      </c>
      <c r="H6" s="3">
        <f>IFERROR(__xludf.DUMMYFUNCTION("""COMPUTED_VALUE"""),45252.66666666667)</f>
        <v>45252.66667</v>
      </c>
      <c r="I6" s="2">
        <f>IFERROR(__xludf.DUMMYFUNCTION("""COMPUTED_VALUE"""),5.21)</f>
        <v>5.21</v>
      </c>
      <c r="K6" s="3">
        <f>IFERROR(__xludf.DUMMYFUNCTION("""COMPUTED_VALUE"""),44203.6875)</f>
        <v>44203.6875</v>
      </c>
      <c r="L6" s="2">
        <f>IFERROR(__xludf.DUMMYFUNCTION("""COMPUTED_VALUE"""),36.89)</f>
        <v>36.89</v>
      </c>
      <c r="N6" s="3">
        <f>IFERROR(__xludf.DUMMYFUNCTION("""COMPUTED_VALUE"""),44203.66666666667)</f>
        <v>44203.66667</v>
      </c>
      <c r="O6" s="2">
        <f>IFERROR(__xludf.DUMMYFUNCTION("""COMPUTED_VALUE"""),23.91)</f>
        <v>23.91</v>
      </c>
      <c r="Q6" s="3">
        <f>IFERROR(__xludf.DUMMYFUNCTION("""COMPUTED_VALUE"""),44203.66666666667)</f>
        <v>44203.66667</v>
      </c>
      <c r="R6" s="2">
        <f>IFERROR(__xludf.DUMMYFUNCTION("""COMPUTED_VALUE"""),138.85)</f>
        <v>138.85</v>
      </c>
    </row>
    <row r="7">
      <c r="B7" s="3">
        <f>IFERROR(__xludf.DUMMYFUNCTION("""COMPUTED_VALUE"""),44204.66666666667)</f>
        <v>44204.66667</v>
      </c>
      <c r="C7" s="2">
        <f>IFERROR(__xludf.DUMMYFUNCTION("""COMPUTED_VALUE"""),45.06)</f>
        <v>45.06</v>
      </c>
      <c r="E7" s="3">
        <f>IFERROR(__xludf.DUMMYFUNCTION("""COMPUTED_VALUE"""),45504.66666666667)</f>
        <v>45504.66667</v>
      </c>
      <c r="F7" s="2">
        <f>IFERROR(__xludf.DUMMYFUNCTION("""COMPUTED_VALUE"""),1.02)</f>
        <v>1.02</v>
      </c>
      <c r="H7" s="3">
        <f>IFERROR(__xludf.DUMMYFUNCTION("""COMPUTED_VALUE"""),45254.54513888889)</f>
        <v>45254.54514</v>
      </c>
      <c r="I7" s="2">
        <f>IFERROR(__xludf.DUMMYFUNCTION("""COMPUTED_VALUE"""),4.62)</f>
        <v>4.62</v>
      </c>
      <c r="K7" s="3">
        <f>IFERROR(__xludf.DUMMYFUNCTION("""COMPUTED_VALUE"""),44204.6875)</f>
        <v>44204.6875</v>
      </c>
      <c r="L7" s="2">
        <f>IFERROR(__xludf.DUMMYFUNCTION("""COMPUTED_VALUE"""),36.83)</f>
        <v>36.83</v>
      </c>
      <c r="N7" s="3">
        <f>IFERROR(__xludf.DUMMYFUNCTION("""COMPUTED_VALUE"""),44204.66666666667)</f>
        <v>44204.66667</v>
      </c>
      <c r="O7" s="2">
        <f>IFERROR(__xludf.DUMMYFUNCTION("""COMPUTED_VALUE"""),24.4)</f>
        <v>24.4</v>
      </c>
      <c r="Q7" s="3">
        <f>IFERROR(__xludf.DUMMYFUNCTION("""COMPUTED_VALUE"""),44204.66666666667)</f>
        <v>44204.66667</v>
      </c>
      <c r="R7" s="2">
        <f>IFERROR(__xludf.DUMMYFUNCTION("""COMPUTED_VALUE"""),138.79)</f>
        <v>138.79</v>
      </c>
    </row>
    <row r="8">
      <c r="B8" s="3">
        <f>IFERROR(__xludf.DUMMYFUNCTION("""COMPUTED_VALUE"""),44207.66666666667)</f>
        <v>44207.66667</v>
      </c>
      <c r="C8" s="2">
        <f>IFERROR(__xludf.DUMMYFUNCTION("""COMPUTED_VALUE"""),45.36)</f>
        <v>45.36</v>
      </c>
      <c r="E8" s="3">
        <f>IFERROR(__xludf.DUMMYFUNCTION("""COMPUTED_VALUE"""),45505.66666666667)</f>
        <v>45505.66667</v>
      </c>
      <c r="F8" s="2">
        <f>IFERROR(__xludf.DUMMYFUNCTION("""COMPUTED_VALUE"""),1.03)</f>
        <v>1.03</v>
      </c>
      <c r="H8" s="3">
        <f>IFERROR(__xludf.DUMMYFUNCTION("""COMPUTED_VALUE"""),45257.66666666667)</f>
        <v>45257.66667</v>
      </c>
      <c r="I8" s="2">
        <f>IFERROR(__xludf.DUMMYFUNCTION("""COMPUTED_VALUE"""),4.56)</f>
        <v>4.56</v>
      </c>
      <c r="K8" s="3">
        <f>IFERROR(__xludf.DUMMYFUNCTION("""COMPUTED_VALUE"""),44207.6875)</f>
        <v>44207.6875</v>
      </c>
      <c r="L8" s="2">
        <f>IFERROR(__xludf.DUMMYFUNCTION("""COMPUTED_VALUE"""),36.17)</f>
        <v>36.17</v>
      </c>
      <c r="N8" s="3">
        <f>IFERROR(__xludf.DUMMYFUNCTION("""COMPUTED_VALUE"""),44207.66666666667)</f>
        <v>44207.66667</v>
      </c>
      <c r="O8" s="2">
        <f>IFERROR(__xludf.DUMMYFUNCTION("""COMPUTED_VALUE"""),24.38)</f>
        <v>24.38</v>
      </c>
      <c r="Q8" s="3">
        <f>IFERROR(__xludf.DUMMYFUNCTION("""COMPUTED_VALUE"""),44207.66666666667)</f>
        <v>44207.66667</v>
      </c>
      <c r="R8" s="2">
        <f>IFERROR(__xludf.DUMMYFUNCTION("""COMPUTED_VALUE"""),137.85)</f>
        <v>137.85</v>
      </c>
    </row>
    <row r="9">
      <c r="B9" s="3">
        <f>IFERROR(__xludf.DUMMYFUNCTION("""COMPUTED_VALUE"""),44208.66666666667)</f>
        <v>44208.66667</v>
      </c>
      <c r="C9" s="2">
        <f>IFERROR(__xludf.DUMMYFUNCTION("""COMPUTED_VALUE"""),45.79)</f>
        <v>45.79</v>
      </c>
      <c r="E9" s="3">
        <f>IFERROR(__xludf.DUMMYFUNCTION("""COMPUTED_VALUE"""),45506.66666666667)</f>
        <v>45506.66667</v>
      </c>
      <c r="F9" s="2">
        <f>IFERROR(__xludf.DUMMYFUNCTION("""COMPUTED_VALUE"""),1.02)</f>
        <v>1.02</v>
      </c>
      <c r="H9" s="3">
        <f>IFERROR(__xludf.DUMMYFUNCTION("""COMPUTED_VALUE"""),45258.66666666667)</f>
        <v>45258.66667</v>
      </c>
      <c r="I9" s="2">
        <f>IFERROR(__xludf.DUMMYFUNCTION("""COMPUTED_VALUE"""),4.66)</f>
        <v>4.66</v>
      </c>
      <c r="K9" s="3">
        <f>IFERROR(__xludf.DUMMYFUNCTION("""COMPUTED_VALUE"""),44208.6875)</f>
        <v>44208.6875</v>
      </c>
      <c r="L9" s="2">
        <f>IFERROR(__xludf.DUMMYFUNCTION("""COMPUTED_VALUE"""),36.74)</f>
        <v>36.74</v>
      </c>
      <c r="N9" s="3">
        <f>IFERROR(__xludf.DUMMYFUNCTION("""COMPUTED_VALUE"""),44208.66666666667)</f>
        <v>44208.66667</v>
      </c>
      <c r="O9" s="2">
        <f>IFERROR(__xludf.DUMMYFUNCTION("""COMPUTED_VALUE"""),25.01)</f>
        <v>25.01</v>
      </c>
      <c r="Q9" s="3">
        <f>IFERROR(__xludf.DUMMYFUNCTION("""COMPUTED_VALUE"""),44208.66666666667)</f>
        <v>44208.66667</v>
      </c>
      <c r="R9" s="2">
        <f>IFERROR(__xludf.DUMMYFUNCTION("""COMPUTED_VALUE"""),137.05)</f>
        <v>137.05</v>
      </c>
    </row>
    <row r="10">
      <c r="B10" s="3">
        <f>IFERROR(__xludf.DUMMYFUNCTION("""COMPUTED_VALUE"""),44209.66666666667)</f>
        <v>44209.66667</v>
      </c>
      <c r="C10" s="2">
        <f>IFERROR(__xludf.DUMMYFUNCTION("""COMPUTED_VALUE"""),45.36)</f>
        <v>45.36</v>
      </c>
      <c r="E10" s="3">
        <f>IFERROR(__xludf.DUMMYFUNCTION("""COMPUTED_VALUE"""),45509.66666666667)</f>
        <v>45509.66667</v>
      </c>
      <c r="F10" s="2">
        <f>IFERROR(__xludf.DUMMYFUNCTION("""COMPUTED_VALUE"""),0.99)</f>
        <v>0.99</v>
      </c>
      <c r="H10" s="3">
        <f>IFERROR(__xludf.DUMMYFUNCTION("""COMPUTED_VALUE"""),45259.66666666667)</f>
        <v>45259.66667</v>
      </c>
      <c r="I10" s="2">
        <f>IFERROR(__xludf.DUMMYFUNCTION("""COMPUTED_VALUE"""),4.19)</f>
        <v>4.19</v>
      </c>
      <c r="K10" s="3">
        <f>IFERROR(__xludf.DUMMYFUNCTION("""COMPUTED_VALUE"""),44209.6875)</f>
        <v>44209.6875</v>
      </c>
      <c r="L10" s="2">
        <f>IFERROR(__xludf.DUMMYFUNCTION("""COMPUTED_VALUE"""),36.24)</f>
        <v>36.24</v>
      </c>
      <c r="N10" s="3">
        <f>IFERROR(__xludf.DUMMYFUNCTION("""COMPUTED_VALUE"""),44209.66666666667)</f>
        <v>44209.66667</v>
      </c>
      <c r="O10" s="2">
        <f>IFERROR(__xludf.DUMMYFUNCTION("""COMPUTED_VALUE"""),24.78)</f>
        <v>24.78</v>
      </c>
      <c r="Q10" s="3">
        <f>IFERROR(__xludf.DUMMYFUNCTION("""COMPUTED_VALUE"""),44209.66666666667)</f>
        <v>44209.66667</v>
      </c>
      <c r="R10" s="2">
        <f>IFERROR(__xludf.DUMMYFUNCTION("""COMPUTED_VALUE"""),137.26)</f>
        <v>137.26</v>
      </c>
    </row>
    <row r="11">
      <c r="B11" s="3">
        <f>IFERROR(__xludf.DUMMYFUNCTION("""COMPUTED_VALUE"""),44210.66666666667)</f>
        <v>44210.66667</v>
      </c>
      <c r="C11" s="2">
        <f>IFERROR(__xludf.DUMMYFUNCTION("""COMPUTED_VALUE"""),45.15)</f>
        <v>45.15</v>
      </c>
      <c r="E11" s="3">
        <f>IFERROR(__xludf.DUMMYFUNCTION("""COMPUTED_VALUE"""),45510.66666666667)</f>
        <v>45510.66667</v>
      </c>
      <c r="F11" s="2">
        <f>IFERROR(__xludf.DUMMYFUNCTION("""COMPUTED_VALUE"""),0.99)</f>
        <v>0.99</v>
      </c>
      <c r="H11" s="3">
        <f>IFERROR(__xludf.DUMMYFUNCTION("""COMPUTED_VALUE"""),45260.66666666667)</f>
        <v>45260.66667</v>
      </c>
      <c r="I11" s="2">
        <f>IFERROR(__xludf.DUMMYFUNCTION("""COMPUTED_VALUE"""),4.27)</f>
        <v>4.27</v>
      </c>
      <c r="K11" s="3">
        <f>IFERROR(__xludf.DUMMYFUNCTION("""COMPUTED_VALUE"""),44210.6875)</f>
        <v>44210.6875</v>
      </c>
      <c r="L11" s="2">
        <f>IFERROR(__xludf.DUMMYFUNCTION("""COMPUTED_VALUE"""),36.46)</f>
        <v>36.46</v>
      </c>
      <c r="N11" s="3">
        <f>IFERROR(__xludf.DUMMYFUNCTION("""COMPUTED_VALUE"""),44210.66666666667)</f>
        <v>44210.66667</v>
      </c>
      <c r="O11" s="2">
        <f>IFERROR(__xludf.DUMMYFUNCTION("""COMPUTED_VALUE"""),25.47)</f>
        <v>25.47</v>
      </c>
      <c r="Q11" s="3">
        <f>IFERROR(__xludf.DUMMYFUNCTION("""COMPUTED_VALUE"""),44210.66666666667)</f>
        <v>44210.66667</v>
      </c>
      <c r="R11" s="2">
        <f>IFERROR(__xludf.DUMMYFUNCTION("""COMPUTED_VALUE"""),135.8)</f>
        <v>135.8</v>
      </c>
    </row>
    <row r="12">
      <c r="B12" s="3">
        <f>IFERROR(__xludf.DUMMYFUNCTION("""COMPUTED_VALUE"""),44211.66666666667)</f>
        <v>44211.66667</v>
      </c>
      <c r="C12" s="2">
        <f>IFERROR(__xludf.DUMMYFUNCTION("""COMPUTED_VALUE"""),45.43)</f>
        <v>45.43</v>
      </c>
      <c r="E12" s="3">
        <f>IFERROR(__xludf.DUMMYFUNCTION("""COMPUTED_VALUE"""),45511.66666666667)</f>
        <v>45511.66667</v>
      </c>
      <c r="F12" s="2">
        <f>IFERROR(__xludf.DUMMYFUNCTION("""COMPUTED_VALUE"""),1.01)</f>
        <v>1.01</v>
      </c>
      <c r="H12" s="3">
        <f>IFERROR(__xludf.DUMMYFUNCTION("""COMPUTED_VALUE"""),45261.66666666667)</f>
        <v>45261.66667</v>
      </c>
      <c r="I12" s="2">
        <f>IFERROR(__xludf.DUMMYFUNCTION("""COMPUTED_VALUE"""),4.48)</f>
        <v>4.48</v>
      </c>
      <c r="K12" s="3">
        <f>IFERROR(__xludf.DUMMYFUNCTION("""COMPUTED_VALUE"""),44211.6875)</f>
        <v>44211.6875</v>
      </c>
      <c r="L12" s="2">
        <f>IFERROR(__xludf.DUMMYFUNCTION("""COMPUTED_VALUE"""),35.94)</f>
        <v>35.94</v>
      </c>
      <c r="N12" s="3">
        <f>IFERROR(__xludf.DUMMYFUNCTION("""COMPUTED_VALUE"""),44211.66666666667)</f>
        <v>44211.66667</v>
      </c>
      <c r="O12" s="2">
        <f>IFERROR(__xludf.DUMMYFUNCTION("""COMPUTED_VALUE"""),24.26)</f>
        <v>24.26</v>
      </c>
      <c r="Q12" s="3">
        <f>IFERROR(__xludf.DUMMYFUNCTION("""COMPUTED_VALUE"""),44211.66666666667)</f>
        <v>44211.66667</v>
      </c>
      <c r="R12" s="2">
        <f>IFERROR(__xludf.DUMMYFUNCTION("""COMPUTED_VALUE"""),134.78)</f>
        <v>134.78</v>
      </c>
    </row>
    <row r="13">
      <c r="B13" s="3">
        <f>IFERROR(__xludf.DUMMYFUNCTION("""COMPUTED_VALUE"""),44215.66666666667)</f>
        <v>44215.66667</v>
      </c>
      <c r="C13" s="2">
        <f>IFERROR(__xludf.DUMMYFUNCTION("""COMPUTED_VALUE"""),45.19)</f>
        <v>45.19</v>
      </c>
      <c r="E13" s="3">
        <f>IFERROR(__xludf.DUMMYFUNCTION("""COMPUTED_VALUE"""),45512.66666666667)</f>
        <v>45512.66667</v>
      </c>
      <c r="F13" s="2">
        <f>IFERROR(__xludf.DUMMYFUNCTION("""COMPUTED_VALUE"""),1.01)</f>
        <v>1.01</v>
      </c>
      <c r="H13" s="3">
        <f>IFERROR(__xludf.DUMMYFUNCTION("""COMPUTED_VALUE"""),45264.66666666667)</f>
        <v>45264.66667</v>
      </c>
      <c r="I13" s="2">
        <f>IFERROR(__xludf.DUMMYFUNCTION("""COMPUTED_VALUE"""),5.03)</f>
        <v>5.03</v>
      </c>
      <c r="K13" s="3">
        <f>IFERROR(__xludf.DUMMYFUNCTION("""COMPUTED_VALUE"""),44214.6875)</f>
        <v>44214.6875</v>
      </c>
      <c r="L13" s="2">
        <f>IFERROR(__xludf.DUMMYFUNCTION("""COMPUTED_VALUE"""),36.17)</f>
        <v>36.17</v>
      </c>
      <c r="N13" s="3">
        <f>IFERROR(__xludf.DUMMYFUNCTION("""COMPUTED_VALUE"""),44215.66666666667)</f>
        <v>44215.66667</v>
      </c>
      <c r="O13" s="2">
        <f>IFERROR(__xludf.DUMMYFUNCTION("""COMPUTED_VALUE"""),24.65)</f>
        <v>24.65</v>
      </c>
      <c r="Q13" s="3">
        <f>IFERROR(__xludf.DUMMYFUNCTION("""COMPUTED_VALUE"""),44215.66666666667)</f>
        <v>44215.66667</v>
      </c>
      <c r="R13" s="2">
        <f>IFERROR(__xludf.DUMMYFUNCTION("""COMPUTED_VALUE"""),133.6)</f>
        <v>133.6</v>
      </c>
    </row>
    <row r="14">
      <c r="B14" s="3">
        <f>IFERROR(__xludf.DUMMYFUNCTION("""COMPUTED_VALUE"""),44216.66666666667)</f>
        <v>44216.66667</v>
      </c>
      <c r="C14" s="2">
        <f>IFERROR(__xludf.DUMMYFUNCTION("""COMPUTED_VALUE"""),45.34)</f>
        <v>45.34</v>
      </c>
      <c r="E14" s="3">
        <f>IFERROR(__xludf.DUMMYFUNCTION("""COMPUTED_VALUE"""),45513.66666666667)</f>
        <v>45513.66667</v>
      </c>
      <c r="F14" s="2">
        <f>IFERROR(__xludf.DUMMYFUNCTION("""COMPUTED_VALUE"""),1.14)</f>
        <v>1.14</v>
      </c>
      <c r="H14" s="3">
        <f>IFERROR(__xludf.DUMMYFUNCTION("""COMPUTED_VALUE"""),45265.66666666667)</f>
        <v>45265.66667</v>
      </c>
      <c r="I14" s="2">
        <f>IFERROR(__xludf.DUMMYFUNCTION("""COMPUTED_VALUE"""),4.97)</f>
        <v>4.97</v>
      </c>
      <c r="K14" s="3">
        <f>IFERROR(__xludf.DUMMYFUNCTION("""COMPUTED_VALUE"""),44215.6875)</f>
        <v>44215.6875</v>
      </c>
      <c r="L14" s="2">
        <f>IFERROR(__xludf.DUMMYFUNCTION("""COMPUTED_VALUE"""),36.0)</f>
        <v>36</v>
      </c>
      <c r="N14" s="3">
        <f>IFERROR(__xludf.DUMMYFUNCTION("""COMPUTED_VALUE"""),44216.66666666667)</f>
        <v>44216.66667</v>
      </c>
      <c r="O14" s="2">
        <f>IFERROR(__xludf.DUMMYFUNCTION("""COMPUTED_VALUE"""),24.81)</f>
        <v>24.81</v>
      </c>
      <c r="Q14" s="3">
        <f>IFERROR(__xludf.DUMMYFUNCTION("""COMPUTED_VALUE"""),44216.66666666667)</f>
        <v>44216.66667</v>
      </c>
      <c r="R14" s="2">
        <f>IFERROR(__xludf.DUMMYFUNCTION("""COMPUTED_VALUE"""),131.93)</f>
        <v>131.93</v>
      </c>
    </row>
    <row r="15">
      <c r="B15" s="3">
        <f>IFERROR(__xludf.DUMMYFUNCTION("""COMPUTED_VALUE"""),44217.66666666667)</f>
        <v>44217.66667</v>
      </c>
      <c r="C15" s="2">
        <f>IFERROR(__xludf.DUMMYFUNCTION("""COMPUTED_VALUE"""),45.11)</f>
        <v>45.11</v>
      </c>
      <c r="E15" s="3">
        <f>IFERROR(__xludf.DUMMYFUNCTION("""COMPUTED_VALUE"""),45516.66666666667)</f>
        <v>45516.66667</v>
      </c>
      <c r="F15" s="2">
        <f>IFERROR(__xludf.DUMMYFUNCTION("""COMPUTED_VALUE"""),1.15)</f>
        <v>1.15</v>
      </c>
      <c r="H15" s="3">
        <f>IFERROR(__xludf.DUMMYFUNCTION("""COMPUTED_VALUE"""),45266.66666666667)</f>
        <v>45266.66667</v>
      </c>
      <c r="I15" s="2">
        <f>IFERROR(__xludf.DUMMYFUNCTION("""COMPUTED_VALUE"""),5.09)</f>
        <v>5.09</v>
      </c>
      <c r="K15" s="3">
        <f>IFERROR(__xludf.DUMMYFUNCTION("""COMPUTED_VALUE"""),44216.6875)</f>
        <v>44216.6875</v>
      </c>
      <c r="L15" s="2">
        <f>IFERROR(__xludf.DUMMYFUNCTION("""COMPUTED_VALUE"""),35.78)</f>
        <v>35.78</v>
      </c>
      <c r="N15" s="3">
        <f>IFERROR(__xludf.DUMMYFUNCTION("""COMPUTED_VALUE"""),44217.66666666667)</f>
        <v>44217.66667</v>
      </c>
      <c r="O15" s="2">
        <f>IFERROR(__xludf.DUMMYFUNCTION("""COMPUTED_VALUE"""),24.02)</f>
        <v>24.02</v>
      </c>
      <c r="Q15" s="3">
        <f>IFERROR(__xludf.DUMMYFUNCTION("""COMPUTED_VALUE"""),44217.66666666667)</f>
        <v>44217.66667</v>
      </c>
      <c r="R15" s="2">
        <f>IFERROR(__xludf.DUMMYFUNCTION("""COMPUTED_VALUE"""),131.01)</f>
        <v>131.01</v>
      </c>
    </row>
    <row r="16">
      <c r="B16" s="3">
        <f>IFERROR(__xludf.DUMMYFUNCTION("""COMPUTED_VALUE"""),44218.66666666667)</f>
        <v>44218.66667</v>
      </c>
      <c r="C16" s="2">
        <f>IFERROR(__xludf.DUMMYFUNCTION("""COMPUTED_VALUE"""),44.77)</f>
        <v>44.77</v>
      </c>
      <c r="E16" s="3">
        <f>IFERROR(__xludf.DUMMYFUNCTION("""COMPUTED_VALUE"""),45517.66666666667)</f>
        <v>45517.66667</v>
      </c>
      <c r="F16" s="2">
        <f>IFERROR(__xludf.DUMMYFUNCTION("""COMPUTED_VALUE"""),1.0)</f>
        <v>1</v>
      </c>
      <c r="H16" s="3">
        <f>IFERROR(__xludf.DUMMYFUNCTION("""COMPUTED_VALUE"""),45267.66666666667)</f>
        <v>45267.66667</v>
      </c>
      <c r="I16" s="2">
        <f>IFERROR(__xludf.DUMMYFUNCTION("""COMPUTED_VALUE"""),5.11)</f>
        <v>5.11</v>
      </c>
      <c r="K16" s="3">
        <f>IFERROR(__xludf.DUMMYFUNCTION("""COMPUTED_VALUE"""),44217.6875)</f>
        <v>44217.6875</v>
      </c>
      <c r="L16" s="2">
        <f>IFERROR(__xludf.DUMMYFUNCTION("""COMPUTED_VALUE"""),35.32)</f>
        <v>35.32</v>
      </c>
      <c r="N16" s="3">
        <f>IFERROR(__xludf.DUMMYFUNCTION("""COMPUTED_VALUE"""),44218.66666666667)</f>
        <v>44218.66667</v>
      </c>
      <c r="O16" s="2">
        <f>IFERROR(__xludf.DUMMYFUNCTION("""COMPUTED_VALUE"""),23.87)</f>
        <v>23.87</v>
      </c>
      <c r="Q16" s="3">
        <f>IFERROR(__xludf.DUMMYFUNCTION("""COMPUTED_VALUE"""),44218.66666666667)</f>
        <v>44218.66667</v>
      </c>
      <c r="R16" s="2">
        <f>IFERROR(__xludf.DUMMYFUNCTION("""COMPUTED_VALUE"""),130.0)</f>
        <v>130</v>
      </c>
    </row>
    <row r="17">
      <c r="B17" s="3">
        <f>IFERROR(__xludf.DUMMYFUNCTION("""COMPUTED_VALUE"""),44221.66666666667)</f>
        <v>44221.66667</v>
      </c>
      <c r="C17" s="2">
        <f>IFERROR(__xludf.DUMMYFUNCTION("""COMPUTED_VALUE"""),45.03)</f>
        <v>45.03</v>
      </c>
      <c r="E17" s="3">
        <f>IFERROR(__xludf.DUMMYFUNCTION("""COMPUTED_VALUE"""),45518.66666666667)</f>
        <v>45518.66667</v>
      </c>
      <c r="F17" s="2">
        <f>IFERROR(__xludf.DUMMYFUNCTION("""COMPUTED_VALUE"""),0.97)</f>
        <v>0.97</v>
      </c>
      <c r="H17" s="3">
        <f>IFERROR(__xludf.DUMMYFUNCTION("""COMPUTED_VALUE"""),45268.66666666667)</f>
        <v>45268.66667</v>
      </c>
      <c r="I17" s="2">
        <f>IFERROR(__xludf.DUMMYFUNCTION("""COMPUTED_VALUE"""),5.01)</f>
        <v>5.01</v>
      </c>
      <c r="K17" s="3">
        <f>IFERROR(__xludf.DUMMYFUNCTION("""COMPUTED_VALUE"""),44218.6875)</f>
        <v>44218.6875</v>
      </c>
      <c r="L17" s="2">
        <f>IFERROR(__xludf.DUMMYFUNCTION("""COMPUTED_VALUE"""),34.77)</f>
        <v>34.77</v>
      </c>
      <c r="N17" s="3">
        <f>IFERROR(__xludf.DUMMYFUNCTION("""COMPUTED_VALUE"""),44221.66666666667)</f>
        <v>44221.66667</v>
      </c>
      <c r="O17" s="2">
        <f>IFERROR(__xludf.DUMMYFUNCTION("""COMPUTED_VALUE"""),23.07)</f>
        <v>23.07</v>
      </c>
      <c r="Q17" s="3">
        <f>IFERROR(__xludf.DUMMYFUNCTION("""COMPUTED_VALUE"""),44221.66666666667)</f>
        <v>44221.66667</v>
      </c>
      <c r="R17" s="2">
        <f>IFERROR(__xludf.DUMMYFUNCTION("""COMPUTED_VALUE"""),132.24)</f>
        <v>132.24</v>
      </c>
    </row>
    <row r="18">
      <c r="B18" s="3">
        <f>IFERROR(__xludf.DUMMYFUNCTION("""COMPUTED_VALUE"""),44222.66666666667)</f>
        <v>44222.66667</v>
      </c>
      <c r="C18" s="2">
        <f>IFERROR(__xludf.DUMMYFUNCTION("""COMPUTED_VALUE"""),45.26)</f>
        <v>45.26</v>
      </c>
      <c r="E18" s="3">
        <f>IFERROR(__xludf.DUMMYFUNCTION("""COMPUTED_VALUE"""),45519.66666666667)</f>
        <v>45519.66667</v>
      </c>
      <c r="F18" s="2">
        <f>IFERROR(__xludf.DUMMYFUNCTION("""COMPUTED_VALUE"""),0.94)</f>
        <v>0.94</v>
      </c>
      <c r="H18" s="3">
        <f>IFERROR(__xludf.DUMMYFUNCTION("""COMPUTED_VALUE"""),45271.66666666667)</f>
        <v>45271.66667</v>
      </c>
      <c r="I18" s="2">
        <f>IFERROR(__xludf.DUMMYFUNCTION("""COMPUTED_VALUE"""),4.98)</f>
        <v>4.98</v>
      </c>
      <c r="K18" s="3">
        <f>IFERROR(__xludf.DUMMYFUNCTION("""COMPUTED_VALUE"""),44221.6875)</f>
        <v>44221.6875</v>
      </c>
      <c r="L18" s="2">
        <f>IFERROR(__xludf.DUMMYFUNCTION("""COMPUTED_VALUE"""),33.84)</f>
        <v>33.84</v>
      </c>
      <c r="N18" s="3">
        <f>IFERROR(__xludf.DUMMYFUNCTION("""COMPUTED_VALUE"""),44222.66666666667)</f>
        <v>44222.66667</v>
      </c>
      <c r="O18" s="2">
        <f>IFERROR(__xludf.DUMMYFUNCTION("""COMPUTED_VALUE"""),23.03)</f>
        <v>23.03</v>
      </c>
      <c r="Q18" s="3">
        <f>IFERROR(__xludf.DUMMYFUNCTION("""COMPUTED_VALUE"""),44222.66666666667)</f>
        <v>44222.66667</v>
      </c>
      <c r="R18" s="2">
        <f>IFERROR(__xludf.DUMMYFUNCTION("""COMPUTED_VALUE"""),133.09)</f>
        <v>133.09</v>
      </c>
    </row>
    <row r="19">
      <c r="B19" s="3">
        <f>IFERROR(__xludf.DUMMYFUNCTION("""COMPUTED_VALUE"""),44223.66666666667)</f>
        <v>44223.66667</v>
      </c>
      <c r="C19" s="2">
        <f>IFERROR(__xludf.DUMMYFUNCTION("""COMPUTED_VALUE"""),45.7)</f>
        <v>45.7</v>
      </c>
      <c r="E19" s="3">
        <f>IFERROR(__xludf.DUMMYFUNCTION("""COMPUTED_VALUE"""),45520.66666666667)</f>
        <v>45520.66667</v>
      </c>
      <c r="F19" s="2">
        <f>IFERROR(__xludf.DUMMYFUNCTION("""COMPUTED_VALUE"""),1.07)</f>
        <v>1.07</v>
      </c>
      <c r="H19" s="3">
        <f>IFERROR(__xludf.DUMMYFUNCTION("""COMPUTED_VALUE"""),45272.66666666667)</f>
        <v>45272.66667</v>
      </c>
      <c r="I19" s="2">
        <f>IFERROR(__xludf.DUMMYFUNCTION("""COMPUTED_VALUE"""),4.78)</f>
        <v>4.78</v>
      </c>
      <c r="K19" s="3">
        <f>IFERROR(__xludf.DUMMYFUNCTION("""COMPUTED_VALUE"""),44222.6875)</f>
        <v>44222.6875</v>
      </c>
      <c r="L19" s="2">
        <f>IFERROR(__xludf.DUMMYFUNCTION("""COMPUTED_VALUE"""),34.41)</f>
        <v>34.41</v>
      </c>
      <c r="N19" s="3">
        <f>IFERROR(__xludf.DUMMYFUNCTION("""COMPUTED_VALUE"""),44223.66666666667)</f>
        <v>44223.66667</v>
      </c>
      <c r="O19" s="2">
        <f>IFERROR(__xludf.DUMMYFUNCTION("""COMPUTED_VALUE"""),22.73)</f>
        <v>22.73</v>
      </c>
      <c r="Q19" s="3">
        <f>IFERROR(__xludf.DUMMYFUNCTION("""COMPUTED_VALUE"""),44223.66666666667)</f>
        <v>44223.66667</v>
      </c>
      <c r="R19" s="2">
        <f>IFERROR(__xludf.DUMMYFUNCTION("""COMPUTED_VALUE"""),128.38)</f>
        <v>128.38</v>
      </c>
    </row>
    <row r="20">
      <c r="B20" s="3">
        <f>IFERROR(__xludf.DUMMYFUNCTION("""COMPUTED_VALUE"""),44224.66666666667)</f>
        <v>44224.66667</v>
      </c>
      <c r="C20" s="2">
        <f>IFERROR(__xludf.DUMMYFUNCTION("""COMPUTED_VALUE"""),45.34)</f>
        <v>45.34</v>
      </c>
      <c r="E20" s="3">
        <f>IFERROR(__xludf.DUMMYFUNCTION("""COMPUTED_VALUE"""),45523.66666666667)</f>
        <v>45523.66667</v>
      </c>
      <c r="F20" s="2">
        <f>IFERROR(__xludf.DUMMYFUNCTION("""COMPUTED_VALUE"""),1.17)</f>
        <v>1.17</v>
      </c>
      <c r="H20" s="3">
        <f>IFERROR(__xludf.DUMMYFUNCTION("""COMPUTED_VALUE"""),45273.66666666667)</f>
        <v>45273.66667</v>
      </c>
      <c r="I20" s="2">
        <f>IFERROR(__xludf.DUMMYFUNCTION("""COMPUTED_VALUE"""),4.8)</f>
        <v>4.8</v>
      </c>
      <c r="K20" s="3">
        <f>IFERROR(__xludf.DUMMYFUNCTION("""COMPUTED_VALUE"""),44223.6875)</f>
        <v>44223.6875</v>
      </c>
      <c r="L20" s="2">
        <f>IFERROR(__xludf.DUMMYFUNCTION("""COMPUTED_VALUE"""),33.25)</f>
        <v>33.25</v>
      </c>
      <c r="N20" s="3">
        <f>IFERROR(__xludf.DUMMYFUNCTION("""COMPUTED_VALUE"""),44224.66666666667)</f>
        <v>44224.66667</v>
      </c>
      <c r="O20" s="2">
        <f>IFERROR(__xludf.DUMMYFUNCTION("""COMPUTED_VALUE"""),22.86)</f>
        <v>22.86</v>
      </c>
      <c r="Q20" s="3">
        <f>IFERROR(__xludf.DUMMYFUNCTION("""COMPUTED_VALUE"""),44224.66666666667)</f>
        <v>44224.66667</v>
      </c>
      <c r="R20" s="2">
        <f>IFERROR(__xludf.DUMMYFUNCTION("""COMPUTED_VALUE"""),130.36)</f>
        <v>130.36</v>
      </c>
    </row>
    <row r="21">
      <c r="B21" s="3">
        <f>IFERROR(__xludf.DUMMYFUNCTION("""COMPUTED_VALUE"""),44225.66666666667)</f>
        <v>44225.66667</v>
      </c>
      <c r="C21" s="2">
        <f>IFERROR(__xludf.DUMMYFUNCTION("""COMPUTED_VALUE"""),44.58)</f>
        <v>44.58</v>
      </c>
      <c r="E21" s="3">
        <f>IFERROR(__xludf.DUMMYFUNCTION("""COMPUTED_VALUE"""),45524.66666666667)</f>
        <v>45524.66667</v>
      </c>
      <c r="F21" s="2">
        <f>IFERROR(__xludf.DUMMYFUNCTION("""COMPUTED_VALUE"""),1.17)</f>
        <v>1.17</v>
      </c>
      <c r="H21" s="3">
        <f>IFERROR(__xludf.DUMMYFUNCTION("""COMPUTED_VALUE"""),45274.66666666667)</f>
        <v>45274.66667</v>
      </c>
      <c r="I21" s="2">
        <f>IFERROR(__xludf.DUMMYFUNCTION("""COMPUTED_VALUE"""),4.73)</f>
        <v>4.73</v>
      </c>
      <c r="K21" s="3">
        <f>IFERROR(__xludf.DUMMYFUNCTION("""COMPUTED_VALUE"""),44224.6875)</f>
        <v>44224.6875</v>
      </c>
      <c r="L21" s="2">
        <f>IFERROR(__xludf.DUMMYFUNCTION("""COMPUTED_VALUE"""),33.47)</f>
        <v>33.47</v>
      </c>
      <c r="N21" s="3">
        <f>IFERROR(__xludf.DUMMYFUNCTION("""COMPUTED_VALUE"""),44225.66666666667)</f>
        <v>44225.66667</v>
      </c>
      <c r="O21" s="2">
        <f>IFERROR(__xludf.DUMMYFUNCTION("""COMPUTED_VALUE"""),22.22)</f>
        <v>22.22</v>
      </c>
      <c r="Q21" s="3">
        <f>IFERROR(__xludf.DUMMYFUNCTION("""COMPUTED_VALUE"""),44225.66666666667)</f>
        <v>44225.66667</v>
      </c>
      <c r="R21" s="2">
        <f>IFERROR(__xludf.DUMMYFUNCTION("""COMPUTED_VALUE"""),128.21)</f>
        <v>128.21</v>
      </c>
    </row>
    <row r="22">
      <c r="B22" s="3">
        <f>IFERROR(__xludf.DUMMYFUNCTION("""COMPUTED_VALUE"""),44228.66666666667)</f>
        <v>44228.66667</v>
      </c>
      <c r="C22" s="2">
        <f>IFERROR(__xludf.DUMMYFUNCTION("""COMPUTED_VALUE"""),45.4)</f>
        <v>45.4</v>
      </c>
      <c r="E22" s="3">
        <f>IFERROR(__xludf.DUMMYFUNCTION("""COMPUTED_VALUE"""),45525.66666666667)</f>
        <v>45525.66667</v>
      </c>
      <c r="F22" s="2">
        <f>IFERROR(__xludf.DUMMYFUNCTION("""COMPUTED_VALUE"""),1.18)</f>
        <v>1.18</v>
      </c>
      <c r="H22" s="3">
        <f>IFERROR(__xludf.DUMMYFUNCTION("""COMPUTED_VALUE"""),45275.66666666667)</f>
        <v>45275.66667</v>
      </c>
      <c r="I22" s="2">
        <f>IFERROR(__xludf.DUMMYFUNCTION("""COMPUTED_VALUE"""),4.71)</f>
        <v>4.71</v>
      </c>
      <c r="K22" s="3">
        <f>IFERROR(__xludf.DUMMYFUNCTION("""COMPUTED_VALUE"""),44225.6875)</f>
        <v>44225.6875</v>
      </c>
      <c r="L22" s="2">
        <f>IFERROR(__xludf.DUMMYFUNCTION("""COMPUTED_VALUE"""),33.0)</f>
        <v>33</v>
      </c>
      <c r="N22" s="3">
        <f>IFERROR(__xludf.DUMMYFUNCTION("""COMPUTED_VALUE"""),44228.66666666667)</f>
        <v>44228.66667</v>
      </c>
      <c r="O22" s="2">
        <f>IFERROR(__xludf.DUMMYFUNCTION("""COMPUTED_VALUE"""),22.21)</f>
        <v>22.21</v>
      </c>
      <c r="Q22" s="3">
        <f>IFERROR(__xludf.DUMMYFUNCTION("""COMPUTED_VALUE"""),44228.66666666667)</f>
        <v>44228.66667</v>
      </c>
      <c r="R22" s="2">
        <f>IFERROR(__xludf.DUMMYFUNCTION("""COMPUTED_VALUE"""),128.97)</f>
        <v>128.97</v>
      </c>
    </row>
    <row r="23">
      <c r="B23" s="3">
        <f>IFERROR(__xludf.DUMMYFUNCTION("""COMPUTED_VALUE"""),44229.66666666667)</f>
        <v>44229.66667</v>
      </c>
      <c r="C23" s="2">
        <f>IFERROR(__xludf.DUMMYFUNCTION("""COMPUTED_VALUE"""),45.83)</f>
        <v>45.83</v>
      </c>
      <c r="E23" s="3">
        <f>IFERROR(__xludf.DUMMYFUNCTION("""COMPUTED_VALUE"""),45526.66666666667)</f>
        <v>45526.66667</v>
      </c>
      <c r="F23" s="2">
        <f>IFERROR(__xludf.DUMMYFUNCTION("""COMPUTED_VALUE"""),1.18)</f>
        <v>1.18</v>
      </c>
      <c r="H23" s="3">
        <f>IFERROR(__xludf.DUMMYFUNCTION("""COMPUTED_VALUE"""),45278.66666666667)</f>
        <v>45278.66667</v>
      </c>
      <c r="I23" s="2">
        <f>IFERROR(__xludf.DUMMYFUNCTION("""COMPUTED_VALUE"""),4.8)</f>
        <v>4.8</v>
      </c>
      <c r="K23" s="3">
        <f>IFERROR(__xludf.DUMMYFUNCTION("""COMPUTED_VALUE"""),44228.6875)</f>
        <v>44228.6875</v>
      </c>
      <c r="L23" s="2">
        <f>IFERROR(__xludf.DUMMYFUNCTION("""COMPUTED_VALUE"""),33.53)</f>
        <v>33.53</v>
      </c>
      <c r="N23" s="3">
        <f>IFERROR(__xludf.DUMMYFUNCTION("""COMPUTED_VALUE"""),44229.66666666667)</f>
        <v>44229.66667</v>
      </c>
      <c r="O23" s="2">
        <f>IFERROR(__xludf.DUMMYFUNCTION("""COMPUTED_VALUE"""),20.75)</f>
        <v>20.75</v>
      </c>
      <c r="Q23" s="3">
        <f>IFERROR(__xludf.DUMMYFUNCTION("""COMPUTED_VALUE"""),44229.66666666667)</f>
        <v>44229.66667</v>
      </c>
      <c r="R23" s="2">
        <f>IFERROR(__xludf.DUMMYFUNCTION("""COMPUTED_VALUE"""),128.79)</f>
        <v>128.79</v>
      </c>
    </row>
    <row r="24">
      <c r="B24" s="3">
        <f>IFERROR(__xludf.DUMMYFUNCTION("""COMPUTED_VALUE"""),44230.66666666667)</f>
        <v>44230.66667</v>
      </c>
      <c r="C24" s="2">
        <f>IFERROR(__xludf.DUMMYFUNCTION("""COMPUTED_VALUE"""),45.77)</f>
        <v>45.77</v>
      </c>
      <c r="E24" s="3">
        <f>IFERROR(__xludf.DUMMYFUNCTION("""COMPUTED_VALUE"""),45527.66666666667)</f>
        <v>45527.66667</v>
      </c>
      <c r="F24" s="2">
        <f>IFERROR(__xludf.DUMMYFUNCTION("""COMPUTED_VALUE"""),1.24)</f>
        <v>1.24</v>
      </c>
      <c r="H24" s="3">
        <f>IFERROR(__xludf.DUMMYFUNCTION("""COMPUTED_VALUE"""),45279.66666666667)</f>
        <v>45279.66667</v>
      </c>
      <c r="I24" s="2">
        <f>IFERROR(__xludf.DUMMYFUNCTION("""COMPUTED_VALUE"""),5.07)</f>
        <v>5.07</v>
      </c>
      <c r="K24" s="3">
        <f>IFERROR(__xludf.DUMMYFUNCTION("""COMPUTED_VALUE"""),44229.6875)</f>
        <v>44229.6875</v>
      </c>
      <c r="L24" s="2">
        <f>IFERROR(__xludf.DUMMYFUNCTION("""COMPUTED_VALUE"""),33.99)</f>
        <v>33.99</v>
      </c>
      <c r="N24" s="3">
        <f>IFERROR(__xludf.DUMMYFUNCTION("""COMPUTED_VALUE"""),44230.66666666667)</f>
        <v>44230.66667</v>
      </c>
      <c r="O24" s="2">
        <f>IFERROR(__xludf.DUMMYFUNCTION("""COMPUTED_VALUE"""),21.27)</f>
        <v>21.27</v>
      </c>
      <c r="Q24" s="3">
        <f>IFERROR(__xludf.DUMMYFUNCTION("""COMPUTED_VALUE"""),44230.66666666667)</f>
        <v>44230.66667</v>
      </c>
      <c r="R24" s="2">
        <f>IFERROR(__xludf.DUMMYFUNCTION("""COMPUTED_VALUE"""),128.95)</f>
        <v>128.95</v>
      </c>
    </row>
    <row r="25">
      <c r="B25" s="3">
        <f>IFERROR(__xludf.DUMMYFUNCTION("""COMPUTED_VALUE"""),44231.66666666667)</f>
        <v>44231.66667</v>
      </c>
      <c r="C25" s="2">
        <f>IFERROR(__xludf.DUMMYFUNCTION("""COMPUTED_VALUE"""),47.25)</f>
        <v>47.25</v>
      </c>
      <c r="E25" s="3">
        <f>IFERROR(__xludf.DUMMYFUNCTION("""COMPUTED_VALUE"""),45530.66666666667)</f>
        <v>45530.66667</v>
      </c>
      <c r="F25" s="2">
        <f>IFERROR(__xludf.DUMMYFUNCTION("""COMPUTED_VALUE"""),1.21)</f>
        <v>1.21</v>
      </c>
      <c r="H25" s="3">
        <f>IFERROR(__xludf.DUMMYFUNCTION("""COMPUTED_VALUE"""),45280.66666666667)</f>
        <v>45280.66667</v>
      </c>
      <c r="I25" s="2">
        <f>IFERROR(__xludf.DUMMYFUNCTION("""COMPUTED_VALUE"""),4.99)</f>
        <v>4.99</v>
      </c>
      <c r="K25" s="3">
        <f>IFERROR(__xludf.DUMMYFUNCTION("""COMPUTED_VALUE"""),44230.6875)</f>
        <v>44230.6875</v>
      </c>
      <c r="L25" s="2">
        <f>IFERROR(__xludf.DUMMYFUNCTION("""COMPUTED_VALUE"""),34.18)</f>
        <v>34.18</v>
      </c>
      <c r="N25" s="3">
        <f>IFERROR(__xludf.DUMMYFUNCTION("""COMPUTED_VALUE"""),44231.66666666667)</f>
        <v>44231.66667</v>
      </c>
      <c r="O25" s="2">
        <f>IFERROR(__xludf.DUMMYFUNCTION("""COMPUTED_VALUE"""),20.99)</f>
        <v>20.99</v>
      </c>
      <c r="Q25" s="3">
        <f>IFERROR(__xludf.DUMMYFUNCTION("""COMPUTED_VALUE"""),44231.66666666667)</f>
        <v>44231.66667</v>
      </c>
      <c r="R25" s="2">
        <f>IFERROR(__xludf.DUMMYFUNCTION("""COMPUTED_VALUE"""),129.03)</f>
        <v>129.03</v>
      </c>
    </row>
    <row r="26">
      <c r="B26" s="3">
        <f>IFERROR(__xludf.DUMMYFUNCTION("""COMPUTED_VALUE"""),44232.66666666667)</f>
        <v>44232.66667</v>
      </c>
      <c r="C26" s="2">
        <f>IFERROR(__xludf.DUMMYFUNCTION("""COMPUTED_VALUE"""),48.08)</f>
        <v>48.08</v>
      </c>
      <c r="E26" s="3">
        <f>IFERROR(__xludf.DUMMYFUNCTION("""COMPUTED_VALUE"""),45531.66666666667)</f>
        <v>45531.66667</v>
      </c>
      <c r="F26" s="2">
        <f>IFERROR(__xludf.DUMMYFUNCTION("""COMPUTED_VALUE"""),1.23)</f>
        <v>1.23</v>
      </c>
      <c r="H26" s="3">
        <f>IFERROR(__xludf.DUMMYFUNCTION("""COMPUTED_VALUE"""),45281.66666666667)</f>
        <v>45281.66667</v>
      </c>
      <c r="I26" s="2">
        <f>IFERROR(__xludf.DUMMYFUNCTION("""COMPUTED_VALUE"""),5.5)</f>
        <v>5.5</v>
      </c>
      <c r="K26" s="3">
        <f>IFERROR(__xludf.DUMMYFUNCTION("""COMPUTED_VALUE"""),44231.6875)</f>
        <v>44231.6875</v>
      </c>
      <c r="L26" s="2">
        <f>IFERROR(__xludf.DUMMYFUNCTION("""COMPUTED_VALUE"""),36.11)</f>
        <v>36.11</v>
      </c>
      <c r="N26" s="3">
        <f>IFERROR(__xludf.DUMMYFUNCTION("""COMPUTED_VALUE"""),44232.66666666667)</f>
        <v>44232.66667</v>
      </c>
      <c r="O26" s="2">
        <f>IFERROR(__xludf.DUMMYFUNCTION("""COMPUTED_VALUE"""),20.81)</f>
        <v>20.81</v>
      </c>
      <c r="Q26" s="3">
        <f>IFERROR(__xludf.DUMMYFUNCTION("""COMPUTED_VALUE"""),44232.66666666667)</f>
        <v>44232.66667</v>
      </c>
      <c r="R26" s="2">
        <f>IFERROR(__xludf.DUMMYFUNCTION("""COMPUTED_VALUE"""),129.57)</f>
        <v>129.57</v>
      </c>
    </row>
    <row r="27">
      <c r="B27" s="3">
        <f>IFERROR(__xludf.DUMMYFUNCTION("""COMPUTED_VALUE"""),44235.66666666667)</f>
        <v>44235.66667</v>
      </c>
      <c r="C27" s="2">
        <f>IFERROR(__xludf.DUMMYFUNCTION("""COMPUTED_VALUE"""),48.94)</f>
        <v>48.94</v>
      </c>
      <c r="E27" s="3">
        <f>IFERROR(__xludf.DUMMYFUNCTION("""COMPUTED_VALUE"""),45532.66666666667)</f>
        <v>45532.66667</v>
      </c>
      <c r="F27" s="2">
        <f>IFERROR(__xludf.DUMMYFUNCTION("""COMPUTED_VALUE"""),1.2)</f>
        <v>1.2</v>
      </c>
      <c r="H27" s="3">
        <f>IFERROR(__xludf.DUMMYFUNCTION("""COMPUTED_VALUE"""),45282.66666666667)</f>
        <v>45282.66667</v>
      </c>
      <c r="I27" s="2">
        <f>IFERROR(__xludf.DUMMYFUNCTION("""COMPUTED_VALUE"""),5.61)</f>
        <v>5.61</v>
      </c>
      <c r="K27" s="3">
        <f>IFERROR(__xludf.DUMMYFUNCTION("""COMPUTED_VALUE"""),44232.6875)</f>
        <v>44232.6875</v>
      </c>
      <c r="L27" s="2">
        <f>IFERROR(__xludf.DUMMYFUNCTION("""COMPUTED_VALUE"""),37.0)</f>
        <v>37</v>
      </c>
      <c r="N27" s="3">
        <f>IFERROR(__xludf.DUMMYFUNCTION("""COMPUTED_VALUE"""),44235.66666666667)</f>
        <v>44235.66667</v>
      </c>
      <c r="O27" s="2">
        <f>IFERROR(__xludf.DUMMYFUNCTION("""COMPUTED_VALUE"""),22.03)</f>
        <v>22.03</v>
      </c>
      <c r="Q27" s="3">
        <f>IFERROR(__xludf.DUMMYFUNCTION("""COMPUTED_VALUE"""),44235.66666666667)</f>
        <v>44235.66667</v>
      </c>
      <c r="R27" s="2">
        <f>IFERROR(__xludf.DUMMYFUNCTION("""COMPUTED_VALUE"""),129.17)</f>
        <v>129.17</v>
      </c>
    </row>
    <row r="28">
      <c r="B28" s="3">
        <f>IFERROR(__xludf.DUMMYFUNCTION("""COMPUTED_VALUE"""),44236.66666666667)</f>
        <v>44236.66667</v>
      </c>
      <c r="C28" s="2">
        <f>IFERROR(__xludf.DUMMYFUNCTION("""COMPUTED_VALUE"""),48.5)</f>
        <v>48.5</v>
      </c>
      <c r="E28" s="3">
        <f>IFERROR(__xludf.DUMMYFUNCTION("""COMPUTED_VALUE"""),45533.66666666667)</f>
        <v>45533.66667</v>
      </c>
      <c r="F28" s="2">
        <f>IFERROR(__xludf.DUMMYFUNCTION("""COMPUTED_VALUE"""),1.26)</f>
        <v>1.26</v>
      </c>
      <c r="H28" s="3">
        <f>IFERROR(__xludf.DUMMYFUNCTION("""COMPUTED_VALUE"""),45286.66666666667)</f>
        <v>45286.66667</v>
      </c>
      <c r="I28" s="2">
        <f>IFERROR(__xludf.DUMMYFUNCTION("""COMPUTED_VALUE"""),5.4)</f>
        <v>5.4</v>
      </c>
      <c r="K28" s="3">
        <f>IFERROR(__xludf.DUMMYFUNCTION("""COMPUTED_VALUE"""),44235.6875)</f>
        <v>44235.6875</v>
      </c>
      <c r="L28" s="2">
        <f>IFERROR(__xludf.DUMMYFUNCTION("""COMPUTED_VALUE"""),37.7)</f>
        <v>37.7</v>
      </c>
      <c r="N28" s="3">
        <f>IFERROR(__xludf.DUMMYFUNCTION("""COMPUTED_VALUE"""),44236.66666666667)</f>
        <v>44236.66667</v>
      </c>
      <c r="O28" s="2">
        <f>IFERROR(__xludf.DUMMYFUNCTION("""COMPUTED_VALUE"""),21.73)</f>
        <v>21.73</v>
      </c>
      <c r="Q28" s="3">
        <f>IFERROR(__xludf.DUMMYFUNCTION("""COMPUTED_VALUE"""),44236.66666666667)</f>
        <v>44236.66667</v>
      </c>
      <c r="R28" s="2">
        <f>IFERROR(__xludf.DUMMYFUNCTION("""COMPUTED_VALUE"""),128.67)</f>
        <v>128.67</v>
      </c>
    </row>
    <row r="29">
      <c r="B29" s="3">
        <f>IFERROR(__xludf.DUMMYFUNCTION("""COMPUTED_VALUE"""),44237.66666666667)</f>
        <v>44237.66667</v>
      </c>
      <c r="C29" s="2">
        <f>IFERROR(__xludf.DUMMYFUNCTION("""COMPUTED_VALUE"""),47.24)</f>
        <v>47.24</v>
      </c>
      <c r="E29" s="3">
        <f>IFERROR(__xludf.DUMMYFUNCTION("""COMPUTED_VALUE"""),45534.66666666667)</f>
        <v>45534.66667</v>
      </c>
      <c r="F29" s="2">
        <f>IFERROR(__xludf.DUMMYFUNCTION("""COMPUTED_VALUE"""),1.22)</f>
        <v>1.22</v>
      </c>
      <c r="H29" s="3">
        <f>IFERROR(__xludf.DUMMYFUNCTION("""COMPUTED_VALUE"""),45287.66666666667)</f>
        <v>45287.66667</v>
      </c>
      <c r="I29" s="2">
        <f>IFERROR(__xludf.DUMMYFUNCTION("""COMPUTED_VALUE"""),5.82)</f>
        <v>5.82</v>
      </c>
      <c r="K29" s="3">
        <f>IFERROR(__xludf.DUMMYFUNCTION("""COMPUTED_VALUE"""),44236.6875)</f>
        <v>44236.6875</v>
      </c>
      <c r="L29" s="2">
        <f>IFERROR(__xludf.DUMMYFUNCTION("""COMPUTED_VALUE"""),37.55)</f>
        <v>37.55</v>
      </c>
      <c r="N29" s="3">
        <f>IFERROR(__xludf.DUMMYFUNCTION("""COMPUTED_VALUE"""),44237.66666666667)</f>
        <v>44237.66667</v>
      </c>
      <c r="O29" s="2">
        <f>IFERROR(__xludf.DUMMYFUNCTION("""COMPUTED_VALUE"""),21.58)</f>
        <v>21.58</v>
      </c>
      <c r="Q29" s="3">
        <f>IFERROR(__xludf.DUMMYFUNCTION("""COMPUTED_VALUE"""),44237.66666666667)</f>
        <v>44237.66667</v>
      </c>
      <c r="R29" s="2">
        <f>IFERROR(__xludf.DUMMYFUNCTION("""COMPUTED_VALUE"""),128.22)</f>
        <v>128.22</v>
      </c>
    </row>
    <row r="30">
      <c r="B30" s="3">
        <f>IFERROR(__xludf.DUMMYFUNCTION("""COMPUTED_VALUE"""),44238.66666666667)</f>
        <v>44238.66667</v>
      </c>
      <c r="C30" s="2">
        <f>IFERROR(__xludf.DUMMYFUNCTION("""COMPUTED_VALUE"""),47.58)</f>
        <v>47.58</v>
      </c>
      <c r="E30" s="3">
        <f>IFERROR(__xludf.DUMMYFUNCTION("""COMPUTED_VALUE"""),45538.66666666667)</f>
        <v>45538.66667</v>
      </c>
      <c r="F30" s="2">
        <f>IFERROR(__xludf.DUMMYFUNCTION("""COMPUTED_VALUE"""),1.11)</f>
        <v>1.11</v>
      </c>
      <c r="H30" s="3">
        <f>IFERROR(__xludf.DUMMYFUNCTION("""COMPUTED_VALUE"""),45288.66666666667)</f>
        <v>45288.66667</v>
      </c>
      <c r="I30" s="2">
        <f>IFERROR(__xludf.DUMMYFUNCTION("""COMPUTED_VALUE"""),5.93)</f>
        <v>5.93</v>
      </c>
      <c r="K30" s="3">
        <f>IFERROR(__xludf.DUMMYFUNCTION("""COMPUTED_VALUE"""),44237.6875)</f>
        <v>44237.6875</v>
      </c>
      <c r="L30" s="2">
        <f>IFERROR(__xludf.DUMMYFUNCTION("""COMPUTED_VALUE"""),37.5)</f>
        <v>37.5</v>
      </c>
      <c r="N30" s="3">
        <f>IFERROR(__xludf.DUMMYFUNCTION("""COMPUTED_VALUE"""),44238.66666666667)</f>
        <v>44238.66667</v>
      </c>
      <c r="O30" s="2">
        <f>IFERROR(__xludf.DUMMYFUNCTION("""COMPUTED_VALUE"""),21.37)</f>
        <v>21.37</v>
      </c>
      <c r="Q30" s="3">
        <f>IFERROR(__xludf.DUMMYFUNCTION("""COMPUTED_VALUE"""),44238.66666666667)</f>
        <v>44238.66667</v>
      </c>
      <c r="R30" s="2">
        <f>IFERROR(__xludf.DUMMYFUNCTION("""COMPUTED_VALUE"""),128.33)</f>
        <v>128.33</v>
      </c>
    </row>
    <row r="31">
      <c r="B31" s="3">
        <f>IFERROR(__xludf.DUMMYFUNCTION("""COMPUTED_VALUE"""),44239.66666666667)</f>
        <v>44239.66667</v>
      </c>
      <c r="C31" s="2">
        <f>IFERROR(__xludf.DUMMYFUNCTION("""COMPUTED_VALUE"""),47.29)</f>
        <v>47.29</v>
      </c>
      <c r="E31" s="3">
        <f>IFERROR(__xludf.DUMMYFUNCTION("""COMPUTED_VALUE"""),45539.66666666667)</f>
        <v>45539.66667</v>
      </c>
      <c r="F31" s="2">
        <f>IFERROR(__xludf.DUMMYFUNCTION("""COMPUTED_VALUE"""),1.16)</f>
        <v>1.16</v>
      </c>
      <c r="H31" s="3">
        <f>IFERROR(__xludf.DUMMYFUNCTION("""COMPUTED_VALUE"""),45289.66666666667)</f>
        <v>45289.66667</v>
      </c>
      <c r="I31" s="2">
        <f>IFERROR(__xludf.DUMMYFUNCTION("""COMPUTED_VALUE"""),5.95)</f>
        <v>5.95</v>
      </c>
      <c r="K31" s="3">
        <f>IFERROR(__xludf.DUMMYFUNCTION("""COMPUTED_VALUE"""),44238.6875)</f>
        <v>44238.6875</v>
      </c>
      <c r="L31" s="2">
        <f>IFERROR(__xludf.DUMMYFUNCTION("""COMPUTED_VALUE"""),37.07)</f>
        <v>37.07</v>
      </c>
      <c r="N31" s="3">
        <f>IFERROR(__xludf.DUMMYFUNCTION("""COMPUTED_VALUE"""),44239.66666666667)</f>
        <v>44239.66667</v>
      </c>
      <c r="O31" s="2">
        <f>IFERROR(__xludf.DUMMYFUNCTION("""COMPUTED_VALUE"""),21.91)</f>
        <v>21.91</v>
      </c>
      <c r="Q31" s="3">
        <f>IFERROR(__xludf.DUMMYFUNCTION("""COMPUTED_VALUE"""),44239.66666666667)</f>
        <v>44239.66667</v>
      </c>
      <c r="R31" s="2">
        <f>IFERROR(__xludf.DUMMYFUNCTION("""COMPUTED_VALUE"""),127.62)</f>
        <v>127.62</v>
      </c>
    </row>
    <row r="32">
      <c r="B32" s="3">
        <f>IFERROR(__xludf.DUMMYFUNCTION("""COMPUTED_VALUE"""),44243.66666666667)</f>
        <v>44243.66667</v>
      </c>
      <c r="C32" s="2">
        <f>IFERROR(__xludf.DUMMYFUNCTION("""COMPUTED_VALUE"""),46.51)</f>
        <v>46.51</v>
      </c>
      <c r="E32" s="3">
        <f>IFERROR(__xludf.DUMMYFUNCTION("""COMPUTED_VALUE"""),45540.66666666667)</f>
        <v>45540.66667</v>
      </c>
      <c r="F32" s="2">
        <f>IFERROR(__xludf.DUMMYFUNCTION("""COMPUTED_VALUE"""),1.2)</f>
        <v>1.2</v>
      </c>
      <c r="H32" s="3">
        <f>IFERROR(__xludf.DUMMYFUNCTION("""COMPUTED_VALUE"""),45293.66666666667)</f>
        <v>45293.66667</v>
      </c>
      <c r="I32" s="2">
        <f>IFERROR(__xludf.DUMMYFUNCTION("""COMPUTED_VALUE"""),6.05)</f>
        <v>6.05</v>
      </c>
      <c r="K32" s="3">
        <f>IFERROR(__xludf.DUMMYFUNCTION("""COMPUTED_VALUE"""),44239.6875)</f>
        <v>44239.6875</v>
      </c>
      <c r="L32" s="2">
        <f>IFERROR(__xludf.DUMMYFUNCTION("""COMPUTED_VALUE"""),37.1)</f>
        <v>37.1</v>
      </c>
      <c r="N32" s="3">
        <f>IFERROR(__xludf.DUMMYFUNCTION("""COMPUTED_VALUE"""),44243.66666666667)</f>
        <v>44243.66667</v>
      </c>
      <c r="O32" s="2">
        <f>IFERROR(__xludf.DUMMYFUNCTION("""COMPUTED_VALUE"""),23.18)</f>
        <v>23.18</v>
      </c>
      <c r="Q32" s="3">
        <f>IFERROR(__xludf.DUMMYFUNCTION("""COMPUTED_VALUE"""),44243.66666666667)</f>
        <v>44243.66667</v>
      </c>
      <c r="R32" s="2">
        <f>IFERROR(__xludf.DUMMYFUNCTION("""COMPUTED_VALUE"""),127.92)</f>
        <v>127.92</v>
      </c>
    </row>
    <row r="33">
      <c r="B33" s="3">
        <f>IFERROR(__xludf.DUMMYFUNCTION("""COMPUTED_VALUE"""),44244.66666666667)</f>
        <v>44244.66667</v>
      </c>
      <c r="C33" s="2">
        <f>IFERROR(__xludf.DUMMYFUNCTION("""COMPUTED_VALUE"""),46.25)</f>
        <v>46.25</v>
      </c>
      <c r="E33" s="3">
        <f>IFERROR(__xludf.DUMMYFUNCTION("""COMPUTED_VALUE"""),45541.66666666667)</f>
        <v>45541.66667</v>
      </c>
      <c r="F33" s="2">
        <f>IFERROR(__xludf.DUMMYFUNCTION("""COMPUTED_VALUE"""),1.2)</f>
        <v>1.2</v>
      </c>
      <c r="H33" s="3">
        <f>IFERROR(__xludf.DUMMYFUNCTION("""COMPUTED_VALUE"""),45294.66666666667)</f>
        <v>45294.66667</v>
      </c>
      <c r="I33" s="2">
        <f>IFERROR(__xludf.DUMMYFUNCTION("""COMPUTED_VALUE"""),6.01)</f>
        <v>6.01</v>
      </c>
      <c r="K33" s="3">
        <f>IFERROR(__xludf.DUMMYFUNCTION("""COMPUTED_VALUE"""),44242.6875)</f>
        <v>44242.6875</v>
      </c>
      <c r="L33" s="2">
        <f>IFERROR(__xludf.DUMMYFUNCTION("""COMPUTED_VALUE"""),39.09)</f>
        <v>39.09</v>
      </c>
      <c r="N33" s="3">
        <f>IFERROR(__xludf.DUMMYFUNCTION("""COMPUTED_VALUE"""),44244.66666666667)</f>
        <v>44244.66667</v>
      </c>
      <c r="O33" s="2">
        <f>IFERROR(__xludf.DUMMYFUNCTION("""COMPUTED_VALUE"""),23.58)</f>
        <v>23.58</v>
      </c>
      <c r="Q33" s="3">
        <f>IFERROR(__xludf.DUMMYFUNCTION("""COMPUTED_VALUE"""),44244.66666666667)</f>
        <v>44244.66667</v>
      </c>
      <c r="R33" s="2">
        <f>IFERROR(__xludf.DUMMYFUNCTION("""COMPUTED_VALUE"""),128.46)</f>
        <v>128.46</v>
      </c>
    </row>
    <row r="34">
      <c r="B34" s="3">
        <f>IFERROR(__xludf.DUMMYFUNCTION("""COMPUTED_VALUE"""),44245.66666666667)</f>
        <v>44245.66667</v>
      </c>
      <c r="C34" s="2">
        <f>IFERROR(__xludf.DUMMYFUNCTION("""COMPUTED_VALUE"""),46.34)</f>
        <v>46.34</v>
      </c>
      <c r="E34" s="3">
        <f>IFERROR(__xludf.DUMMYFUNCTION("""COMPUTED_VALUE"""),45544.66666666667)</f>
        <v>45544.66667</v>
      </c>
      <c r="F34" s="2">
        <f>IFERROR(__xludf.DUMMYFUNCTION("""COMPUTED_VALUE"""),1.22)</f>
        <v>1.22</v>
      </c>
      <c r="H34" s="3">
        <f>IFERROR(__xludf.DUMMYFUNCTION("""COMPUTED_VALUE"""),45295.66666666667)</f>
        <v>45295.66667</v>
      </c>
      <c r="I34" s="2">
        <f>IFERROR(__xludf.DUMMYFUNCTION("""COMPUTED_VALUE"""),5.93)</f>
        <v>5.93</v>
      </c>
      <c r="K34" s="3">
        <f>IFERROR(__xludf.DUMMYFUNCTION("""COMPUTED_VALUE"""),44243.6875)</f>
        <v>44243.6875</v>
      </c>
      <c r="L34" s="2">
        <f>IFERROR(__xludf.DUMMYFUNCTION("""COMPUTED_VALUE"""),39.48)</f>
        <v>39.48</v>
      </c>
      <c r="N34" s="3">
        <f>IFERROR(__xludf.DUMMYFUNCTION("""COMPUTED_VALUE"""),44245.66666666667)</f>
        <v>44245.66667</v>
      </c>
      <c r="O34" s="2">
        <f>IFERROR(__xludf.DUMMYFUNCTION("""COMPUTED_VALUE"""),22.46)</f>
        <v>22.46</v>
      </c>
      <c r="Q34" s="3">
        <f>IFERROR(__xludf.DUMMYFUNCTION("""COMPUTED_VALUE"""),44245.66666666667)</f>
        <v>44245.66667</v>
      </c>
      <c r="R34" s="2">
        <f>IFERROR(__xludf.DUMMYFUNCTION("""COMPUTED_VALUE"""),129.53)</f>
        <v>129.53</v>
      </c>
    </row>
    <row r="35">
      <c r="B35" s="3">
        <f>IFERROR(__xludf.DUMMYFUNCTION("""COMPUTED_VALUE"""),44246.66666666667)</f>
        <v>44246.66667</v>
      </c>
      <c r="C35" s="2">
        <f>IFERROR(__xludf.DUMMYFUNCTION("""COMPUTED_VALUE"""),45.68)</f>
        <v>45.68</v>
      </c>
      <c r="E35" s="3">
        <f>IFERROR(__xludf.DUMMYFUNCTION("""COMPUTED_VALUE"""),45545.66666666667)</f>
        <v>45545.66667</v>
      </c>
      <c r="F35" s="2">
        <f>IFERROR(__xludf.DUMMYFUNCTION("""COMPUTED_VALUE"""),1.2)</f>
        <v>1.2</v>
      </c>
      <c r="H35" s="3">
        <f>IFERROR(__xludf.DUMMYFUNCTION("""COMPUTED_VALUE"""),45296.66666666667)</f>
        <v>45296.66667</v>
      </c>
      <c r="I35" s="2">
        <f>IFERROR(__xludf.DUMMYFUNCTION("""COMPUTED_VALUE"""),6.48)</f>
        <v>6.48</v>
      </c>
      <c r="K35" s="3">
        <f>IFERROR(__xludf.DUMMYFUNCTION("""COMPUTED_VALUE"""),44244.6875)</f>
        <v>44244.6875</v>
      </c>
      <c r="L35" s="2">
        <f>IFERROR(__xludf.DUMMYFUNCTION("""COMPUTED_VALUE"""),38.92)</f>
        <v>38.92</v>
      </c>
      <c r="N35" s="3">
        <f>IFERROR(__xludf.DUMMYFUNCTION("""COMPUTED_VALUE"""),44246.66666666667)</f>
        <v>44246.66667</v>
      </c>
      <c r="O35" s="2">
        <f>IFERROR(__xludf.DUMMYFUNCTION("""COMPUTED_VALUE"""),22.87)</f>
        <v>22.87</v>
      </c>
      <c r="Q35" s="3">
        <f>IFERROR(__xludf.DUMMYFUNCTION("""COMPUTED_VALUE"""),44246.66666666667)</f>
        <v>44246.66667</v>
      </c>
      <c r="R35" s="2">
        <f>IFERROR(__xludf.DUMMYFUNCTION("""COMPUTED_VALUE"""),127.12)</f>
        <v>127.12</v>
      </c>
    </row>
    <row r="36">
      <c r="B36" s="3">
        <f>IFERROR(__xludf.DUMMYFUNCTION("""COMPUTED_VALUE"""),44249.66666666667)</f>
        <v>44249.66667</v>
      </c>
      <c r="C36" s="2">
        <f>IFERROR(__xludf.DUMMYFUNCTION("""COMPUTED_VALUE"""),45.43)</f>
        <v>45.43</v>
      </c>
      <c r="E36" s="3">
        <f>IFERROR(__xludf.DUMMYFUNCTION("""COMPUTED_VALUE"""),45546.66666666667)</f>
        <v>45546.66667</v>
      </c>
      <c r="F36" s="2">
        <f>IFERROR(__xludf.DUMMYFUNCTION("""COMPUTED_VALUE"""),1.2)</f>
        <v>1.2</v>
      </c>
      <c r="H36" s="3">
        <f>IFERROR(__xludf.DUMMYFUNCTION("""COMPUTED_VALUE"""),45299.66666666667)</f>
        <v>45299.66667</v>
      </c>
      <c r="I36" s="2">
        <f>IFERROR(__xludf.DUMMYFUNCTION("""COMPUTED_VALUE"""),6.23)</f>
        <v>6.23</v>
      </c>
      <c r="K36" s="3">
        <f>IFERROR(__xludf.DUMMYFUNCTION("""COMPUTED_VALUE"""),44245.6875)</f>
        <v>44245.6875</v>
      </c>
      <c r="L36" s="2">
        <f>IFERROR(__xludf.DUMMYFUNCTION("""COMPUTED_VALUE"""),37.49)</f>
        <v>37.49</v>
      </c>
      <c r="N36" s="3">
        <f>IFERROR(__xludf.DUMMYFUNCTION("""COMPUTED_VALUE"""),44249.66666666667)</f>
        <v>44249.66667</v>
      </c>
      <c r="O36" s="2">
        <f>IFERROR(__xludf.DUMMYFUNCTION("""COMPUTED_VALUE"""),23.63)</f>
        <v>23.63</v>
      </c>
      <c r="Q36" s="3">
        <f>IFERROR(__xludf.DUMMYFUNCTION("""COMPUTED_VALUE"""),44249.66666666667)</f>
        <v>44249.66667</v>
      </c>
      <c r="R36" s="2">
        <f>IFERROR(__xludf.DUMMYFUNCTION("""COMPUTED_VALUE"""),126.58)</f>
        <v>126.58</v>
      </c>
    </row>
    <row r="37">
      <c r="B37" s="3">
        <f>IFERROR(__xludf.DUMMYFUNCTION("""COMPUTED_VALUE"""),44250.66666666667)</f>
        <v>44250.66667</v>
      </c>
      <c r="C37" s="2">
        <f>IFERROR(__xludf.DUMMYFUNCTION("""COMPUTED_VALUE"""),45.51)</f>
        <v>45.51</v>
      </c>
      <c r="E37" s="3">
        <f>IFERROR(__xludf.DUMMYFUNCTION("""COMPUTED_VALUE"""),45547.66666666667)</f>
        <v>45547.66667</v>
      </c>
      <c r="F37" s="2">
        <f>IFERROR(__xludf.DUMMYFUNCTION("""COMPUTED_VALUE"""),1.22)</f>
        <v>1.22</v>
      </c>
      <c r="H37" s="3">
        <f>IFERROR(__xludf.DUMMYFUNCTION("""COMPUTED_VALUE"""),45300.66666666667)</f>
        <v>45300.66667</v>
      </c>
      <c r="I37" s="2">
        <f>IFERROR(__xludf.DUMMYFUNCTION("""COMPUTED_VALUE"""),6.66)</f>
        <v>6.66</v>
      </c>
      <c r="K37" s="3">
        <f>IFERROR(__xludf.DUMMYFUNCTION("""COMPUTED_VALUE"""),44246.6875)</f>
        <v>44246.6875</v>
      </c>
      <c r="L37" s="2">
        <f>IFERROR(__xludf.DUMMYFUNCTION("""COMPUTED_VALUE"""),38.19)</f>
        <v>38.19</v>
      </c>
      <c r="N37" s="3">
        <f>IFERROR(__xludf.DUMMYFUNCTION("""COMPUTED_VALUE"""),44250.66666666667)</f>
        <v>44250.66667</v>
      </c>
      <c r="O37" s="2">
        <f>IFERROR(__xludf.DUMMYFUNCTION("""COMPUTED_VALUE"""),24.23)</f>
        <v>24.23</v>
      </c>
      <c r="Q37" s="3">
        <f>IFERROR(__xludf.DUMMYFUNCTION("""COMPUTED_VALUE"""),44250.66666666667)</f>
        <v>44250.66667</v>
      </c>
      <c r="R37" s="2">
        <f>IFERROR(__xludf.DUMMYFUNCTION("""COMPUTED_VALUE"""),127.52)</f>
        <v>127.52</v>
      </c>
    </row>
    <row r="38">
      <c r="B38" s="3">
        <f>IFERROR(__xludf.DUMMYFUNCTION("""COMPUTED_VALUE"""),44251.66666666667)</f>
        <v>44251.66667</v>
      </c>
      <c r="C38" s="2">
        <f>IFERROR(__xludf.DUMMYFUNCTION("""COMPUTED_VALUE"""),45.74)</f>
        <v>45.74</v>
      </c>
      <c r="E38" s="3">
        <f>IFERROR(__xludf.DUMMYFUNCTION("""COMPUTED_VALUE"""),45548.66666666667)</f>
        <v>45548.66667</v>
      </c>
      <c r="F38" s="2">
        <f>IFERROR(__xludf.DUMMYFUNCTION("""COMPUTED_VALUE"""),1.26)</f>
        <v>1.26</v>
      </c>
      <c r="H38" s="3">
        <f>IFERROR(__xludf.DUMMYFUNCTION("""COMPUTED_VALUE"""),45301.66666666667)</f>
        <v>45301.66667</v>
      </c>
      <c r="I38" s="2">
        <f>IFERROR(__xludf.DUMMYFUNCTION("""COMPUTED_VALUE"""),7.79)</f>
        <v>7.79</v>
      </c>
      <c r="K38" s="3">
        <f>IFERROR(__xludf.DUMMYFUNCTION("""COMPUTED_VALUE"""),44249.6875)</f>
        <v>44249.6875</v>
      </c>
      <c r="L38" s="2">
        <f>IFERROR(__xludf.DUMMYFUNCTION("""COMPUTED_VALUE"""),38.42)</f>
        <v>38.42</v>
      </c>
      <c r="N38" s="3">
        <f>IFERROR(__xludf.DUMMYFUNCTION("""COMPUTED_VALUE"""),44251.66666666667)</f>
        <v>44251.66667</v>
      </c>
      <c r="O38" s="2">
        <f>IFERROR(__xludf.DUMMYFUNCTION("""COMPUTED_VALUE"""),25.3)</f>
        <v>25.3</v>
      </c>
      <c r="Q38" s="3">
        <f>IFERROR(__xludf.DUMMYFUNCTION("""COMPUTED_VALUE"""),44251.66666666667)</f>
        <v>44251.66667</v>
      </c>
      <c r="R38" s="2">
        <f>IFERROR(__xludf.DUMMYFUNCTION("""COMPUTED_VALUE"""),127.66)</f>
        <v>127.66</v>
      </c>
    </row>
    <row r="39">
      <c r="B39" s="3">
        <f>IFERROR(__xludf.DUMMYFUNCTION("""COMPUTED_VALUE"""),44252.66666666667)</f>
        <v>44252.66667</v>
      </c>
      <c r="C39" s="2">
        <f>IFERROR(__xludf.DUMMYFUNCTION("""COMPUTED_VALUE"""),45.52)</f>
        <v>45.52</v>
      </c>
      <c r="E39" s="3">
        <f>IFERROR(__xludf.DUMMYFUNCTION("""COMPUTED_VALUE"""),45551.66666666667)</f>
        <v>45551.66667</v>
      </c>
      <c r="F39" s="2">
        <f>IFERROR(__xludf.DUMMYFUNCTION("""COMPUTED_VALUE"""),1.31)</f>
        <v>1.31</v>
      </c>
      <c r="H39" s="3">
        <f>IFERROR(__xludf.DUMMYFUNCTION("""COMPUTED_VALUE"""),45302.66666666667)</f>
        <v>45302.66667</v>
      </c>
      <c r="I39" s="2">
        <f>IFERROR(__xludf.DUMMYFUNCTION("""COMPUTED_VALUE"""),7.9)</f>
        <v>7.9</v>
      </c>
      <c r="K39" s="3">
        <f>IFERROR(__xludf.DUMMYFUNCTION("""COMPUTED_VALUE"""),44250.6875)</f>
        <v>44250.6875</v>
      </c>
      <c r="L39" s="2">
        <f>IFERROR(__xludf.DUMMYFUNCTION("""COMPUTED_VALUE"""),39.22)</f>
        <v>39.22</v>
      </c>
      <c r="N39" s="3">
        <f>IFERROR(__xludf.DUMMYFUNCTION("""COMPUTED_VALUE"""),44252.66666666667)</f>
        <v>44252.66667</v>
      </c>
      <c r="O39" s="2">
        <f>IFERROR(__xludf.DUMMYFUNCTION("""COMPUTED_VALUE"""),25.59)</f>
        <v>25.59</v>
      </c>
      <c r="Q39" s="3">
        <f>IFERROR(__xludf.DUMMYFUNCTION("""COMPUTED_VALUE"""),44252.66666666667)</f>
        <v>44252.66667</v>
      </c>
      <c r="R39" s="2">
        <f>IFERROR(__xludf.DUMMYFUNCTION("""COMPUTED_VALUE"""),126.58)</f>
        <v>126.58</v>
      </c>
    </row>
    <row r="40">
      <c r="B40" s="3">
        <f>IFERROR(__xludf.DUMMYFUNCTION("""COMPUTED_VALUE"""),44253.66666666667)</f>
        <v>44253.66667</v>
      </c>
      <c r="C40" s="2">
        <f>IFERROR(__xludf.DUMMYFUNCTION("""COMPUTED_VALUE"""),44.87)</f>
        <v>44.87</v>
      </c>
      <c r="E40" s="3">
        <f>IFERROR(__xludf.DUMMYFUNCTION("""COMPUTED_VALUE"""),45552.66666666667)</f>
        <v>45552.66667</v>
      </c>
      <c r="F40" s="2">
        <f>IFERROR(__xludf.DUMMYFUNCTION("""COMPUTED_VALUE"""),1.34)</f>
        <v>1.34</v>
      </c>
      <c r="H40" s="3">
        <f>IFERROR(__xludf.DUMMYFUNCTION("""COMPUTED_VALUE"""),45303.66666666667)</f>
        <v>45303.66667</v>
      </c>
      <c r="I40" s="2">
        <f>IFERROR(__xludf.DUMMYFUNCTION("""COMPUTED_VALUE"""),8.0)</f>
        <v>8</v>
      </c>
      <c r="K40" s="3">
        <f>IFERROR(__xludf.DUMMYFUNCTION("""COMPUTED_VALUE"""),44251.6875)</f>
        <v>44251.6875</v>
      </c>
      <c r="L40" s="2">
        <f>IFERROR(__xludf.DUMMYFUNCTION("""COMPUTED_VALUE"""),39.34)</f>
        <v>39.34</v>
      </c>
      <c r="N40" s="3">
        <f>IFERROR(__xludf.DUMMYFUNCTION("""COMPUTED_VALUE"""),44253.66666666667)</f>
        <v>44253.66667</v>
      </c>
      <c r="O40" s="2">
        <f>IFERROR(__xludf.DUMMYFUNCTION("""COMPUTED_VALUE"""),24.41)</f>
        <v>24.41</v>
      </c>
      <c r="Q40" s="3">
        <f>IFERROR(__xludf.DUMMYFUNCTION("""COMPUTED_VALUE"""),44253.66666666667)</f>
        <v>44253.66667</v>
      </c>
      <c r="R40" s="2">
        <f>IFERROR(__xludf.DUMMYFUNCTION("""COMPUTED_VALUE"""),123.53)</f>
        <v>123.53</v>
      </c>
    </row>
    <row r="41">
      <c r="B41" s="3">
        <f>IFERROR(__xludf.DUMMYFUNCTION("""COMPUTED_VALUE"""),44256.66666666667)</f>
        <v>44256.66667</v>
      </c>
      <c r="C41" s="2">
        <f>IFERROR(__xludf.DUMMYFUNCTION("""COMPUTED_VALUE"""),45.92)</f>
        <v>45.92</v>
      </c>
      <c r="E41" s="3">
        <f>IFERROR(__xludf.DUMMYFUNCTION("""COMPUTED_VALUE"""),45553.66666666667)</f>
        <v>45553.66667</v>
      </c>
      <c r="F41" s="2">
        <f>IFERROR(__xludf.DUMMYFUNCTION("""COMPUTED_VALUE"""),1.33)</f>
        <v>1.33</v>
      </c>
      <c r="H41" s="3">
        <f>IFERROR(__xludf.DUMMYFUNCTION("""COMPUTED_VALUE"""),45307.66666666667)</f>
        <v>45307.66667</v>
      </c>
      <c r="I41" s="2">
        <f>IFERROR(__xludf.DUMMYFUNCTION("""COMPUTED_VALUE"""),7.47)</f>
        <v>7.47</v>
      </c>
      <c r="K41" s="3">
        <f>IFERROR(__xludf.DUMMYFUNCTION("""COMPUTED_VALUE"""),44252.6875)</f>
        <v>44252.6875</v>
      </c>
      <c r="L41" s="2">
        <f>IFERROR(__xludf.DUMMYFUNCTION("""COMPUTED_VALUE"""),39.21)</f>
        <v>39.21</v>
      </c>
      <c r="N41" s="3">
        <f>IFERROR(__xludf.DUMMYFUNCTION("""COMPUTED_VALUE"""),44256.66666666667)</f>
        <v>44256.66667</v>
      </c>
      <c r="O41" s="2">
        <f>IFERROR(__xludf.DUMMYFUNCTION("""COMPUTED_VALUE"""),24.58)</f>
        <v>24.58</v>
      </c>
      <c r="Q41" s="3">
        <f>IFERROR(__xludf.DUMMYFUNCTION("""COMPUTED_VALUE"""),44256.66666666667)</f>
        <v>44256.66667</v>
      </c>
      <c r="R41" s="2">
        <f>IFERROR(__xludf.DUMMYFUNCTION("""COMPUTED_VALUE"""),124.29)</f>
        <v>124.29</v>
      </c>
    </row>
    <row r="42">
      <c r="B42" s="3">
        <f>IFERROR(__xludf.DUMMYFUNCTION("""COMPUTED_VALUE"""),44257.66666666667)</f>
        <v>44257.66667</v>
      </c>
      <c r="C42" s="2">
        <f>IFERROR(__xludf.DUMMYFUNCTION("""COMPUTED_VALUE"""),45.52)</f>
        <v>45.52</v>
      </c>
      <c r="E42" s="3">
        <f>IFERROR(__xludf.DUMMYFUNCTION("""COMPUTED_VALUE"""),45554.66666666667)</f>
        <v>45554.66667</v>
      </c>
      <c r="F42" s="2">
        <f>IFERROR(__xludf.DUMMYFUNCTION("""COMPUTED_VALUE"""),1.22)</f>
        <v>1.22</v>
      </c>
      <c r="H42" s="3">
        <f>IFERROR(__xludf.DUMMYFUNCTION("""COMPUTED_VALUE"""),45308.66666666667)</f>
        <v>45308.66667</v>
      </c>
      <c r="I42" s="2">
        <f>IFERROR(__xludf.DUMMYFUNCTION("""COMPUTED_VALUE"""),7.73)</f>
        <v>7.73</v>
      </c>
      <c r="K42" s="3">
        <f>IFERROR(__xludf.DUMMYFUNCTION("""COMPUTED_VALUE"""),44253.6875)</f>
        <v>44253.6875</v>
      </c>
      <c r="L42" s="2">
        <f>IFERROR(__xludf.DUMMYFUNCTION("""COMPUTED_VALUE"""),39.0)</f>
        <v>39</v>
      </c>
      <c r="N42" s="3">
        <f>IFERROR(__xludf.DUMMYFUNCTION("""COMPUTED_VALUE"""),44257.66666666667)</f>
        <v>44257.66667</v>
      </c>
      <c r="O42" s="2">
        <f>IFERROR(__xludf.DUMMYFUNCTION("""COMPUTED_VALUE"""),24.77)</f>
        <v>24.77</v>
      </c>
      <c r="Q42" s="3">
        <f>IFERROR(__xludf.DUMMYFUNCTION("""COMPUTED_VALUE"""),44257.66666666667)</f>
        <v>44257.66667</v>
      </c>
      <c r="R42" s="2">
        <f>IFERROR(__xludf.DUMMYFUNCTION("""COMPUTED_VALUE"""),123.9)</f>
        <v>123.9</v>
      </c>
    </row>
    <row r="43">
      <c r="B43" s="3">
        <f>IFERROR(__xludf.DUMMYFUNCTION("""COMPUTED_VALUE"""),44258.66666666667)</f>
        <v>44258.66667</v>
      </c>
      <c r="C43" s="2">
        <f>IFERROR(__xludf.DUMMYFUNCTION("""COMPUTED_VALUE"""),45.13)</f>
        <v>45.13</v>
      </c>
      <c r="E43" s="3">
        <f>IFERROR(__xludf.DUMMYFUNCTION("""COMPUTED_VALUE"""),45555.66666666667)</f>
        <v>45555.66667</v>
      </c>
      <c r="F43" s="2">
        <f>IFERROR(__xludf.DUMMYFUNCTION("""COMPUTED_VALUE"""),1.18)</f>
        <v>1.18</v>
      </c>
      <c r="H43" s="3">
        <f>IFERROR(__xludf.DUMMYFUNCTION("""COMPUTED_VALUE"""),45309.66666666667)</f>
        <v>45309.66667</v>
      </c>
      <c r="I43" s="2">
        <f>IFERROR(__xludf.DUMMYFUNCTION("""COMPUTED_VALUE"""),7.98)</f>
        <v>7.98</v>
      </c>
      <c r="K43" s="3">
        <f>IFERROR(__xludf.DUMMYFUNCTION("""COMPUTED_VALUE"""),44256.6875)</f>
        <v>44256.6875</v>
      </c>
      <c r="L43" s="2">
        <f>IFERROR(__xludf.DUMMYFUNCTION("""COMPUTED_VALUE"""),39.01)</f>
        <v>39.01</v>
      </c>
      <c r="N43" s="3">
        <f>IFERROR(__xludf.DUMMYFUNCTION("""COMPUTED_VALUE"""),44258.66666666667)</f>
        <v>44258.66667</v>
      </c>
      <c r="O43" s="2">
        <f>IFERROR(__xludf.DUMMYFUNCTION("""COMPUTED_VALUE"""),25.58)</f>
        <v>25.58</v>
      </c>
      <c r="Q43" s="3">
        <f>IFERROR(__xludf.DUMMYFUNCTION("""COMPUTED_VALUE"""),44258.66666666667)</f>
        <v>44258.66667</v>
      </c>
      <c r="R43" s="2">
        <f>IFERROR(__xludf.DUMMYFUNCTION("""COMPUTED_VALUE"""),123.16)</f>
        <v>123.16</v>
      </c>
    </row>
    <row r="44">
      <c r="B44" s="3">
        <f>IFERROR(__xludf.DUMMYFUNCTION("""COMPUTED_VALUE"""),44259.66666666667)</f>
        <v>44259.66667</v>
      </c>
      <c r="C44" s="2">
        <f>IFERROR(__xludf.DUMMYFUNCTION("""COMPUTED_VALUE"""),44.56)</f>
        <v>44.56</v>
      </c>
      <c r="E44" s="3">
        <f>IFERROR(__xludf.DUMMYFUNCTION("""COMPUTED_VALUE"""),45558.66666666667)</f>
        <v>45558.66667</v>
      </c>
      <c r="F44" s="2">
        <f>IFERROR(__xludf.DUMMYFUNCTION("""COMPUTED_VALUE"""),1.17)</f>
        <v>1.17</v>
      </c>
      <c r="H44" s="3">
        <f>IFERROR(__xludf.DUMMYFUNCTION("""COMPUTED_VALUE"""),45310.66666666667)</f>
        <v>45310.66667</v>
      </c>
      <c r="I44" s="2">
        <f>IFERROR(__xludf.DUMMYFUNCTION("""COMPUTED_VALUE"""),7.88)</f>
        <v>7.88</v>
      </c>
      <c r="K44" s="3">
        <f>IFERROR(__xludf.DUMMYFUNCTION("""COMPUTED_VALUE"""),44257.6875)</f>
        <v>44257.6875</v>
      </c>
      <c r="L44" s="2">
        <f>IFERROR(__xludf.DUMMYFUNCTION("""COMPUTED_VALUE"""),38.88)</f>
        <v>38.88</v>
      </c>
      <c r="N44" s="3">
        <f>IFERROR(__xludf.DUMMYFUNCTION("""COMPUTED_VALUE"""),44259.66666666667)</f>
        <v>44259.66667</v>
      </c>
      <c r="O44" s="2">
        <f>IFERROR(__xludf.DUMMYFUNCTION("""COMPUTED_VALUE"""),26.03)</f>
        <v>26.03</v>
      </c>
      <c r="Q44" s="3">
        <f>IFERROR(__xludf.DUMMYFUNCTION("""COMPUTED_VALUE"""),44259.66666666667)</f>
        <v>44259.66667</v>
      </c>
      <c r="R44" s="2">
        <f>IFERROR(__xludf.DUMMYFUNCTION("""COMPUTED_VALUE"""),122.15)</f>
        <v>122.15</v>
      </c>
    </row>
    <row r="45">
      <c r="B45" s="3">
        <f>IFERROR(__xludf.DUMMYFUNCTION("""COMPUTED_VALUE"""),44260.66666666667)</f>
        <v>44260.66667</v>
      </c>
      <c r="C45" s="2">
        <f>IFERROR(__xludf.DUMMYFUNCTION("""COMPUTED_VALUE"""),46.25)</f>
        <v>46.25</v>
      </c>
      <c r="E45" s="3">
        <f>IFERROR(__xludf.DUMMYFUNCTION("""COMPUTED_VALUE"""),45559.66666666667)</f>
        <v>45559.66667</v>
      </c>
      <c r="F45" s="2">
        <f>IFERROR(__xludf.DUMMYFUNCTION("""COMPUTED_VALUE"""),1.0)</f>
        <v>1</v>
      </c>
      <c r="H45" s="3">
        <f>IFERROR(__xludf.DUMMYFUNCTION("""COMPUTED_VALUE"""),45313.66666666667)</f>
        <v>45313.66667</v>
      </c>
      <c r="I45" s="2">
        <f>IFERROR(__xludf.DUMMYFUNCTION("""COMPUTED_VALUE"""),9.8)</f>
        <v>9.8</v>
      </c>
      <c r="K45" s="3">
        <f>IFERROR(__xludf.DUMMYFUNCTION("""COMPUTED_VALUE"""),44258.6875)</f>
        <v>44258.6875</v>
      </c>
      <c r="L45" s="2">
        <f>IFERROR(__xludf.DUMMYFUNCTION("""COMPUTED_VALUE"""),40.42)</f>
        <v>40.42</v>
      </c>
      <c r="N45" s="3">
        <f>IFERROR(__xludf.DUMMYFUNCTION("""COMPUTED_VALUE"""),44260.66666666667)</f>
        <v>44260.66667</v>
      </c>
      <c r="O45" s="2">
        <f>IFERROR(__xludf.DUMMYFUNCTION("""COMPUTED_VALUE"""),26.77)</f>
        <v>26.77</v>
      </c>
      <c r="Q45" s="3">
        <f>IFERROR(__xludf.DUMMYFUNCTION("""COMPUTED_VALUE"""),44260.66666666667)</f>
        <v>44260.66667</v>
      </c>
      <c r="R45" s="2">
        <f>IFERROR(__xludf.DUMMYFUNCTION("""COMPUTED_VALUE"""),125.98)</f>
        <v>125.98</v>
      </c>
    </row>
    <row r="46">
      <c r="B46" s="3">
        <f>IFERROR(__xludf.DUMMYFUNCTION("""COMPUTED_VALUE"""),44263.66666666667)</f>
        <v>44263.66667</v>
      </c>
      <c r="C46" s="2">
        <f>IFERROR(__xludf.DUMMYFUNCTION("""COMPUTED_VALUE"""),47.51)</f>
        <v>47.51</v>
      </c>
      <c r="E46" s="3">
        <f>IFERROR(__xludf.DUMMYFUNCTION("""COMPUTED_VALUE"""),45560.66666666667)</f>
        <v>45560.66667</v>
      </c>
      <c r="F46" s="2">
        <f>IFERROR(__xludf.DUMMYFUNCTION("""COMPUTED_VALUE"""),1.05)</f>
        <v>1.05</v>
      </c>
      <c r="H46" s="3">
        <f>IFERROR(__xludf.DUMMYFUNCTION("""COMPUTED_VALUE"""),45314.66666666667)</f>
        <v>45314.66667</v>
      </c>
      <c r="I46" s="2">
        <f>IFERROR(__xludf.DUMMYFUNCTION("""COMPUTED_VALUE"""),11.1)</f>
        <v>11.1</v>
      </c>
      <c r="K46" s="3">
        <f>IFERROR(__xludf.DUMMYFUNCTION("""COMPUTED_VALUE"""),44259.6875)</f>
        <v>44259.6875</v>
      </c>
      <c r="L46" s="2">
        <f>IFERROR(__xludf.DUMMYFUNCTION("""COMPUTED_VALUE"""),40.35)</f>
        <v>40.35</v>
      </c>
      <c r="N46" s="3">
        <f>IFERROR(__xludf.DUMMYFUNCTION("""COMPUTED_VALUE"""),44263.66666666667)</f>
        <v>44263.66667</v>
      </c>
      <c r="O46" s="2">
        <f>IFERROR(__xludf.DUMMYFUNCTION("""COMPUTED_VALUE"""),26.54)</f>
        <v>26.54</v>
      </c>
      <c r="Q46" s="3">
        <f>IFERROR(__xludf.DUMMYFUNCTION("""COMPUTED_VALUE"""),44263.66666666667)</f>
        <v>44263.66667</v>
      </c>
      <c r="R46" s="2">
        <f>IFERROR(__xludf.DUMMYFUNCTION("""COMPUTED_VALUE"""),127.31)</f>
        <v>127.31</v>
      </c>
    </row>
    <row r="47">
      <c r="B47" s="3">
        <f>IFERROR(__xludf.DUMMYFUNCTION("""COMPUTED_VALUE"""),44264.66666666667)</f>
        <v>44264.66667</v>
      </c>
      <c r="C47" s="2">
        <f>IFERROR(__xludf.DUMMYFUNCTION("""COMPUTED_VALUE"""),47.89)</f>
        <v>47.89</v>
      </c>
      <c r="E47" s="3">
        <f>IFERROR(__xludf.DUMMYFUNCTION("""COMPUTED_VALUE"""),45561.66666666667)</f>
        <v>45561.66667</v>
      </c>
      <c r="F47" s="2">
        <f>IFERROR(__xludf.DUMMYFUNCTION("""COMPUTED_VALUE"""),1.07)</f>
        <v>1.07</v>
      </c>
      <c r="H47" s="3">
        <f>IFERROR(__xludf.DUMMYFUNCTION("""COMPUTED_VALUE"""),45315.66666666667)</f>
        <v>45315.66667</v>
      </c>
      <c r="I47" s="2">
        <f>IFERROR(__xludf.DUMMYFUNCTION("""COMPUTED_VALUE"""),7.5)</f>
        <v>7.5</v>
      </c>
      <c r="K47" s="3">
        <f>IFERROR(__xludf.DUMMYFUNCTION("""COMPUTED_VALUE"""),44260.6875)</f>
        <v>44260.6875</v>
      </c>
      <c r="L47" s="2">
        <f>IFERROR(__xludf.DUMMYFUNCTION("""COMPUTED_VALUE"""),40.08)</f>
        <v>40.08</v>
      </c>
      <c r="N47" s="3">
        <f>IFERROR(__xludf.DUMMYFUNCTION("""COMPUTED_VALUE"""),44264.66666666667)</f>
        <v>44264.66667</v>
      </c>
      <c r="O47" s="2">
        <f>IFERROR(__xludf.DUMMYFUNCTION("""COMPUTED_VALUE"""),26.11)</f>
        <v>26.11</v>
      </c>
      <c r="Q47" s="3">
        <f>IFERROR(__xludf.DUMMYFUNCTION("""COMPUTED_VALUE"""),44264.66666666667)</f>
        <v>44264.66667</v>
      </c>
      <c r="R47" s="2">
        <f>IFERROR(__xludf.DUMMYFUNCTION("""COMPUTED_VALUE"""),126.18)</f>
        <v>126.18</v>
      </c>
    </row>
    <row r="48">
      <c r="B48" s="3">
        <f>IFERROR(__xludf.DUMMYFUNCTION("""COMPUTED_VALUE"""),44265.66666666667)</f>
        <v>44265.66667</v>
      </c>
      <c r="C48" s="2">
        <f>IFERROR(__xludf.DUMMYFUNCTION("""COMPUTED_VALUE"""),48.29)</f>
        <v>48.29</v>
      </c>
      <c r="E48" s="3">
        <f>IFERROR(__xludf.DUMMYFUNCTION("""COMPUTED_VALUE"""),45562.66666666667)</f>
        <v>45562.66667</v>
      </c>
      <c r="F48" s="2">
        <f>IFERROR(__xludf.DUMMYFUNCTION("""COMPUTED_VALUE"""),1.08)</f>
        <v>1.08</v>
      </c>
      <c r="H48" s="3">
        <f>IFERROR(__xludf.DUMMYFUNCTION("""COMPUTED_VALUE"""),45316.66666666667)</f>
        <v>45316.66667</v>
      </c>
      <c r="I48" s="2">
        <f>IFERROR(__xludf.DUMMYFUNCTION("""COMPUTED_VALUE"""),9.9)</f>
        <v>9.9</v>
      </c>
      <c r="K48" s="3">
        <f>IFERROR(__xludf.DUMMYFUNCTION("""COMPUTED_VALUE"""),44263.6875)</f>
        <v>44263.6875</v>
      </c>
      <c r="L48" s="2">
        <f>IFERROR(__xludf.DUMMYFUNCTION("""COMPUTED_VALUE"""),41.78)</f>
        <v>41.78</v>
      </c>
      <c r="N48" s="3">
        <f>IFERROR(__xludf.DUMMYFUNCTION("""COMPUTED_VALUE"""),44265.66666666667)</f>
        <v>44265.66667</v>
      </c>
      <c r="O48" s="2">
        <f>IFERROR(__xludf.DUMMYFUNCTION("""COMPUTED_VALUE"""),26.65)</f>
        <v>26.65</v>
      </c>
      <c r="Q48" s="3">
        <f>IFERROR(__xludf.DUMMYFUNCTION("""COMPUTED_VALUE"""),44265.66666666667)</f>
        <v>44265.66667</v>
      </c>
      <c r="R48" s="2">
        <f>IFERROR(__xludf.DUMMYFUNCTION("""COMPUTED_VALUE"""),127.34)</f>
        <v>127.34</v>
      </c>
    </row>
    <row r="49">
      <c r="B49" s="3">
        <f>IFERROR(__xludf.DUMMYFUNCTION("""COMPUTED_VALUE"""),44266.66666666667)</f>
        <v>44266.66667</v>
      </c>
      <c r="C49" s="2">
        <f>IFERROR(__xludf.DUMMYFUNCTION("""COMPUTED_VALUE"""),48.8)</f>
        <v>48.8</v>
      </c>
      <c r="E49" s="3">
        <f>IFERROR(__xludf.DUMMYFUNCTION("""COMPUTED_VALUE"""),45565.66666666667)</f>
        <v>45565.66667</v>
      </c>
      <c r="F49" s="2">
        <f>IFERROR(__xludf.DUMMYFUNCTION("""COMPUTED_VALUE"""),1.08)</f>
        <v>1.08</v>
      </c>
      <c r="H49" s="3">
        <f>IFERROR(__xludf.DUMMYFUNCTION("""COMPUTED_VALUE"""),45317.66666666667)</f>
        <v>45317.66667</v>
      </c>
      <c r="I49" s="2">
        <f>IFERROR(__xludf.DUMMYFUNCTION("""COMPUTED_VALUE"""),3.47)</f>
        <v>3.47</v>
      </c>
      <c r="K49" s="3">
        <f>IFERROR(__xludf.DUMMYFUNCTION("""COMPUTED_VALUE"""),44264.6875)</f>
        <v>44264.6875</v>
      </c>
      <c r="L49" s="2">
        <f>IFERROR(__xludf.DUMMYFUNCTION("""COMPUTED_VALUE"""),41.14)</f>
        <v>41.14</v>
      </c>
      <c r="N49" s="3">
        <f>IFERROR(__xludf.DUMMYFUNCTION("""COMPUTED_VALUE"""),44266.66666666667)</f>
        <v>44266.66667</v>
      </c>
      <c r="O49" s="2">
        <f>IFERROR(__xludf.DUMMYFUNCTION("""COMPUTED_VALUE"""),26.65)</f>
        <v>26.65</v>
      </c>
      <c r="Q49" s="3">
        <f>IFERROR(__xludf.DUMMYFUNCTION("""COMPUTED_VALUE"""),44266.66666666667)</f>
        <v>44266.66667</v>
      </c>
      <c r="R49" s="2">
        <f>IFERROR(__xludf.DUMMYFUNCTION("""COMPUTED_VALUE"""),126.91)</f>
        <v>126.91</v>
      </c>
    </row>
    <row r="50">
      <c r="B50" s="3">
        <f>IFERROR(__xludf.DUMMYFUNCTION("""COMPUTED_VALUE"""),44267.66666666667)</f>
        <v>44267.66667</v>
      </c>
      <c r="C50" s="2">
        <f>IFERROR(__xludf.DUMMYFUNCTION("""COMPUTED_VALUE"""),48.82)</f>
        <v>48.82</v>
      </c>
      <c r="E50" s="3">
        <f>IFERROR(__xludf.DUMMYFUNCTION("""COMPUTED_VALUE"""),45566.66666666667)</f>
        <v>45566.66667</v>
      </c>
      <c r="F50" s="2">
        <f>IFERROR(__xludf.DUMMYFUNCTION("""COMPUTED_VALUE"""),1.08)</f>
        <v>1.08</v>
      </c>
      <c r="H50" s="3">
        <f>IFERROR(__xludf.DUMMYFUNCTION("""COMPUTED_VALUE"""),45320.66666666667)</f>
        <v>45320.66667</v>
      </c>
      <c r="I50" s="2">
        <f>IFERROR(__xludf.DUMMYFUNCTION("""COMPUTED_VALUE"""),2.8)</f>
        <v>2.8</v>
      </c>
      <c r="K50" s="3">
        <f>IFERROR(__xludf.DUMMYFUNCTION("""COMPUTED_VALUE"""),44265.6875)</f>
        <v>44265.6875</v>
      </c>
      <c r="L50" s="2">
        <f>IFERROR(__xludf.DUMMYFUNCTION("""COMPUTED_VALUE"""),40.78)</f>
        <v>40.78</v>
      </c>
      <c r="N50" s="3">
        <f>IFERROR(__xludf.DUMMYFUNCTION("""COMPUTED_VALUE"""),44267.66666666667)</f>
        <v>44267.66667</v>
      </c>
      <c r="O50" s="2">
        <f>IFERROR(__xludf.DUMMYFUNCTION("""COMPUTED_VALUE"""),26.96)</f>
        <v>26.96</v>
      </c>
      <c r="Q50" s="3">
        <f>IFERROR(__xludf.DUMMYFUNCTION("""COMPUTED_VALUE"""),44267.66666666667)</f>
        <v>44267.66667</v>
      </c>
      <c r="R50" s="2">
        <f>IFERROR(__xludf.DUMMYFUNCTION("""COMPUTED_VALUE"""),128.14)</f>
        <v>128.14</v>
      </c>
    </row>
    <row r="51">
      <c r="B51" s="3">
        <f>IFERROR(__xludf.DUMMYFUNCTION("""COMPUTED_VALUE"""),44270.66666666667)</f>
        <v>44270.66667</v>
      </c>
      <c r="C51" s="2">
        <f>IFERROR(__xludf.DUMMYFUNCTION("""COMPUTED_VALUE"""),49.41)</f>
        <v>49.41</v>
      </c>
      <c r="E51" s="3">
        <f>IFERROR(__xludf.DUMMYFUNCTION("""COMPUTED_VALUE"""),45567.66666666667)</f>
        <v>45567.66667</v>
      </c>
      <c r="F51" s="2">
        <f>IFERROR(__xludf.DUMMYFUNCTION("""COMPUTED_VALUE"""),1.21)</f>
        <v>1.21</v>
      </c>
      <c r="H51" s="3">
        <f>IFERROR(__xludf.DUMMYFUNCTION("""COMPUTED_VALUE"""),45321.66666666667)</f>
        <v>45321.66667</v>
      </c>
      <c r="I51" s="2">
        <f>IFERROR(__xludf.DUMMYFUNCTION("""COMPUTED_VALUE"""),2.24)</f>
        <v>2.24</v>
      </c>
      <c r="K51" s="3">
        <f>IFERROR(__xludf.DUMMYFUNCTION("""COMPUTED_VALUE"""),44266.6875)</f>
        <v>44266.6875</v>
      </c>
      <c r="L51" s="2">
        <f>IFERROR(__xludf.DUMMYFUNCTION("""COMPUTED_VALUE"""),40.5)</f>
        <v>40.5</v>
      </c>
      <c r="N51" s="3">
        <f>IFERROR(__xludf.DUMMYFUNCTION("""COMPUTED_VALUE"""),44270.66666666667)</f>
        <v>44270.66667</v>
      </c>
      <c r="O51" s="2">
        <f>IFERROR(__xludf.DUMMYFUNCTION("""COMPUTED_VALUE"""),26.49)</f>
        <v>26.49</v>
      </c>
      <c r="Q51" s="3">
        <f>IFERROR(__xludf.DUMMYFUNCTION("""COMPUTED_VALUE"""),44270.66666666667)</f>
        <v>44270.66667</v>
      </c>
      <c r="R51" s="2">
        <f>IFERROR(__xludf.DUMMYFUNCTION("""COMPUTED_VALUE"""),128.56)</f>
        <v>128.56</v>
      </c>
    </row>
    <row r="52">
      <c r="B52" s="3">
        <f>IFERROR(__xludf.DUMMYFUNCTION("""COMPUTED_VALUE"""),44271.66666666667)</f>
        <v>44271.66667</v>
      </c>
      <c r="C52" s="2">
        <f>IFERROR(__xludf.DUMMYFUNCTION("""COMPUTED_VALUE"""),49.67)</f>
        <v>49.67</v>
      </c>
      <c r="E52" s="3">
        <f>IFERROR(__xludf.DUMMYFUNCTION("""COMPUTED_VALUE"""),45568.66666666667)</f>
        <v>45568.66667</v>
      </c>
      <c r="F52" s="2">
        <f>IFERROR(__xludf.DUMMYFUNCTION("""COMPUTED_VALUE"""),1.31)</f>
        <v>1.31</v>
      </c>
      <c r="H52" s="3">
        <f>IFERROR(__xludf.DUMMYFUNCTION("""COMPUTED_VALUE"""),45322.66666666667)</f>
        <v>45322.66667</v>
      </c>
      <c r="I52" s="2">
        <f>IFERROR(__xludf.DUMMYFUNCTION("""COMPUTED_VALUE"""),2.26)</f>
        <v>2.26</v>
      </c>
      <c r="K52" s="3">
        <f>IFERROR(__xludf.DUMMYFUNCTION("""COMPUTED_VALUE"""),44267.6875)</f>
        <v>44267.6875</v>
      </c>
      <c r="L52" s="2">
        <f>IFERROR(__xludf.DUMMYFUNCTION("""COMPUTED_VALUE"""),41.21)</f>
        <v>41.21</v>
      </c>
      <c r="N52" s="3">
        <f>IFERROR(__xludf.DUMMYFUNCTION("""COMPUTED_VALUE"""),44271.66666666667)</f>
        <v>44271.66667</v>
      </c>
      <c r="O52" s="2">
        <f>IFERROR(__xludf.DUMMYFUNCTION("""COMPUTED_VALUE"""),26.08)</f>
        <v>26.08</v>
      </c>
      <c r="Q52" s="3">
        <f>IFERROR(__xludf.DUMMYFUNCTION("""COMPUTED_VALUE"""),44271.66666666667)</f>
        <v>44271.66667</v>
      </c>
      <c r="R52" s="2">
        <f>IFERROR(__xludf.DUMMYFUNCTION("""COMPUTED_VALUE"""),128.94)</f>
        <v>128.94</v>
      </c>
    </row>
    <row r="53">
      <c r="B53" s="3">
        <f>IFERROR(__xludf.DUMMYFUNCTION("""COMPUTED_VALUE"""),44272.66666666667)</f>
        <v>44272.66667</v>
      </c>
      <c r="C53" s="2">
        <f>IFERROR(__xludf.DUMMYFUNCTION("""COMPUTED_VALUE"""),49.42)</f>
        <v>49.42</v>
      </c>
      <c r="E53" s="3">
        <f>IFERROR(__xludf.DUMMYFUNCTION("""COMPUTED_VALUE"""),45569.66666666667)</f>
        <v>45569.66667</v>
      </c>
      <c r="F53" s="2">
        <f>IFERROR(__xludf.DUMMYFUNCTION("""COMPUTED_VALUE"""),1.4)</f>
        <v>1.4</v>
      </c>
      <c r="H53" s="3">
        <f>IFERROR(__xludf.DUMMYFUNCTION("""COMPUTED_VALUE"""),45323.66666666667)</f>
        <v>45323.66667</v>
      </c>
      <c r="I53" s="2">
        <f>IFERROR(__xludf.DUMMYFUNCTION("""COMPUTED_VALUE"""),2.05)</f>
        <v>2.05</v>
      </c>
      <c r="K53" s="3">
        <f>IFERROR(__xludf.DUMMYFUNCTION("""COMPUTED_VALUE"""),44270.6875)</f>
        <v>44270.6875</v>
      </c>
      <c r="L53" s="2">
        <f>IFERROR(__xludf.DUMMYFUNCTION("""COMPUTED_VALUE"""),41.1)</f>
        <v>41.1</v>
      </c>
      <c r="N53" s="3">
        <f>IFERROR(__xludf.DUMMYFUNCTION("""COMPUTED_VALUE"""),44272.66666666667)</f>
        <v>44272.66667</v>
      </c>
      <c r="O53" s="2">
        <f>IFERROR(__xludf.DUMMYFUNCTION("""COMPUTED_VALUE"""),26.47)</f>
        <v>26.47</v>
      </c>
      <c r="Q53" s="3">
        <f>IFERROR(__xludf.DUMMYFUNCTION("""COMPUTED_VALUE"""),44272.66666666667)</f>
        <v>44272.66667</v>
      </c>
      <c r="R53" s="2">
        <f>IFERROR(__xludf.DUMMYFUNCTION("""COMPUTED_VALUE"""),128.42)</f>
        <v>128.42</v>
      </c>
    </row>
    <row r="54">
      <c r="B54" s="3">
        <f>IFERROR(__xludf.DUMMYFUNCTION("""COMPUTED_VALUE"""),44273.66666666667)</f>
        <v>44273.66667</v>
      </c>
      <c r="C54" s="2">
        <f>IFERROR(__xludf.DUMMYFUNCTION("""COMPUTED_VALUE"""),48.8)</f>
        <v>48.8</v>
      </c>
      <c r="E54" s="3">
        <f>IFERROR(__xludf.DUMMYFUNCTION("""COMPUTED_VALUE"""),45572.66666666667)</f>
        <v>45572.66667</v>
      </c>
      <c r="F54" s="2">
        <f>IFERROR(__xludf.DUMMYFUNCTION("""COMPUTED_VALUE"""),1.43)</f>
        <v>1.43</v>
      </c>
      <c r="H54" s="3">
        <f>IFERROR(__xludf.DUMMYFUNCTION("""COMPUTED_VALUE"""),45324.66666666667)</f>
        <v>45324.66667</v>
      </c>
      <c r="I54" s="2">
        <f>IFERROR(__xludf.DUMMYFUNCTION("""COMPUTED_VALUE"""),1.98)</f>
        <v>1.98</v>
      </c>
      <c r="K54" s="3">
        <f>IFERROR(__xludf.DUMMYFUNCTION("""COMPUTED_VALUE"""),44271.6875)</f>
        <v>44271.6875</v>
      </c>
      <c r="L54" s="2">
        <f>IFERROR(__xludf.DUMMYFUNCTION("""COMPUTED_VALUE"""),41.48)</f>
        <v>41.48</v>
      </c>
      <c r="N54" s="3">
        <f>IFERROR(__xludf.DUMMYFUNCTION("""COMPUTED_VALUE"""),44273.66666666667)</f>
        <v>44273.66667</v>
      </c>
      <c r="O54" s="2">
        <f>IFERROR(__xludf.DUMMYFUNCTION("""COMPUTED_VALUE"""),25.41)</f>
        <v>25.41</v>
      </c>
      <c r="Q54" s="3">
        <f>IFERROR(__xludf.DUMMYFUNCTION("""COMPUTED_VALUE"""),44273.66666666667)</f>
        <v>44273.66667</v>
      </c>
      <c r="R54" s="2">
        <f>IFERROR(__xludf.DUMMYFUNCTION("""COMPUTED_VALUE"""),128.7)</f>
        <v>128.7</v>
      </c>
    </row>
    <row r="55">
      <c r="B55" s="3">
        <f>IFERROR(__xludf.DUMMYFUNCTION("""COMPUTED_VALUE"""),44274.66666666667)</f>
        <v>44274.66667</v>
      </c>
      <c r="C55" s="2">
        <f>IFERROR(__xludf.DUMMYFUNCTION("""COMPUTED_VALUE"""),48.98)</f>
        <v>48.98</v>
      </c>
      <c r="E55" s="3">
        <f>IFERROR(__xludf.DUMMYFUNCTION("""COMPUTED_VALUE"""),45573.66666666667)</f>
        <v>45573.66667</v>
      </c>
      <c r="F55" s="2">
        <f>IFERROR(__xludf.DUMMYFUNCTION("""COMPUTED_VALUE"""),1.34)</f>
        <v>1.34</v>
      </c>
      <c r="H55" s="3">
        <f>IFERROR(__xludf.DUMMYFUNCTION("""COMPUTED_VALUE"""),45327.66666666667)</f>
        <v>45327.66667</v>
      </c>
      <c r="I55" s="2">
        <f>IFERROR(__xludf.DUMMYFUNCTION("""COMPUTED_VALUE"""),1.82)</f>
        <v>1.82</v>
      </c>
      <c r="K55" s="3">
        <f>IFERROR(__xludf.DUMMYFUNCTION("""COMPUTED_VALUE"""),44272.6875)</f>
        <v>44272.6875</v>
      </c>
      <c r="L55" s="2">
        <f>IFERROR(__xludf.DUMMYFUNCTION("""COMPUTED_VALUE"""),41.46)</f>
        <v>41.46</v>
      </c>
      <c r="N55" s="3">
        <f>IFERROR(__xludf.DUMMYFUNCTION("""COMPUTED_VALUE"""),44274.66666666667)</f>
        <v>44274.66667</v>
      </c>
      <c r="O55" s="2">
        <f>IFERROR(__xludf.DUMMYFUNCTION("""COMPUTED_VALUE"""),25.44)</f>
        <v>25.44</v>
      </c>
      <c r="Q55" s="3">
        <f>IFERROR(__xludf.DUMMYFUNCTION("""COMPUTED_VALUE"""),44274.66666666667)</f>
        <v>44274.66667</v>
      </c>
      <c r="R55" s="2">
        <f>IFERROR(__xludf.DUMMYFUNCTION("""COMPUTED_VALUE"""),128.01)</f>
        <v>128.01</v>
      </c>
    </row>
    <row r="56">
      <c r="B56" s="3">
        <f>IFERROR(__xludf.DUMMYFUNCTION("""COMPUTED_VALUE"""),44277.66666666667)</f>
        <v>44277.66667</v>
      </c>
      <c r="C56" s="2">
        <f>IFERROR(__xludf.DUMMYFUNCTION("""COMPUTED_VALUE"""),50.3)</f>
        <v>50.3</v>
      </c>
      <c r="E56" s="3">
        <f>IFERROR(__xludf.DUMMYFUNCTION("""COMPUTED_VALUE"""),45574.66666666667)</f>
        <v>45574.66667</v>
      </c>
      <c r="F56" s="2">
        <f>IFERROR(__xludf.DUMMYFUNCTION("""COMPUTED_VALUE"""),1.32)</f>
        <v>1.32</v>
      </c>
      <c r="H56" s="3">
        <f>IFERROR(__xludf.DUMMYFUNCTION("""COMPUTED_VALUE"""),45328.66666666667)</f>
        <v>45328.66667</v>
      </c>
      <c r="I56" s="2">
        <f>IFERROR(__xludf.DUMMYFUNCTION("""COMPUTED_VALUE"""),2.09)</f>
        <v>2.09</v>
      </c>
      <c r="K56" s="3">
        <f>IFERROR(__xludf.DUMMYFUNCTION("""COMPUTED_VALUE"""),44273.6875)</f>
        <v>44273.6875</v>
      </c>
      <c r="L56" s="2">
        <f>IFERROR(__xludf.DUMMYFUNCTION("""COMPUTED_VALUE"""),41.61)</f>
        <v>41.61</v>
      </c>
      <c r="N56" s="3">
        <f>IFERROR(__xludf.DUMMYFUNCTION("""COMPUTED_VALUE"""),44277.66666666667)</f>
        <v>44277.66667</v>
      </c>
      <c r="O56" s="2">
        <f>IFERROR(__xludf.DUMMYFUNCTION("""COMPUTED_VALUE"""),25.35)</f>
        <v>25.35</v>
      </c>
      <c r="Q56" s="3">
        <f>IFERROR(__xludf.DUMMYFUNCTION("""COMPUTED_VALUE"""),44277.66666666667)</f>
        <v>44277.66667</v>
      </c>
      <c r="R56" s="2">
        <f>IFERROR(__xludf.DUMMYFUNCTION("""COMPUTED_VALUE"""),130.18)</f>
        <v>130.18</v>
      </c>
    </row>
    <row r="57">
      <c r="B57" s="3">
        <f>IFERROR(__xludf.DUMMYFUNCTION("""COMPUTED_VALUE"""),44278.66666666667)</f>
        <v>44278.66667</v>
      </c>
      <c r="C57" s="2">
        <f>IFERROR(__xludf.DUMMYFUNCTION("""COMPUTED_VALUE"""),50.01)</f>
        <v>50.01</v>
      </c>
      <c r="E57" s="3">
        <f>IFERROR(__xludf.DUMMYFUNCTION("""COMPUTED_VALUE"""),45575.66666666667)</f>
        <v>45575.66667</v>
      </c>
      <c r="F57" s="2">
        <f>IFERROR(__xludf.DUMMYFUNCTION("""COMPUTED_VALUE"""),1.36)</f>
        <v>1.36</v>
      </c>
      <c r="H57" s="3">
        <f>IFERROR(__xludf.DUMMYFUNCTION("""COMPUTED_VALUE"""),45329.66666666667)</f>
        <v>45329.66667</v>
      </c>
      <c r="I57" s="2">
        <f>IFERROR(__xludf.DUMMYFUNCTION("""COMPUTED_VALUE"""),1.85)</f>
        <v>1.85</v>
      </c>
      <c r="K57" s="3">
        <f>IFERROR(__xludf.DUMMYFUNCTION("""COMPUTED_VALUE"""),44274.6875)</f>
        <v>44274.6875</v>
      </c>
      <c r="L57" s="2">
        <f>IFERROR(__xludf.DUMMYFUNCTION("""COMPUTED_VALUE"""),41.03)</f>
        <v>41.03</v>
      </c>
      <c r="N57" s="3">
        <f>IFERROR(__xludf.DUMMYFUNCTION("""COMPUTED_VALUE"""),44278.66666666667)</f>
        <v>44278.66667</v>
      </c>
      <c r="O57" s="2">
        <f>IFERROR(__xludf.DUMMYFUNCTION("""COMPUTED_VALUE"""),24.06)</f>
        <v>24.06</v>
      </c>
      <c r="Q57" s="3">
        <f>IFERROR(__xludf.DUMMYFUNCTION("""COMPUTED_VALUE"""),44278.66666666667)</f>
        <v>44278.66667</v>
      </c>
      <c r="R57" s="2">
        <f>IFERROR(__xludf.DUMMYFUNCTION("""COMPUTED_VALUE"""),132.6)</f>
        <v>132.6</v>
      </c>
    </row>
    <row r="58">
      <c r="B58" s="3">
        <f>IFERROR(__xludf.DUMMYFUNCTION("""COMPUTED_VALUE"""),44279.66666666667)</f>
        <v>44279.66667</v>
      </c>
      <c r="C58" s="2">
        <f>IFERROR(__xludf.DUMMYFUNCTION("""COMPUTED_VALUE"""),49.65)</f>
        <v>49.65</v>
      </c>
      <c r="E58" s="3">
        <f>IFERROR(__xludf.DUMMYFUNCTION("""COMPUTED_VALUE"""),45576.66666666667)</f>
        <v>45576.66667</v>
      </c>
      <c r="F58" s="2">
        <f>IFERROR(__xludf.DUMMYFUNCTION("""COMPUTED_VALUE"""),1.44)</f>
        <v>1.44</v>
      </c>
      <c r="H58" s="3">
        <f>IFERROR(__xludf.DUMMYFUNCTION("""COMPUTED_VALUE"""),45330.66666666667)</f>
        <v>45330.66667</v>
      </c>
      <c r="I58" s="2">
        <f>IFERROR(__xludf.DUMMYFUNCTION("""COMPUTED_VALUE"""),1.88)</f>
        <v>1.88</v>
      </c>
      <c r="K58" s="3">
        <f>IFERROR(__xludf.DUMMYFUNCTION("""COMPUTED_VALUE"""),44277.6875)</f>
        <v>44277.6875</v>
      </c>
      <c r="L58" s="2">
        <f>IFERROR(__xludf.DUMMYFUNCTION("""COMPUTED_VALUE"""),41.0)</f>
        <v>41</v>
      </c>
      <c r="N58" s="3">
        <f>IFERROR(__xludf.DUMMYFUNCTION("""COMPUTED_VALUE"""),44279.66666666667)</f>
        <v>44279.66667</v>
      </c>
      <c r="O58" s="2">
        <f>IFERROR(__xludf.DUMMYFUNCTION("""COMPUTED_VALUE"""),24.75)</f>
        <v>24.75</v>
      </c>
      <c r="Q58" s="3">
        <f>IFERROR(__xludf.DUMMYFUNCTION("""COMPUTED_VALUE"""),44279.66666666667)</f>
        <v>44279.66667</v>
      </c>
      <c r="R58" s="2">
        <f>IFERROR(__xludf.DUMMYFUNCTION("""COMPUTED_VALUE"""),132.56)</f>
        <v>132.56</v>
      </c>
    </row>
    <row r="59">
      <c r="B59" s="3">
        <f>IFERROR(__xludf.DUMMYFUNCTION("""COMPUTED_VALUE"""),44280.66666666667)</f>
        <v>44280.66667</v>
      </c>
      <c r="C59" s="2">
        <f>IFERROR(__xludf.DUMMYFUNCTION("""COMPUTED_VALUE"""),50.51)</f>
        <v>50.51</v>
      </c>
      <c r="E59" s="3">
        <f>IFERROR(__xludf.DUMMYFUNCTION("""COMPUTED_VALUE"""),45579.66666666667)</f>
        <v>45579.66667</v>
      </c>
      <c r="F59" s="2">
        <f>IFERROR(__xludf.DUMMYFUNCTION("""COMPUTED_VALUE"""),1.44)</f>
        <v>1.44</v>
      </c>
      <c r="H59" s="3">
        <f>IFERROR(__xludf.DUMMYFUNCTION("""COMPUTED_VALUE"""),45331.66666666667)</f>
        <v>45331.66667</v>
      </c>
      <c r="I59" s="2">
        <f>IFERROR(__xludf.DUMMYFUNCTION("""COMPUTED_VALUE"""),1.86)</f>
        <v>1.86</v>
      </c>
      <c r="K59" s="3">
        <f>IFERROR(__xludf.DUMMYFUNCTION("""COMPUTED_VALUE"""),44278.6875)</f>
        <v>44278.6875</v>
      </c>
      <c r="L59" s="2">
        <f>IFERROR(__xludf.DUMMYFUNCTION("""COMPUTED_VALUE"""),41.34)</f>
        <v>41.34</v>
      </c>
      <c r="N59" s="3">
        <f>IFERROR(__xludf.DUMMYFUNCTION("""COMPUTED_VALUE"""),44280.66666666667)</f>
        <v>44280.66667</v>
      </c>
      <c r="O59" s="2">
        <f>IFERROR(__xludf.DUMMYFUNCTION("""COMPUTED_VALUE"""),24.57)</f>
        <v>24.57</v>
      </c>
      <c r="Q59" s="3">
        <f>IFERROR(__xludf.DUMMYFUNCTION("""COMPUTED_VALUE"""),44280.66666666667)</f>
        <v>44280.66667</v>
      </c>
      <c r="R59" s="2">
        <f>IFERROR(__xludf.DUMMYFUNCTION("""COMPUTED_VALUE"""),133.48)</f>
        <v>133.48</v>
      </c>
    </row>
    <row r="60">
      <c r="B60" s="3">
        <f>IFERROR(__xludf.DUMMYFUNCTION("""COMPUTED_VALUE"""),44281.66666666667)</f>
        <v>44281.66667</v>
      </c>
      <c r="C60" s="2">
        <f>IFERROR(__xludf.DUMMYFUNCTION("""COMPUTED_VALUE"""),52.57)</f>
        <v>52.57</v>
      </c>
      <c r="E60" s="3">
        <f>IFERROR(__xludf.DUMMYFUNCTION("""COMPUTED_VALUE"""),45580.66666666667)</f>
        <v>45580.66667</v>
      </c>
      <c r="F60" s="2">
        <f>IFERROR(__xludf.DUMMYFUNCTION("""COMPUTED_VALUE"""),1.44)</f>
        <v>1.44</v>
      </c>
      <c r="H60" s="3">
        <f>IFERROR(__xludf.DUMMYFUNCTION("""COMPUTED_VALUE"""),45334.66666666667)</f>
        <v>45334.66667</v>
      </c>
      <c r="I60" s="2">
        <f>IFERROR(__xludf.DUMMYFUNCTION("""COMPUTED_VALUE"""),2.01)</f>
        <v>2.01</v>
      </c>
      <c r="K60" s="3">
        <f>IFERROR(__xludf.DUMMYFUNCTION("""COMPUTED_VALUE"""),44279.6875)</f>
        <v>44279.6875</v>
      </c>
      <c r="L60" s="2">
        <f>IFERROR(__xludf.DUMMYFUNCTION("""COMPUTED_VALUE"""),42.24)</f>
        <v>42.24</v>
      </c>
      <c r="N60" s="3">
        <f>IFERROR(__xludf.DUMMYFUNCTION("""COMPUTED_VALUE"""),44281.66666666667)</f>
        <v>44281.66667</v>
      </c>
      <c r="O60" s="2">
        <f>IFERROR(__xludf.DUMMYFUNCTION("""COMPUTED_VALUE"""),25.23)</f>
        <v>25.23</v>
      </c>
      <c r="Q60" s="3">
        <f>IFERROR(__xludf.DUMMYFUNCTION("""COMPUTED_VALUE"""),44281.66666666667)</f>
        <v>44281.66667</v>
      </c>
      <c r="R60" s="2">
        <f>IFERROR(__xludf.DUMMYFUNCTION("""COMPUTED_VALUE"""),135.45)</f>
        <v>135.45</v>
      </c>
    </row>
    <row r="61">
      <c r="B61" s="3">
        <f>IFERROR(__xludf.DUMMYFUNCTION("""COMPUTED_VALUE"""),44284.66666666667)</f>
        <v>44284.66667</v>
      </c>
      <c r="C61" s="2">
        <f>IFERROR(__xludf.DUMMYFUNCTION("""COMPUTED_VALUE"""),52.52)</f>
        <v>52.52</v>
      </c>
      <c r="E61" s="3">
        <f>IFERROR(__xludf.DUMMYFUNCTION("""COMPUTED_VALUE"""),45581.66666666667)</f>
        <v>45581.66667</v>
      </c>
      <c r="F61" s="2">
        <f>IFERROR(__xludf.DUMMYFUNCTION("""COMPUTED_VALUE"""),1.44)</f>
        <v>1.44</v>
      </c>
      <c r="H61" s="3">
        <f>IFERROR(__xludf.DUMMYFUNCTION("""COMPUTED_VALUE"""),45335.66666666667)</f>
        <v>45335.66667</v>
      </c>
      <c r="I61" s="2">
        <f>IFERROR(__xludf.DUMMYFUNCTION("""COMPUTED_VALUE"""),1.88)</f>
        <v>1.88</v>
      </c>
      <c r="K61" s="3">
        <f>IFERROR(__xludf.DUMMYFUNCTION("""COMPUTED_VALUE"""),44280.6875)</f>
        <v>44280.6875</v>
      </c>
      <c r="L61" s="2">
        <f>IFERROR(__xludf.DUMMYFUNCTION("""COMPUTED_VALUE"""),41.77)</f>
        <v>41.77</v>
      </c>
      <c r="N61" s="3">
        <f>IFERROR(__xludf.DUMMYFUNCTION("""COMPUTED_VALUE"""),44284.66666666667)</f>
        <v>44284.66667</v>
      </c>
      <c r="O61" s="2">
        <f>IFERROR(__xludf.DUMMYFUNCTION("""COMPUTED_VALUE"""),25.18)</f>
        <v>25.18</v>
      </c>
      <c r="Q61" s="3">
        <f>IFERROR(__xludf.DUMMYFUNCTION("""COMPUTED_VALUE"""),44284.66666666667)</f>
        <v>44284.66667</v>
      </c>
      <c r="R61" s="2">
        <f>IFERROR(__xludf.DUMMYFUNCTION("""COMPUTED_VALUE"""),137.57)</f>
        <v>137.57</v>
      </c>
    </row>
    <row r="62">
      <c r="B62" s="3">
        <f>IFERROR(__xludf.DUMMYFUNCTION("""COMPUTED_VALUE"""),44285.66666666667)</f>
        <v>44285.66667</v>
      </c>
      <c r="C62" s="2">
        <f>IFERROR(__xludf.DUMMYFUNCTION("""COMPUTED_VALUE"""),51.77)</f>
        <v>51.77</v>
      </c>
      <c r="E62" s="3">
        <f>IFERROR(__xludf.DUMMYFUNCTION("""COMPUTED_VALUE"""),45582.66666666667)</f>
        <v>45582.66667</v>
      </c>
      <c r="F62" s="2">
        <f>IFERROR(__xludf.DUMMYFUNCTION("""COMPUTED_VALUE"""),1.49)</f>
        <v>1.49</v>
      </c>
      <c r="H62" s="3">
        <f>IFERROR(__xludf.DUMMYFUNCTION("""COMPUTED_VALUE"""),45336.66666666667)</f>
        <v>45336.66667</v>
      </c>
      <c r="I62" s="2">
        <f>IFERROR(__xludf.DUMMYFUNCTION("""COMPUTED_VALUE"""),1.92)</f>
        <v>1.92</v>
      </c>
      <c r="K62" s="3">
        <f>IFERROR(__xludf.DUMMYFUNCTION("""COMPUTED_VALUE"""),44281.6875)</f>
        <v>44281.6875</v>
      </c>
      <c r="L62" s="2">
        <f>IFERROR(__xludf.DUMMYFUNCTION("""COMPUTED_VALUE"""),42.26)</f>
        <v>42.26</v>
      </c>
      <c r="N62" s="3">
        <f>IFERROR(__xludf.DUMMYFUNCTION("""COMPUTED_VALUE"""),44285.66666666667)</f>
        <v>44285.66667</v>
      </c>
      <c r="O62" s="2">
        <f>IFERROR(__xludf.DUMMYFUNCTION("""COMPUTED_VALUE"""),24.88)</f>
        <v>24.88</v>
      </c>
      <c r="Q62" s="3">
        <f>IFERROR(__xludf.DUMMYFUNCTION("""COMPUTED_VALUE"""),44285.66666666667)</f>
        <v>44285.66667</v>
      </c>
      <c r="R62" s="2">
        <f>IFERROR(__xludf.DUMMYFUNCTION("""COMPUTED_VALUE"""),135.45)</f>
        <v>135.45</v>
      </c>
    </row>
    <row r="63">
      <c r="B63" s="3">
        <f>IFERROR(__xludf.DUMMYFUNCTION("""COMPUTED_VALUE"""),44286.66666666667)</f>
        <v>44286.66667</v>
      </c>
      <c r="C63" s="2">
        <f>IFERROR(__xludf.DUMMYFUNCTION("""COMPUTED_VALUE"""),51.71)</f>
        <v>51.71</v>
      </c>
      <c r="E63" s="3">
        <f>IFERROR(__xludf.DUMMYFUNCTION("""COMPUTED_VALUE"""),45583.66666666667)</f>
        <v>45583.66667</v>
      </c>
      <c r="F63" s="2">
        <f>IFERROR(__xludf.DUMMYFUNCTION("""COMPUTED_VALUE"""),1.47)</f>
        <v>1.47</v>
      </c>
      <c r="H63" s="3">
        <f>IFERROR(__xludf.DUMMYFUNCTION("""COMPUTED_VALUE"""),45337.66666666667)</f>
        <v>45337.66667</v>
      </c>
      <c r="I63" s="2">
        <f>IFERROR(__xludf.DUMMYFUNCTION("""COMPUTED_VALUE"""),1.83)</f>
        <v>1.83</v>
      </c>
      <c r="K63" s="3">
        <f>IFERROR(__xludf.DUMMYFUNCTION("""COMPUTED_VALUE"""),44284.6875)</f>
        <v>44284.6875</v>
      </c>
      <c r="L63" s="2">
        <f>IFERROR(__xludf.DUMMYFUNCTION("""COMPUTED_VALUE"""),42.06)</f>
        <v>42.06</v>
      </c>
      <c r="N63" s="3">
        <f>IFERROR(__xludf.DUMMYFUNCTION("""COMPUTED_VALUE"""),44286.66666666667)</f>
        <v>44286.66667</v>
      </c>
      <c r="O63" s="2">
        <f>IFERROR(__xludf.DUMMYFUNCTION("""COMPUTED_VALUE"""),24.35)</f>
        <v>24.35</v>
      </c>
      <c r="Q63" s="3">
        <f>IFERROR(__xludf.DUMMYFUNCTION("""COMPUTED_VALUE"""),44286.66666666667)</f>
        <v>44286.66667</v>
      </c>
      <c r="R63" s="2">
        <f>IFERROR(__xludf.DUMMYFUNCTION("""COMPUTED_VALUE"""),135.43)</f>
        <v>135.43</v>
      </c>
    </row>
    <row r="64">
      <c r="B64" s="3">
        <f>IFERROR(__xludf.DUMMYFUNCTION("""COMPUTED_VALUE"""),44287.66666666667)</f>
        <v>44287.66667</v>
      </c>
      <c r="C64" s="2">
        <f>IFERROR(__xludf.DUMMYFUNCTION("""COMPUTED_VALUE"""),51.98)</f>
        <v>51.98</v>
      </c>
      <c r="E64" s="3">
        <f>IFERROR(__xludf.DUMMYFUNCTION("""COMPUTED_VALUE"""),45586.66666666667)</f>
        <v>45586.66667</v>
      </c>
      <c r="F64" s="2">
        <f>IFERROR(__xludf.DUMMYFUNCTION("""COMPUTED_VALUE"""),1.5)</f>
        <v>1.5</v>
      </c>
      <c r="H64" s="3">
        <f>IFERROR(__xludf.DUMMYFUNCTION("""COMPUTED_VALUE"""),45338.66666666667)</f>
        <v>45338.66667</v>
      </c>
      <c r="I64" s="2">
        <f>IFERROR(__xludf.DUMMYFUNCTION("""COMPUTED_VALUE"""),1.85)</f>
        <v>1.85</v>
      </c>
      <c r="K64" s="3">
        <f>IFERROR(__xludf.DUMMYFUNCTION("""COMPUTED_VALUE"""),44285.6875)</f>
        <v>44285.6875</v>
      </c>
      <c r="L64" s="2">
        <f>IFERROR(__xludf.DUMMYFUNCTION("""COMPUTED_VALUE"""),43.1)</f>
        <v>43.1</v>
      </c>
      <c r="N64" s="3">
        <f>IFERROR(__xludf.DUMMYFUNCTION("""COMPUTED_VALUE"""),44287.66666666667)</f>
        <v>44287.66667</v>
      </c>
      <c r="O64" s="2">
        <f>IFERROR(__xludf.DUMMYFUNCTION("""COMPUTED_VALUE"""),24.58)</f>
        <v>24.58</v>
      </c>
      <c r="Q64" s="3">
        <f>IFERROR(__xludf.DUMMYFUNCTION("""COMPUTED_VALUE"""),44287.66666666667)</f>
        <v>44287.66667</v>
      </c>
      <c r="R64" s="2">
        <f>IFERROR(__xludf.DUMMYFUNCTION("""COMPUTED_VALUE"""),134.28)</f>
        <v>134.28</v>
      </c>
    </row>
    <row r="65">
      <c r="B65" s="3">
        <f>IFERROR(__xludf.DUMMYFUNCTION("""COMPUTED_VALUE"""),44291.66666666667)</f>
        <v>44291.66667</v>
      </c>
      <c r="C65" s="2">
        <f>IFERROR(__xludf.DUMMYFUNCTION("""COMPUTED_VALUE"""),52.41)</f>
        <v>52.41</v>
      </c>
      <c r="E65" s="3">
        <f>IFERROR(__xludf.DUMMYFUNCTION("""COMPUTED_VALUE"""),45587.66666666667)</f>
        <v>45587.66667</v>
      </c>
      <c r="F65" s="2">
        <f>IFERROR(__xludf.DUMMYFUNCTION("""COMPUTED_VALUE"""),1.56)</f>
        <v>1.56</v>
      </c>
      <c r="H65" s="3">
        <f>IFERROR(__xludf.DUMMYFUNCTION("""COMPUTED_VALUE"""),45342.66666666667)</f>
        <v>45342.66667</v>
      </c>
      <c r="I65" s="2">
        <f>IFERROR(__xludf.DUMMYFUNCTION("""COMPUTED_VALUE"""),1.73)</f>
        <v>1.73</v>
      </c>
      <c r="K65" s="3">
        <f>IFERROR(__xludf.DUMMYFUNCTION("""COMPUTED_VALUE"""),44286.6875)</f>
        <v>44286.6875</v>
      </c>
      <c r="L65" s="2">
        <f>IFERROR(__xludf.DUMMYFUNCTION("""COMPUTED_VALUE"""),42.54)</f>
        <v>42.54</v>
      </c>
      <c r="N65" s="3">
        <f>IFERROR(__xludf.DUMMYFUNCTION("""COMPUTED_VALUE"""),44291.66666666667)</f>
        <v>44291.66667</v>
      </c>
      <c r="O65" s="2">
        <f>IFERROR(__xludf.DUMMYFUNCTION("""COMPUTED_VALUE"""),24.26)</f>
        <v>24.26</v>
      </c>
      <c r="Q65" s="3">
        <f>IFERROR(__xludf.DUMMYFUNCTION("""COMPUTED_VALUE"""),44291.66666666667)</f>
        <v>44291.66667</v>
      </c>
      <c r="R65" s="2">
        <f>IFERROR(__xludf.DUMMYFUNCTION("""COMPUTED_VALUE"""),136.45)</f>
        <v>136.45</v>
      </c>
    </row>
    <row r="66">
      <c r="B66" s="3">
        <f>IFERROR(__xludf.DUMMYFUNCTION("""COMPUTED_VALUE"""),44292.66666666667)</f>
        <v>44292.66667</v>
      </c>
      <c r="C66" s="2">
        <f>IFERROR(__xludf.DUMMYFUNCTION("""COMPUTED_VALUE"""),52.03)</f>
        <v>52.03</v>
      </c>
      <c r="E66" s="3">
        <f>IFERROR(__xludf.DUMMYFUNCTION("""COMPUTED_VALUE"""),45588.66666666667)</f>
        <v>45588.66667</v>
      </c>
      <c r="F66" s="2">
        <f>IFERROR(__xludf.DUMMYFUNCTION("""COMPUTED_VALUE"""),1.77)</f>
        <v>1.77</v>
      </c>
      <c r="H66" s="3">
        <f>IFERROR(__xludf.DUMMYFUNCTION("""COMPUTED_VALUE"""),45343.66666666667)</f>
        <v>45343.66667</v>
      </c>
      <c r="I66" s="2">
        <f>IFERROR(__xludf.DUMMYFUNCTION("""COMPUTED_VALUE"""),1.58)</f>
        <v>1.58</v>
      </c>
      <c r="K66" s="3">
        <f>IFERROR(__xludf.DUMMYFUNCTION("""COMPUTED_VALUE"""),44287.6875)</f>
        <v>44287.6875</v>
      </c>
      <c r="L66" s="2">
        <f>IFERROR(__xludf.DUMMYFUNCTION("""COMPUTED_VALUE"""),42.77)</f>
        <v>42.77</v>
      </c>
      <c r="N66" s="3">
        <f>IFERROR(__xludf.DUMMYFUNCTION("""COMPUTED_VALUE"""),44292.66666666667)</f>
        <v>44292.66667</v>
      </c>
      <c r="O66" s="2">
        <f>IFERROR(__xludf.DUMMYFUNCTION("""COMPUTED_VALUE"""),25.1)</f>
        <v>25.1</v>
      </c>
      <c r="Q66" s="3">
        <f>IFERROR(__xludf.DUMMYFUNCTION("""COMPUTED_VALUE"""),44292.66666666667)</f>
        <v>44292.66667</v>
      </c>
      <c r="R66" s="2">
        <f>IFERROR(__xludf.DUMMYFUNCTION("""COMPUTED_VALUE"""),136.5)</f>
        <v>136.5</v>
      </c>
    </row>
    <row r="67">
      <c r="B67" s="3">
        <f>IFERROR(__xludf.DUMMYFUNCTION("""COMPUTED_VALUE"""),44293.66666666667)</f>
        <v>44293.66667</v>
      </c>
      <c r="C67" s="2">
        <f>IFERROR(__xludf.DUMMYFUNCTION("""COMPUTED_VALUE"""),51.77)</f>
        <v>51.77</v>
      </c>
      <c r="E67" s="3">
        <f>IFERROR(__xludf.DUMMYFUNCTION("""COMPUTED_VALUE"""),45589.66666666667)</f>
        <v>45589.66667</v>
      </c>
      <c r="F67" s="2">
        <f>IFERROR(__xludf.DUMMYFUNCTION("""COMPUTED_VALUE"""),2.16)</f>
        <v>2.16</v>
      </c>
      <c r="H67" s="3">
        <f>IFERROR(__xludf.DUMMYFUNCTION("""COMPUTED_VALUE"""),45344.66666666667)</f>
        <v>45344.66667</v>
      </c>
      <c r="I67" s="2">
        <f>IFERROR(__xludf.DUMMYFUNCTION("""COMPUTED_VALUE"""),1.49)</f>
        <v>1.49</v>
      </c>
      <c r="K67" s="3">
        <f>IFERROR(__xludf.DUMMYFUNCTION("""COMPUTED_VALUE"""),44292.6875)</f>
        <v>44292.6875</v>
      </c>
      <c r="L67" s="2">
        <f>IFERROR(__xludf.DUMMYFUNCTION("""COMPUTED_VALUE"""),42.83)</f>
        <v>42.83</v>
      </c>
      <c r="N67" s="3">
        <f>IFERROR(__xludf.DUMMYFUNCTION("""COMPUTED_VALUE"""),44293.66666666667)</f>
        <v>44293.66667</v>
      </c>
      <c r="O67" s="2">
        <f>IFERROR(__xludf.DUMMYFUNCTION("""COMPUTED_VALUE"""),25.37)</f>
        <v>25.37</v>
      </c>
      <c r="Q67" s="3">
        <f>IFERROR(__xludf.DUMMYFUNCTION("""COMPUTED_VALUE"""),44293.66666666667)</f>
        <v>44293.66667</v>
      </c>
      <c r="R67" s="2">
        <f>IFERROR(__xludf.DUMMYFUNCTION("""COMPUTED_VALUE"""),136.74)</f>
        <v>136.74</v>
      </c>
    </row>
    <row r="68">
      <c r="B68" s="3">
        <f>IFERROR(__xludf.DUMMYFUNCTION("""COMPUTED_VALUE"""),44294.66666666667)</f>
        <v>44294.66667</v>
      </c>
      <c r="C68" s="2">
        <f>IFERROR(__xludf.DUMMYFUNCTION("""COMPUTED_VALUE"""),51.91)</f>
        <v>51.91</v>
      </c>
      <c r="E68" s="3">
        <f>IFERROR(__xludf.DUMMYFUNCTION("""COMPUTED_VALUE"""),45590.66666666667)</f>
        <v>45590.66667</v>
      </c>
      <c r="F68" s="2">
        <f>IFERROR(__xludf.DUMMYFUNCTION("""COMPUTED_VALUE"""),2.14)</f>
        <v>2.14</v>
      </c>
      <c r="H68" s="3">
        <f>IFERROR(__xludf.DUMMYFUNCTION("""COMPUTED_VALUE"""),45345.66666666667)</f>
        <v>45345.66667</v>
      </c>
      <c r="I68" s="2">
        <f>IFERROR(__xludf.DUMMYFUNCTION("""COMPUTED_VALUE"""),1.38)</f>
        <v>1.38</v>
      </c>
      <c r="K68" s="3">
        <f>IFERROR(__xludf.DUMMYFUNCTION("""COMPUTED_VALUE"""),44293.6875)</f>
        <v>44293.6875</v>
      </c>
      <c r="L68" s="2">
        <f>IFERROR(__xludf.DUMMYFUNCTION("""COMPUTED_VALUE"""),43.35)</f>
        <v>43.35</v>
      </c>
      <c r="N68" s="3">
        <f>IFERROR(__xludf.DUMMYFUNCTION("""COMPUTED_VALUE"""),44294.66666666667)</f>
        <v>44294.66667</v>
      </c>
      <c r="O68" s="2">
        <f>IFERROR(__xludf.DUMMYFUNCTION("""COMPUTED_VALUE"""),24.72)</f>
        <v>24.72</v>
      </c>
      <c r="Q68" s="3">
        <f>IFERROR(__xludf.DUMMYFUNCTION("""COMPUTED_VALUE"""),44294.66666666667)</f>
        <v>44294.66667</v>
      </c>
      <c r="R68" s="2">
        <f>IFERROR(__xludf.DUMMYFUNCTION("""COMPUTED_VALUE"""),137.26)</f>
        <v>137.26</v>
      </c>
    </row>
    <row r="69">
      <c r="B69" s="3">
        <f>IFERROR(__xludf.DUMMYFUNCTION("""COMPUTED_VALUE"""),44295.66666666667)</f>
        <v>44295.66667</v>
      </c>
      <c r="C69" s="2">
        <f>IFERROR(__xludf.DUMMYFUNCTION("""COMPUTED_VALUE"""),52.09)</f>
        <v>52.09</v>
      </c>
      <c r="E69" s="3">
        <f>IFERROR(__xludf.DUMMYFUNCTION("""COMPUTED_VALUE"""),45593.66666666667)</f>
        <v>45593.66667</v>
      </c>
      <c r="F69" s="2">
        <f>IFERROR(__xludf.DUMMYFUNCTION("""COMPUTED_VALUE"""),2.19)</f>
        <v>2.19</v>
      </c>
      <c r="H69" s="3">
        <f>IFERROR(__xludf.DUMMYFUNCTION("""COMPUTED_VALUE"""),45348.66666666667)</f>
        <v>45348.66667</v>
      </c>
      <c r="I69" s="2">
        <f>IFERROR(__xludf.DUMMYFUNCTION("""COMPUTED_VALUE"""),1.6)</f>
        <v>1.6</v>
      </c>
      <c r="K69" s="3">
        <f>IFERROR(__xludf.DUMMYFUNCTION("""COMPUTED_VALUE"""),44294.6875)</f>
        <v>44294.6875</v>
      </c>
      <c r="L69" s="2">
        <f>IFERROR(__xludf.DUMMYFUNCTION("""COMPUTED_VALUE"""),43.42)</f>
        <v>43.42</v>
      </c>
      <c r="N69" s="3">
        <f>IFERROR(__xludf.DUMMYFUNCTION("""COMPUTED_VALUE"""),44295.66666666667)</f>
        <v>44295.66667</v>
      </c>
      <c r="O69" s="2">
        <f>IFERROR(__xludf.DUMMYFUNCTION("""COMPUTED_VALUE"""),24.39)</f>
        <v>24.39</v>
      </c>
      <c r="Q69" s="3">
        <f>IFERROR(__xludf.DUMMYFUNCTION("""COMPUTED_VALUE"""),44295.66666666667)</f>
        <v>44295.66667</v>
      </c>
      <c r="R69" s="2">
        <f>IFERROR(__xludf.DUMMYFUNCTION("""COMPUTED_VALUE"""),136.37)</f>
        <v>136.37</v>
      </c>
    </row>
    <row r="70">
      <c r="B70" s="3">
        <f>IFERROR(__xludf.DUMMYFUNCTION("""COMPUTED_VALUE"""),44298.66666666667)</f>
        <v>44298.66667</v>
      </c>
      <c r="C70" s="2">
        <f>IFERROR(__xludf.DUMMYFUNCTION("""COMPUTED_VALUE"""),51.57)</f>
        <v>51.57</v>
      </c>
      <c r="E70" s="3">
        <f>IFERROR(__xludf.DUMMYFUNCTION("""COMPUTED_VALUE"""),45594.66666666667)</f>
        <v>45594.66667</v>
      </c>
      <c r="F70" s="2">
        <f>IFERROR(__xludf.DUMMYFUNCTION("""COMPUTED_VALUE"""),1.84)</f>
        <v>1.84</v>
      </c>
      <c r="H70" s="3">
        <f>IFERROR(__xludf.DUMMYFUNCTION("""COMPUTED_VALUE"""),45349.66666666667)</f>
        <v>45349.66667</v>
      </c>
      <c r="I70" s="2">
        <f>IFERROR(__xludf.DUMMYFUNCTION("""COMPUTED_VALUE"""),1.79)</f>
        <v>1.79</v>
      </c>
      <c r="K70" s="3">
        <f>IFERROR(__xludf.DUMMYFUNCTION("""COMPUTED_VALUE"""),44295.6875)</f>
        <v>44295.6875</v>
      </c>
      <c r="L70" s="2">
        <f>IFERROR(__xludf.DUMMYFUNCTION("""COMPUTED_VALUE"""),43.26)</f>
        <v>43.26</v>
      </c>
      <c r="N70" s="3">
        <f>IFERROR(__xludf.DUMMYFUNCTION("""COMPUTED_VALUE"""),44298.66666666667)</f>
        <v>44298.66667</v>
      </c>
      <c r="O70" s="2">
        <f>IFERROR(__xludf.DUMMYFUNCTION("""COMPUTED_VALUE"""),24.62)</f>
        <v>24.62</v>
      </c>
      <c r="Q70" s="3">
        <f>IFERROR(__xludf.DUMMYFUNCTION("""COMPUTED_VALUE"""),44298.66666666667)</f>
        <v>44298.66667</v>
      </c>
      <c r="R70" s="2">
        <f>IFERROR(__xludf.DUMMYFUNCTION("""COMPUTED_VALUE"""),136.92)</f>
        <v>136.92</v>
      </c>
    </row>
    <row r="71">
      <c r="B71" s="3">
        <f>IFERROR(__xludf.DUMMYFUNCTION("""COMPUTED_VALUE"""),44299.66666666667)</f>
        <v>44299.66667</v>
      </c>
      <c r="C71" s="2">
        <f>IFERROR(__xludf.DUMMYFUNCTION("""COMPUTED_VALUE"""),51.66)</f>
        <v>51.66</v>
      </c>
      <c r="E71" s="3">
        <f>IFERROR(__xludf.DUMMYFUNCTION("""COMPUTED_VALUE"""),45595.66666666667)</f>
        <v>45595.66667</v>
      </c>
      <c r="F71" s="2">
        <f>IFERROR(__xludf.DUMMYFUNCTION("""COMPUTED_VALUE"""),1.93)</f>
        <v>1.93</v>
      </c>
      <c r="H71" s="3">
        <f>IFERROR(__xludf.DUMMYFUNCTION("""COMPUTED_VALUE"""),45350.66666666667)</f>
        <v>45350.66667</v>
      </c>
      <c r="I71" s="2">
        <f>IFERROR(__xludf.DUMMYFUNCTION("""COMPUTED_VALUE"""),1.67)</f>
        <v>1.67</v>
      </c>
      <c r="K71" s="3">
        <f>IFERROR(__xludf.DUMMYFUNCTION("""COMPUTED_VALUE"""),44298.6875)</f>
        <v>44298.6875</v>
      </c>
      <c r="L71" s="2">
        <f>IFERROR(__xludf.DUMMYFUNCTION("""COMPUTED_VALUE"""),44.39)</f>
        <v>44.39</v>
      </c>
      <c r="N71" s="3">
        <f>IFERROR(__xludf.DUMMYFUNCTION("""COMPUTED_VALUE"""),44299.66666666667)</f>
        <v>44299.66667</v>
      </c>
      <c r="O71" s="2">
        <f>IFERROR(__xludf.DUMMYFUNCTION("""COMPUTED_VALUE"""),24.62)</f>
        <v>24.62</v>
      </c>
      <c r="Q71" s="3">
        <f>IFERROR(__xludf.DUMMYFUNCTION("""COMPUTED_VALUE"""),44299.66666666667)</f>
        <v>44299.66667</v>
      </c>
      <c r="R71" s="2">
        <f>IFERROR(__xludf.DUMMYFUNCTION("""COMPUTED_VALUE"""),135.11)</f>
        <v>135.11</v>
      </c>
    </row>
    <row r="72">
      <c r="B72" s="3">
        <f>IFERROR(__xludf.DUMMYFUNCTION("""COMPUTED_VALUE"""),44300.66666666667)</f>
        <v>44300.66667</v>
      </c>
      <c r="C72" s="2">
        <f>IFERROR(__xludf.DUMMYFUNCTION("""COMPUTED_VALUE"""),51.37)</f>
        <v>51.37</v>
      </c>
      <c r="E72" s="3">
        <f>IFERROR(__xludf.DUMMYFUNCTION("""COMPUTED_VALUE"""),45596.66666666667)</f>
        <v>45596.66667</v>
      </c>
      <c r="F72" s="2">
        <f>IFERROR(__xludf.DUMMYFUNCTION("""COMPUTED_VALUE"""),1.98)</f>
        <v>1.98</v>
      </c>
      <c r="H72" s="3">
        <f>IFERROR(__xludf.DUMMYFUNCTION("""COMPUTED_VALUE"""),45351.66666666667)</f>
        <v>45351.66667</v>
      </c>
      <c r="I72" s="2">
        <f>IFERROR(__xludf.DUMMYFUNCTION("""COMPUTED_VALUE"""),1.67)</f>
        <v>1.67</v>
      </c>
      <c r="K72" s="3">
        <f>IFERROR(__xludf.DUMMYFUNCTION("""COMPUTED_VALUE"""),44299.6875)</f>
        <v>44299.6875</v>
      </c>
      <c r="L72" s="2">
        <f>IFERROR(__xludf.DUMMYFUNCTION("""COMPUTED_VALUE"""),43.75)</f>
        <v>43.75</v>
      </c>
      <c r="N72" s="3">
        <f>IFERROR(__xludf.DUMMYFUNCTION("""COMPUTED_VALUE"""),44300.66666666667)</f>
        <v>44300.66667</v>
      </c>
      <c r="O72" s="2">
        <f>IFERROR(__xludf.DUMMYFUNCTION("""COMPUTED_VALUE"""),25.54)</f>
        <v>25.54</v>
      </c>
      <c r="Q72" s="3">
        <f>IFERROR(__xludf.DUMMYFUNCTION("""COMPUTED_VALUE"""),44300.66666666667)</f>
        <v>44300.66667</v>
      </c>
      <c r="R72" s="2">
        <f>IFERROR(__xludf.DUMMYFUNCTION("""COMPUTED_VALUE"""),135.6)</f>
        <v>135.6</v>
      </c>
    </row>
    <row r="73">
      <c r="B73" s="3">
        <f>IFERROR(__xludf.DUMMYFUNCTION("""COMPUTED_VALUE"""),44301.66666666667)</f>
        <v>44301.66667</v>
      </c>
      <c r="C73" s="2">
        <f>IFERROR(__xludf.DUMMYFUNCTION("""COMPUTED_VALUE"""),51.64)</f>
        <v>51.64</v>
      </c>
      <c r="E73" s="3">
        <f>IFERROR(__xludf.DUMMYFUNCTION("""COMPUTED_VALUE"""),45597.66666666667)</f>
        <v>45597.66667</v>
      </c>
      <c r="F73" s="2">
        <f>IFERROR(__xludf.DUMMYFUNCTION("""COMPUTED_VALUE"""),1.9)</f>
        <v>1.9</v>
      </c>
      <c r="H73" s="3">
        <f>IFERROR(__xludf.DUMMYFUNCTION("""COMPUTED_VALUE"""),45352.66666666667)</f>
        <v>45352.66667</v>
      </c>
      <c r="I73" s="2">
        <f>IFERROR(__xludf.DUMMYFUNCTION("""COMPUTED_VALUE"""),1.59)</f>
        <v>1.59</v>
      </c>
      <c r="K73" s="3">
        <f>IFERROR(__xludf.DUMMYFUNCTION("""COMPUTED_VALUE"""),44300.6875)</f>
        <v>44300.6875</v>
      </c>
      <c r="L73" s="2">
        <f>IFERROR(__xludf.DUMMYFUNCTION("""COMPUTED_VALUE"""),43.83)</f>
        <v>43.83</v>
      </c>
      <c r="N73" s="3">
        <f>IFERROR(__xludf.DUMMYFUNCTION("""COMPUTED_VALUE"""),44301.66666666667)</f>
        <v>44301.66667</v>
      </c>
      <c r="O73" s="2">
        <f>IFERROR(__xludf.DUMMYFUNCTION("""COMPUTED_VALUE"""),25.2)</f>
        <v>25.2</v>
      </c>
      <c r="Q73" s="3">
        <f>IFERROR(__xludf.DUMMYFUNCTION("""COMPUTED_VALUE"""),44301.66666666667)</f>
        <v>44301.66667</v>
      </c>
      <c r="R73" s="2">
        <f>IFERROR(__xludf.DUMMYFUNCTION("""COMPUTED_VALUE"""),137.24)</f>
        <v>137.24</v>
      </c>
    </row>
    <row r="74">
      <c r="B74" s="3">
        <f>IFERROR(__xludf.DUMMYFUNCTION("""COMPUTED_VALUE"""),44302.66666666667)</f>
        <v>44302.66667</v>
      </c>
      <c r="C74" s="2">
        <f>IFERROR(__xludf.DUMMYFUNCTION("""COMPUTED_VALUE"""),52.8)</f>
        <v>52.8</v>
      </c>
      <c r="E74" s="3">
        <f>IFERROR(__xludf.DUMMYFUNCTION("""COMPUTED_VALUE"""),45600.66666666667)</f>
        <v>45600.66667</v>
      </c>
      <c r="F74" s="2">
        <f>IFERROR(__xludf.DUMMYFUNCTION("""COMPUTED_VALUE"""),1.67)</f>
        <v>1.67</v>
      </c>
      <c r="H74" s="3">
        <f>IFERROR(__xludf.DUMMYFUNCTION("""COMPUTED_VALUE"""),45355.66666666667)</f>
        <v>45355.66667</v>
      </c>
      <c r="I74" s="2">
        <f>IFERROR(__xludf.DUMMYFUNCTION("""COMPUTED_VALUE"""),1.51)</f>
        <v>1.51</v>
      </c>
      <c r="K74" s="3">
        <f>IFERROR(__xludf.DUMMYFUNCTION("""COMPUTED_VALUE"""),44301.6875)</f>
        <v>44301.6875</v>
      </c>
      <c r="L74" s="2">
        <f>IFERROR(__xludf.DUMMYFUNCTION("""COMPUTED_VALUE"""),42.81)</f>
        <v>42.81</v>
      </c>
      <c r="N74" s="3">
        <f>IFERROR(__xludf.DUMMYFUNCTION("""COMPUTED_VALUE"""),44302.66666666667)</f>
        <v>44302.66667</v>
      </c>
      <c r="O74" s="2">
        <f>IFERROR(__xludf.DUMMYFUNCTION("""COMPUTED_VALUE"""),25.18)</f>
        <v>25.18</v>
      </c>
      <c r="Q74" s="3">
        <f>IFERROR(__xludf.DUMMYFUNCTION("""COMPUTED_VALUE"""),44302.66666666667)</f>
        <v>44302.66667</v>
      </c>
      <c r="R74" s="2">
        <f>IFERROR(__xludf.DUMMYFUNCTION("""COMPUTED_VALUE"""),137.25)</f>
        <v>137.25</v>
      </c>
    </row>
    <row r="75">
      <c r="B75" s="3">
        <f>IFERROR(__xludf.DUMMYFUNCTION("""COMPUTED_VALUE"""),44305.66666666667)</f>
        <v>44305.66667</v>
      </c>
      <c r="C75" s="2">
        <f>IFERROR(__xludf.DUMMYFUNCTION("""COMPUTED_VALUE"""),52.85)</f>
        <v>52.85</v>
      </c>
      <c r="E75" s="3">
        <f>IFERROR(__xludf.DUMMYFUNCTION("""COMPUTED_VALUE"""),45601.66666666667)</f>
        <v>45601.66667</v>
      </c>
      <c r="F75" s="2">
        <f>IFERROR(__xludf.DUMMYFUNCTION("""COMPUTED_VALUE"""),1.83)</f>
        <v>1.83</v>
      </c>
      <c r="H75" s="3">
        <f>IFERROR(__xludf.DUMMYFUNCTION("""COMPUTED_VALUE"""),45356.66666666667)</f>
        <v>45356.66667</v>
      </c>
      <c r="I75" s="2">
        <f>IFERROR(__xludf.DUMMYFUNCTION("""COMPUTED_VALUE"""),1.57)</f>
        <v>1.57</v>
      </c>
      <c r="K75" s="3">
        <f>IFERROR(__xludf.DUMMYFUNCTION("""COMPUTED_VALUE"""),44302.6875)</f>
        <v>44302.6875</v>
      </c>
      <c r="L75" s="2">
        <f>IFERROR(__xludf.DUMMYFUNCTION("""COMPUTED_VALUE"""),43.46)</f>
        <v>43.46</v>
      </c>
      <c r="N75" s="3">
        <f>IFERROR(__xludf.DUMMYFUNCTION("""COMPUTED_VALUE"""),44305.66666666667)</f>
        <v>44305.66667</v>
      </c>
      <c r="O75" s="2">
        <f>IFERROR(__xludf.DUMMYFUNCTION("""COMPUTED_VALUE"""),25.31)</f>
        <v>25.31</v>
      </c>
      <c r="Q75" s="3">
        <f>IFERROR(__xludf.DUMMYFUNCTION("""COMPUTED_VALUE"""),44305.66666666667)</f>
        <v>44305.66667</v>
      </c>
      <c r="R75" s="2">
        <f>IFERROR(__xludf.DUMMYFUNCTION("""COMPUTED_VALUE"""),136.61)</f>
        <v>136.61</v>
      </c>
    </row>
    <row r="76">
      <c r="B76" s="3">
        <f>IFERROR(__xludf.DUMMYFUNCTION("""COMPUTED_VALUE"""),44306.66666666667)</f>
        <v>44306.66667</v>
      </c>
      <c r="C76" s="2">
        <f>IFERROR(__xludf.DUMMYFUNCTION("""COMPUTED_VALUE"""),51.79)</f>
        <v>51.79</v>
      </c>
      <c r="E76" s="3">
        <f>IFERROR(__xludf.DUMMYFUNCTION("""COMPUTED_VALUE"""),45602.66666666667)</f>
        <v>45602.66667</v>
      </c>
      <c r="F76" s="2">
        <f>IFERROR(__xludf.DUMMYFUNCTION("""COMPUTED_VALUE"""),1.69)</f>
        <v>1.69</v>
      </c>
      <c r="H76" s="3">
        <f>IFERROR(__xludf.DUMMYFUNCTION("""COMPUTED_VALUE"""),45357.66666666667)</f>
        <v>45357.66667</v>
      </c>
      <c r="I76" s="2">
        <f>IFERROR(__xludf.DUMMYFUNCTION("""COMPUTED_VALUE"""),1.57)</f>
        <v>1.57</v>
      </c>
      <c r="K76" s="3">
        <f>IFERROR(__xludf.DUMMYFUNCTION("""COMPUTED_VALUE"""),44305.6875)</f>
        <v>44305.6875</v>
      </c>
      <c r="L76" s="2">
        <f>IFERROR(__xludf.DUMMYFUNCTION("""COMPUTED_VALUE"""),43.76)</f>
        <v>43.76</v>
      </c>
      <c r="N76" s="3">
        <f>IFERROR(__xludf.DUMMYFUNCTION("""COMPUTED_VALUE"""),44306.66666666667)</f>
        <v>44306.66667</v>
      </c>
      <c r="O76" s="2">
        <f>IFERROR(__xludf.DUMMYFUNCTION("""COMPUTED_VALUE"""),24.78)</f>
        <v>24.78</v>
      </c>
      <c r="Q76" s="3">
        <f>IFERROR(__xludf.DUMMYFUNCTION("""COMPUTED_VALUE"""),44306.66666666667)</f>
        <v>44306.66667</v>
      </c>
      <c r="R76" s="2">
        <f>IFERROR(__xludf.DUMMYFUNCTION("""COMPUTED_VALUE"""),137.75)</f>
        <v>137.75</v>
      </c>
    </row>
    <row r="77">
      <c r="B77" s="3">
        <f>IFERROR(__xludf.DUMMYFUNCTION("""COMPUTED_VALUE"""),44307.66666666667)</f>
        <v>44307.66667</v>
      </c>
      <c r="C77" s="2">
        <f>IFERROR(__xludf.DUMMYFUNCTION("""COMPUTED_VALUE"""),51.93)</f>
        <v>51.93</v>
      </c>
      <c r="E77" s="3">
        <f>IFERROR(__xludf.DUMMYFUNCTION("""COMPUTED_VALUE"""),45603.66666666667)</f>
        <v>45603.66667</v>
      </c>
      <c r="F77" s="2">
        <f>IFERROR(__xludf.DUMMYFUNCTION("""COMPUTED_VALUE"""),1.67)</f>
        <v>1.67</v>
      </c>
      <c r="H77" s="3">
        <f>IFERROR(__xludf.DUMMYFUNCTION("""COMPUTED_VALUE"""),45358.66666666667)</f>
        <v>45358.66667</v>
      </c>
      <c r="I77" s="2">
        <f>IFERROR(__xludf.DUMMYFUNCTION("""COMPUTED_VALUE"""),1.52)</f>
        <v>1.52</v>
      </c>
      <c r="K77" s="3">
        <f>IFERROR(__xludf.DUMMYFUNCTION("""COMPUTED_VALUE"""),44306.6875)</f>
        <v>44306.6875</v>
      </c>
      <c r="L77" s="2">
        <f>IFERROR(__xludf.DUMMYFUNCTION("""COMPUTED_VALUE"""),42.05)</f>
        <v>42.05</v>
      </c>
      <c r="N77" s="3">
        <f>IFERROR(__xludf.DUMMYFUNCTION("""COMPUTED_VALUE"""),44307.66666666667)</f>
        <v>44307.66667</v>
      </c>
      <c r="O77" s="2">
        <f>IFERROR(__xludf.DUMMYFUNCTION("""COMPUTED_VALUE"""),24.96)</f>
        <v>24.96</v>
      </c>
      <c r="Q77" s="3">
        <f>IFERROR(__xludf.DUMMYFUNCTION("""COMPUTED_VALUE"""),44307.66666666667)</f>
        <v>44307.66667</v>
      </c>
      <c r="R77" s="2">
        <f>IFERROR(__xludf.DUMMYFUNCTION("""COMPUTED_VALUE"""),136.85)</f>
        <v>136.85</v>
      </c>
    </row>
    <row r="78">
      <c r="B78" s="3">
        <f>IFERROR(__xludf.DUMMYFUNCTION("""COMPUTED_VALUE"""),44308.66666666667)</f>
        <v>44308.66667</v>
      </c>
      <c r="C78" s="2">
        <f>IFERROR(__xludf.DUMMYFUNCTION("""COMPUTED_VALUE"""),51.5)</f>
        <v>51.5</v>
      </c>
      <c r="E78" s="3">
        <f>IFERROR(__xludf.DUMMYFUNCTION("""COMPUTED_VALUE"""),45604.66666666667)</f>
        <v>45604.66667</v>
      </c>
      <c r="F78" s="2">
        <f>IFERROR(__xludf.DUMMYFUNCTION("""COMPUTED_VALUE"""),1.5)</f>
        <v>1.5</v>
      </c>
      <c r="H78" s="3">
        <f>IFERROR(__xludf.DUMMYFUNCTION("""COMPUTED_VALUE"""),45359.66666666667)</f>
        <v>45359.66667</v>
      </c>
      <c r="I78" s="2">
        <f>IFERROR(__xludf.DUMMYFUNCTION("""COMPUTED_VALUE"""),1.54)</f>
        <v>1.54</v>
      </c>
      <c r="K78" s="3">
        <f>IFERROR(__xludf.DUMMYFUNCTION("""COMPUTED_VALUE"""),44307.6875)</f>
        <v>44307.6875</v>
      </c>
      <c r="L78" s="2">
        <f>IFERROR(__xludf.DUMMYFUNCTION("""COMPUTED_VALUE"""),41.62)</f>
        <v>41.62</v>
      </c>
      <c r="N78" s="3">
        <f>IFERROR(__xludf.DUMMYFUNCTION("""COMPUTED_VALUE"""),44308.66666666667)</f>
        <v>44308.66667</v>
      </c>
      <c r="O78" s="2">
        <f>IFERROR(__xludf.DUMMYFUNCTION("""COMPUTED_VALUE"""),24.34)</f>
        <v>24.34</v>
      </c>
      <c r="Q78" s="3">
        <f>IFERROR(__xludf.DUMMYFUNCTION("""COMPUTED_VALUE"""),44308.66666666667)</f>
        <v>44308.66667</v>
      </c>
      <c r="R78" s="2">
        <f>IFERROR(__xludf.DUMMYFUNCTION("""COMPUTED_VALUE"""),134.63)</f>
        <v>134.63</v>
      </c>
    </row>
    <row r="79">
      <c r="B79" s="3">
        <f>IFERROR(__xludf.DUMMYFUNCTION("""COMPUTED_VALUE"""),44309.66666666667)</f>
        <v>44309.66667</v>
      </c>
      <c r="C79" s="2">
        <f>IFERROR(__xludf.DUMMYFUNCTION("""COMPUTED_VALUE"""),51.91)</f>
        <v>51.91</v>
      </c>
      <c r="E79" s="3">
        <f>IFERROR(__xludf.DUMMYFUNCTION("""COMPUTED_VALUE"""),45607.66666666667)</f>
        <v>45607.66667</v>
      </c>
      <c r="F79" s="2">
        <f>IFERROR(__xludf.DUMMYFUNCTION("""COMPUTED_VALUE"""),1.53)</f>
        <v>1.53</v>
      </c>
      <c r="H79" s="3">
        <f>IFERROR(__xludf.DUMMYFUNCTION("""COMPUTED_VALUE"""),45362.66666666667)</f>
        <v>45362.66667</v>
      </c>
      <c r="I79" s="2">
        <f>IFERROR(__xludf.DUMMYFUNCTION("""COMPUTED_VALUE"""),1.51)</f>
        <v>1.51</v>
      </c>
      <c r="K79" s="3">
        <f>IFERROR(__xludf.DUMMYFUNCTION("""COMPUTED_VALUE"""),44308.6875)</f>
        <v>44308.6875</v>
      </c>
      <c r="L79" s="2">
        <f>IFERROR(__xludf.DUMMYFUNCTION("""COMPUTED_VALUE"""),41.98)</f>
        <v>41.98</v>
      </c>
      <c r="N79" s="3">
        <f>IFERROR(__xludf.DUMMYFUNCTION("""COMPUTED_VALUE"""),44309.66666666667)</f>
        <v>44309.66667</v>
      </c>
      <c r="O79" s="2">
        <f>IFERROR(__xludf.DUMMYFUNCTION("""COMPUTED_VALUE"""),24.52)</f>
        <v>24.52</v>
      </c>
      <c r="Q79" s="3">
        <f>IFERROR(__xludf.DUMMYFUNCTION("""COMPUTED_VALUE"""),44309.66666666667)</f>
        <v>44309.66667</v>
      </c>
      <c r="R79" s="2">
        <f>IFERROR(__xludf.DUMMYFUNCTION("""COMPUTED_VALUE"""),133.94)</f>
        <v>133.94</v>
      </c>
    </row>
    <row r="80">
      <c r="B80" s="3">
        <f>IFERROR(__xludf.DUMMYFUNCTION("""COMPUTED_VALUE"""),44312.66666666667)</f>
        <v>44312.66667</v>
      </c>
      <c r="C80" s="2">
        <f>IFERROR(__xludf.DUMMYFUNCTION("""COMPUTED_VALUE"""),51.64)</f>
        <v>51.64</v>
      </c>
      <c r="E80" s="3">
        <f>IFERROR(__xludf.DUMMYFUNCTION("""COMPUTED_VALUE"""),45608.66666666667)</f>
        <v>45608.66667</v>
      </c>
      <c r="F80" s="2">
        <f>IFERROR(__xludf.DUMMYFUNCTION("""COMPUTED_VALUE"""),1.56)</f>
        <v>1.56</v>
      </c>
      <c r="H80" s="3">
        <f>IFERROR(__xludf.DUMMYFUNCTION("""COMPUTED_VALUE"""),45363.66666666667)</f>
        <v>45363.66667</v>
      </c>
      <c r="I80" s="2">
        <f>IFERROR(__xludf.DUMMYFUNCTION("""COMPUTED_VALUE"""),1.51)</f>
        <v>1.51</v>
      </c>
      <c r="K80" s="3">
        <f>IFERROR(__xludf.DUMMYFUNCTION("""COMPUTED_VALUE"""),44309.6875)</f>
        <v>44309.6875</v>
      </c>
      <c r="L80" s="2">
        <f>IFERROR(__xludf.DUMMYFUNCTION("""COMPUTED_VALUE"""),42.64)</f>
        <v>42.64</v>
      </c>
      <c r="N80" s="3">
        <f>IFERROR(__xludf.DUMMYFUNCTION("""COMPUTED_VALUE"""),44312.66666666667)</f>
        <v>44312.66667</v>
      </c>
      <c r="O80" s="2">
        <f>IFERROR(__xludf.DUMMYFUNCTION("""COMPUTED_VALUE"""),24.92)</f>
        <v>24.92</v>
      </c>
      <c r="Q80" s="3">
        <f>IFERROR(__xludf.DUMMYFUNCTION("""COMPUTED_VALUE"""),44312.66666666667)</f>
        <v>44312.66667</v>
      </c>
      <c r="R80" s="2">
        <f>IFERROR(__xludf.DUMMYFUNCTION("""COMPUTED_VALUE"""),131.26)</f>
        <v>131.26</v>
      </c>
    </row>
    <row r="81">
      <c r="B81" s="3">
        <f>IFERROR(__xludf.DUMMYFUNCTION("""COMPUTED_VALUE"""),44313.66666666667)</f>
        <v>44313.66667</v>
      </c>
      <c r="C81" s="2">
        <f>IFERROR(__xludf.DUMMYFUNCTION("""COMPUTED_VALUE"""),51.37)</f>
        <v>51.37</v>
      </c>
      <c r="E81" s="3">
        <f>IFERROR(__xludf.DUMMYFUNCTION("""COMPUTED_VALUE"""),45609.66666666667)</f>
        <v>45609.66667</v>
      </c>
      <c r="F81" s="2">
        <f>IFERROR(__xludf.DUMMYFUNCTION("""COMPUTED_VALUE"""),1.51)</f>
        <v>1.51</v>
      </c>
      <c r="H81" s="3">
        <f>IFERROR(__xludf.DUMMYFUNCTION("""COMPUTED_VALUE"""),45364.66666666667)</f>
        <v>45364.66667</v>
      </c>
      <c r="I81" s="2">
        <f>IFERROR(__xludf.DUMMYFUNCTION("""COMPUTED_VALUE"""),1.47)</f>
        <v>1.47</v>
      </c>
      <c r="K81" s="3">
        <f>IFERROR(__xludf.DUMMYFUNCTION("""COMPUTED_VALUE"""),44312.6875)</f>
        <v>44312.6875</v>
      </c>
      <c r="L81" s="2">
        <f>IFERROR(__xludf.DUMMYFUNCTION("""COMPUTED_VALUE"""),42.89)</f>
        <v>42.89</v>
      </c>
      <c r="N81" s="3">
        <f>IFERROR(__xludf.DUMMYFUNCTION("""COMPUTED_VALUE"""),44313.66666666667)</f>
        <v>44313.66667</v>
      </c>
      <c r="O81" s="2">
        <f>IFERROR(__xludf.DUMMYFUNCTION("""COMPUTED_VALUE"""),24.94)</f>
        <v>24.94</v>
      </c>
      <c r="Q81" s="3">
        <f>IFERROR(__xludf.DUMMYFUNCTION("""COMPUTED_VALUE"""),44313.66666666667)</f>
        <v>44313.66667</v>
      </c>
      <c r="R81" s="2">
        <f>IFERROR(__xludf.DUMMYFUNCTION("""COMPUTED_VALUE"""),131.18)</f>
        <v>131.18</v>
      </c>
    </row>
    <row r="82">
      <c r="B82" s="3">
        <f>IFERROR(__xludf.DUMMYFUNCTION("""COMPUTED_VALUE"""),44314.66666666667)</f>
        <v>44314.66667</v>
      </c>
      <c r="C82" s="2">
        <f>IFERROR(__xludf.DUMMYFUNCTION("""COMPUTED_VALUE"""),51.11)</f>
        <v>51.11</v>
      </c>
      <c r="E82" s="3">
        <f>IFERROR(__xludf.DUMMYFUNCTION("""COMPUTED_VALUE"""),45610.66666666667)</f>
        <v>45610.66667</v>
      </c>
      <c r="F82" s="2">
        <f>IFERROR(__xludf.DUMMYFUNCTION("""COMPUTED_VALUE"""),1.62)</f>
        <v>1.62</v>
      </c>
      <c r="H82" s="3">
        <f>IFERROR(__xludf.DUMMYFUNCTION("""COMPUTED_VALUE"""),45365.66666666667)</f>
        <v>45365.66667</v>
      </c>
      <c r="I82" s="2">
        <f>IFERROR(__xludf.DUMMYFUNCTION("""COMPUTED_VALUE"""),1.43)</f>
        <v>1.43</v>
      </c>
      <c r="K82" s="3">
        <f>IFERROR(__xludf.DUMMYFUNCTION("""COMPUTED_VALUE"""),44313.6875)</f>
        <v>44313.6875</v>
      </c>
      <c r="L82" s="2">
        <f>IFERROR(__xludf.DUMMYFUNCTION("""COMPUTED_VALUE"""),43.58)</f>
        <v>43.58</v>
      </c>
      <c r="N82" s="3">
        <f>IFERROR(__xludf.DUMMYFUNCTION("""COMPUTED_VALUE"""),44314.66666666667)</f>
        <v>44314.66667</v>
      </c>
      <c r="O82" s="2">
        <f>IFERROR(__xludf.DUMMYFUNCTION("""COMPUTED_VALUE"""),25.64)</f>
        <v>25.64</v>
      </c>
      <c r="Q82" s="3">
        <f>IFERROR(__xludf.DUMMYFUNCTION("""COMPUTED_VALUE"""),44314.66666666667)</f>
        <v>44314.66667</v>
      </c>
      <c r="R82" s="2">
        <f>IFERROR(__xludf.DUMMYFUNCTION("""COMPUTED_VALUE"""),131.4)</f>
        <v>131.4</v>
      </c>
    </row>
    <row r="83">
      <c r="B83" s="3">
        <f>IFERROR(__xludf.DUMMYFUNCTION("""COMPUTED_VALUE"""),44315.66666666667)</f>
        <v>44315.66667</v>
      </c>
      <c r="C83" s="2">
        <f>IFERROR(__xludf.DUMMYFUNCTION("""COMPUTED_VALUE"""),51.46)</f>
        <v>51.46</v>
      </c>
      <c r="E83" s="3">
        <f>IFERROR(__xludf.DUMMYFUNCTION("""COMPUTED_VALUE"""),45611.66666666667)</f>
        <v>45611.66667</v>
      </c>
      <c r="F83" s="2">
        <f>IFERROR(__xludf.DUMMYFUNCTION("""COMPUTED_VALUE"""),1.58)</f>
        <v>1.58</v>
      </c>
      <c r="H83" s="3">
        <f>IFERROR(__xludf.DUMMYFUNCTION("""COMPUTED_VALUE"""),45366.66666666667)</f>
        <v>45366.66667</v>
      </c>
      <c r="I83" s="2">
        <f>IFERROR(__xludf.DUMMYFUNCTION("""COMPUTED_VALUE"""),1.32)</f>
        <v>1.32</v>
      </c>
      <c r="K83" s="3">
        <f>IFERROR(__xludf.DUMMYFUNCTION("""COMPUTED_VALUE"""),44314.6875)</f>
        <v>44314.6875</v>
      </c>
      <c r="L83" s="2">
        <f>IFERROR(__xludf.DUMMYFUNCTION("""COMPUTED_VALUE"""),45.11)</f>
        <v>45.11</v>
      </c>
      <c r="N83" s="3">
        <f>IFERROR(__xludf.DUMMYFUNCTION("""COMPUTED_VALUE"""),44315.66666666667)</f>
        <v>44315.66667</v>
      </c>
      <c r="O83" s="2">
        <f>IFERROR(__xludf.DUMMYFUNCTION("""COMPUTED_VALUE"""),25.5)</f>
        <v>25.5</v>
      </c>
      <c r="Q83" s="3">
        <f>IFERROR(__xludf.DUMMYFUNCTION("""COMPUTED_VALUE"""),44315.66666666667)</f>
        <v>44315.66667</v>
      </c>
      <c r="R83" s="2">
        <f>IFERROR(__xludf.DUMMYFUNCTION("""COMPUTED_VALUE"""),132.51)</f>
        <v>132.51</v>
      </c>
    </row>
    <row r="84">
      <c r="B84" s="3">
        <f>IFERROR(__xludf.DUMMYFUNCTION("""COMPUTED_VALUE"""),44316.66666666667)</f>
        <v>44316.66667</v>
      </c>
      <c r="C84" s="2">
        <f>IFERROR(__xludf.DUMMYFUNCTION("""COMPUTED_VALUE"""),50.91)</f>
        <v>50.91</v>
      </c>
      <c r="E84" s="3">
        <f>IFERROR(__xludf.DUMMYFUNCTION("""COMPUTED_VALUE"""),45614.66666666667)</f>
        <v>45614.66667</v>
      </c>
      <c r="F84" s="2">
        <f>IFERROR(__xludf.DUMMYFUNCTION("""COMPUTED_VALUE"""),1.47)</f>
        <v>1.47</v>
      </c>
      <c r="H84" s="3">
        <f>IFERROR(__xludf.DUMMYFUNCTION("""COMPUTED_VALUE"""),45369.66666666667)</f>
        <v>45369.66667</v>
      </c>
      <c r="I84" s="2">
        <f>IFERROR(__xludf.DUMMYFUNCTION("""COMPUTED_VALUE"""),1.33)</f>
        <v>1.33</v>
      </c>
      <c r="K84" s="3">
        <f>IFERROR(__xludf.DUMMYFUNCTION("""COMPUTED_VALUE"""),44315.6875)</f>
        <v>44315.6875</v>
      </c>
      <c r="L84" s="2">
        <f>IFERROR(__xludf.DUMMYFUNCTION("""COMPUTED_VALUE"""),45.46)</f>
        <v>45.46</v>
      </c>
      <c r="N84" s="3">
        <f>IFERROR(__xludf.DUMMYFUNCTION("""COMPUTED_VALUE"""),44316.66666666667)</f>
        <v>44316.66667</v>
      </c>
      <c r="O84" s="2">
        <f>IFERROR(__xludf.DUMMYFUNCTION("""COMPUTED_VALUE"""),25.16)</f>
        <v>25.16</v>
      </c>
      <c r="Q84" s="3">
        <f>IFERROR(__xludf.DUMMYFUNCTION("""COMPUTED_VALUE"""),44316.66666666667)</f>
        <v>44316.66667</v>
      </c>
      <c r="R84" s="2">
        <f>IFERROR(__xludf.DUMMYFUNCTION("""COMPUTED_VALUE"""),133.42)</f>
        <v>133.42</v>
      </c>
    </row>
    <row r="85">
      <c r="B85" s="3">
        <f>IFERROR(__xludf.DUMMYFUNCTION("""COMPUTED_VALUE"""),44319.66666666667)</f>
        <v>44319.66667</v>
      </c>
      <c r="C85" s="2">
        <f>IFERROR(__xludf.DUMMYFUNCTION("""COMPUTED_VALUE"""),51.17)</f>
        <v>51.17</v>
      </c>
      <c r="E85" s="3">
        <f>IFERROR(__xludf.DUMMYFUNCTION("""COMPUTED_VALUE"""),45615.66666666667)</f>
        <v>45615.66667</v>
      </c>
      <c r="F85" s="2">
        <f>IFERROR(__xludf.DUMMYFUNCTION("""COMPUTED_VALUE"""),1.58)</f>
        <v>1.58</v>
      </c>
      <c r="H85" s="3">
        <f>IFERROR(__xludf.DUMMYFUNCTION("""COMPUTED_VALUE"""),45370.66666666667)</f>
        <v>45370.66667</v>
      </c>
      <c r="I85" s="2">
        <f>IFERROR(__xludf.DUMMYFUNCTION("""COMPUTED_VALUE"""),1.53)</f>
        <v>1.53</v>
      </c>
      <c r="K85" s="3">
        <f>IFERROR(__xludf.DUMMYFUNCTION("""COMPUTED_VALUE"""),44316.6875)</f>
        <v>44316.6875</v>
      </c>
      <c r="L85" s="2">
        <f>IFERROR(__xludf.DUMMYFUNCTION("""COMPUTED_VALUE"""),45.44)</f>
        <v>45.44</v>
      </c>
      <c r="N85" s="3">
        <f>IFERROR(__xludf.DUMMYFUNCTION("""COMPUTED_VALUE"""),44319.66666666667)</f>
        <v>44319.66667</v>
      </c>
      <c r="O85" s="2">
        <f>IFERROR(__xludf.DUMMYFUNCTION("""COMPUTED_VALUE"""),25.69)</f>
        <v>25.69</v>
      </c>
      <c r="Q85" s="3">
        <f>IFERROR(__xludf.DUMMYFUNCTION("""COMPUTED_VALUE"""),44319.66666666667)</f>
        <v>44319.66667</v>
      </c>
      <c r="R85" s="2">
        <f>IFERROR(__xludf.DUMMYFUNCTION("""COMPUTED_VALUE"""),135.0)</f>
        <v>135</v>
      </c>
    </row>
    <row r="86">
      <c r="B86" s="3">
        <f>IFERROR(__xludf.DUMMYFUNCTION("""COMPUTED_VALUE"""),44320.66666666667)</f>
        <v>44320.66667</v>
      </c>
      <c r="C86" s="2">
        <f>IFERROR(__xludf.DUMMYFUNCTION("""COMPUTED_VALUE"""),50.71)</f>
        <v>50.71</v>
      </c>
      <c r="E86" s="3">
        <f>IFERROR(__xludf.DUMMYFUNCTION("""COMPUTED_VALUE"""),45616.66666666667)</f>
        <v>45616.66667</v>
      </c>
      <c r="F86" s="2">
        <f>IFERROR(__xludf.DUMMYFUNCTION("""COMPUTED_VALUE"""),1.63)</f>
        <v>1.63</v>
      </c>
      <c r="H86" s="3">
        <f>IFERROR(__xludf.DUMMYFUNCTION("""COMPUTED_VALUE"""),45371.66666666667)</f>
        <v>45371.66667</v>
      </c>
      <c r="I86" s="2">
        <f>IFERROR(__xludf.DUMMYFUNCTION("""COMPUTED_VALUE"""),1.68)</f>
        <v>1.68</v>
      </c>
      <c r="K86" s="3">
        <f>IFERROR(__xludf.DUMMYFUNCTION("""COMPUTED_VALUE"""),44320.6875)</f>
        <v>44320.6875</v>
      </c>
      <c r="L86" s="2">
        <f>IFERROR(__xludf.DUMMYFUNCTION("""COMPUTED_VALUE"""),45.05)</f>
        <v>45.05</v>
      </c>
      <c r="N86" s="3">
        <f>IFERROR(__xludf.DUMMYFUNCTION("""COMPUTED_VALUE"""),44320.66666666667)</f>
        <v>44320.66667</v>
      </c>
      <c r="O86" s="2">
        <f>IFERROR(__xludf.DUMMYFUNCTION("""COMPUTED_VALUE"""),25.92)</f>
        <v>25.92</v>
      </c>
      <c r="Q86" s="3">
        <f>IFERROR(__xludf.DUMMYFUNCTION("""COMPUTED_VALUE"""),44320.66666666667)</f>
        <v>44320.66667</v>
      </c>
      <c r="R86" s="2">
        <f>IFERROR(__xludf.DUMMYFUNCTION("""COMPUTED_VALUE"""),134.54)</f>
        <v>134.54</v>
      </c>
    </row>
    <row r="87">
      <c r="B87" s="3">
        <f>IFERROR(__xludf.DUMMYFUNCTION("""COMPUTED_VALUE"""),44321.66666666667)</f>
        <v>44321.66667</v>
      </c>
      <c r="C87" s="2">
        <f>IFERROR(__xludf.DUMMYFUNCTION("""COMPUTED_VALUE"""),51.13)</f>
        <v>51.13</v>
      </c>
      <c r="E87" s="3">
        <f>IFERROR(__xludf.DUMMYFUNCTION("""COMPUTED_VALUE"""),45617.66666666667)</f>
        <v>45617.66667</v>
      </c>
      <c r="F87" s="2">
        <f>IFERROR(__xludf.DUMMYFUNCTION("""COMPUTED_VALUE"""),1.61)</f>
        <v>1.61</v>
      </c>
      <c r="H87" s="3">
        <f>IFERROR(__xludf.DUMMYFUNCTION("""COMPUTED_VALUE"""),45372.66666666667)</f>
        <v>45372.66667</v>
      </c>
      <c r="I87" s="2">
        <f>IFERROR(__xludf.DUMMYFUNCTION("""COMPUTED_VALUE"""),1.69)</f>
        <v>1.69</v>
      </c>
      <c r="K87" s="3">
        <f>IFERROR(__xludf.DUMMYFUNCTION("""COMPUTED_VALUE"""),44321.6875)</f>
        <v>44321.6875</v>
      </c>
      <c r="L87" s="2">
        <f>IFERROR(__xludf.DUMMYFUNCTION("""COMPUTED_VALUE"""),46.23)</f>
        <v>46.23</v>
      </c>
      <c r="N87" s="3">
        <f>IFERROR(__xludf.DUMMYFUNCTION("""COMPUTED_VALUE"""),44321.66666666667)</f>
        <v>44321.66667</v>
      </c>
      <c r="O87" s="2">
        <f>IFERROR(__xludf.DUMMYFUNCTION("""COMPUTED_VALUE"""),26.78)</f>
        <v>26.78</v>
      </c>
      <c r="Q87" s="3">
        <f>IFERROR(__xludf.DUMMYFUNCTION("""COMPUTED_VALUE"""),44321.66666666667)</f>
        <v>44321.66667</v>
      </c>
      <c r="R87" s="2">
        <f>IFERROR(__xludf.DUMMYFUNCTION("""COMPUTED_VALUE"""),133.46)</f>
        <v>133.46</v>
      </c>
    </row>
    <row r="88">
      <c r="B88" s="3">
        <f>IFERROR(__xludf.DUMMYFUNCTION("""COMPUTED_VALUE"""),44322.66666666667)</f>
        <v>44322.66667</v>
      </c>
      <c r="C88" s="2">
        <f>IFERROR(__xludf.DUMMYFUNCTION("""COMPUTED_VALUE"""),52.44)</f>
        <v>52.44</v>
      </c>
      <c r="E88" s="3">
        <f>IFERROR(__xludf.DUMMYFUNCTION("""COMPUTED_VALUE"""),45618.66666666667)</f>
        <v>45618.66667</v>
      </c>
      <c r="F88" s="2">
        <f>IFERROR(__xludf.DUMMYFUNCTION("""COMPUTED_VALUE"""),1.63)</f>
        <v>1.63</v>
      </c>
      <c r="H88" s="3">
        <f>IFERROR(__xludf.DUMMYFUNCTION("""COMPUTED_VALUE"""),45373.66666666667)</f>
        <v>45373.66667</v>
      </c>
      <c r="I88" s="2">
        <f>IFERROR(__xludf.DUMMYFUNCTION("""COMPUTED_VALUE"""),1.61)</f>
        <v>1.61</v>
      </c>
      <c r="K88" s="3">
        <f>IFERROR(__xludf.DUMMYFUNCTION("""COMPUTED_VALUE"""),44322.6875)</f>
        <v>44322.6875</v>
      </c>
      <c r="L88" s="2">
        <f>IFERROR(__xludf.DUMMYFUNCTION("""COMPUTED_VALUE"""),46.21)</f>
        <v>46.21</v>
      </c>
      <c r="N88" s="3">
        <f>IFERROR(__xludf.DUMMYFUNCTION("""COMPUTED_VALUE"""),44322.66666666667)</f>
        <v>44322.66667</v>
      </c>
      <c r="O88" s="2">
        <f>IFERROR(__xludf.DUMMYFUNCTION("""COMPUTED_VALUE"""),26.5)</f>
        <v>26.5</v>
      </c>
      <c r="Q88" s="3">
        <f>IFERROR(__xludf.DUMMYFUNCTION("""COMPUTED_VALUE"""),44322.66666666667)</f>
        <v>44322.66667</v>
      </c>
      <c r="R88" s="2">
        <f>IFERROR(__xludf.DUMMYFUNCTION("""COMPUTED_VALUE"""),135.14)</f>
        <v>135.14</v>
      </c>
    </row>
    <row r="89">
      <c r="B89" s="3">
        <f>IFERROR(__xludf.DUMMYFUNCTION("""COMPUTED_VALUE"""),44323.66666666667)</f>
        <v>44323.66667</v>
      </c>
      <c r="C89" s="2">
        <f>IFERROR(__xludf.DUMMYFUNCTION("""COMPUTED_VALUE"""),53.43)</f>
        <v>53.43</v>
      </c>
      <c r="E89" s="3">
        <f>IFERROR(__xludf.DUMMYFUNCTION("""COMPUTED_VALUE"""),45621.66666666667)</f>
        <v>45621.66667</v>
      </c>
      <c r="F89" s="2">
        <f>IFERROR(__xludf.DUMMYFUNCTION("""COMPUTED_VALUE"""),1.83)</f>
        <v>1.83</v>
      </c>
      <c r="H89" s="3">
        <f>IFERROR(__xludf.DUMMYFUNCTION("""COMPUTED_VALUE"""),45376.66666666667)</f>
        <v>45376.66667</v>
      </c>
      <c r="I89" s="2">
        <f>IFERROR(__xludf.DUMMYFUNCTION("""COMPUTED_VALUE"""),1.58)</f>
        <v>1.58</v>
      </c>
      <c r="K89" s="3">
        <f>IFERROR(__xludf.DUMMYFUNCTION("""COMPUTED_VALUE"""),44323.6875)</f>
        <v>44323.6875</v>
      </c>
      <c r="L89" s="2">
        <f>IFERROR(__xludf.DUMMYFUNCTION("""COMPUTED_VALUE"""),46.56)</f>
        <v>46.56</v>
      </c>
      <c r="N89" s="3">
        <f>IFERROR(__xludf.DUMMYFUNCTION("""COMPUTED_VALUE"""),44323.66666666667)</f>
        <v>44323.66667</v>
      </c>
      <c r="O89" s="2">
        <f>IFERROR(__xludf.DUMMYFUNCTION("""COMPUTED_VALUE"""),26.73)</f>
        <v>26.73</v>
      </c>
      <c r="Q89" s="3">
        <f>IFERROR(__xludf.DUMMYFUNCTION("""COMPUTED_VALUE"""),44323.66666666667)</f>
        <v>44323.66667</v>
      </c>
      <c r="R89" s="2">
        <f>IFERROR(__xludf.DUMMYFUNCTION("""COMPUTED_VALUE"""),135.15)</f>
        <v>135.15</v>
      </c>
    </row>
    <row r="90">
      <c r="B90" s="3">
        <f>IFERROR(__xludf.DUMMYFUNCTION("""COMPUTED_VALUE"""),44326.66666666667)</f>
        <v>44326.66667</v>
      </c>
      <c r="C90" s="2">
        <f>IFERROR(__xludf.DUMMYFUNCTION("""COMPUTED_VALUE"""),53.16)</f>
        <v>53.16</v>
      </c>
      <c r="E90" s="3">
        <f>IFERROR(__xludf.DUMMYFUNCTION("""COMPUTED_VALUE"""),45622.66666666667)</f>
        <v>45622.66667</v>
      </c>
      <c r="F90" s="2">
        <f>IFERROR(__xludf.DUMMYFUNCTION("""COMPUTED_VALUE"""),1.85)</f>
        <v>1.85</v>
      </c>
      <c r="H90" s="3">
        <f>IFERROR(__xludf.DUMMYFUNCTION("""COMPUTED_VALUE"""),45377.66666666667)</f>
        <v>45377.66667</v>
      </c>
      <c r="I90" s="2">
        <f>IFERROR(__xludf.DUMMYFUNCTION("""COMPUTED_VALUE"""),1.48)</f>
        <v>1.48</v>
      </c>
      <c r="K90" s="3">
        <f>IFERROR(__xludf.DUMMYFUNCTION("""COMPUTED_VALUE"""),44326.6875)</f>
        <v>44326.6875</v>
      </c>
      <c r="L90" s="2">
        <f>IFERROR(__xludf.DUMMYFUNCTION("""COMPUTED_VALUE"""),47.85)</f>
        <v>47.85</v>
      </c>
      <c r="N90" s="3">
        <f>IFERROR(__xludf.DUMMYFUNCTION("""COMPUTED_VALUE"""),44326.66666666667)</f>
        <v>44326.66667</v>
      </c>
      <c r="O90" s="2">
        <f>IFERROR(__xludf.DUMMYFUNCTION("""COMPUTED_VALUE"""),26.62)</f>
        <v>26.62</v>
      </c>
      <c r="Q90" s="3">
        <f>IFERROR(__xludf.DUMMYFUNCTION("""COMPUTED_VALUE"""),44326.66666666667)</f>
        <v>44326.66667</v>
      </c>
      <c r="R90" s="2">
        <f>IFERROR(__xludf.DUMMYFUNCTION("""COMPUTED_VALUE"""),137.67)</f>
        <v>137.67</v>
      </c>
    </row>
    <row r="91">
      <c r="B91" s="3">
        <f>IFERROR(__xludf.DUMMYFUNCTION("""COMPUTED_VALUE"""),44327.66666666667)</f>
        <v>44327.66667</v>
      </c>
      <c r="C91" s="2">
        <f>IFERROR(__xludf.DUMMYFUNCTION("""COMPUTED_VALUE"""),52.83)</f>
        <v>52.83</v>
      </c>
      <c r="E91" s="3">
        <f>IFERROR(__xludf.DUMMYFUNCTION("""COMPUTED_VALUE"""),45623.66666666667)</f>
        <v>45623.66667</v>
      </c>
      <c r="F91" s="2">
        <f>IFERROR(__xludf.DUMMYFUNCTION("""COMPUTED_VALUE"""),1.92)</f>
        <v>1.92</v>
      </c>
      <c r="H91" s="3">
        <f>IFERROR(__xludf.DUMMYFUNCTION("""COMPUTED_VALUE"""),45378.66666666667)</f>
        <v>45378.66667</v>
      </c>
      <c r="I91" s="2">
        <f>IFERROR(__xludf.DUMMYFUNCTION("""COMPUTED_VALUE"""),1.48)</f>
        <v>1.48</v>
      </c>
      <c r="K91" s="3">
        <f>IFERROR(__xludf.DUMMYFUNCTION("""COMPUTED_VALUE"""),44327.6875)</f>
        <v>44327.6875</v>
      </c>
      <c r="L91" s="2">
        <f>IFERROR(__xludf.DUMMYFUNCTION("""COMPUTED_VALUE"""),46.68)</f>
        <v>46.68</v>
      </c>
      <c r="N91" s="3">
        <f>IFERROR(__xludf.DUMMYFUNCTION("""COMPUTED_VALUE"""),44327.66666666667)</f>
        <v>44327.66667</v>
      </c>
      <c r="O91" s="2">
        <f>IFERROR(__xludf.DUMMYFUNCTION("""COMPUTED_VALUE"""),25.97)</f>
        <v>25.97</v>
      </c>
      <c r="Q91" s="3">
        <f>IFERROR(__xludf.DUMMYFUNCTION("""COMPUTED_VALUE"""),44327.66666666667)</f>
        <v>44327.66667</v>
      </c>
      <c r="R91" s="2">
        <f>IFERROR(__xludf.DUMMYFUNCTION("""COMPUTED_VALUE"""),136.99)</f>
        <v>136.99</v>
      </c>
    </row>
    <row r="92">
      <c r="B92" s="3">
        <f>IFERROR(__xludf.DUMMYFUNCTION("""COMPUTED_VALUE"""),44328.66666666667)</f>
        <v>44328.66667</v>
      </c>
      <c r="C92" s="2">
        <f>IFERROR(__xludf.DUMMYFUNCTION("""COMPUTED_VALUE"""),51.6)</f>
        <v>51.6</v>
      </c>
      <c r="E92" s="3">
        <f>IFERROR(__xludf.DUMMYFUNCTION("""COMPUTED_VALUE"""),45625.54513888889)</f>
        <v>45625.54514</v>
      </c>
      <c r="F92" s="2">
        <f>IFERROR(__xludf.DUMMYFUNCTION("""COMPUTED_VALUE"""),1.93)</f>
        <v>1.93</v>
      </c>
      <c r="H92" s="3">
        <f>IFERROR(__xludf.DUMMYFUNCTION("""COMPUTED_VALUE"""),45379.66666666667)</f>
        <v>45379.66667</v>
      </c>
      <c r="I92" s="2">
        <f>IFERROR(__xludf.DUMMYFUNCTION("""COMPUTED_VALUE"""),1.42)</f>
        <v>1.42</v>
      </c>
      <c r="K92" s="3">
        <f>IFERROR(__xludf.DUMMYFUNCTION("""COMPUTED_VALUE"""),44328.6875)</f>
        <v>44328.6875</v>
      </c>
      <c r="L92" s="2">
        <f>IFERROR(__xludf.DUMMYFUNCTION("""COMPUTED_VALUE"""),47.29)</f>
        <v>47.29</v>
      </c>
      <c r="N92" s="3">
        <f>IFERROR(__xludf.DUMMYFUNCTION("""COMPUTED_VALUE"""),44328.66666666667)</f>
        <v>44328.66667</v>
      </c>
      <c r="O92" s="2">
        <f>IFERROR(__xludf.DUMMYFUNCTION("""COMPUTED_VALUE"""),26.19)</f>
        <v>26.19</v>
      </c>
      <c r="Q92" s="3">
        <f>IFERROR(__xludf.DUMMYFUNCTION("""COMPUTED_VALUE"""),44328.66666666667)</f>
        <v>44328.66667</v>
      </c>
      <c r="R92" s="2">
        <f>IFERROR(__xludf.DUMMYFUNCTION("""COMPUTED_VALUE"""),135.54)</f>
        <v>135.54</v>
      </c>
    </row>
    <row r="93">
      <c r="B93" s="3">
        <f>IFERROR(__xludf.DUMMYFUNCTION("""COMPUTED_VALUE"""),44329.66666666667)</f>
        <v>44329.66667</v>
      </c>
      <c r="C93" s="2">
        <f>IFERROR(__xludf.DUMMYFUNCTION("""COMPUTED_VALUE"""),52.49)</f>
        <v>52.49</v>
      </c>
      <c r="E93" s="3">
        <f>IFERROR(__xludf.DUMMYFUNCTION("""COMPUTED_VALUE"""),45628.66666666667)</f>
        <v>45628.66667</v>
      </c>
      <c r="F93" s="2">
        <f>IFERROR(__xludf.DUMMYFUNCTION("""COMPUTED_VALUE"""),1.8)</f>
        <v>1.8</v>
      </c>
      <c r="H93" s="3">
        <f>IFERROR(__xludf.DUMMYFUNCTION("""COMPUTED_VALUE"""),45383.66666666667)</f>
        <v>45383.66667</v>
      </c>
      <c r="I93" s="2">
        <f>IFERROR(__xludf.DUMMYFUNCTION("""COMPUTED_VALUE"""),1.43)</f>
        <v>1.43</v>
      </c>
      <c r="K93" s="3">
        <f>IFERROR(__xludf.DUMMYFUNCTION("""COMPUTED_VALUE"""),44329.6875)</f>
        <v>44329.6875</v>
      </c>
      <c r="L93" s="2">
        <f>IFERROR(__xludf.DUMMYFUNCTION("""COMPUTED_VALUE"""),47.01)</f>
        <v>47.01</v>
      </c>
      <c r="N93" s="3">
        <f>IFERROR(__xludf.DUMMYFUNCTION("""COMPUTED_VALUE"""),44329.66666666667)</f>
        <v>44329.66667</v>
      </c>
      <c r="O93" s="2">
        <f>IFERROR(__xludf.DUMMYFUNCTION("""COMPUTED_VALUE"""),25.89)</f>
        <v>25.89</v>
      </c>
      <c r="Q93" s="3">
        <f>IFERROR(__xludf.DUMMYFUNCTION("""COMPUTED_VALUE"""),44329.66666666667)</f>
        <v>44329.66667</v>
      </c>
      <c r="R93" s="2">
        <f>IFERROR(__xludf.DUMMYFUNCTION("""COMPUTED_VALUE"""),137.72)</f>
        <v>137.72</v>
      </c>
    </row>
    <row r="94">
      <c r="B94" s="3">
        <f>IFERROR(__xludf.DUMMYFUNCTION("""COMPUTED_VALUE"""),44330.66666666667)</f>
        <v>44330.66667</v>
      </c>
      <c r="C94" s="2">
        <f>IFERROR(__xludf.DUMMYFUNCTION("""COMPUTED_VALUE"""),52.9)</f>
        <v>52.9</v>
      </c>
      <c r="E94" s="3">
        <f>IFERROR(__xludf.DUMMYFUNCTION("""COMPUTED_VALUE"""),45629.66666666667)</f>
        <v>45629.66667</v>
      </c>
      <c r="F94" s="2">
        <f>IFERROR(__xludf.DUMMYFUNCTION("""COMPUTED_VALUE"""),1.86)</f>
        <v>1.86</v>
      </c>
      <c r="H94" s="3">
        <f>IFERROR(__xludf.DUMMYFUNCTION("""COMPUTED_VALUE"""),45384.66666666667)</f>
        <v>45384.66667</v>
      </c>
      <c r="I94" s="2">
        <f>IFERROR(__xludf.DUMMYFUNCTION("""COMPUTED_VALUE"""),1.52)</f>
        <v>1.52</v>
      </c>
      <c r="K94" s="3">
        <f>IFERROR(__xludf.DUMMYFUNCTION("""COMPUTED_VALUE"""),44330.6875)</f>
        <v>44330.6875</v>
      </c>
      <c r="L94" s="2">
        <f>IFERROR(__xludf.DUMMYFUNCTION("""COMPUTED_VALUE"""),48.25)</f>
        <v>48.25</v>
      </c>
      <c r="N94" s="3">
        <f>IFERROR(__xludf.DUMMYFUNCTION("""COMPUTED_VALUE"""),44330.66666666667)</f>
        <v>44330.66667</v>
      </c>
      <c r="O94" s="2">
        <f>IFERROR(__xludf.DUMMYFUNCTION("""COMPUTED_VALUE"""),26.65)</f>
        <v>26.65</v>
      </c>
      <c r="Q94" s="3">
        <f>IFERROR(__xludf.DUMMYFUNCTION("""COMPUTED_VALUE"""),44330.66666666667)</f>
        <v>44330.66667</v>
      </c>
      <c r="R94" s="2">
        <f>IFERROR(__xludf.DUMMYFUNCTION("""COMPUTED_VALUE"""),138.01)</f>
        <v>138.01</v>
      </c>
    </row>
    <row r="95">
      <c r="B95" s="3">
        <f>IFERROR(__xludf.DUMMYFUNCTION("""COMPUTED_VALUE"""),44333.66666666667)</f>
        <v>44333.66667</v>
      </c>
      <c r="C95" s="2">
        <f>IFERROR(__xludf.DUMMYFUNCTION("""COMPUTED_VALUE"""),52.94)</f>
        <v>52.94</v>
      </c>
      <c r="E95" s="3">
        <f>IFERROR(__xludf.DUMMYFUNCTION("""COMPUTED_VALUE"""),45630.66666666667)</f>
        <v>45630.66667</v>
      </c>
      <c r="F95" s="2">
        <f>IFERROR(__xludf.DUMMYFUNCTION("""COMPUTED_VALUE"""),2.0)</f>
        <v>2</v>
      </c>
      <c r="H95" s="3">
        <f>IFERROR(__xludf.DUMMYFUNCTION("""COMPUTED_VALUE"""),45385.66666666667)</f>
        <v>45385.66667</v>
      </c>
      <c r="I95" s="2">
        <f>IFERROR(__xludf.DUMMYFUNCTION("""COMPUTED_VALUE"""),1.75)</f>
        <v>1.75</v>
      </c>
      <c r="K95" s="3">
        <f>IFERROR(__xludf.DUMMYFUNCTION("""COMPUTED_VALUE"""),44333.6875)</f>
        <v>44333.6875</v>
      </c>
      <c r="L95" s="2">
        <f>IFERROR(__xludf.DUMMYFUNCTION("""COMPUTED_VALUE"""),48.07)</f>
        <v>48.07</v>
      </c>
      <c r="N95" s="3">
        <f>IFERROR(__xludf.DUMMYFUNCTION("""COMPUTED_VALUE"""),44333.66666666667)</f>
        <v>44333.66667</v>
      </c>
      <c r="O95" s="2">
        <f>IFERROR(__xludf.DUMMYFUNCTION("""COMPUTED_VALUE"""),27.08)</f>
        <v>27.08</v>
      </c>
      <c r="Q95" s="3">
        <f>IFERROR(__xludf.DUMMYFUNCTION("""COMPUTED_VALUE"""),44333.66666666667)</f>
        <v>44333.66667</v>
      </c>
      <c r="R95" s="2">
        <f>IFERROR(__xludf.DUMMYFUNCTION("""COMPUTED_VALUE"""),137.73)</f>
        <v>137.73</v>
      </c>
    </row>
    <row r="96">
      <c r="B96" s="3">
        <f>IFERROR(__xludf.DUMMYFUNCTION("""COMPUTED_VALUE"""),44334.66666666667)</f>
        <v>44334.66667</v>
      </c>
      <c r="C96" s="2">
        <f>IFERROR(__xludf.DUMMYFUNCTION("""COMPUTED_VALUE"""),52.93)</f>
        <v>52.93</v>
      </c>
      <c r="E96" s="3">
        <f>IFERROR(__xludf.DUMMYFUNCTION("""COMPUTED_VALUE"""),45631.66666666667)</f>
        <v>45631.66667</v>
      </c>
      <c r="F96" s="2">
        <f>IFERROR(__xludf.DUMMYFUNCTION("""COMPUTED_VALUE"""),1.97)</f>
        <v>1.97</v>
      </c>
      <c r="H96" s="3">
        <f>IFERROR(__xludf.DUMMYFUNCTION("""COMPUTED_VALUE"""),45386.66666666667)</f>
        <v>45386.66667</v>
      </c>
      <c r="I96" s="2">
        <f>IFERROR(__xludf.DUMMYFUNCTION("""COMPUTED_VALUE"""),1.67)</f>
        <v>1.67</v>
      </c>
      <c r="K96" s="3">
        <f>IFERROR(__xludf.DUMMYFUNCTION("""COMPUTED_VALUE"""),44334.6875)</f>
        <v>44334.6875</v>
      </c>
      <c r="L96" s="2">
        <f>IFERROR(__xludf.DUMMYFUNCTION("""COMPUTED_VALUE"""),48.6)</f>
        <v>48.6</v>
      </c>
      <c r="N96" s="3">
        <f>IFERROR(__xludf.DUMMYFUNCTION("""COMPUTED_VALUE"""),44334.66666666667)</f>
        <v>44334.66667</v>
      </c>
      <c r="O96" s="2">
        <f>IFERROR(__xludf.DUMMYFUNCTION("""COMPUTED_VALUE"""),26.86)</f>
        <v>26.86</v>
      </c>
      <c r="Q96" s="3">
        <f>IFERROR(__xludf.DUMMYFUNCTION("""COMPUTED_VALUE"""),44334.66666666667)</f>
        <v>44334.66667</v>
      </c>
      <c r="R96" s="2">
        <f>IFERROR(__xludf.DUMMYFUNCTION("""COMPUTED_VALUE"""),136.32)</f>
        <v>136.32</v>
      </c>
    </row>
    <row r="97">
      <c r="B97" s="3">
        <f>IFERROR(__xludf.DUMMYFUNCTION("""COMPUTED_VALUE"""),44335.66666666667)</f>
        <v>44335.66667</v>
      </c>
      <c r="C97" s="2">
        <f>IFERROR(__xludf.DUMMYFUNCTION("""COMPUTED_VALUE"""),52.47)</f>
        <v>52.47</v>
      </c>
      <c r="E97" s="3">
        <f>IFERROR(__xludf.DUMMYFUNCTION("""COMPUTED_VALUE"""),45632.66666666667)</f>
        <v>45632.66667</v>
      </c>
      <c r="F97" s="2">
        <f>IFERROR(__xludf.DUMMYFUNCTION("""COMPUTED_VALUE"""),1.9)</f>
        <v>1.9</v>
      </c>
      <c r="H97" s="3">
        <f>IFERROR(__xludf.DUMMYFUNCTION("""COMPUTED_VALUE"""),45387.66666666667)</f>
        <v>45387.66667</v>
      </c>
      <c r="I97" s="2">
        <f>IFERROR(__xludf.DUMMYFUNCTION("""COMPUTED_VALUE"""),1.75)</f>
        <v>1.75</v>
      </c>
      <c r="K97" s="3">
        <f>IFERROR(__xludf.DUMMYFUNCTION("""COMPUTED_VALUE"""),44335.6875)</f>
        <v>44335.6875</v>
      </c>
      <c r="L97" s="2">
        <f>IFERROR(__xludf.DUMMYFUNCTION("""COMPUTED_VALUE"""),47.96)</f>
        <v>47.96</v>
      </c>
      <c r="N97" s="3">
        <f>IFERROR(__xludf.DUMMYFUNCTION("""COMPUTED_VALUE"""),44335.66666666667)</f>
        <v>44335.66667</v>
      </c>
      <c r="O97" s="2">
        <f>IFERROR(__xludf.DUMMYFUNCTION("""COMPUTED_VALUE"""),26.18)</f>
        <v>26.18</v>
      </c>
      <c r="Q97" s="3">
        <f>IFERROR(__xludf.DUMMYFUNCTION("""COMPUTED_VALUE"""),44335.66666666667)</f>
        <v>44335.66667</v>
      </c>
      <c r="R97" s="2">
        <f>IFERROR(__xludf.DUMMYFUNCTION("""COMPUTED_VALUE"""),136.6)</f>
        <v>136.6</v>
      </c>
    </row>
    <row r="98">
      <c r="B98" s="3">
        <f>IFERROR(__xludf.DUMMYFUNCTION("""COMPUTED_VALUE"""),44336.66666666667)</f>
        <v>44336.66667</v>
      </c>
      <c r="C98" s="2">
        <f>IFERROR(__xludf.DUMMYFUNCTION("""COMPUTED_VALUE"""),52.85)</f>
        <v>52.85</v>
      </c>
      <c r="E98" s="3">
        <f>IFERROR(__xludf.DUMMYFUNCTION("""COMPUTED_VALUE"""),45635.66666666667)</f>
        <v>45635.66667</v>
      </c>
      <c r="F98" s="2">
        <f>IFERROR(__xludf.DUMMYFUNCTION("""COMPUTED_VALUE"""),2.13)</f>
        <v>2.13</v>
      </c>
      <c r="H98" s="3">
        <f>IFERROR(__xludf.DUMMYFUNCTION("""COMPUTED_VALUE"""),45390.66666666667)</f>
        <v>45390.66667</v>
      </c>
      <c r="I98" s="2">
        <f>IFERROR(__xludf.DUMMYFUNCTION("""COMPUTED_VALUE"""),1.98)</f>
        <v>1.98</v>
      </c>
      <c r="K98" s="3">
        <f>IFERROR(__xludf.DUMMYFUNCTION("""COMPUTED_VALUE"""),44336.6875)</f>
        <v>44336.6875</v>
      </c>
      <c r="L98" s="2">
        <f>IFERROR(__xludf.DUMMYFUNCTION("""COMPUTED_VALUE"""),48.22)</f>
        <v>48.22</v>
      </c>
      <c r="N98" s="3">
        <f>IFERROR(__xludf.DUMMYFUNCTION("""COMPUTED_VALUE"""),44336.66666666667)</f>
        <v>44336.66667</v>
      </c>
      <c r="O98" s="2">
        <f>IFERROR(__xludf.DUMMYFUNCTION("""COMPUTED_VALUE"""),26.52)</f>
        <v>26.52</v>
      </c>
      <c r="Q98" s="3">
        <f>IFERROR(__xludf.DUMMYFUNCTION("""COMPUTED_VALUE"""),44336.66666666667)</f>
        <v>44336.66667</v>
      </c>
      <c r="R98" s="2">
        <f>IFERROR(__xludf.DUMMYFUNCTION("""COMPUTED_VALUE"""),138.0)</f>
        <v>138</v>
      </c>
    </row>
    <row r="99">
      <c r="B99" s="3">
        <f>IFERROR(__xludf.DUMMYFUNCTION("""COMPUTED_VALUE"""),44337.66666666667)</f>
        <v>44337.66667</v>
      </c>
      <c r="C99" s="2">
        <f>IFERROR(__xludf.DUMMYFUNCTION("""COMPUTED_VALUE"""),52.43)</f>
        <v>52.43</v>
      </c>
      <c r="E99" s="3">
        <f>IFERROR(__xludf.DUMMYFUNCTION("""COMPUTED_VALUE"""),45636.66666666667)</f>
        <v>45636.66667</v>
      </c>
      <c r="F99" s="2">
        <f>IFERROR(__xludf.DUMMYFUNCTION("""COMPUTED_VALUE"""),2.16)</f>
        <v>2.16</v>
      </c>
      <c r="H99" s="3">
        <f>IFERROR(__xludf.DUMMYFUNCTION("""COMPUTED_VALUE"""),45391.66666666667)</f>
        <v>45391.66667</v>
      </c>
      <c r="I99" s="2">
        <f>IFERROR(__xludf.DUMMYFUNCTION("""COMPUTED_VALUE"""),1.79)</f>
        <v>1.79</v>
      </c>
      <c r="K99" s="3">
        <f>IFERROR(__xludf.DUMMYFUNCTION("""COMPUTED_VALUE"""),44337.6875)</f>
        <v>44337.6875</v>
      </c>
      <c r="L99" s="2">
        <f>IFERROR(__xludf.DUMMYFUNCTION("""COMPUTED_VALUE"""),48.47)</f>
        <v>48.47</v>
      </c>
      <c r="N99" s="3">
        <f>IFERROR(__xludf.DUMMYFUNCTION("""COMPUTED_VALUE"""),44337.66666666667)</f>
        <v>44337.66667</v>
      </c>
      <c r="O99" s="2">
        <f>IFERROR(__xludf.DUMMYFUNCTION("""COMPUTED_VALUE"""),26.52)</f>
        <v>26.52</v>
      </c>
      <c r="Q99" s="3">
        <f>IFERROR(__xludf.DUMMYFUNCTION("""COMPUTED_VALUE"""),44337.66666666667)</f>
        <v>44337.66667</v>
      </c>
      <c r="R99" s="2">
        <f>IFERROR(__xludf.DUMMYFUNCTION("""COMPUTED_VALUE"""),138.0)</f>
        <v>138</v>
      </c>
    </row>
    <row r="100">
      <c r="B100" s="3">
        <f>IFERROR(__xludf.DUMMYFUNCTION("""COMPUTED_VALUE"""),44340.66666666667)</f>
        <v>44340.66667</v>
      </c>
      <c r="C100" s="2">
        <f>IFERROR(__xludf.DUMMYFUNCTION("""COMPUTED_VALUE"""),53.39)</f>
        <v>53.39</v>
      </c>
      <c r="E100" s="3">
        <f>IFERROR(__xludf.DUMMYFUNCTION("""COMPUTED_VALUE"""),45637.66666666667)</f>
        <v>45637.66667</v>
      </c>
      <c r="F100" s="2">
        <f>IFERROR(__xludf.DUMMYFUNCTION("""COMPUTED_VALUE"""),2.26)</f>
        <v>2.26</v>
      </c>
      <c r="H100" s="3">
        <f>IFERROR(__xludf.DUMMYFUNCTION("""COMPUTED_VALUE"""),45392.66666666667)</f>
        <v>45392.66667</v>
      </c>
      <c r="I100" s="2">
        <f>IFERROR(__xludf.DUMMYFUNCTION("""COMPUTED_VALUE"""),1.91)</f>
        <v>1.91</v>
      </c>
      <c r="K100" s="3">
        <f>IFERROR(__xludf.DUMMYFUNCTION("""COMPUTED_VALUE"""),44340.6875)</f>
        <v>44340.6875</v>
      </c>
      <c r="L100" s="2">
        <f>IFERROR(__xludf.DUMMYFUNCTION("""COMPUTED_VALUE"""),48.72)</f>
        <v>48.72</v>
      </c>
      <c r="N100" s="3">
        <f>IFERROR(__xludf.DUMMYFUNCTION("""COMPUTED_VALUE"""),44340.66666666667)</f>
        <v>44340.66667</v>
      </c>
      <c r="O100" s="2">
        <f>IFERROR(__xludf.DUMMYFUNCTION("""COMPUTED_VALUE"""),27.02)</f>
        <v>27.02</v>
      </c>
      <c r="Q100" s="3">
        <f>IFERROR(__xludf.DUMMYFUNCTION("""COMPUTED_VALUE"""),44340.66666666667)</f>
        <v>44340.66667</v>
      </c>
      <c r="R100" s="2">
        <f>IFERROR(__xludf.DUMMYFUNCTION("""COMPUTED_VALUE"""),137.96)</f>
        <v>137.96</v>
      </c>
    </row>
    <row r="101">
      <c r="B101" s="3">
        <f>IFERROR(__xludf.DUMMYFUNCTION("""COMPUTED_VALUE"""),44341.66666666667)</f>
        <v>44341.66667</v>
      </c>
      <c r="C101" s="2">
        <f>IFERROR(__xludf.DUMMYFUNCTION("""COMPUTED_VALUE"""),53.31)</f>
        <v>53.31</v>
      </c>
      <c r="E101" s="3">
        <f>IFERROR(__xludf.DUMMYFUNCTION("""COMPUTED_VALUE"""),45638.66666666667)</f>
        <v>45638.66667</v>
      </c>
      <c r="F101" s="2">
        <f>IFERROR(__xludf.DUMMYFUNCTION("""COMPUTED_VALUE"""),2.34)</f>
        <v>2.34</v>
      </c>
      <c r="H101" s="3">
        <f>IFERROR(__xludf.DUMMYFUNCTION("""COMPUTED_VALUE"""),45393.66666666667)</f>
        <v>45393.66667</v>
      </c>
      <c r="I101" s="2">
        <f>IFERROR(__xludf.DUMMYFUNCTION("""COMPUTED_VALUE"""),1.78)</f>
        <v>1.78</v>
      </c>
      <c r="K101" s="3">
        <f>IFERROR(__xludf.DUMMYFUNCTION("""COMPUTED_VALUE"""),44341.6875)</f>
        <v>44341.6875</v>
      </c>
      <c r="L101" s="2">
        <f>IFERROR(__xludf.DUMMYFUNCTION("""COMPUTED_VALUE"""),49.07)</f>
        <v>49.07</v>
      </c>
      <c r="N101" s="3">
        <f>IFERROR(__xludf.DUMMYFUNCTION("""COMPUTED_VALUE"""),44341.66666666667)</f>
        <v>44341.66667</v>
      </c>
      <c r="O101" s="2">
        <f>IFERROR(__xludf.DUMMYFUNCTION("""COMPUTED_VALUE"""),26.28)</f>
        <v>26.28</v>
      </c>
      <c r="Q101" s="3">
        <f>IFERROR(__xludf.DUMMYFUNCTION("""COMPUTED_VALUE"""),44341.66666666667)</f>
        <v>44341.66667</v>
      </c>
      <c r="R101" s="2">
        <f>IFERROR(__xludf.DUMMYFUNCTION("""COMPUTED_VALUE"""),138.43)</f>
        <v>138.43</v>
      </c>
    </row>
    <row r="102">
      <c r="B102" s="3">
        <f>IFERROR(__xludf.DUMMYFUNCTION("""COMPUTED_VALUE"""),44342.66666666667)</f>
        <v>44342.66667</v>
      </c>
      <c r="C102" s="2">
        <f>IFERROR(__xludf.DUMMYFUNCTION("""COMPUTED_VALUE"""),52.91)</f>
        <v>52.91</v>
      </c>
      <c r="E102" s="3">
        <f>IFERROR(__xludf.DUMMYFUNCTION("""COMPUTED_VALUE"""),45639.66666666667)</f>
        <v>45639.66667</v>
      </c>
      <c r="F102" s="2">
        <f>IFERROR(__xludf.DUMMYFUNCTION("""COMPUTED_VALUE"""),2.24)</f>
        <v>2.24</v>
      </c>
      <c r="H102" s="3">
        <f>IFERROR(__xludf.DUMMYFUNCTION("""COMPUTED_VALUE"""),45394.66666666667)</f>
        <v>45394.66667</v>
      </c>
      <c r="I102" s="2">
        <f>IFERROR(__xludf.DUMMYFUNCTION("""COMPUTED_VALUE"""),1.72)</f>
        <v>1.72</v>
      </c>
      <c r="K102" s="3">
        <f>IFERROR(__xludf.DUMMYFUNCTION("""COMPUTED_VALUE"""),44342.6875)</f>
        <v>44342.6875</v>
      </c>
      <c r="L102" s="2">
        <f>IFERROR(__xludf.DUMMYFUNCTION("""COMPUTED_VALUE"""),48.42)</f>
        <v>48.42</v>
      </c>
      <c r="N102" s="3">
        <f>IFERROR(__xludf.DUMMYFUNCTION("""COMPUTED_VALUE"""),44342.66666666667)</f>
        <v>44342.66667</v>
      </c>
      <c r="O102" s="2">
        <f>IFERROR(__xludf.DUMMYFUNCTION("""COMPUTED_VALUE"""),26.31)</f>
        <v>26.31</v>
      </c>
      <c r="Q102" s="3">
        <f>IFERROR(__xludf.DUMMYFUNCTION("""COMPUTED_VALUE"""),44342.66666666667)</f>
        <v>44342.66667</v>
      </c>
      <c r="R102" s="2">
        <f>IFERROR(__xludf.DUMMYFUNCTION("""COMPUTED_VALUE"""),138.12)</f>
        <v>138.12</v>
      </c>
    </row>
    <row r="103">
      <c r="B103" s="3">
        <f>IFERROR(__xludf.DUMMYFUNCTION("""COMPUTED_VALUE"""),44343.66666666667)</f>
        <v>44343.66667</v>
      </c>
      <c r="C103" s="2">
        <f>IFERROR(__xludf.DUMMYFUNCTION("""COMPUTED_VALUE"""),52.92)</f>
        <v>52.92</v>
      </c>
      <c r="E103" s="3">
        <f>IFERROR(__xludf.DUMMYFUNCTION("""COMPUTED_VALUE"""),45642.66666666667)</f>
        <v>45642.66667</v>
      </c>
      <c r="F103" s="2">
        <f>IFERROR(__xludf.DUMMYFUNCTION("""COMPUTED_VALUE"""),2.16)</f>
        <v>2.16</v>
      </c>
      <c r="H103" s="3">
        <f>IFERROR(__xludf.DUMMYFUNCTION("""COMPUTED_VALUE"""),45397.66666666667)</f>
        <v>45397.66667</v>
      </c>
      <c r="I103" s="2">
        <f>IFERROR(__xludf.DUMMYFUNCTION("""COMPUTED_VALUE"""),1.66)</f>
        <v>1.66</v>
      </c>
      <c r="K103" s="3">
        <f>IFERROR(__xludf.DUMMYFUNCTION("""COMPUTED_VALUE"""),44343.6875)</f>
        <v>44343.6875</v>
      </c>
      <c r="L103" s="2">
        <f>IFERROR(__xludf.DUMMYFUNCTION("""COMPUTED_VALUE"""),49.91)</f>
        <v>49.91</v>
      </c>
      <c r="N103" s="3">
        <f>IFERROR(__xludf.DUMMYFUNCTION("""COMPUTED_VALUE"""),44343.66666666667)</f>
        <v>44343.66667</v>
      </c>
      <c r="O103" s="2">
        <f>IFERROR(__xludf.DUMMYFUNCTION("""COMPUTED_VALUE"""),26.28)</f>
        <v>26.28</v>
      </c>
      <c r="Q103" s="3">
        <f>IFERROR(__xludf.DUMMYFUNCTION("""COMPUTED_VALUE"""),44343.66666666667)</f>
        <v>44343.66667</v>
      </c>
      <c r="R103" s="2">
        <f>IFERROR(__xludf.DUMMYFUNCTION("""COMPUTED_VALUE"""),134.98)</f>
        <v>134.98</v>
      </c>
    </row>
    <row r="104">
      <c r="B104" s="3">
        <f>IFERROR(__xludf.DUMMYFUNCTION("""COMPUTED_VALUE"""),44344.66666666667)</f>
        <v>44344.66667</v>
      </c>
      <c r="C104" s="2">
        <f>IFERROR(__xludf.DUMMYFUNCTION("""COMPUTED_VALUE"""),52.9)</f>
        <v>52.9</v>
      </c>
      <c r="E104" s="3">
        <f>IFERROR(__xludf.DUMMYFUNCTION("""COMPUTED_VALUE"""),45643.66666666667)</f>
        <v>45643.66667</v>
      </c>
      <c r="F104" s="2">
        <f>IFERROR(__xludf.DUMMYFUNCTION("""COMPUTED_VALUE"""),2.12)</f>
        <v>2.12</v>
      </c>
      <c r="H104" s="3">
        <f>IFERROR(__xludf.DUMMYFUNCTION("""COMPUTED_VALUE"""),45398.66666666667)</f>
        <v>45398.66667</v>
      </c>
      <c r="I104" s="2">
        <f>IFERROR(__xludf.DUMMYFUNCTION("""COMPUTED_VALUE"""),1.53)</f>
        <v>1.53</v>
      </c>
      <c r="K104" s="3">
        <f>IFERROR(__xludf.DUMMYFUNCTION("""COMPUTED_VALUE"""),44344.6875)</f>
        <v>44344.6875</v>
      </c>
      <c r="L104" s="2">
        <f>IFERROR(__xludf.DUMMYFUNCTION("""COMPUTED_VALUE"""),49.89)</f>
        <v>49.89</v>
      </c>
      <c r="N104" s="3">
        <f>IFERROR(__xludf.DUMMYFUNCTION("""COMPUTED_VALUE"""),44344.66666666667)</f>
        <v>44344.66667</v>
      </c>
      <c r="O104" s="2">
        <f>IFERROR(__xludf.DUMMYFUNCTION("""COMPUTED_VALUE"""),26.23)</f>
        <v>26.23</v>
      </c>
      <c r="Q104" s="3">
        <f>IFERROR(__xludf.DUMMYFUNCTION("""COMPUTED_VALUE"""),44344.66666666667)</f>
        <v>44344.66667</v>
      </c>
      <c r="R104" s="2">
        <f>IFERROR(__xludf.DUMMYFUNCTION("""COMPUTED_VALUE"""),134.85)</f>
        <v>134.85</v>
      </c>
    </row>
    <row r="105">
      <c r="B105" s="3">
        <f>IFERROR(__xludf.DUMMYFUNCTION("""COMPUTED_VALUE"""),44348.66666666667)</f>
        <v>44348.66667</v>
      </c>
      <c r="C105" s="2">
        <f>IFERROR(__xludf.DUMMYFUNCTION("""COMPUTED_VALUE"""),52.62)</f>
        <v>52.62</v>
      </c>
      <c r="E105" s="3">
        <f>IFERROR(__xludf.DUMMYFUNCTION("""COMPUTED_VALUE"""),45644.66666666667)</f>
        <v>45644.66667</v>
      </c>
      <c r="F105" s="2">
        <f>IFERROR(__xludf.DUMMYFUNCTION("""COMPUTED_VALUE"""),2.13)</f>
        <v>2.13</v>
      </c>
      <c r="H105" s="3">
        <f>IFERROR(__xludf.DUMMYFUNCTION("""COMPUTED_VALUE"""),45399.66666666667)</f>
        <v>45399.66667</v>
      </c>
      <c r="I105" s="2">
        <f>IFERROR(__xludf.DUMMYFUNCTION("""COMPUTED_VALUE"""),1.42)</f>
        <v>1.42</v>
      </c>
      <c r="K105" s="3">
        <f>IFERROR(__xludf.DUMMYFUNCTION("""COMPUTED_VALUE"""),44348.6875)</f>
        <v>44348.6875</v>
      </c>
      <c r="L105" s="2">
        <f>IFERROR(__xludf.DUMMYFUNCTION("""COMPUTED_VALUE"""),49.78)</f>
        <v>49.78</v>
      </c>
      <c r="N105" s="3">
        <f>IFERROR(__xludf.DUMMYFUNCTION("""COMPUTED_VALUE"""),44348.66666666667)</f>
        <v>44348.66667</v>
      </c>
      <c r="O105" s="2">
        <f>IFERROR(__xludf.DUMMYFUNCTION("""COMPUTED_VALUE"""),27.02)</f>
        <v>27.02</v>
      </c>
      <c r="Q105" s="3">
        <f>IFERROR(__xludf.DUMMYFUNCTION("""COMPUTED_VALUE"""),44348.66666666667)</f>
        <v>44348.66667</v>
      </c>
      <c r="R105" s="2">
        <f>IFERROR(__xludf.DUMMYFUNCTION("""COMPUTED_VALUE"""),132.88)</f>
        <v>132.88</v>
      </c>
    </row>
    <row r="106">
      <c r="B106" s="3">
        <f>IFERROR(__xludf.DUMMYFUNCTION("""COMPUTED_VALUE"""),44349.66666666667)</f>
        <v>44349.66667</v>
      </c>
      <c r="C106" s="2">
        <f>IFERROR(__xludf.DUMMYFUNCTION("""COMPUTED_VALUE"""),52.96)</f>
        <v>52.96</v>
      </c>
      <c r="E106" s="3">
        <f>IFERROR(__xludf.DUMMYFUNCTION("""COMPUTED_VALUE"""),45645.66666666667)</f>
        <v>45645.66667</v>
      </c>
      <c r="F106" s="2">
        <f>IFERROR(__xludf.DUMMYFUNCTION("""COMPUTED_VALUE"""),2.38)</f>
        <v>2.38</v>
      </c>
      <c r="H106" s="3">
        <f>IFERROR(__xludf.DUMMYFUNCTION("""COMPUTED_VALUE"""),45400.66666666667)</f>
        <v>45400.66667</v>
      </c>
      <c r="I106" s="2">
        <f>IFERROR(__xludf.DUMMYFUNCTION("""COMPUTED_VALUE"""),1.34)</f>
        <v>1.34</v>
      </c>
      <c r="K106" s="3">
        <f>IFERROR(__xludf.DUMMYFUNCTION("""COMPUTED_VALUE"""),44349.6875)</f>
        <v>44349.6875</v>
      </c>
      <c r="L106" s="2">
        <f>IFERROR(__xludf.DUMMYFUNCTION("""COMPUTED_VALUE"""),50.0)</f>
        <v>50</v>
      </c>
      <c r="N106" s="3">
        <f>IFERROR(__xludf.DUMMYFUNCTION("""COMPUTED_VALUE"""),44349.66666666667)</f>
        <v>44349.66667</v>
      </c>
      <c r="O106" s="2">
        <f>IFERROR(__xludf.DUMMYFUNCTION("""COMPUTED_VALUE"""),27.63)</f>
        <v>27.63</v>
      </c>
      <c r="Q106" s="3">
        <f>IFERROR(__xludf.DUMMYFUNCTION("""COMPUTED_VALUE"""),44349.66666666667)</f>
        <v>44349.66667</v>
      </c>
      <c r="R106" s="2">
        <f>IFERROR(__xludf.DUMMYFUNCTION("""COMPUTED_VALUE"""),133.46)</f>
        <v>133.46</v>
      </c>
    </row>
    <row r="107">
      <c r="B107" s="3">
        <f>IFERROR(__xludf.DUMMYFUNCTION("""COMPUTED_VALUE"""),44350.66666666667)</f>
        <v>44350.66667</v>
      </c>
      <c r="C107" s="2">
        <f>IFERROR(__xludf.DUMMYFUNCTION("""COMPUTED_VALUE"""),53.33)</f>
        <v>53.33</v>
      </c>
      <c r="E107" s="3">
        <f>IFERROR(__xludf.DUMMYFUNCTION("""COMPUTED_VALUE"""),45646.66666666667)</f>
        <v>45646.66667</v>
      </c>
      <c r="F107" s="2">
        <f>IFERROR(__xludf.DUMMYFUNCTION("""COMPUTED_VALUE"""),2.52)</f>
        <v>2.52</v>
      </c>
      <c r="H107" s="3">
        <f>IFERROR(__xludf.DUMMYFUNCTION("""COMPUTED_VALUE"""),45401.66666666667)</f>
        <v>45401.66667</v>
      </c>
      <c r="I107" s="2">
        <f>IFERROR(__xludf.DUMMYFUNCTION("""COMPUTED_VALUE"""),1.31)</f>
        <v>1.31</v>
      </c>
      <c r="K107" s="3">
        <f>IFERROR(__xludf.DUMMYFUNCTION("""COMPUTED_VALUE"""),44350.6875)</f>
        <v>44350.6875</v>
      </c>
      <c r="L107" s="2">
        <f>IFERROR(__xludf.DUMMYFUNCTION("""COMPUTED_VALUE"""),49.55)</f>
        <v>49.55</v>
      </c>
      <c r="N107" s="3">
        <f>IFERROR(__xludf.DUMMYFUNCTION("""COMPUTED_VALUE"""),44350.66666666667)</f>
        <v>44350.66667</v>
      </c>
      <c r="O107" s="2">
        <f>IFERROR(__xludf.DUMMYFUNCTION("""COMPUTED_VALUE"""),27.76)</f>
        <v>27.76</v>
      </c>
      <c r="Q107" s="3">
        <f>IFERROR(__xludf.DUMMYFUNCTION("""COMPUTED_VALUE"""),44350.66666666667)</f>
        <v>44350.66667</v>
      </c>
      <c r="R107" s="2">
        <f>IFERROR(__xludf.DUMMYFUNCTION("""COMPUTED_VALUE"""),135.85)</f>
        <v>135.85</v>
      </c>
    </row>
    <row r="108">
      <c r="B108" s="3">
        <f>IFERROR(__xludf.DUMMYFUNCTION("""COMPUTED_VALUE"""),44351.66666666667)</f>
        <v>44351.66667</v>
      </c>
      <c r="C108" s="2">
        <f>IFERROR(__xludf.DUMMYFUNCTION("""COMPUTED_VALUE"""),54.07)</f>
        <v>54.07</v>
      </c>
      <c r="E108" s="3">
        <f>IFERROR(__xludf.DUMMYFUNCTION("""COMPUTED_VALUE"""),45649.66666666667)</f>
        <v>45649.66667</v>
      </c>
      <c r="F108" s="2">
        <f>IFERROR(__xludf.DUMMYFUNCTION("""COMPUTED_VALUE"""),2.68)</f>
        <v>2.68</v>
      </c>
      <c r="H108" s="3">
        <f>IFERROR(__xludf.DUMMYFUNCTION("""COMPUTED_VALUE"""),45404.66666666667)</f>
        <v>45404.66667</v>
      </c>
      <c r="I108" s="2">
        <f>IFERROR(__xludf.DUMMYFUNCTION("""COMPUTED_VALUE"""),1.23)</f>
        <v>1.23</v>
      </c>
      <c r="K108" s="3">
        <f>IFERROR(__xludf.DUMMYFUNCTION("""COMPUTED_VALUE"""),44351.6875)</f>
        <v>44351.6875</v>
      </c>
      <c r="L108" s="2">
        <f>IFERROR(__xludf.DUMMYFUNCTION("""COMPUTED_VALUE"""),48.94)</f>
        <v>48.94</v>
      </c>
      <c r="N108" s="3">
        <f>IFERROR(__xludf.DUMMYFUNCTION("""COMPUTED_VALUE"""),44351.66666666667)</f>
        <v>44351.66667</v>
      </c>
      <c r="O108" s="2">
        <f>IFERROR(__xludf.DUMMYFUNCTION("""COMPUTED_VALUE"""),27.44)</f>
        <v>27.44</v>
      </c>
      <c r="Q108" s="3">
        <f>IFERROR(__xludf.DUMMYFUNCTION("""COMPUTED_VALUE"""),44351.66666666667)</f>
        <v>44351.66667</v>
      </c>
      <c r="R108" s="2">
        <f>IFERROR(__xludf.DUMMYFUNCTION("""COMPUTED_VALUE"""),135.95)</f>
        <v>135.95</v>
      </c>
    </row>
    <row r="109">
      <c r="B109" s="3">
        <f>IFERROR(__xludf.DUMMYFUNCTION("""COMPUTED_VALUE"""),44354.66666666667)</f>
        <v>44354.66667</v>
      </c>
      <c r="C109" s="2">
        <f>IFERROR(__xludf.DUMMYFUNCTION("""COMPUTED_VALUE"""),53.92)</f>
        <v>53.92</v>
      </c>
      <c r="E109" s="3">
        <f>IFERROR(__xludf.DUMMYFUNCTION("""COMPUTED_VALUE"""),45650.54513888889)</f>
        <v>45650.54514</v>
      </c>
      <c r="F109" s="2">
        <f>IFERROR(__xludf.DUMMYFUNCTION("""COMPUTED_VALUE"""),2.6)</f>
        <v>2.6</v>
      </c>
      <c r="H109" s="3">
        <f>IFERROR(__xludf.DUMMYFUNCTION("""COMPUTED_VALUE"""),45405.66666666667)</f>
        <v>45405.66667</v>
      </c>
      <c r="I109" s="2">
        <f>IFERROR(__xludf.DUMMYFUNCTION("""COMPUTED_VALUE"""),1.21)</f>
        <v>1.21</v>
      </c>
      <c r="K109" s="3">
        <f>IFERROR(__xludf.DUMMYFUNCTION("""COMPUTED_VALUE"""),44354.6875)</f>
        <v>44354.6875</v>
      </c>
      <c r="L109" s="2">
        <f>IFERROR(__xludf.DUMMYFUNCTION("""COMPUTED_VALUE"""),49.63)</f>
        <v>49.63</v>
      </c>
      <c r="N109" s="3">
        <f>IFERROR(__xludf.DUMMYFUNCTION("""COMPUTED_VALUE"""),44354.66666666667)</f>
        <v>44354.66667</v>
      </c>
      <c r="O109" s="2">
        <f>IFERROR(__xludf.DUMMYFUNCTION("""COMPUTED_VALUE"""),27.26)</f>
        <v>27.26</v>
      </c>
      <c r="Q109" s="3">
        <f>IFERROR(__xludf.DUMMYFUNCTION("""COMPUTED_VALUE"""),44354.66666666667)</f>
        <v>44354.66667</v>
      </c>
      <c r="R109" s="2">
        <f>IFERROR(__xludf.DUMMYFUNCTION("""COMPUTED_VALUE"""),136.42)</f>
        <v>136.42</v>
      </c>
    </row>
    <row r="110">
      <c r="B110" s="3">
        <f>IFERROR(__xludf.DUMMYFUNCTION("""COMPUTED_VALUE"""),44355.66666666667)</f>
        <v>44355.66667</v>
      </c>
      <c r="C110" s="2">
        <f>IFERROR(__xludf.DUMMYFUNCTION("""COMPUTED_VALUE"""),54.13)</f>
        <v>54.13</v>
      </c>
      <c r="E110" s="3">
        <f>IFERROR(__xludf.DUMMYFUNCTION("""COMPUTED_VALUE"""),45652.66666666667)</f>
        <v>45652.66667</v>
      </c>
      <c r="F110" s="2">
        <f>IFERROR(__xludf.DUMMYFUNCTION("""COMPUTED_VALUE"""),2.56)</f>
        <v>2.56</v>
      </c>
      <c r="H110" s="3">
        <f>IFERROR(__xludf.DUMMYFUNCTION("""COMPUTED_VALUE"""),45406.66666666667)</f>
        <v>45406.66667</v>
      </c>
      <c r="I110" s="2">
        <f>IFERROR(__xludf.DUMMYFUNCTION("""COMPUTED_VALUE"""),1.18)</f>
        <v>1.18</v>
      </c>
      <c r="K110" s="3">
        <f>IFERROR(__xludf.DUMMYFUNCTION("""COMPUTED_VALUE"""),44355.6875)</f>
        <v>44355.6875</v>
      </c>
      <c r="L110" s="2">
        <f>IFERROR(__xludf.DUMMYFUNCTION("""COMPUTED_VALUE"""),48.9)</f>
        <v>48.9</v>
      </c>
      <c r="N110" s="3">
        <f>IFERROR(__xludf.DUMMYFUNCTION("""COMPUTED_VALUE"""),44355.66666666667)</f>
        <v>44355.66667</v>
      </c>
      <c r="O110" s="2">
        <f>IFERROR(__xludf.DUMMYFUNCTION("""COMPUTED_VALUE"""),27.73)</f>
        <v>27.73</v>
      </c>
      <c r="Q110" s="3">
        <f>IFERROR(__xludf.DUMMYFUNCTION("""COMPUTED_VALUE"""),44355.66666666667)</f>
        <v>44355.66667</v>
      </c>
      <c r="R110" s="2">
        <f>IFERROR(__xludf.DUMMYFUNCTION("""COMPUTED_VALUE"""),134.84)</f>
        <v>134.84</v>
      </c>
    </row>
    <row r="111">
      <c r="B111" s="3">
        <f>IFERROR(__xludf.DUMMYFUNCTION("""COMPUTED_VALUE"""),44356.66666666667)</f>
        <v>44356.66667</v>
      </c>
      <c r="C111" s="2">
        <f>IFERROR(__xludf.DUMMYFUNCTION("""COMPUTED_VALUE"""),54.02)</f>
        <v>54.02</v>
      </c>
      <c r="E111" s="3">
        <f>IFERROR(__xludf.DUMMYFUNCTION("""COMPUTED_VALUE"""),45653.66666666667)</f>
        <v>45653.66667</v>
      </c>
      <c r="F111" s="2">
        <f>IFERROR(__xludf.DUMMYFUNCTION("""COMPUTED_VALUE"""),3.0)</f>
        <v>3</v>
      </c>
      <c r="H111" s="3">
        <f>IFERROR(__xludf.DUMMYFUNCTION("""COMPUTED_VALUE"""),45407.66666666667)</f>
        <v>45407.66667</v>
      </c>
      <c r="I111" s="2">
        <f>IFERROR(__xludf.DUMMYFUNCTION("""COMPUTED_VALUE"""),1.24)</f>
        <v>1.24</v>
      </c>
      <c r="K111" s="3">
        <f>IFERROR(__xludf.DUMMYFUNCTION("""COMPUTED_VALUE"""),44356.6875)</f>
        <v>44356.6875</v>
      </c>
      <c r="L111" s="2">
        <f>IFERROR(__xludf.DUMMYFUNCTION("""COMPUTED_VALUE"""),48.24)</f>
        <v>48.24</v>
      </c>
      <c r="N111" s="3">
        <f>IFERROR(__xludf.DUMMYFUNCTION("""COMPUTED_VALUE"""),44356.66666666667)</f>
        <v>44356.66667</v>
      </c>
      <c r="O111" s="2">
        <f>IFERROR(__xludf.DUMMYFUNCTION("""COMPUTED_VALUE"""),27.59)</f>
        <v>27.59</v>
      </c>
      <c r="Q111" s="3">
        <f>IFERROR(__xludf.DUMMYFUNCTION("""COMPUTED_VALUE"""),44356.66666666667)</f>
        <v>44356.66667</v>
      </c>
      <c r="R111" s="2">
        <f>IFERROR(__xludf.DUMMYFUNCTION("""COMPUTED_VALUE"""),134.79)</f>
        <v>134.79</v>
      </c>
    </row>
    <row r="112">
      <c r="B112" s="3">
        <f>IFERROR(__xludf.DUMMYFUNCTION("""COMPUTED_VALUE"""),44357.66666666667)</f>
        <v>44357.66667</v>
      </c>
      <c r="C112" s="2">
        <f>IFERROR(__xludf.DUMMYFUNCTION("""COMPUTED_VALUE"""),55.03)</f>
        <v>55.03</v>
      </c>
      <c r="E112" s="3">
        <f>IFERROR(__xludf.DUMMYFUNCTION("""COMPUTED_VALUE"""),45656.66666666667)</f>
        <v>45656.66667</v>
      </c>
      <c r="F112" s="2">
        <f>IFERROR(__xludf.DUMMYFUNCTION("""COMPUTED_VALUE"""),2.77)</f>
        <v>2.77</v>
      </c>
      <c r="H112" s="3">
        <f>IFERROR(__xludf.DUMMYFUNCTION("""COMPUTED_VALUE"""),45408.66666666667)</f>
        <v>45408.66667</v>
      </c>
      <c r="I112" s="2">
        <f>IFERROR(__xludf.DUMMYFUNCTION("""COMPUTED_VALUE"""),1.25)</f>
        <v>1.25</v>
      </c>
      <c r="K112" s="3">
        <f>IFERROR(__xludf.DUMMYFUNCTION("""COMPUTED_VALUE"""),44357.6875)</f>
        <v>44357.6875</v>
      </c>
      <c r="L112" s="2">
        <f>IFERROR(__xludf.DUMMYFUNCTION("""COMPUTED_VALUE"""),48.28)</f>
        <v>48.28</v>
      </c>
      <c r="N112" s="3">
        <f>IFERROR(__xludf.DUMMYFUNCTION("""COMPUTED_VALUE"""),44357.66666666667)</f>
        <v>44357.66667</v>
      </c>
      <c r="O112" s="2">
        <f>IFERROR(__xludf.DUMMYFUNCTION("""COMPUTED_VALUE"""),27.51)</f>
        <v>27.51</v>
      </c>
      <c r="Q112" s="3">
        <f>IFERROR(__xludf.DUMMYFUNCTION("""COMPUTED_VALUE"""),44357.66666666667)</f>
        <v>44357.66667</v>
      </c>
      <c r="R112" s="2">
        <f>IFERROR(__xludf.DUMMYFUNCTION("""COMPUTED_VALUE"""),135.79)</f>
        <v>135.79</v>
      </c>
    </row>
    <row r="113">
      <c r="B113" s="3">
        <f>IFERROR(__xludf.DUMMYFUNCTION("""COMPUTED_VALUE"""),44358.66666666667)</f>
        <v>44358.66667</v>
      </c>
      <c r="C113" s="2">
        <f>IFERROR(__xludf.DUMMYFUNCTION("""COMPUTED_VALUE"""),54.77)</f>
        <v>54.77</v>
      </c>
      <c r="E113" s="3">
        <f>IFERROR(__xludf.DUMMYFUNCTION("""COMPUTED_VALUE"""),45657.66666666667)</f>
        <v>45657.66667</v>
      </c>
      <c r="F113" s="2">
        <f>IFERROR(__xludf.DUMMYFUNCTION("""COMPUTED_VALUE"""),2.77)</f>
        <v>2.77</v>
      </c>
      <c r="H113" s="3">
        <f>IFERROR(__xludf.DUMMYFUNCTION("""COMPUTED_VALUE"""),45411.66666666667)</f>
        <v>45411.66667</v>
      </c>
      <c r="I113" s="2">
        <f>IFERROR(__xludf.DUMMYFUNCTION("""COMPUTED_VALUE"""),1.37)</f>
        <v>1.37</v>
      </c>
      <c r="K113" s="3">
        <f>IFERROR(__xludf.DUMMYFUNCTION("""COMPUTED_VALUE"""),44358.6875)</f>
        <v>44358.6875</v>
      </c>
      <c r="L113" s="2">
        <f>IFERROR(__xludf.DUMMYFUNCTION("""COMPUTED_VALUE"""),48.4)</f>
        <v>48.4</v>
      </c>
      <c r="N113" s="3">
        <f>IFERROR(__xludf.DUMMYFUNCTION("""COMPUTED_VALUE"""),44358.66666666667)</f>
        <v>44358.66667</v>
      </c>
      <c r="O113" s="2">
        <f>IFERROR(__xludf.DUMMYFUNCTION("""COMPUTED_VALUE"""),27.54)</f>
        <v>27.54</v>
      </c>
      <c r="Q113" s="3">
        <f>IFERROR(__xludf.DUMMYFUNCTION("""COMPUTED_VALUE"""),44358.66666666667)</f>
        <v>44358.66667</v>
      </c>
      <c r="R113" s="2">
        <f>IFERROR(__xludf.DUMMYFUNCTION("""COMPUTED_VALUE"""),134.86)</f>
        <v>134.86</v>
      </c>
    </row>
    <row r="114">
      <c r="B114" s="3">
        <f>IFERROR(__xludf.DUMMYFUNCTION("""COMPUTED_VALUE"""),44361.66666666667)</f>
        <v>44361.66667</v>
      </c>
      <c r="C114" s="2">
        <f>IFERROR(__xludf.DUMMYFUNCTION("""COMPUTED_VALUE"""),54.17)</f>
        <v>54.17</v>
      </c>
      <c r="E114" s="3">
        <f>IFERROR(__xludf.DUMMYFUNCTION("""COMPUTED_VALUE"""),45659.66666666667)</f>
        <v>45659.66667</v>
      </c>
      <c r="F114" s="2">
        <f>IFERROR(__xludf.DUMMYFUNCTION("""COMPUTED_VALUE"""),2.94)</f>
        <v>2.94</v>
      </c>
      <c r="H114" s="3">
        <f>IFERROR(__xludf.DUMMYFUNCTION("""COMPUTED_VALUE"""),45412.66666666667)</f>
        <v>45412.66667</v>
      </c>
      <c r="I114" s="2">
        <f>IFERROR(__xludf.DUMMYFUNCTION("""COMPUTED_VALUE"""),1.35)</f>
        <v>1.35</v>
      </c>
      <c r="K114" s="3">
        <f>IFERROR(__xludf.DUMMYFUNCTION("""COMPUTED_VALUE"""),44361.6875)</f>
        <v>44361.6875</v>
      </c>
      <c r="L114" s="2">
        <f>IFERROR(__xludf.DUMMYFUNCTION("""COMPUTED_VALUE"""),47.84)</f>
        <v>47.84</v>
      </c>
      <c r="N114" s="3">
        <f>IFERROR(__xludf.DUMMYFUNCTION("""COMPUTED_VALUE"""),44361.66666666667)</f>
        <v>44361.66667</v>
      </c>
      <c r="O114" s="2">
        <f>IFERROR(__xludf.DUMMYFUNCTION("""COMPUTED_VALUE"""),28.04)</f>
        <v>28.04</v>
      </c>
      <c r="Q114" s="3">
        <f>IFERROR(__xludf.DUMMYFUNCTION("""COMPUTED_VALUE"""),44361.66666666667)</f>
        <v>44361.66667</v>
      </c>
      <c r="R114" s="2">
        <f>IFERROR(__xludf.DUMMYFUNCTION("""COMPUTED_VALUE"""),134.91)</f>
        <v>134.91</v>
      </c>
    </row>
    <row r="115">
      <c r="B115" s="3">
        <f>IFERROR(__xludf.DUMMYFUNCTION("""COMPUTED_VALUE"""),44362.66666666667)</f>
        <v>44362.66667</v>
      </c>
      <c r="C115" s="2">
        <f>IFERROR(__xludf.DUMMYFUNCTION("""COMPUTED_VALUE"""),53.79)</f>
        <v>53.79</v>
      </c>
      <c r="E115" s="3">
        <f>IFERROR(__xludf.DUMMYFUNCTION("""COMPUTED_VALUE"""),45660.66666666667)</f>
        <v>45660.66667</v>
      </c>
      <c r="F115" s="2">
        <f>IFERROR(__xludf.DUMMYFUNCTION("""COMPUTED_VALUE"""),3.4)</f>
        <v>3.4</v>
      </c>
      <c r="H115" s="3">
        <f>IFERROR(__xludf.DUMMYFUNCTION("""COMPUTED_VALUE"""),45413.66666666667)</f>
        <v>45413.66667</v>
      </c>
      <c r="I115" s="2">
        <f>IFERROR(__xludf.DUMMYFUNCTION("""COMPUTED_VALUE"""),1.38)</f>
        <v>1.38</v>
      </c>
      <c r="K115" s="3">
        <f>IFERROR(__xludf.DUMMYFUNCTION("""COMPUTED_VALUE"""),44362.6875)</f>
        <v>44362.6875</v>
      </c>
      <c r="L115" s="2">
        <f>IFERROR(__xludf.DUMMYFUNCTION("""COMPUTED_VALUE"""),47.92)</f>
        <v>47.92</v>
      </c>
      <c r="N115" s="3">
        <f>IFERROR(__xludf.DUMMYFUNCTION("""COMPUTED_VALUE"""),44362.66666666667)</f>
        <v>44362.66667</v>
      </c>
      <c r="O115" s="2">
        <f>IFERROR(__xludf.DUMMYFUNCTION("""COMPUTED_VALUE"""),28.38)</f>
        <v>28.38</v>
      </c>
      <c r="Q115" s="3">
        <f>IFERROR(__xludf.DUMMYFUNCTION("""COMPUTED_VALUE"""),44362.66666666667)</f>
        <v>44362.66667</v>
      </c>
      <c r="R115" s="2">
        <f>IFERROR(__xludf.DUMMYFUNCTION("""COMPUTED_VALUE"""),134.65)</f>
        <v>134.65</v>
      </c>
    </row>
    <row r="116">
      <c r="B116" s="3">
        <f>IFERROR(__xludf.DUMMYFUNCTION("""COMPUTED_VALUE"""),44363.66666666667)</f>
        <v>44363.66667</v>
      </c>
      <c r="C116" s="2">
        <f>IFERROR(__xludf.DUMMYFUNCTION("""COMPUTED_VALUE"""),53.47)</f>
        <v>53.47</v>
      </c>
      <c r="E116" s="3">
        <f>IFERROR(__xludf.DUMMYFUNCTION("""COMPUTED_VALUE"""),45663.66666666667)</f>
        <v>45663.66667</v>
      </c>
      <c r="F116" s="2">
        <f>IFERROR(__xludf.DUMMYFUNCTION("""COMPUTED_VALUE"""),3.49)</f>
        <v>3.49</v>
      </c>
      <c r="H116" s="3">
        <f>IFERROR(__xludf.DUMMYFUNCTION("""COMPUTED_VALUE"""),45414.66666666667)</f>
        <v>45414.66667</v>
      </c>
      <c r="I116" s="2">
        <f>IFERROR(__xludf.DUMMYFUNCTION("""COMPUTED_VALUE"""),1.34)</f>
        <v>1.34</v>
      </c>
      <c r="K116" s="3">
        <f>IFERROR(__xludf.DUMMYFUNCTION("""COMPUTED_VALUE"""),44363.6875)</f>
        <v>44363.6875</v>
      </c>
      <c r="L116" s="2">
        <f>IFERROR(__xludf.DUMMYFUNCTION("""COMPUTED_VALUE"""),47.7)</f>
        <v>47.7</v>
      </c>
      <c r="N116" s="3">
        <f>IFERROR(__xludf.DUMMYFUNCTION("""COMPUTED_VALUE"""),44363.66666666667)</f>
        <v>44363.66667</v>
      </c>
      <c r="O116" s="2">
        <f>IFERROR(__xludf.DUMMYFUNCTION("""COMPUTED_VALUE"""),27.93)</f>
        <v>27.93</v>
      </c>
      <c r="Q116" s="3">
        <f>IFERROR(__xludf.DUMMYFUNCTION("""COMPUTED_VALUE"""),44363.66666666667)</f>
        <v>44363.66667</v>
      </c>
      <c r="R116" s="2">
        <f>IFERROR(__xludf.DUMMYFUNCTION("""COMPUTED_VALUE"""),132.78)</f>
        <v>132.78</v>
      </c>
    </row>
    <row r="117">
      <c r="B117" s="3">
        <f>IFERROR(__xludf.DUMMYFUNCTION("""COMPUTED_VALUE"""),44364.66666666667)</f>
        <v>44364.66667</v>
      </c>
      <c r="C117" s="2">
        <f>IFERROR(__xludf.DUMMYFUNCTION("""COMPUTED_VALUE"""),53.13)</f>
        <v>53.13</v>
      </c>
      <c r="E117" s="3">
        <f>IFERROR(__xludf.DUMMYFUNCTION("""COMPUTED_VALUE"""),45664.66666666667)</f>
        <v>45664.66667</v>
      </c>
      <c r="F117" s="2">
        <f>IFERROR(__xludf.DUMMYFUNCTION("""COMPUTED_VALUE"""),3.09)</f>
        <v>3.09</v>
      </c>
      <c r="H117" s="3">
        <f>IFERROR(__xludf.DUMMYFUNCTION("""COMPUTED_VALUE"""),45415.66666666667)</f>
        <v>45415.66667</v>
      </c>
      <c r="I117" s="2">
        <f>IFERROR(__xludf.DUMMYFUNCTION("""COMPUTED_VALUE"""),1.32)</f>
        <v>1.32</v>
      </c>
      <c r="K117" s="3">
        <f>IFERROR(__xludf.DUMMYFUNCTION("""COMPUTED_VALUE"""),44364.6875)</f>
        <v>44364.6875</v>
      </c>
      <c r="L117" s="2">
        <f>IFERROR(__xludf.DUMMYFUNCTION("""COMPUTED_VALUE"""),47.95)</f>
        <v>47.95</v>
      </c>
      <c r="N117" s="3">
        <f>IFERROR(__xludf.DUMMYFUNCTION("""COMPUTED_VALUE"""),44364.66666666667)</f>
        <v>44364.66667</v>
      </c>
      <c r="O117" s="2">
        <f>IFERROR(__xludf.DUMMYFUNCTION("""COMPUTED_VALUE"""),27.18)</f>
        <v>27.18</v>
      </c>
      <c r="Q117" s="3">
        <f>IFERROR(__xludf.DUMMYFUNCTION("""COMPUTED_VALUE"""),44364.66666666667)</f>
        <v>44364.66667</v>
      </c>
      <c r="R117" s="2">
        <f>IFERROR(__xludf.DUMMYFUNCTION("""COMPUTED_VALUE"""),133.99)</f>
        <v>133.99</v>
      </c>
    </row>
    <row r="118">
      <c r="B118" s="3">
        <f>IFERROR(__xludf.DUMMYFUNCTION("""COMPUTED_VALUE"""),44365.66666666667)</f>
        <v>44365.66667</v>
      </c>
      <c r="C118" s="2">
        <f>IFERROR(__xludf.DUMMYFUNCTION("""COMPUTED_VALUE"""),52.07)</f>
        <v>52.07</v>
      </c>
      <c r="E118" s="3">
        <f>IFERROR(__xludf.DUMMYFUNCTION("""COMPUTED_VALUE"""),45665.66666666667)</f>
        <v>45665.66667</v>
      </c>
      <c r="F118" s="2">
        <f>IFERROR(__xludf.DUMMYFUNCTION("""COMPUTED_VALUE"""),2.95)</f>
        <v>2.95</v>
      </c>
      <c r="H118" s="3">
        <f>IFERROR(__xludf.DUMMYFUNCTION("""COMPUTED_VALUE"""),45418.66666666667)</f>
        <v>45418.66667</v>
      </c>
      <c r="I118" s="2">
        <f>IFERROR(__xludf.DUMMYFUNCTION("""COMPUTED_VALUE"""),1.3)</f>
        <v>1.3</v>
      </c>
      <c r="K118" s="3">
        <f>IFERROR(__xludf.DUMMYFUNCTION("""COMPUTED_VALUE"""),44365.6875)</f>
        <v>44365.6875</v>
      </c>
      <c r="L118" s="2">
        <f>IFERROR(__xludf.DUMMYFUNCTION("""COMPUTED_VALUE"""),46.43)</f>
        <v>46.43</v>
      </c>
      <c r="N118" s="3">
        <f>IFERROR(__xludf.DUMMYFUNCTION("""COMPUTED_VALUE"""),44365.66666666667)</f>
        <v>44365.66667</v>
      </c>
      <c r="O118" s="2">
        <f>IFERROR(__xludf.DUMMYFUNCTION("""COMPUTED_VALUE"""),26.1)</f>
        <v>26.1</v>
      </c>
      <c r="Q118" s="3">
        <f>IFERROR(__xludf.DUMMYFUNCTION("""COMPUTED_VALUE"""),44365.66666666667)</f>
        <v>44365.66667</v>
      </c>
      <c r="R118" s="2">
        <f>IFERROR(__xludf.DUMMYFUNCTION("""COMPUTED_VALUE"""),132.03)</f>
        <v>132.03</v>
      </c>
    </row>
    <row r="119">
      <c r="B119" s="3">
        <f>IFERROR(__xludf.DUMMYFUNCTION("""COMPUTED_VALUE"""),44368.66666666667)</f>
        <v>44368.66667</v>
      </c>
      <c r="C119" s="2">
        <f>IFERROR(__xludf.DUMMYFUNCTION("""COMPUTED_VALUE"""),53.18)</f>
        <v>53.18</v>
      </c>
      <c r="E119" s="3">
        <f>IFERROR(__xludf.DUMMYFUNCTION("""COMPUTED_VALUE"""),45667.66666666667)</f>
        <v>45667.66667</v>
      </c>
      <c r="F119" s="2">
        <f>IFERROR(__xludf.DUMMYFUNCTION("""COMPUTED_VALUE"""),2.85)</f>
        <v>2.85</v>
      </c>
      <c r="H119" s="3">
        <f>IFERROR(__xludf.DUMMYFUNCTION("""COMPUTED_VALUE"""),45419.66666666667)</f>
        <v>45419.66667</v>
      </c>
      <c r="I119" s="2">
        <f>IFERROR(__xludf.DUMMYFUNCTION("""COMPUTED_VALUE"""),1.29)</f>
        <v>1.29</v>
      </c>
      <c r="K119" s="3">
        <f>IFERROR(__xludf.DUMMYFUNCTION("""COMPUTED_VALUE"""),44368.6875)</f>
        <v>44368.6875</v>
      </c>
      <c r="L119" s="2">
        <f>IFERROR(__xludf.DUMMYFUNCTION("""COMPUTED_VALUE"""),47.0)</f>
        <v>47</v>
      </c>
      <c r="N119" s="3">
        <f>IFERROR(__xludf.DUMMYFUNCTION("""COMPUTED_VALUE"""),44368.66666666667)</f>
        <v>44368.66667</v>
      </c>
      <c r="O119" s="2">
        <f>IFERROR(__xludf.DUMMYFUNCTION("""COMPUTED_VALUE"""),26.94)</f>
        <v>26.94</v>
      </c>
      <c r="Q119" s="3">
        <f>IFERROR(__xludf.DUMMYFUNCTION("""COMPUTED_VALUE"""),44368.66666666667)</f>
        <v>44368.66667</v>
      </c>
      <c r="R119" s="2">
        <f>IFERROR(__xludf.DUMMYFUNCTION("""COMPUTED_VALUE"""),133.07)</f>
        <v>133.07</v>
      </c>
    </row>
    <row r="120">
      <c r="B120" s="3">
        <f>IFERROR(__xludf.DUMMYFUNCTION("""COMPUTED_VALUE"""),44369.66666666667)</f>
        <v>44369.66667</v>
      </c>
      <c r="C120" s="2">
        <f>IFERROR(__xludf.DUMMYFUNCTION("""COMPUTED_VALUE"""),53.26)</f>
        <v>53.26</v>
      </c>
      <c r="E120" s="3">
        <f>IFERROR(__xludf.DUMMYFUNCTION("""COMPUTED_VALUE"""),45670.66666666667)</f>
        <v>45670.66667</v>
      </c>
      <c r="F120" s="2">
        <f>IFERROR(__xludf.DUMMYFUNCTION("""COMPUTED_VALUE"""),2.81)</f>
        <v>2.81</v>
      </c>
      <c r="H120" s="3">
        <f>IFERROR(__xludf.DUMMYFUNCTION("""COMPUTED_VALUE"""),45420.66666666667)</f>
        <v>45420.66667</v>
      </c>
      <c r="I120" s="2">
        <f>IFERROR(__xludf.DUMMYFUNCTION("""COMPUTED_VALUE"""),1.29)</f>
        <v>1.29</v>
      </c>
      <c r="K120" s="3">
        <f>IFERROR(__xludf.DUMMYFUNCTION("""COMPUTED_VALUE"""),44369.6875)</f>
        <v>44369.6875</v>
      </c>
      <c r="L120" s="2">
        <f>IFERROR(__xludf.DUMMYFUNCTION("""COMPUTED_VALUE"""),46.77)</f>
        <v>46.77</v>
      </c>
      <c r="N120" s="3">
        <f>IFERROR(__xludf.DUMMYFUNCTION("""COMPUTED_VALUE"""),44369.66666666667)</f>
        <v>44369.66667</v>
      </c>
      <c r="O120" s="2">
        <f>IFERROR(__xludf.DUMMYFUNCTION("""COMPUTED_VALUE"""),27.15)</f>
        <v>27.15</v>
      </c>
      <c r="Q120" s="3">
        <f>IFERROR(__xludf.DUMMYFUNCTION("""COMPUTED_VALUE"""),44369.66666666667)</f>
        <v>44369.66667</v>
      </c>
      <c r="R120" s="2">
        <f>IFERROR(__xludf.DUMMYFUNCTION("""COMPUTED_VALUE"""),133.12)</f>
        <v>133.12</v>
      </c>
    </row>
    <row r="121">
      <c r="B121" s="3">
        <f>IFERROR(__xludf.DUMMYFUNCTION("""COMPUTED_VALUE"""),44370.66666666667)</f>
        <v>44370.66667</v>
      </c>
      <c r="C121" s="2">
        <f>IFERROR(__xludf.DUMMYFUNCTION("""COMPUTED_VALUE"""),52.76)</f>
        <v>52.76</v>
      </c>
      <c r="E121" s="3">
        <f>IFERROR(__xludf.DUMMYFUNCTION("""COMPUTED_VALUE"""),45671.66666666667)</f>
        <v>45671.66667</v>
      </c>
      <c r="F121" s="2">
        <f>IFERROR(__xludf.DUMMYFUNCTION("""COMPUTED_VALUE"""),2.42)</f>
        <v>2.42</v>
      </c>
      <c r="H121" s="3">
        <f>IFERROR(__xludf.DUMMYFUNCTION("""COMPUTED_VALUE"""),45421.66666666667)</f>
        <v>45421.66667</v>
      </c>
      <c r="I121" s="2">
        <f>IFERROR(__xludf.DUMMYFUNCTION("""COMPUTED_VALUE"""),1.35)</f>
        <v>1.35</v>
      </c>
      <c r="K121" s="3">
        <f>IFERROR(__xludf.DUMMYFUNCTION("""COMPUTED_VALUE"""),44370.6875)</f>
        <v>44370.6875</v>
      </c>
      <c r="L121" s="2">
        <f>IFERROR(__xludf.DUMMYFUNCTION("""COMPUTED_VALUE"""),47.0)</f>
        <v>47</v>
      </c>
      <c r="N121" s="3">
        <f>IFERROR(__xludf.DUMMYFUNCTION("""COMPUTED_VALUE"""),44370.66666666667)</f>
        <v>44370.66667</v>
      </c>
      <c r="O121" s="2">
        <f>IFERROR(__xludf.DUMMYFUNCTION("""COMPUTED_VALUE"""),27.23)</f>
        <v>27.23</v>
      </c>
      <c r="Q121" s="3">
        <f>IFERROR(__xludf.DUMMYFUNCTION("""COMPUTED_VALUE"""),44370.66666666667)</f>
        <v>44370.66667</v>
      </c>
      <c r="R121" s="2">
        <f>IFERROR(__xludf.DUMMYFUNCTION("""COMPUTED_VALUE"""),132.93)</f>
        <v>132.93</v>
      </c>
    </row>
    <row r="122">
      <c r="B122" s="3">
        <f>IFERROR(__xludf.DUMMYFUNCTION("""COMPUTED_VALUE"""),44371.66666666667)</f>
        <v>44371.66667</v>
      </c>
      <c r="C122" s="2">
        <f>IFERROR(__xludf.DUMMYFUNCTION("""COMPUTED_VALUE"""),52.78)</f>
        <v>52.78</v>
      </c>
      <c r="E122" s="3">
        <f>IFERROR(__xludf.DUMMYFUNCTION("""COMPUTED_VALUE"""),45672.66666666667)</f>
        <v>45672.66667</v>
      </c>
      <c r="F122" s="2">
        <f>IFERROR(__xludf.DUMMYFUNCTION("""COMPUTED_VALUE"""),2.61)</f>
        <v>2.61</v>
      </c>
      <c r="H122" s="3">
        <f>IFERROR(__xludf.DUMMYFUNCTION("""COMPUTED_VALUE"""),45422.66666666667)</f>
        <v>45422.66667</v>
      </c>
      <c r="I122" s="2">
        <f>IFERROR(__xludf.DUMMYFUNCTION("""COMPUTED_VALUE"""),1.37)</f>
        <v>1.37</v>
      </c>
      <c r="K122" s="3">
        <f>IFERROR(__xludf.DUMMYFUNCTION("""COMPUTED_VALUE"""),44371.6875)</f>
        <v>44371.6875</v>
      </c>
      <c r="L122" s="2">
        <f>IFERROR(__xludf.DUMMYFUNCTION("""COMPUTED_VALUE"""),47.2)</f>
        <v>47.2</v>
      </c>
      <c r="N122" s="3">
        <f>IFERROR(__xludf.DUMMYFUNCTION("""COMPUTED_VALUE"""),44371.66666666667)</f>
        <v>44371.66667</v>
      </c>
      <c r="O122" s="2">
        <f>IFERROR(__xludf.DUMMYFUNCTION("""COMPUTED_VALUE"""),27.32)</f>
        <v>27.32</v>
      </c>
      <c r="Q122" s="3">
        <f>IFERROR(__xludf.DUMMYFUNCTION("""COMPUTED_VALUE"""),44371.66666666667)</f>
        <v>44371.66667</v>
      </c>
      <c r="R122" s="2">
        <f>IFERROR(__xludf.DUMMYFUNCTION("""COMPUTED_VALUE"""),133.02)</f>
        <v>133.02</v>
      </c>
    </row>
    <row r="123">
      <c r="B123" s="3">
        <f>IFERROR(__xludf.DUMMYFUNCTION("""COMPUTED_VALUE"""),44372.66666666667)</f>
        <v>44372.66667</v>
      </c>
      <c r="C123" s="2">
        <f>IFERROR(__xludf.DUMMYFUNCTION("""COMPUTED_VALUE"""),53.06)</f>
        <v>53.06</v>
      </c>
      <c r="E123" s="3">
        <f>IFERROR(__xludf.DUMMYFUNCTION("""COMPUTED_VALUE"""),45673.66666666667)</f>
        <v>45673.66667</v>
      </c>
      <c r="F123" s="2">
        <f>IFERROR(__xludf.DUMMYFUNCTION("""COMPUTED_VALUE"""),2.46)</f>
        <v>2.46</v>
      </c>
      <c r="H123" s="3">
        <f>IFERROR(__xludf.DUMMYFUNCTION("""COMPUTED_VALUE"""),45425.66666666667)</f>
        <v>45425.66667</v>
      </c>
      <c r="I123" s="2">
        <f>IFERROR(__xludf.DUMMYFUNCTION("""COMPUTED_VALUE"""),1.34)</f>
        <v>1.34</v>
      </c>
      <c r="K123" s="3">
        <f>IFERROR(__xludf.DUMMYFUNCTION("""COMPUTED_VALUE"""),44372.6875)</f>
        <v>44372.6875</v>
      </c>
      <c r="L123" s="2">
        <f>IFERROR(__xludf.DUMMYFUNCTION("""COMPUTED_VALUE"""),47.22)</f>
        <v>47.22</v>
      </c>
      <c r="N123" s="3">
        <f>IFERROR(__xludf.DUMMYFUNCTION("""COMPUTED_VALUE"""),44372.66666666667)</f>
        <v>44372.66667</v>
      </c>
      <c r="O123" s="2">
        <f>IFERROR(__xludf.DUMMYFUNCTION("""COMPUTED_VALUE"""),27.32)</f>
        <v>27.32</v>
      </c>
      <c r="Q123" s="3">
        <f>IFERROR(__xludf.DUMMYFUNCTION("""COMPUTED_VALUE"""),44372.66666666667)</f>
        <v>44372.66667</v>
      </c>
      <c r="R123" s="2">
        <f>IFERROR(__xludf.DUMMYFUNCTION("""COMPUTED_VALUE"""),134.92)</f>
        <v>134.92</v>
      </c>
    </row>
    <row r="124">
      <c r="B124" s="3">
        <f>IFERROR(__xludf.DUMMYFUNCTION("""COMPUTED_VALUE"""),44375.66666666667)</f>
        <v>44375.66667</v>
      </c>
      <c r="C124" s="2">
        <f>IFERROR(__xludf.DUMMYFUNCTION("""COMPUTED_VALUE"""),52.96)</f>
        <v>52.96</v>
      </c>
      <c r="E124" s="3">
        <f>IFERROR(__xludf.DUMMYFUNCTION("""COMPUTED_VALUE"""),45674.66666666667)</f>
        <v>45674.66667</v>
      </c>
      <c r="F124" s="2">
        <f>IFERROR(__xludf.DUMMYFUNCTION("""COMPUTED_VALUE"""),2.28)</f>
        <v>2.28</v>
      </c>
      <c r="H124" s="3">
        <f>IFERROR(__xludf.DUMMYFUNCTION("""COMPUTED_VALUE"""),45426.66666666667)</f>
        <v>45426.66667</v>
      </c>
      <c r="I124" s="2">
        <f>IFERROR(__xludf.DUMMYFUNCTION("""COMPUTED_VALUE"""),1.35)</f>
        <v>1.35</v>
      </c>
      <c r="K124" s="3">
        <f>IFERROR(__xludf.DUMMYFUNCTION("""COMPUTED_VALUE"""),44375.6875)</f>
        <v>44375.6875</v>
      </c>
      <c r="L124" s="2">
        <f>IFERROR(__xludf.DUMMYFUNCTION("""COMPUTED_VALUE"""),46.51)</f>
        <v>46.51</v>
      </c>
      <c r="N124" s="3">
        <f>IFERROR(__xludf.DUMMYFUNCTION("""COMPUTED_VALUE"""),44375.66666666667)</f>
        <v>44375.66667</v>
      </c>
      <c r="O124" s="2">
        <f>IFERROR(__xludf.DUMMYFUNCTION("""COMPUTED_VALUE"""),26.46)</f>
        <v>26.46</v>
      </c>
      <c r="Q124" s="3">
        <f>IFERROR(__xludf.DUMMYFUNCTION("""COMPUTED_VALUE"""),44375.66666666667)</f>
        <v>44375.66667</v>
      </c>
      <c r="R124" s="2">
        <f>IFERROR(__xludf.DUMMYFUNCTION("""COMPUTED_VALUE"""),135.32)</f>
        <v>135.32</v>
      </c>
    </row>
    <row r="125">
      <c r="B125" s="3">
        <f>IFERROR(__xludf.DUMMYFUNCTION("""COMPUTED_VALUE"""),44376.66666666667)</f>
        <v>44376.66667</v>
      </c>
      <c r="C125" s="2">
        <f>IFERROR(__xludf.DUMMYFUNCTION("""COMPUTED_VALUE"""),52.91)</f>
        <v>52.91</v>
      </c>
      <c r="E125" s="3">
        <f>IFERROR(__xludf.DUMMYFUNCTION("""COMPUTED_VALUE"""),45678.66666666667)</f>
        <v>45678.66667</v>
      </c>
      <c r="F125" s="2">
        <f>IFERROR(__xludf.DUMMYFUNCTION("""COMPUTED_VALUE"""),2.53)</f>
        <v>2.53</v>
      </c>
      <c r="H125" s="3">
        <f>IFERROR(__xludf.DUMMYFUNCTION("""COMPUTED_VALUE"""),45427.66666666667)</f>
        <v>45427.66667</v>
      </c>
      <c r="I125" s="2">
        <f>IFERROR(__xludf.DUMMYFUNCTION("""COMPUTED_VALUE"""),1.33)</f>
        <v>1.33</v>
      </c>
      <c r="K125" s="3">
        <f>IFERROR(__xludf.DUMMYFUNCTION("""COMPUTED_VALUE"""),44376.6875)</f>
        <v>44376.6875</v>
      </c>
      <c r="L125" s="2">
        <f>IFERROR(__xludf.DUMMYFUNCTION("""COMPUTED_VALUE"""),46.79)</f>
        <v>46.79</v>
      </c>
      <c r="N125" s="3">
        <f>IFERROR(__xludf.DUMMYFUNCTION("""COMPUTED_VALUE"""),44376.66666666667)</f>
        <v>44376.66667</v>
      </c>
      <c r="O125" s="2">
        <f>IFERROR(__xludf.DUMMYFUNCTION("""COMPUTED_VALUE"""),26.27)</f>
        <v>26.27</v>
      </c>
      <c r="Q125" s="3">
        <f>IFERROR(__xludf.DUMMYFUNCTION("""COMPUTED_VALUE"""),44376.66666666667)</f>
        <v>44376.66667</v>
      </c>
      <c r="R125" s="2">
        <f>IFERROR(__xludf.DUMMYFUNCTION("""COMPUTED_VALUE"""),134.4)</f>
        <v>134.4</v>
      </c>
    </row>
    <row r="126">
      <c r="B126" s="3">
        <f>IFERROR(__xludf.DUMMYFUNCTION("""COMPUTED_VALUE"""),44377.66666666667)</f>
        <v>44377.66667</v>
      </c>
      <c r="C126" s="2">
        <f>IFERROR(__xludf.DUMMYFUNCTION("""COMPUTED_VALUE"""),53.0)</f>
        <v>53</v>
      </c>
      <c r="E126" s="3">
        <f>IFERROR(__xludf.DUMMYFUNCTION("""COMPUTED_VALUE"""),45679.66666666667)</f>
        <v>45679.66667</v>
      </c>
      <c r="F126" s="2">
        <f>IFERROR(__xludf.DUMMYFUNCTION("""COMPUTED_VALUE"""),2.44)</f>
        <v>2.44</v>
      </c>
      <c r="H126" s="3">
        <f>IFERROR(__xludf.DUMMYFUNCTION("""COMPUTED_VALUE"""),45428.66666666667)</f>
        <v>45428.66667</v>
      </c>
      <c r="I126" s="2">
        <f>IFERROR(__xludf.DUMMYFUNCTION("""COMPUTED_VALUE"""),1.32)</f>
        <v>1.32</v>
      </c>
      <c r="K126" s="3">
        <f>IFERROR(__xludf.DUMMYFUNCTION("""COMPUTED_VALUE"""),44377.6875)</f>
        <v>44377.6875</v>
      </c>
      <c r="L126" s="2">
        <f>IFERROR(__xludf.DUMMYFUNCTION("""COMPUTED_VALUE"""),46.69)</f>
        <v>46.69</v>
      </c>
      <c r="N126" s="3">
        <f>IFERROR(__xludf.DUMMYFUNCTION("""COMPUTED_VALUE"""),44377.66666666667)</f>
        <v>44377.66667</v>
      </c>
      <c r="O126" s="2">
        <f>IFERROR(__xludf.DUMMYFUNCTION("""COMPUTED_VALUE"""),26.42)</f>
        <v>26.42</v>
      </c>
      <c r="Q126" s="3">
        <f>IFERROR(__xludf.DUMMYFUNCTION("""COMPUTED_VALUE"""),44377.66666666667)</f>
        <v>44377.66667</v>
      </c>
      <c r="R126" s="2">
        <f>IFERROR(__xludf.DUMMYFUNCTION("""COMPUTED_VALUE"""),134.93)</f>
        <v>134.93</v>
      </c>
    </row>
    <row r="127">
      <c r="B127" s="3">
        <f>IFERROR(__xludf.DUMMYFUNCTION("""COMPUTED_VALUE"""),44378.66666666667)</f>
        <v>44378.66667</v>
      </c>
      <c r="C127" s="2">
        <f>IFERROR(__xludf.DUMMYFUNCTION("""COMPUTED_VALUE"""),53.44)</f>
        <v>53.44</v>
      </c>
      <c r="E127" s="3">
        <f>IFERROR(__xludf.DUMMYFUNCTION("""COMPUTED_VALUE"""),45680.66666666667)</f>
        <v>45680.66667</v>
      </c>
      <c r="F127" s="2">
        <f>IFERROR(__xludf.DUMMYFUNCTION("""COMPUTED_VALUE"""),2.54)</f>
        <v>2.54</v>
      </c>
      <c r="H127" s="3">
        <f>IFERROR(__xludf.DUMMYFUNCTION("""COMPUTED_VALUE"""),45429.66666666667)</f>
        <v>45429.66667</v>
      </c>
      <c r="I127" s="2">
        <f>IFERROR(__xludf.DUMMYFUNCTION("""COMPUTED_VALUE"""),1.29)</f>
        <v>1.29</v>
      </c>
      <c r="K127" s="3">
        <f>IFERROR(__xludf.DUMMYFUNCTION("""COMPUTED_VALUE"""),44378.6875)</f>
        <v>44378.6875</v>
      </c>
      <c r="L127" s="2">
        <f>IFERROR(__xludf.DUMMYFUNCTION("""COMPUTED_VALUE"""),47.62)</f>
        <v>47.62</v>
      </c>
      <c r="N127" s="3">
        <f>IFERROR(__xludf.DUMMYFUNCTION("""COMPUTED_VALUE"""),44378.66666666667)</f>
        <v>44378.66667</v>
      </c>
      <c r="O127" s="2">
        <f>IFERROR(__xludf.DUMMYFUNCTION("""COMPUTED_VALUE"""),27.08)</f>
        <v>27.08</v>
      </c>
      <c r="Q127" s="3">
        <f>IFERROR(__xludf.DUMMYFUNCTION("""COMPUTED_VALUE"""),44378.66666666667)</f>
        <v>44378.66667</v>
      </c>
      <c r="R127" s="2">
        <f>IFERROR(__xludf.DUMMYFUNCTION("""COMPUTED_VALUE"""),135.24)</f>
        <v>135.24</v>
      </c>
    </row>
    <row r="128">
      <c r="B128" s="3">
        <f>IFERROR(__xludf.DUMMYFUNCTION("""COMPUTED_VALUE"""),44379.66666666667)</f>
        <v>44379.66667</v>
      </c>
      <c r="C128" s="2">
        <f>IFERROR(__xludf.DUMMYFUNCTION("""COMPUTED_VALUE"""),53.54)</f>
        <v>53.54</v>
      </c>
      <c r="E128" s="3">
        <f>IFERROR(__xludf.DUMMYFUNCTION("""COMPUTED_VALUE"""),45681.66666666667)</f>
        <v>45681.66667</v>
      </c>
      <c r="F128" s="2">
        <f>IFERROR(__xludf.DUMMYFUNCTION("""COMPUTED_VALUE"""),2.73)</f>
        <v>2.73</v>
      </c>
      <c r="H128" s="3">
        <f>IFERROR(__xludf.DUMMYFUNCTION("""COMPUTED_VALUE"""),45432.66666666667)</f>
        <v>45432.66667</v>
      </c>
      <c r="I128" s="2">
        <f>IFERROR(__xludf.DUMMYFUNCTION("""COMPUTED_VALUE"""),1.23)</f>
        <v>1.23</v>
      </c>
      <c r="K128" s="3">
        <f>IFERROR(__xludf.DUMMYFUNCTION("""COMPUTED_VALUE"""),44379.6875)</f>
        <v>44379.6875</v>
      </c>
      <c r="L128" s="2">
        <f>IFERROR(__xludf.DUMMYFUNCTION("""COMPUTED_VALUE"""),46.83)</f>
        <v>46.83</v>
      </c>
      <c r="N128" s="3">
        <f>IFERROR(__xludf.DUMMYFUNCTION("""COMPUTED_VALUE"""),44379.66666666667)</f>
        <v>44379.66667</v>
      </c>
      <c r="O128" s="2">
        <f>IFERROR(__xludf.DUMMYFUNCTION("""COMPUTED_VALUE"""),26.98)</f>
        <v>26.98</v>
      </c>
      <c r="Q128" s="3">
        <f>IFERROR(__xludf.DUMMYFUNCTION("""COMPUTED_VALUE"""),44379.66666666667)</f>
        <v>44379.66667</v>
      </c>
      <c r="R128" s="2">
        <f>IFERROR(__xludf.DUMMYFUNCTION("""COMPUTED_VALUE"""),135.9)</f>
        <v>135.9</v>
      </c>
    </row>
    <row r="129">
      <c r="B129" s="3">
        <f>IFERROR(__xludf.DUMMYFUNCTION("""COMPUTED_VALUE"""),44383.66666666667)</f>
        <v>44383.66667</v>
      </c>
      <c r="C129" s="2">
        <f>IFERROR(__xludf.DUMMYFUNCTION("""COMPUTED_VALUE"""),52.98)</f>
        <v>52.98</v>
      </c>
      <c r="E129" s="3">
        <f>IFERROR(__xludf.DUMMYFUNCTION("""COMPUTED_VALUE"""),45684.66666666667)</f>
        <v>45684.66667</v>
      </c>
      <c r="F129" s="2">
        <f>IFERROR(__xludf.DUMMYFUNCTION("""COMPUTED_VALUE"""),2.7)</f>
        <v>2.7</v>
      </c>
      <c r="H129" s="3">
        <f>IFERROR(__xludf.DUMMYFUNCTION("""COMPUTED_VALUE"""),45433.66666666667)</f>
        <v>45433.66667</v>
      </c>
      <c r="I129" s="2">
        <f>IFERROR(__xludf.DUMMYFUNCTION("""COMPUTED_VALUE"""),1.19)</f>
        <v>1.19</v>
      </c>
      <c r="K129" s="3">
        <f>IFERROR(__xludf.DUMMYFUNCTION("""COMPUTED_VALUE"""),44382.6875)</f>
        <v>44382.6875</v>
      </c>
      <c r="L129" s="2">
        <f>IFERROR(__xludf.DUMMYFUNCTION("""COMPUTED_VALUE"""),47.71)</f>
        <v>47.71</v>
      </c>
      <c r="N129" s="3">
        <f>IFERROR(__xludf.DUMMYFUNCTION("""COMPUTED_VALUE"""),44383.66666666667)</f>
        <v>44383.66667</v>
      </c>
      <c r="O129" s="2">
        <f>IFERROR(__xludf.DUMMYFUNCTION("""COMPUTED_VALUE"""),25.97)</f>
        <v>25.97</v>
      </c>
      <c r="Q129" s="3">
        <f>IFERROR(__xludf.DUMMYFUNCTION("""COMPUTED_VALUE"""),44383.66666666667)</f>
        <v>44383.66667</v>
      </c>
      <c r="R129" s="2">
        <f>IFERROR(__xludf.DUMMYFUNCTION("""COMPUTED_VALUE"""),135.98)</f>
        <v>135.98</v>
      </c>
    </row>
    <row r="130">
      <c r="B130" s="3">
        <f>IFERROR(__xludf.DUMMYFUNCTION("""COMPUTED_VALUE"""),44384.66666666667)</f>
        <v>44384.66667</v>
      </c>
      <c r="C130" s="2">
        <f>IFERROR(__xludf.DUMMYFUNCTION("""COMPUTED_VALUE"""),53.26)</f>
        <v>53.26</v>
      </c>
      <c r="E130" s="3">
        <f>IFERROR(__xludf.DUMMYFUNCTION("""COMPUTED_VALUE"""),45685.66666666667)</f>
        <v>45685.66667</v>
      </c>
      <c r="F130" s="2">
        <f>IFERROR(__xludf.DUMMYFUNCTION("""COMPUTED_VALUE"""),2.55)</f>
        <v>2.55</v>
      </c>
      <c r="H130" s="3">
        <f>IFERROR(__xludf.DUMMYFUNCTION("""COMPUTED_VALUE"""),45434.66666666667)</f>
        <v>45434.66667</v>
      </c>
      <c r="I130" s="2">
        <f>IFERROR(__xludf.DUMMYFUNCTION("""COMPUTED_VALUE"""),1.19)</f>
        <v>1.19</v>
      </c>
      <c r="K130" s="3">
        <f>IFERROR(__xludf.DUMMYFUNCTION("""COMPUTED_VALUE"""),44383.6875)</f>
        <v>44383.6875</v>
      </c>
      <c r="L130" s="2">
        <f>IFERROR(__xludf.DUMMYFUNCTION("""COMPUTED_VALUE"""),46.44)</f>
        <v>46.44</v>
      </c>
      <c r="N130" s="3">
        <f>IFERROR(__xludf.DUMMYFUNCTION("""COMPUTED_VALUE"""),44384.66666666667)</f>
        <v>44384.66667</v>
      </c>
      <c r="O130" s="2">
        <f>IFERROR(__xludf.DUMMYFUNCTION("""COMPUTED_VALUE"""),25.73)</f>
        <v>25.73</v>
      </c>
      <c r="Q130" s="3">
        <f>IFERROR(__xludf.DUMMYFUNCTION("""COMPUTED_VALUE"""),44384.66666666667)</f>
        <v>44384.66667</v>
      </c>
      <c r="R130" s="2">
        <f>IFERROR(__xludf.DUMMYFUNCTION("""COMPUTED_VALUE"""),137.0)</f>
        <v>137</v>
      </c>
    </row>
    <row r="131">
      <c r="B131" s="3">
        <f>IFERROR(__xludf.DUMMYFUNCTION("""COMPUTED_VALUE"""),44385.66666666667)</f>
        <v>44385.66667</v>
      </c>
      <c r="C131" s="2">
        <f>IFERROR(__xludf.DUMMYFUNCTION("""COMPUTED_VALUE"""),53.26)</f>
        <v>53.26</v>
      </c>
      <c r="E131" s="3">
        <f>IFERROR(__xludf.DUMMYFUNCTION("""COMPUTED_VALUE"""),45686.66666666667)</f>
        <v>45686.66667</v>
      </c>
      <c r="F131" s="2">
        <f>IFERROR(__xludf.DUMMYFUNCTION("""COMPUTED_VALUE"""),2.53)</f>
        <v>2.53</v>
      </c>
      <c r="H131" s="3">
        <f>IFERROR(__xludf.DUMMYFUNCTION("""COMPUTED_VALUE"""),45435.66666666667)</f>
        <v>45435.66667</v>
      </c>
      <c r="I131" s="2">
        <f>IFERROR(__xludf.DUMMYFUNCTION("""COMPUTED_VALUE"""),1.16)</f>
        <v>1.16</v>
      </c>
      <c r="K131" s="3">
        <f>IFERROR(__xludf.DUMMYFUNCTION("""COMPUTED_VALUE"""),44384.6875)</f>
        <v>44384.6875</v>
      </c>
      <c r="L131" s="2">
        <f>IFERROR(__xludf.DUMMYFUNCTION("""COMPUTED_VALUE"""),46.79)</f>
        <v>46.79</v>
      </c>
      <c r="N131" s="3">
        <f>IFERROR(__xludf.DUMMYFUNCTION("""COMPUTED_VALUE"""),44385.66666666667)</f>
        <v>44385.66667</v>
      </c>
      <c r="O131" s="2">
        <f>IFERROR(__xludf.DUMMYFUNCTION("""COMPUTED_VALUE"""),25.58)</f>
        <v>25.58</v>
      </c>
      <c r="Q131" s="3">
        <f>IFERROR(__xludf.DUMMYFUNCTION("""COMPUTED_VALUE"""),44385.66666666667)</f>
        <v>44385.66667</v>
      </c>
      <c r="R131" s="2">
        <f>IFERROR(__xludf.DUMMYFUNCTION("""COMPUTED_VALUE"""),136.98)</f>
        <v>136.98</v>
      </c>
    </row>
    <row r="132">
      <c r="B132" s="3">
        <f>IFERROR(__xludf.DUMMYFUNCTION("""COMPUTED_VALUE"""),44386.66666666667)</f>
        <v>44386.66667</v>
      </c>
      <c r="C132" s="2">
        <f>IFERROR(__xludf.DUMMYFUNCTION("""COMPUTED_VALUE"""),53.74)</f>
        <v>53.74</v>
      </c>
      <c r="E132" s="3">
        <f>IFERROR(__xludf.DUMMYFUNCTION("""COMPUTED_VALUE"""),45687.66666666667)</f>
        <v>45687.66667</v>
      </c>
      <c r="F132" s="2">
        <f>IFERROR(__xludf.DUMMYFUNCTION("""COMPUTED_VALUE"""),2.46)</f>
        <v>2.46</v>
      </c>
      <c r="H132" s="3">
        <f>IFERROR(__xludf.DUMMYFUNCTION("""COMPUTED_VALUE"""),45436.66666666667)</f>
        <v>45436.66667</v>
      </c>
      <c r="I132" s="2">
        <f>IFERROR(__xludf.DUMMYFUNCTION("""COMPUTED_VALUE"""),1.14)</f>
        <v>1.14</v>
      </c>
      <c r="K132" s="3">
        <f>IFERROR(__xludf.DUMMYFUNCTION("""COMPUTED_VALUE"""),44385.6875)</f>
        <v>44385.6875</v>
      </c>
      <c r="L132" s="2">
        <f>IFERROR(__xludf.DUMMYFUNCTION("""COMPUTED_VALUE"""),45.62)</f>
        <v>45.62</v>
      </c>
      <c r="N132" s="3">
        <f>IFERROR(__xludf.DUMMYFUNCTION("""COMPUTED_VALUE"""),44386.66666666667)</f>
        <v>44386.66667</v>
      </c>
      <c r="O132" s="2">
        <f>IFERROR(__xludf.DUMMYFUNCTION("""COMPUTED_VALUE"""),26.01)</f>
        <v>26.01</v>
      </c>
      <c r="Q132" s="3">
        <f>IFERROR(__xludf.DUMMYFUNCTION("""COMPUTED_VALUE"""),44386.66666666667)</f>
        <v>44386.66667</v>
      </c>
      <c r="R132" s="2">
        <f>IFERROR(__xludf.DUMMYFUNCTION("""COMPUTED_VALUE"""),137.03)</f>
        <v>137.03</v>
      </c>
    </row>
    <row r="133">
      <c r="B133" s="3">
        <f>IFERROR(__xludf.DUMMYFUNCTION("""COMPUTED_VALUE"""),44389.66666666667)</f>
        <v>44389.66667</v>
      </c>
      <c r="C133" s="2">
        <f>IFERROR(__xludf.DUMMYFUNCTION("""COMPUTED_VALUE"""),53.23)</f>
        <v>53.23</v>
      </c>
      <c r="E133" s="3">
        <f>IFERROR(__xludf.DUMMYFUNCTION("""COMPUTED_VALUE"""),45688.66666666667)</f>
        <v>45688.66667</v>
      </c>
      <c r="F133" s="2">
        <f>IFERROR(__xludf.DUMMYFUNCTION("""COMPUTED_VALUE"""),2.4)</f>
        <v>2.4</v>
      </c>
      <c r="H133" s="3">
        <f>IFERROR(__xludf.DUMMYFUNCTION("""COMPUTED_VALUE"""),45440.66666666667)</f>
        <v>45440.66667</v>
      </c>
      <c r="I133" s="2">
        <f>IFERROR(__xludf.DUMMYFUNCTION("""COMPUTED_VALUE"""),1.11)</f>
        <v>1.11</v>
      </c>
      <c r="K133" s="3">
        <f>IFERROR(__xludf.DUMMYFUNCTION("""COMPUTED_VALUE"""),44386.6875)</f>
        <v>44386.6875</v>
      </c>
      <c r="L133" s="2">
        <f>IFERROR(__xludf.DUMMYFUNCTION("""COMPUTED_VALUE"""),46.71)</f>
        <v>46.71</v>
      </c>
      <c r="N133" s="3">
        <f>IFERROR(__xludf.DUMMYFUNCTION("""COMPUTED_VALUE"""),44389.66666666667)</f>
        <v>44389.66667</v>
      </c>
      <c r="O133" s="2">
        <f>IFERROR(__xludf.DUMMYFUNCTION("""COMPUTED_VALUE"""),25.88)</f>
        <v>25.88</v>
      </c>
      <c r="Q133" s="3">
        <f>IFERROR(__xludf.DUMMYFUNCTION("""COMPUTED_VALUE"""),44389.66666666667)</f>
        <v>44389.66667</v>
      </c>
      <c r="R133" s="2">
        <f>IFERROR(__xludf.DUMMYFUNCTION("""COMPUTED_VALUE"""),137.14)</f>
        <v>137.14</v>
      </c>
    </row>
    <row r="134">
      <c r="B134" s="3">
        <f>IFERROR(__xludf.DUMMYFUNCTION("""COMPUTED_VALUE"""),44390.66666666667)</f>
        <v>44390.66667</v>
      </c>
      <c r="C134" s="2">
        <f>IFERROR(__xludf.DUMMYFUNCTION("""COMPUTED_VALUE"""),53.32)</f>
        <v>53.32</v>
      </c>
      <c r="E134" s="3">
        <f>IFERROR(__xludf.DUMMYFUNCTION("""COMPUTED_VALUE"""),45691.66666666667)</f>
        <v>45691.66667</v>
      </c>
      <c r="F134" s="2">
        <f>IFERROR(__xludf.DUMMYFUNCTION("""COMPUTED_VALUE"""),2.26)</f>
        <v>2.26</v>
      </c>
      <c r="H134" s="3">
        <f>IFERROR(__xludf.DUMMYFUNCTION("""COMPUTED_VALUE"""),45441.66666666667)</f>
        <v>45441.66667</v>
      </c>
      <c r="I134" s="2">
        <f>IFERROR(__xludf.DUMMYFUNCTION("""COMPUTED_VALUE"""),1.09)</f>
        <v>1.09</v>
      </c>
      <c r="K134" s="3">
        <f>IFERROR(__xludf.DUMMYFUNCTION("""COMPUTED_VALUE"""),44389.6875)</f>
        <v>44389.6875</v>
      </c>
      <c r="L134" s="2">
        <f>IFERROR(__xludf.DUMMYFUNCTION("""COMPUTED_VALUE"""),47.17)</f>
        <v>47.17</v>
      </c>
      <c r="N134" s="3">
        <f>IFERROR(__xludf.DUMMYFUNCTION("""COMPUTED_VALUE"""),44390.66666666667)</f>
        <v>44390.66667</v>
      </c>
      <c r="O134" s="2">
        <f>IFERROR(__xludf.DUMMYFUNCTION("""COMPUTED_VALUE"""),25.58)</f>
        <v>25.58</v>
      </c>
      <c r="Q134" s="3">
        <f>IFERROR(__xludf.DUMMYFUNCTION("""COMPUTED_VALUE"""),44390.66666666667)</f>
        <v>44390.66667</v>
      </c>
      <c r="R134" s="2">
        <f>IFERROR(__xludf.DUMMYFUNCTION("""COMPUTED_VALUE"""),136.97)</f>
        <v>136.97</v>
      </c>
    </row>
    <row r="135">
      <c r="B135" s="3">
        <f>IFERROR(__xludf.DUMMYFUNCTION("""COMPUTED_VALUE"""),44391.66666666667)</f>
        <v>44391.66667</v>
      </c>
      <c r="C135" s="2">
        <f>IFERROR(__xludf.DUMMYFUNCTION("""COMPUTED_VALUE"""),54.09)</f>
        <v>54.09</v>
      </c>
      <c r="E135" s="3">
        <f>IFERROR(__xludf.DUMMYFUNCTION("""COMPUTED_VALUE"""),45692.66666666667)</f>
        <v>45692.66667</v>
      </c>
      <c r="F135" s="2">
        <f>IFERROR(__xludf.DUMMYFUNCTION("""COMPUTED_VALUE"""),2.13)</f>
        <v>2.13</v>
      </c>
      <c r="H135" s="3">
        <f>IFERROR(__xludf.DUMMYFUNCTION("""COMPUTED_VALUE"""),45442.66666666667)</f>
        <v>45442.66667</v>
      </c>
      <c r="I135" s="2">
        <f>IFERROR(__xludf.DUMMYFUNCTION("""COMPUTED_VALUE"""),1.11)</f>
        <v>1.11</v>
      </c>
      <c r="K135" s="3">
        <f>IFERROR(__xludf.DUMMYFUNCTION("""COMPUTED_VALUE"""),44390.6875)</f>
        <v>44390.6875</v>
      </c>
      <c r="L135" s="2">
        <f>IFERROR(__xludf.DUMMYFUNCTION("""COMPUTED_VALUE"""),46.75)</f>
        <v>46.75</v>
      </c>
      <c r="N135" s="3">
        <f>IFERROR(__xludf.DUMMYFUNCTION("""COMPUTED_VALUE"""),44391.66666666667)</f>
        <v>44391.66667</v>
      </c>
      <c r="O135" s="2">
        <f>IFERROR(__xludf.DUMMYFUNCTION("""COMPUTED_VALUE"""),25.23)</f>
        <v>25.23</v>
      </c>
      <c r="Q135" s="3">
        <f>IFERROR(__xludf.DUMMYFUNCTION("""COMPUTED_VALUE"""),44391.66666666667)</f>
        <v>44391.66667</v>
      </c>
      <c r="R135" s="2">
        <f>IFERROR(__xludf.DUMMYFUNCTION("""COMPUTED_VALUE"""),137.98)</f>
        <v>137.98</v>
      </c>
    </row>
    <row r="136">
      <c r="B136" s="3">
        <f>IFERROR(__xludf.DUMMYFUNCTION("""COMPUTED_VALUE"""),44392.66666666667)</f>
        <v>44392.66667</v>
      </c>
      <c r="C136" s="2">
        <f>IFERROR(__xludf.DUMMYFUNCTION("""COMPUTED_VALUE"""),53.65)</f>
        <v>53.65</v>
      </c>
      <c r="E136" s="3">
        <f>IFERROR(__xludf.DUMMYFUNCTION("""COMPUTED_VALUE"""),45693.66666666667)</f>
        <v>45693.66667</v>
      </c>
      <c r="F136" s="2">
        <f>IFERROR(__xludf.DUMMYFUNCTION("""COMPUTED_VALUE"""),2.37)</f>
        <v>2.37</v>
      </c>
      <c r="H136" s="3">
        <f>IFERROR(__xludf.DUMMYFUNCTION("""COMPUTED_VALUE"""),45443.66666666667)</f>
        <v>45443.66667</v>
      </c>
      <c r="I136" s="2">
        <f>IFERROR(__xludf.DUMMYFUNCTION("""COMPUTED_VALUE"""),1.13)</f>
        <v>1.13</v>
      </c>
      <c r="K136" s="3">
        <f>IFERROR(__xludf.DUMMYFUNCTION("""COMPUTED_VALUE"""),44391.6875)</f>
        <v>44391.6875</v>
      </c>
      <c r="L136" s="2">
        <f>IFERROR(__xludf.DUMMYFUNCTION("""COMPUTED_VALUE"""),46.94)</f>
        <v>46.94</v>
      </c>
      <c r="N136" s="3">
        <f>IFERROR(__xludf.DUMMYFUNCTION("""COMPUTED_VALUE"""),44392.66666666667)</f>
        <v>44392.66667</v>
      </c>
      <c r="O136" s="2">
        <f>IFERROR(__xludf.DUMMYFUNCTION("""COMPUTED_VALUE"""),24.65)</f>
        <v>24.65</v>
      </c>
      <c r="Q136" s="3">
        <f>IFERROR(__xludf.DUMMYFUNCTION("""COMPUTED_VALUE"""),44392.66666666667)</f>
        <v>44392.66667</v>
      </c>
      <c r="R136" s="2">
        <f>IFERROR(__xludf.DUMMYFUNCTION("""COMPUTED_VALUE"""),139.16)</f>
        <v>139.16</v>
      </c>
    </row>
    <row r="137">
      <c r="B137" s="3">
        <f>IFERROR(__xludf.DUMMYFUNCTION("""COMPUTED_VALUE"""),44393.66666666667)</f>
        <v>44393.66667</v>
      </c>
      <c r="C137" s="2">
        <f>IFERROR(__xludf.DUMMYFUNCTION("""COMPUTED_VALUE"""),53.7)</f>
        <v>53.7</v>
      </c>
      <c r="E137" s="3">
        <f>IFERROR(__xludf.DUMMYFUNCTION("""COMPUTED_VALUE"""),45694.66666666667)</f>
        <v>45694.66667</v>
      </c>
      <c r="F137" s="2">
        <f>IFERROR(__xludf.DUMMYFUNCTION("""COMPUTED_VALUE"""),2.54)</f>
        <v>2.54</v>
      </c>
      <c r="H137" s="3">
        <f>IFERROR(__xludf.DUMMYFUNCTION("""COMPUTED_VALUE"""),45446.66666666667)</f>
        <v>45446.66667</v>
      </c>
      <c r="I137" s="2">
        <f>IFERROR(__xludf.DUMMYFUNCTION("""COMPUTED_VALUE"""),1.16)</f>
        <v>1.16</v>
      </c>
      <c r="K137" s="3">
        <f>IFERROR(__xludf.DUMMYFUNCTION("""COMPUTED_VALUE"""),44392.6875)</f>
        <v>44392.6875</v>
      </c>
      <c r="L137" s="2">
        <f>IFERROR(__xludf.DUMMYFUNCTION("""COMPUTED_VALUE"""),46.56)</f>
        <v>46.56</v>
      </c>
      <c r="N137" s="3">
        <f>IFERROR(__xludf.DUMMYFUNCTION("""COMPUTED_VALUE"""),44393.66666666667)</f>
        <v>44393.66667</v>
      </c>
      <c r="O137" s="2">
        <f>IFERROR(__xludf.DUMMYFUNCTION("""COMPUTED_VALUE"""),23.87)</f>
        <v>23.87</v>
      </c>
      <c r="Q137" s="3">
        <f>IFERROR(__xludf.DUMMYFUNCTION("""COMPUTED_VALUE"""),44393.66666666667)</f>
        <v>44393.66667</v>
      </c>
      <c r="R137" s="2">
        <f>IFERROR(__xludf.DUMMYFUNCTION("""COMPUTED_VALUE"""),140.51)</f>
        <v>140.51</v>
      </c>
    </row>
    <row r="138">
      <c r="B138" s="3">
        <f>IFERROR(__xludf.DUMMYFUNCTION("""COMPUTED_VALUE"""),44396.66666666667)</f>
        <v>44396.66667</v>
      </c>
      <c r="C138" s="2">
        <f>IFERROR(__xludf.DUMMYFUNCTION("""COMPUTED_VALUE"""),53.06)</f>
        <v>53.06</v>
      </c>
      <c r="E138" s="3">
        <f>IFERROR(__xludf.DUMMYFUNCTION("""COMPUTED_VALUE"""),45695.66666666667)</f>
        <v>45695.66667</v>
      </c>
      <c r="F138" s="2">
        <f>IFERROR(__xludf.DUMMYFUNCTION("""COMPUTED_VALUE"""),2.51)</f>
        <v>2.51</v>
      </c>
      <c r="H138" s="3">
        <f>IFERROR(__xludf.DUMMYFUNCTION("""COMPUTED_VALUE"""),45447.66666666667)</f>
        <v>45447.66667</v>
      </c>
      <c r="I138" s="2">
        <f>IFERROR(__xludf.DUMMYFUNCTION("""COMPUTED_VALUE"""),1.09)</f>
        <v>1.09</v>
      </c>
      <c r="K138" s="3">
        <f>IFERROR(__xludf.DUMMYFUNCTION("""COMPUTED_VALUE"""),44393.6875)</f>
        <v>44393.6875</v>
      </c>
      <c r="L138" s="2">
        <f>IFERROR(__xludf.DUMMYFUNCTION("""COMPUTED_VALUE"""),45.72)</f>
        <v>45.72</v>
      </c>
      <c r="N138" s="3">
        <f>IFERROR(__xludf.DUMMYFUNCTION("""COMPUTED_VALUE"""),44396.66666666667)</f>
        <v>44396.66667</v>
      </c>
      <c r="O138" s="2">
        <f>IFERROR(__xludf.DUMMYFUNCTION("""COMPUTED_VALUE"""),23.09)</f>
        <v>23.09</v>
      </c>
      <c r="Q138" s="3">
        <f>IFERROR(__xludf.DUMMYFUNCTION("""COMPUTED_VALUE"""),44396.66666666667)</f>
        <v>44396.66667</v>
      </c>
      <c r="R138" s="2">
        <f>IFERROR(__xludf.DUMMYFUNCTION("""COMPUTED_VALUE"""),140.44)</f>
        <v>140.44</v>
      </c>
    </row>
    <row r="139">
      <c r="B139" s="3">
        <f>IFERROR(__xludf.DUMMYFUNCTION("""COMPUTED_VALUE"""),44397.66666666667)</f>
        <v>44397.66667</v>
      </c>
      <c r="C139" s="2">
        <f>IFERROR(__xludf.DUMMYFUNCTION("""COMPUTED_VALUE"""),53.58)</f>
        <v>53.58</v>
      </c>
      <c r="E139" s="3">
        <f>IFERROR(__xludf.DUMMYFUNCTION("""COMPUTED_VALUE"""),45698.66666666667)</f>
        <v>45698.66667</v>
      </c>
      <c r="F139" s="2">
        <f>IFERROR(__xludf.DUMMYFUNCTION("""COMPUTED_VALUE"""),2.5)</f>
        <v>2.5</v>
      </c>
      <c r="H139" s="3">
        <f>IFERROR(__xludf.DUMMYFUNCTION("""COMPUTED_VALUE"""),45448.66666666667)</f>
        <v>45448.66667</v>
      </c>
      <c r="I139" s="2">
        <f>IFERROR(__xludf.DUMMYFUNCTION("""COMPUTED_VALUE"""),1.15)</f>
        <v>1.15</v>
      </c>
      <c r="K139" s="3">
        <f>IFERROR(__xludf.DUMMYFUNCTION("""COMPUTED_VALUE"""),44396.6875)</f>
        <v>44396.6875</v>
      </c>
      <c r="L139" s="2">
        <f>IFERROR(__xludf.DUMMYFUNCTION("""COMPUTED_VALUE"""),43.5)</f>
        <v>43.5</v>
      </c>
      <c r="N139" s="3">
        <f>IFERROR(__xludf.DUMMYFUNCTION("""COMPUTED_VALUE"""),44397.66666666667)</f>
        <v>44397.66667</v>
      </c>
      <c r="O139" s="2">
        <f>IFERROR(__xludf.DUMMYFUNCTION("""COMPUTED_VALUE"""),23.11)</f>
        <v>23.11</v>
      </c>
      <c r="Q139" s="3">
        <f>IFERROR(__xludf.DUMMYFUNCTION("""COMPUTED_VALUE"""),44397.66666666667)</f>
        <v>44397.66667</v>
      </c>
      <c r="R139" s="2">
        <f>IFERROR(__xludf.DUMMYFUNCTION("""COMPUTED_VALUE"""),139.69)</f>
        <v>139.69</v>
      </c>
    </row>
    <row r="140">
      <c r="B140" s="3">
        <f>IFERROR(__xludf.DUMMYFUNCTION("""COMPUTED_VALUE"""),44398.66666666667)</f>
        <v>44398.66667</v>
      </c>
      <c r="C140" s="2">
        <f>IFERROR(__xludf.DUMMYFUNCTION("""COMPUTED_VALUE"""),53.88)</f>
        <v>53.88</v>
      </c>
      <c r="E140" s="3">
        <f>IFERROR(__xludf.DUMMYFUNCTION("""COMPUTED_VALUE"""),45699.66666666667)</f>
        <v>45699.66667</v>
      </c>
      <c r="F140" s="2">
        <f>IFERROR(__xludf.DUMMYFUNCTION("""COMPUTED_VALUE"""),2.41)</f>
        <v>2.41</v>
      </c>
      <c r="H140" s="3">
        <f>IFERROR(__xludf.DUMMYFUNCTION("""COMPUTED_VALUE"""),45449.66666666667)</f>
        <v>45449.66667</v>
      </c>
      <c r="I140" s="2">
        <f>IFERROR(__xludf.DUMMYFUNCTION("""COMPUTED_VALUE"""),1.17)</f>
        <v>1.17</v>
      </c>
      <c r="K140" s="3">
        <f>IFERROR(__xludf.DUMMYFUNCTION("""COMPUTED_VALUE"""),44397.6875)</f>
        <v>44397.6875</v>
      </c>
      <c r="L140" s="2">
        <f>IFERROR(__xludf.DUMMYFUNCTION("""COMPUTED_VALUE"""),44.09)</f>
        <v>44.09</v>
      </c>
      <c r="N140" s="3">
        <f>IFERROR(__xludf.DUMMYFUNCTION("""COMPUTED_VALUE"""),44398.66666666667)</f>
        <v>44398.66667</v>
      </c>
      <c r="O140" s="2">
        <f>IFERROR(__xludf.DUMMYFUNCTION("""COMPUTED_VALUE"""),23.91)</f>
        <v>23.91</v>
      </c>
      <c r="Q140" s="3">
        <f>IFERROR(__xludf.DUMMYFUNCTION("""COMPUTED_VALUE"""),44398.66666666667)</f>
        <v>44398.66667</v>
      </c>
      <c r="R140" s="2">
        <f>IFERROR(__xludf.DUMMYFUNCTION("""COMPUTED_VALUE"""),139.2)</f>
        <v>139.2</v>
      </c>
    </row>
    <row r="141">
      <c r="B141" s="3">
        <f>IFERROR(__xludf.DUMMYFUNCTION("""COMPUTED_VALUE"""),44399.66666666667)</f>
        <v>44399.66667</v>
      </c>
      <c r="C141" s="2">
        <f>IFERROR(__xludf.DUMMYFUNCTION("""COMPUTED_VALUE"""),54.54)</f>
        <v>54.54</v>
      </c>
      <c r="E141" s="3">
        <f>IFERROR(__xludf.DUMMYFUNCTION("""COMPUTED_VALUE"""),45700.66666666667)</f>
        <v>45700.66667</v>
      </c>
      <c r="F141" s="2">
        <f>IFERROR(__xludf.DUMMYFUNCTION("""COMPUTED_VALUE"""),2.5)</f>
        <v>2.5</v>
      </c>
      <c r="H141" s="3">
        <f>IFERROR(__xludf.DUMMYFUNCTION("""COMPUTED_VALUE"""),45450.66666666667)</f>
        <v>45450.66667</v>
      </c>
      <c r="I141" s="2">
        <f>IFERROR(__xludf.DUMMYFUNCTION("""COMPUTED_VALUE"""),1.29)</f>
        <v>1.29</v>
      </c>
      <c r="K141" s="3">
        <f>IFERROR(__xludf.DUMMYFUNCTION("""COMPUTED_VALUE"""),44398.6875)</f>
        <v>44398.6875</v>
      </c>
      <c r="L141" s="2">
        <f>IFERROR(__xludf.DUMMYFUNCTION("""COMPUTED_VALUE"""),45.64)</f>
        <v>45.64</v>
      </c>
      <c r="N141" s="3">
        <f>IFERROR(__xludf.DUMMYFUNCTION("""COMPUTED_VALUE"""),44399.66666666667)</f>
        <v>44399.66667</v>
      </c>
      <c r="O141" s="2">
        <f>IFERROR(__xludf.DUMMYFUNCTION("""COMPUTED_VALUE"""),23.63)</f>
        <v>23.63</v>
      </c>
      <c r="Q141" s="3">
        <f>IFERROR(__xludf.DUMMYFUNCTION("""COMPUTED_VALUE"""),44399.66666666667)</f>
        <v>44399.66667</v>
      </c>
      <c r="R141" s="2">
        <f>IFERROR(__xludf.DUMMYFUNCTION("""COMPUTED_VALUE"""),137.8)</f>
        <v>137.8</v>
      </c>
    </row>
    <row r="142">
      <c r="B142" s="3">
        <f>IFERROR(__xludf.DUMMYFUNCTION("""COMPUTED_VALUE"""),44400.66666666667)</f>
        <v>44400.66667</v>
      </c>
      <c r="C142" s="2">
        <f>IFERROR(__xludf.DUMMYFUNCTION("""COMPUTED_VALUE"""),55.23)</f>
        <v>55.23</v>
      </c>
      <c r="E142" s="3">
        <f>IFERROR(__xludf.DUMMYFUNCTION("""COMPUTED_VALUE"""),45701.66666666667)</f>
        <v>45701.66667</v>
      </c>
      <c r="F142" s="2">
        <f>IFERROR(__xludf.DUMMYFUNCTION("""COMPUTED_VALUE"""),2.46)</f>
        <v>2.46</v>
      </c>
      <c r="H142" s="3">
        <f>IFERROR(__xludf.DUMMYFUNCTION("""COMPUTED_VALUE"""),45453.66666666667)</f>
        <v>45453.66667</v>
      </c>
      <c r="I142" s="2">
        <f>IFERROR(__xludf.DUMMYFUNCTION("""COMPUTED_VALUE"""),1.32)</f>
        <v>1.32</v>
      </c>
      <c r="K142" s="3">
        <f>IFERROR(__xludf.DUMMYFUNCTION("""COMPUTED_VALUE"""),44399.6875)</f>
        <v>44399.6875</v>
      </c>
      <c r="L142" s="2">
        <f>IFERROR(__xludf.DUMMYFUNCTION("""COMPUTED_VALUE"""),45.23)</f>
        <v>45.23</v>
      </c>
      <c r="N142" s="3">
        <f>IFERROR(__xludf.DUMMYFUNCTION("""COMPUTED_VALUE"""),44400.66666666667)</f>
        <v>44400.66667</v>
      </c>
      <c r="O142" s="2">
        <f>IFERROR(__xludf.DUMMYFUNCTION("""COMPUTED_VALUE"""),23.54)</f>
        <v>23.54</v>
      </c>
      <c r="Q142" s="3">
        <f>IFERROR(__xludf.DUMMYFUNCTION("""COMPUTED_VALUE"""),44400.66666666667)</f>
        <v>44400.66667</v>
      </c>
      <c r="R142" s="2">
        <f>IFERROR(__xludf.DUMMYFUNCTION("""COMPUTED_VALUE"""),139.79)</f>
        <v>139.79</v>
      </c>
    </row>
    <row r="143">
      <c r="B143" s="3">
        <f>IFERROR(__xludf.DUMMYFUNCTION("""COMPUTED_VALUE"""),44403.66666666667)</f>
        <v>44403.66667</v>
      </c>
      <c r="C143" s="2">
        <f>IFERROR(__xludf.DUMMYFUNCTION("""COMPUTED_VALUE"""),55.47)</f>
        <v>55.47</v>
      </c>
      <c r="E143" s="3">
        <f>IFERROR(__xludf.DUMMYFUNCTION("""COMPUTED_VALUE"""),45702.66666666667)</f>
        <v>45702.66667</v>
      </c>
      <c r="F143" s="2">
        <f>IFERROR(__xludf.DUMMYFUNCTION("""COMPUTED_VALUE"""),2.32)</f>
        <v>2.32</v>
      </c>
      <c r="H143" s="3">
        <f>IFERROR(__xludf.DUMMYFUNCTION("""COMPUTED_VALUE"""),45454.66666666667)</f>
        <v>45454.66667</v>
      </c>
      <c r="I143" s="2">
        <f>IFERROR(__xludf.DUMMYFUNCTION("""COMPUTED_VALUE"""),1.29)</f>
        <v>1.29</v>
      </c>
      <c r="K143" s="3">
        <f>IFERROR(__xludf.DUMMYFUNCTION("""COMPUTED_VALUE"""),44400.6875)</f>
        <v>44400.6875</v>
      </c>
      <c r="L143" s="2">
        <f>IFERROR(__xludf.DUMMYFUNCTION("""COMPUTED_VALUE"""),45.89)</f>
        <v>45.89</v>
      </c>
      <c r="N143" s="3">
        <f>IFERROR(__xludf.DUMMYFUNCTION("""COMPUTED_VALUE"""),44403.66666666667)</f>
        <v>44403.66667</v>
      </c>
      <c r="O143" s="2">
        <f>IFERROR(__xludf.DUMMYFUNCTION("""COMPUTED_VALUE"""),24.33)</f>
        <v>24.33</v>
      </c>
      <c r="Q143" s="3">
        <f>IFERROR(__xludf.DUMMYFUNCTION("""COMPUTED_VALUE"""),44403.66666666667)</f>
        <v>44403.66667</v>
      </c>
      <c r="R143" s="2">
        <f>IFERROR(__xludf.DUMMYFUNCTION("""COMPUTED_VALUE"""),140.28)</f>
        <v>140.28</v>
      </c>
    </row>
    <row r="144">
      <c r="B144" s="3">
        <f>IFERROR(__xludf.DUMMYFUNCTION("""COMPUTED_VALUE"""),44404.66666666667)</f>
        <v>44404.66667</v>
      </c>
      <c r="C144" s="2">
        <f>IFERROR(__xludf.DUMMYFUNCTION("""COMPUTED_VALUE"""),55.28)</f>
        <v>55.28</v>
      </c>
      <c r="E144" s="3">
        <f>IFERROR(__xludf.DUMMYFUNCTION("""COMPUTED_VALUE"""),45706.66666666667)</f>
        <v>45706.66667</v>
      </c>
      <c r="F144" s="2">
        <f>IFERROR(__xludf.DUMMYFUNCTION("""COMPUTED_VALUE"""),2.46)</f>
        <v>2.46</v>
      </c>
      <c r="H144" s="3">
        <f>IFERROR(__xludf.DUMMYFUNCTION("""COMPUTED_VALUE"""),45455.66666666667)</f>
        <v>45455.66667</v>
      </c>
      <c r="I144" s="2">
        <f>IFERROR(__xludf.DUMMYFUNCTION("""COMPUTED_VALUE"""),1.27)</f>
        <v>1.27</v>
      </c>
      <c r="K144" s="3">
        <f>IFERROR(__xludf.DUMMYFUNCTION("""COMPUTED_VALUE"""),44403.6875)</f>
        <v>44403.6875</v>
      </c>
      <c r="L144" s="2">
        <f>IFERROR(__xludf.DUMMYFUNCTION("""COMPUTED_VALUE"""),46.56)</f>
        <v>46.56</v>
      </c>
      <c r="N144" s="3">
        <f>IFERROR(__xludf.DUMMYFUNCTION("""COMPUTED_VALUE"""),44404.66666666667)</f>
        <v>44404.66667</v>
      </c>
      <c r="O144" s="2">
        <f>IFERROR(__xludf.DUMMYFUNCTION("""COMPUTED_VALUE"""),24.25)</f>
        <v>24.25</v>
      </c>
      <c r="Q144" s="3">
        <f>IFERROR(__xludf.DUMMYFUNCTION("""COMPUTED_VALUE"""),44404.66666666667)</f>
        <v>44404.66667</v>
      </c>
      <c r="R144" s="2">
        <f>IFERROR(__xludf.DUMMYFUNCTION("""COMPUTED_VALUE"""),140.85)</f>
        <v>140.85</v>
      </c>
    </row>
    <row r="145">
      <c r="B145" s="3">
        <f>IFERROR(__xludf.DUMMYFUNCTION("""COMPUTED_VALUE"""),44405.66666666667)</f>
        <v>44405.66667</v>
      </c>
      <c r="C145" s="2">
        <f>IFERROR(__xludf.DUMMYFUNCTION("""COMPUTED_VALUE"""),54.77)</f>
        <v>54.77</v>
      </c>
      <c r="E145" s="3">
        <f>IFERROR(__xludf.DUMMYFUNCTION("""COMPUTED_VALUE"""),45707.66666666667)</f>
        <v>45707.66667</v>
      </c>
      <c r="F145" s="2">
        <f>IFERROR(__xludf.DUMMYFUNCTION("""COMPUTED_VALUE"""),2.34)</f>
        <v>2.34</v>
      </c>
      <c r="H145" s="3">
        <f>IFERROR(__xludf.DUMMYFUNCTION("""COMPUTED_VALUE"""),45456.66666666667)</f>
        <v>45456.66667</v>
      </c>
      <c r="I145" s="2">
        <f>IFERROR(__xludf.DUMMYFUNCTION("""COMPUTED_VALUE"""),1.32)</f>
        <v>1.32</v>
      </c>
      <c r="K145" s="3">
        <f>IFERROR(__xludf.DUMMYFUNCTION("""COMPUTED_VALUE"""),44404.6875)</f>
        <v>44404.6875</v>
      </c>
      <c r="L145" s="2">
        <f>IFERROR(__xludf.DUMMYFUNCTION("""COMPUTED_VALUE"""),46.52)</f>
        <v>46.52</v>
      </c>
      <c r="N145" s="3">
        <f>IFERROR(__xludf.DUMMYFUNCTION("""COMPUTED_VALUE"""),44405.66666666667)</f>
        <v>44405.66667</v>
      </c>
      <c r="O145" s="2">
        <f>IFERROR(__xludf.DUMMYFUNCTION("""COMPUTED_VALUE"""),24.4)</f>
        <v>24.4</v>
      </c>
      <c r="Q145" s="3">
        <f>IFERROR(__xludf.DUMMYFUNCTION("""COMPUTED_VALUE"""),44405.66666666667)</f>
        <v>44405.66667</v>
      </c>
      <c r="R145" s="2">
        <f>IFERROR(__xludf.DUMMYFUNCTION("""COMPUTED_VALUE"""),138.76)</f>
        <v>138.76</v>
      </c>
    </row>
    <row r="146">
      <c r="B146" s="3">
        <f>IFERROR(__xludf.DUMMYFUNCTION("""COMPUTED_VALUE"""),44406.66666666667)</f>
        <v>44406.66667</v>
      </c>
      <c r="C146" s="2">
        <f>IFERROR(__xludf.DUMMYFUNCTION("""COMPUTED_VALUE"""),55.07)</f>
        <v>55.07</v>
      </c>
      <c r="E146" s="3">
        <f>IFERROR(__xludf.DUMMYFUNCTION("""COMPUTED_VALUE"""),45708.66666666667)</f>
        <v>45708.66667</v>
      </c>
      <c r="F146" s="2">
        <f>IFERROR(__xludf.DUMMYFUNCTION("""COMPUTED_VALUE"""),2.4)</f>
        <v>2.4</v>
      </c>
      <c r="H146" s="3">
        <f>IFERROR(__xludf.DUMMYFUNCTION("""COMPUTED_VALUE"""),45457.66666666667)</f>
        <v>45457.66667</v>
      </c>
      <c r="I146" s="2">
        <f>IFERROR(__xludf.DUMMYFUNCTION("""COMPUTED_VALUE"""),1.29)</f>
        <v>1.29</v>
      </c>
      <c r="K146" s="3">
        <f>IFERROR(__xludf.DUMMYFUNCTION("""COMPUTED_VALUE"""),44405.6875)</f>
        <v>44405.6875</v>
      </c>
      <c r="L146" s="2">
        <f>IFERROR(__xludf.DUMMYFUNCTION("""COMPUTED_VALUE"""),46.78)</f>
        <v>46.78</v>
      </c>
      <c r="N146" s="3">
        <f>IFERROR(__xludf.DUMMYFUNCTION("""COMPUTED_VALUE"""),44406.66666666667)</f>
        <v>44406.66667</v>
      </c>
      <c r="O146" s="2">
        <f>IFERROR(__xludf.DUMMYFUNCTION("""COMPUTED_VALUE"""),24.63)</f>
        <v>24.63</v>
      </c>
      <c r="Q146" s="3">
        <f>IFERROR(__xludf.DUMMYFUNCTION("""COMPUTED_VALUE"""),44406.66666666667)</f>
        <v>44406.66667</v>
      </c>
      <c r="R146" s="2">
        <f>IFERROR(__xludf.DUMMYFUNCTION("""COMPUTED_VALUE"""),139.48)</f>
        <v>139.48</v>
      </c>
    </row>
    <row r="147">
      <c r="B147" s="3">
        <f>IFERROR(__xludf.DUMMYFUNCTION("""COMPUTED_VALUE"""),44407.66666666667)</f>
        <v>44407.66667</v>
      </c>
      <c r="C147" s="2">
        <f>IFERROR(__xludf.DUMMYFUNCTION("""COMPUTED_VALUE"""),55.37)</f>
        <v>55.37</v>
      </c>
      <c r="E147" s="3">
        <f>IFERROR(__xludf.DUMMYFUNCTION("""COMPUTED_VALUE"""),45709.66666666667)</f>
        <v>45709.66667</v>
      </c>
      <c r="F147" s="2">
        <f>IFERROR(__xludf.DUMMYFUNCTION("""COMPUTED_VALUE"""),2.38)</f>
        <v>2.38</v>
      </c>
      <c r="H147" s="3">
        <f>IFERROR(__xludf.DUMMYFUNCTION("""COMPUTED_VALUE"""),45460.66666666667)</f>
        <v>45460.66667</v>
      </c>
      <c r="I147" s="2">
        <f>IFERROR(__xludf.DUMMYFUNCTION("""COMPUTED_VALUE"""),1.27)</f>
        <v>1.27</v>
      </c>
      <c r="K147" s="3">
        <f>IFERROR(__xludf.DUMMYFUNCTION("""COMPUTED_VALUE"""),44406.6875)</f>
        <v>44406.6875</v>
      </c>
      <c r="L147" s="2">
        <f>IFERROR(__xludf.DUMMYFUNCTION("""COMPUTED_VALUE"""),46.2)</f>
        <v>46.2</v>
      </c>
      <c r="N147" s="3">
        <f>IFERROR(__xludf.DUMMYFUNCTION("""COMPUTED_VALUE"""),44407.66666666667)</f>
        <v>44407.66667</v>
      </c>
      <c r="O147" s="2">
        <f>IFERROR(__xludf.DUMMYFUNCTION("""COMPUTED_VALUE"""),24.18)</f>
        <v>24.18</v>
      </c>
      <c r="Q147" s="3">
        <f>IFERROR(__xludf.DUMMYFUNCTION("""COMPUTED_VALUE"""),44407.66666666667)</f>
        <v>44407.66667</v>
      </c>
      <c r="R147" s="2">
        <f>IFERROR(__xludf.DUMMYFUNCTION("""COMPUTED_VALUE"""),142.23)</f>
        <v>142.23</v>
      </c>
    </row>
    <row r="148">
      <c r="B148" s="3">
        <f>IFERROR(__xludf.DUMMYFUNCTION("""COMPUTED_VALUE"""),44410.66666666667)</f>
        <v>44410.66667</v>
      </c>
      <c r="C148" s="2">
        <f>IFERROR(__xludf.DUMMYFUNCTION("""COMPUTED_VALUE"""),55.45)</f>
        <v>55.45</v>
      </c>
      <c r="E148" s="3">
        <f>IFERROR(__xludf.DUMMYFUNCTION("""COMPUTED_VALUE"""),45712.66666666667)</f>
        <v>45712.66667</v>
      </c>
      <c r="F148" s="2">
        <f>IFERROR(__xludf.DUMMYFUNCTION("""COMPUTED_VALUE"""),2.36)</f>
        <v>2.36</v>
      </c>
      <c r="H148" s="3">
        <f>IFERROR(__xludf.DUMMYFUNCTION("""COMPUTED_VALUE"""),45461.66666666667)</f>
        <v>45461.66667</v>
      </c>
      <c r="I148" s="2">
        <f>IFERROR(__xludf.DUMMYFUNCTION("""COMPUTED_VALUE"""),1.23)</f>
        <v>1.23</v>
      </c>
      <c r="K148" s="3">
        <f>IFERROR(__xludf.DUMMYFUNCTION("""COMPUTED_VALUE"""),44407.6875)</f>
        <v>44407.6875</v>
      </c>
      <c r="L148" s="2">
        <f>IFERROR(__xludf.DUMMYFUNCTION("""COMPUTED_VALUE"""),45.64)</f>
        <v>45.64</v>
      </c>
      <c r="N148" s="3">
        <f>IFERROR(__xludf.DUMMYFUNCTION("""COMPUTED_VALUE"""),44410.66666666667)</f>
        <v>44410.66667</v>
      </c>
      <c r="O148" s="2">
        <f>IFERROR(__xludf.DUMMYFUNCTION("""COMPUTED_VALUE"""),24.08)</f>
        <v>24.08</v>
      </c>
      <c r="Q148" s="3">
        <f>IFERROR(__xludf.DUMMYFUNCTION("""COMPUTED_VALUE"""),44410.66666666667)</f>
        <v>44410.66667</v>
      </c>
      <c r="R148" s="2">
        <f>IFERROR(__xludf.DUMMYFUNCTION("""COMPUTED_VALUE"""),141.88)</f>
        <v>141.88</v>
      </c>
    </row>
    <row r="149">
      <c r="B149" s="3">
        <f>IFERROR(__xludf.DUMMYFUNCTION("""COMPUTED_VALUE"""),44411.66666666667)</f>
        <v>44411.66667</v>
      </c>
      <c r="C149" s="2">
        <f>IFERROR(__xludf.DUMMYFUNCTION("""COMPUTED_VALUE"""),56.25)</f>
        <v>56.25</v>
      </c>
      <c r="E149" s="3">
        <f>IFERROR(__xludf.DUMMYFUNCTION("""COMPUTED_VALUE"""),45713.66666666667)</f>
        <v>45713.66667</v>
      </c>
      <c r="F149" s="2">
        <f>IFERROR(__xludf.DUMMYFUNCTION("""COMPUTED_VALUE"""),2.29)</f>
        <v>2.29</v>
      </c>
      <c r="H149" s="3">
        <f>IFERROR(__xludf.DUMMYFUNCTION("""COMPUTED_VALUE"""),45463.66666666667)</f>
        <v>45463.66667</v>
      </c>
      <c r="I149" s="2">
        <f>IFERROR(__xludf.DUMMYFUNCTION("""COMPUTED_VALUE"""),1.24)</f>
        <v>1.24</v>
      </c>
      <c r="K149" s="3">
        <f>IFERROR(__xludf.DUMMYFUNCTION("""COMPUTED_VALUE"""),44410.6875)</f>
        <v>44410.6875</v>
      </c>
      <c r="L149" s="2">
        <f>IFERROR(__xludf.DUMMYFUNCTION("""COMPUTED_VALUE"""),46.24)</f>
        <v>46.24</v>
      </c>
      <c r="N149" s="3">
        <f>IFERROR(__xludf.DUMMYFUNCTION("""COMPUTED_VALUE"""),44411.66666666667)</f>
        <v>44411.66667</v>
      </c>
      <c r="O149" s="2">
        <f>IFERROR(__xludf.DUMMYFUNCTION("""COMPUTED_VALUE"""),25.69)</f>
        <v>25.69</v>
      </c>
      <c r="Q149" s="3">
        <f>IFERROR(__xludf.DUMMYFUNCTION("""COMPUTED_VALUE"""),44411.66666666667)</f>
        <v>44411.66667</v>
      </c>
      <c r="R149" s="2">
        <f>IFERROR(__xludf.DUMMYFUNCTION("""COMPUTED_VALUE"""),143.95)</f>
        <v>143.95</v>
      </c>
    </row>
    <row r="150">
      <c r="B150" s="3">
        <f>IFERROR(__xludf.DUMMYFUNCTION("""COMPUTED_VALUE"""),44412.66666666667)</f>
        <v>44412.66667</v>
      </c>
      <c r="C150" s="2">
        <f>IFERROR(__xludf.DUMMYFUNCTION("""COMPUTED_VALUE"""),55.69)</f>
        <v>55.69</v>
      </c>
      <c r="E150" s="3">
        <f>IFERROR(__xludf.DUMMYFUNCTION("""COMPUTED_VALUE"""),45714.66666666667)</f>
        <v>45714.66667</v>
      </c>
      <c r="F150" s="2">
        <f>IFERROR(__xludf.DUMMYFUNCTION("""COMPUTED_VALUE"""),2.35)</f>
        <v>2.35</v>
      </c>
      <c r="H150" s="3">
        <f>IFERROR(__xludf.DUMMYFUNCTION("""COMPUTED_VALUE"""),45464.66666666667)</f>
        <v>45464.66667</v>
      </c>
      <c r="I150" s="2">
        <f>IFERROR(__xludf.DUMMYFUNCTION("""COMPUTED_VALUE"""),1.17)</f>
        <v>1.17</v>
      </c>
      <c r="K150" s="3">
        <f>IFERROR(__xludf.DUMMYFUNCTION("""COMPUTED_VALUE"""),44411.6875)</f>
        <v>44411.6875</v>
      </c>
      <c r="L150" s="2">
        <f>IFERROR(__xludf.DUMMYFUNCTION("""COMPUTED_VALUE"""),46.85)</f>
        <v>46.85</v>
      </c>
      <c r="N150" s="3">
        <f>IFERROR(__xludf.DUMMYFUNCTION("""COMPUTED_VALUE"""),44412.66666666667)</f>
        <v>44412.66667</v>
      </c>
      <c r="O150" s="2">
        <f>IFERROR(__xludf.DUMMYFUNCTION("""COMPUTED_VALUE"""),25.06)</f>
        <v>25.06</v>
      </c>
      <c r="Q150" s="3">
        <f>IFERROR(__xludf.DUMMYFUNCTION("""COMPUTED_VALUE"""),44412.66666666667)</f>
        <v>44412.66667</v>
      </c>
      <c r="R150" s="2">
        <f>IFERROR(__xludf.DUMMYFUNCTION("""COMPUTED_VALUE"""),142.43)</f>
        <v>142.43</v>
      </c>
    </row>
    <row r="151">
      <c r="B151" s="3">
        <f>IFERROR(__xludf.DUMMYFUNCTION("""COMPUTED_VALUE"""),44413.66666666667)</f>
        <v>44413.66667</v>
      </c>
      <c r="C151" s="2">
        <f>IFERROR(__xludf.DUMMYFUNCTION("""COMPUTED_VALUE"""),55.76)</f>
        <v>55.76</v>
      </c>
      <c r="E151" s="3">
        <f>IFERROR(__xludf.DUMMYFUNCTION("""COMPUTED_VALUE"""),45715.66666666667)</f>
        <v>45715.66667</v>
      </c>
      <c r="F151" s="2">
        <f>IFERROR(__xludf.DUMMYFUNCTION("""COMPUTED_VALUE"""),2.32)</f>
        <v>2.32</v>
      </c>
      <c r="H151" s="3">
        <f>IFERROR(__xludf.DUMMYFUNCTION("""COMPUTED_VALUE"""),45467.66666666667)</f>
        <v>45467.66667</v>
      </c>
      <c r="I151" s="2">
        <f>IFERROR(__xludf.DUMMYFUNCTION("""COMPUTED_VALUE"""),1.22)</f>
        <v>1.22</v>
      </c>
      <c r="K151" s="3">
        <f>IFERROR(__xludf.DUMMYFUNCTION("""COMPUTED_VALUE"""),44412.6875)</f>
        <v>44412.6875</v>
      </c>
      <c r="L151" s="2">
        <f>IFERROR(__xludf.DUMMYFUNCTION("""COMPUTED_VALUE"""),47.31)</f>
        <v>47.31</v>
      </c>
      <c r="N151" s="3">
        <f>IFERROR(__xludf.DUMMYFUNCTION("""COMPUTED_VALUE"""),44413.66666666667)</f>
        <v>44413.66667</v>
      </c>
      <c r="O151" s="2">
        <f>IFERROR(__xludf.DUMMYFUNCTION("""COMPUTED_VALUE"""),25.34)</f>
        <v>25.34</v>
      </c>
      <c r="Q151" s="3">
        <f>IFERROR(__xludf.DUMMYFUNCTION("""COMPUTED_VALUE"""),44413.66666666667)</f>
        <v>44413.66667</v>
      </c>
      <c r="R151" s="2">
        <f>IFERROR(__xludf.DUMMYFUNCTION("""COMPUTED_VALUE"""),142.5)</f>
        <v>142.5</v>
      </c>
    </row>
    <row r="152">
      <c r="B152" s="3">
        <f>IFERROR(__xludf.DUMMYFUNCTION("""COMPUTED_VALUE"""),44414.66666666667)</f>
        <v>44414.66667</v>
      </c>
      <c r="C152" s="2">
        <f>IFERROR(__xludf.DUMMYFUNCTION("""COMPUTED_VALUE"""),55.59)</f>
        <v>55.59</v>
      </c>
      <c r="E152" s="3">
        <f>IFERROR(__xludf.DUMMYFUNCTION("""COMPUTED_VALUE"""),45716.66666666667)</f>
        <v>45716.66667</v>
      </c>
      <c r="F152" s="2">
        <f>IFERROR(__xludf.DUMMYFUNCTION("""COMPUTED_VALUE"""),2.26)</f>
        <v>2.26</v>
      </c>
      <c r="H152" s="3">
        <f>IFERROR(__xludf.DUMMYFUNCTION("""COMPUTED_VALUE"""),45468.66666666667)</f>
        <v>45468.66667</v>
      </c>
      <c r="I152" s="2">
        <f>IFERROR(__xludf.DUMMYFUNCTION("""COMPUTED_VALUE"""),1.28)</f>
        <v>1.28</v>
      </c>
      <c r="K152" s="3">
        <f>IFERROR(__xludf.DUMMYFUNCTION("""COMPUTED_VALUE"""),44413.6875)</f>
        <v>44413.6875</v>
      </c>
      <c r="L152" s="2">
        <f>IFERROR(__xludf.DUMMYFUNCTION("""COMPUTED_VALUE"""),45.91)</f>
        <v>45.91</v>
      </c>
      <c r="N152" s="3">
        <f>IFERROR(__xludf.DUMMYFUNCTION("""COMPUTED_VALUE"""),44414.66666666667)</f>
        <v>44414.66667</v>
      </c>
      <c r="O152" s="2">
        <f>IFERROR(__xludf.DUMMYFUNCTION("""COMPUTED_VALUE"""),25.56)</f>
        <v>25.56</v>
      </c>
      <c r="Q152" s="3">
        <f>IFERROR(__xludf.DUMMYFUNCTION("""COMPUTED_VALUE"""),44414.66666666667)</f>
        <v>44414.66667</v>
      </c>
      <c r="R152" s="2">
        <f>IFERROR(__xludf.DUMMYFUNCTION("""COMPUTED_VALUE"""),141.41)</f>
        <v>141.41</v>
      </c>
    </row>
    <row r="153">
      <c r="B153" s="3">
        <f>IFERROR(__xludf.DUMMYFUNCTION("""COMPUTED_VALUE"""),44417.66666666667)</f>
        <v>44417.66667</v>
      </c>
      <c r="C153" s="2">
        <f>IFERROR(__xludf.DUMMYFUNCTION("""COMPUTED_VALUE"""),55.47)</f>
        <v>55.47</v>
      </c>
      <c r="E153" s="3">
        <f>IFERROR(__xludf.DUMMYFUNCTION("""COMPUTED_VALUE"""),45719.66666666667)</f>
        <v>45719.66667</v>
      </c>
      <c r="F153" s="2">
        <f>IFERROR(__xludf.DUMMYFUNCTION("""COMPUTED_VALUE"""),2.02)</f>
        <v>2.02</v>
      </c>
      <c r="H153" s="3">
        <f>IFERROR(__xludf.DUMMYFUNCTION("""COMPUTED_VALUE"""),45469.66666666667)</f>
        <v>45469.66667</v>
      </c>
      <c r="I153" s="2">
        <f>IFERROR(__xludf.DUMMYFUNCTION("""COMPUTED_VALUE"""),1.29)</f>
        <v>1.29</v>
      </c>
      <c r="K153" s="3">
        <f>IFERROR(__xludf.DUMMYFUNCTION("""COMPUTED_VALUE"""),44414.6875)</f>
        <v>44414.6875</v>
      </c>
      <c r="L153" s="2">
        <f>IFERROR(__xludf.DUMMYFUNCTION("""COMPUTED_VALUE"""),46.58)</f>
        <v>46.58</v>
      </c>
      <c r="N153" s="3">
        <f>IFERROR(__xludf.DUMMYFUNCTION("""COMPUTED_VALUE"""),44417.66666666667)</f>
        <v>44417.66667</v>
      </c>
      <c r="O153" s="2">
        <f>IFERROR(__xludf.DUMMYFUNCTION("""COMPUTED_VALUE"""),25.28)</f>
        <v>25.28</v>
      </c>
      <c r="Q153" s="3">
        <f>IFERROR(__xludf.DUMMYFUNCTION("""COMPUTED_VALUE"""),44417.66666666667)</f>
        <v>44417.66667</v>
      </c>
      <c r="R153" s="2">
        <f>IFERROR(__xludf.DUMMYFUNCTION("""COMPUTED_VALUE"""),142.18)</f>
        <v>142.18</v>
      </c>
    </row>
    <row r="154">
      <c r="B154" s="3">
        <f>IFERROR(__xludf.DUMMYFUNCTION("""COMPUTED_VALUE"""),44418.66666666667)</f>
        <v>44418.66667</v>
      </c>
      <c r="C154" s="2">
        <f>IFERROR(__xludf.DUMMYFUNCTION("""COMPUTED_VALUE"""),55.61)</f>
        <v>55.61</v>
      </c>
      <c r="E154" s="3">
        <f>IFERROR(__xludf.DUMMYFUNCTION("""COMPUTED_VALUE"""),45720.66666666667)</f>
        <v>45720.66667</v>
      </c>
      <c r="F154" s="2">
        <f>IFERROR(__xludf.DUMMYFUNCTION("""COMPUTED_VALUE"""),1.9)</f>
        <v>1.9</v>
      </c>
      <c r="H154" s="3">
        <f>IFERROR(__xludf.DUMMYFUNCTION("""COMPUTED_VALUE"""),45470.66666666667)</f>
        <v>45470.66667</v>
      </c>
      <c r="I154" s="2">
        <f>IFERROR(__xludf.DUMMYFUNCTION("""COMPUTED_VALUE"""),1.33)</f>
        <v>1.33</v>
      </c>
      <c r="K154" s="3">
        <f>IFERROR(__xludf.DUMMYFUNCTION("""COMPUTED_VALUE"""),44417.6875)</f>
        <v>44417.6875</v>
      </c>
      <c r="L154" s="2">
        <f>IFERROR(__xludf.DUMMYFUNCTION("""COMPUTED_VALUE"""),46.64)</f>
        <v>46.64</v>
      </c>
      <c r="N154" s="3">
        <f>IFERROR(__xludf.DUMMYFUNCTION("""COMPUTED_VALUE"""),44418.66666666667)</f>
        <v>44418.66667</v>
      </c>
      <c r="O154" s="2">
        <f>IFERROR(__xludf.DUMMYFUNCTION("""COMPUTED_VALUE"""),25.88)</f>
        <v>25.88</v>
      </c>
      <c r="Q154" s="3">
        <f>IFERROR(__xludf.DUMMYFUNCTION("""COMPUTED_VALUE"""),44418.66666666667)</f>
        <v>44418.66667</v>
      </c>
      <c r="R154" s="2">
        <f>IFERROR(__xludf.DUMMYFUNCTION("""COMPUTED_VALUE"""),142.27)</f>
        <v>142.27</v>
      </c>
    </row>
    <row r="155">
      <c r="B155" s="3">
        <f>IFERROR(__xludf.DUMMYFUNCTION("""COMPUTED_VALUE"""),44419.66666666667)</f>
        <v>44419.66667</v>
      </c>
      <c r="C155" s="2">
        <f>IFERROR(__xludf.DUMMYFUNCTION("""COMPUTED_VALUE"""),55.86)</f>
        <v>55.86</v>
      </c>
      <c r="E155" s="3">
        <f>IFERROR(__xludf.DUMMYFUNCTION("""COMPUTED_VALUE"""),45721.66666666667)</f>
        <v>45721.66667</v>
      </c>
      <c r="F155" s="2">
        <f>IFERROR(__xludf.DUMMYFUNCTION("""COMPUTED_VALUE"""),2.11)</f>
        <v>2.11</v>
      </c>
      <c r="H155" s="3">
        <f>IFERROR(__xludf.DUMMYFUNCTION("""COMPUTED_VALUE"""),45471.66666666667)</f>
        <v>45471.66667</v>
      </c>
      <c r="I155" s="2">
        <f>IFERROR(__xludf.DUMMYFUNCTION("""COMPUTED_VALUE"""),1.31)</f>
        <v>1.31</v>
      </c>
      <c r="K155" s="3">
        <f>IFERROR(__xludf.DUMMYFUNCTION("""COMPUTED_VALUE"""),44418.6875)</f>
        <v>44418.6875</v>
      </c>
      <c r="L155" s="2">
        <f>IFERROR(__xludf.DUMMYFUNCTION("""COMPUTED_VALUE"""),46.64)</f>
        <v>46.64</v>
      </c>
      <c r="N155" s="3">
        <f>IFERROR(__xludf.DUMMYFUNCTION("""COMPUTED_VALUE"""),44419.66666666667)</f>
        <v>44419.66667</v>
      </c>
      <c r="O155" s="2">
        <f>IFERROR(__xludf.DUMMYFUNCTION("""COMPUTED_VALUE"""),26.07)</f>
        <v>26.07</v>
      </c>
      <c r="Q155" s="3">
        <f>IFERROR(__xludf.DUMMYFUNCTION("""COMPUTED_VALUE"""),44419.66666666667)</f>
        <v>44419.66667</v>
      </c>
      <c r="R155" s="2">
        <f>IFERROR(__xludf.DUMMYFUNCTION("""COMPUTED_VALUE"""),142.62)</f>
        <v>142.62</v>
      </c>
    </row>
    <row r="156">
      <c r="B156" s="3">
        <f>IFERROR(__xludf.DUMMYFUNCTION("""COMPUTED_VALUE"""),44420.66666666667)</f>
        <v>44420.66667</v>
      </c>
      <c r="C156" s="2">
        <f>IFERROR(__xludf.DUMMYFUNCTION("""COMPUTED_VALUE"""),56.39)</f>
        <v>56.39</v>
      </c>
      <c r="E156" s="3">
        <f>IFERROR(__xludf.DUMMYFUNCTION("""COMPUTED_VALUE"""),45722.66666666667)</f>
        <v>45722.66667</v>
      </c>
      <c r="F156" s="2">
        <f>IFERROR(__xludf.DUMMYFUNCTION("""COMPUTED_VALUE"""),2.28)</f>
        <v>2.28</v>
      </c>
      <c r="H156" s="3">
        <f>IFERROR(__xludf.DUMMYFUNCTION("""COMPUTED_VALUE"""),45474.66666666667)</f>
        <v>45474.66667</v>
      </c>
      <c r="I156" s="2">
        <f>IFERROR(__xludf.DUMMYFUNCTION("""COMPUTED_VALUE"""),1.22)</f>
        <v>1.22</v>
      </c>
      <c r="K156" s="3">
        <f>IFERROR(__xludf.DUMMYFUNCTION("""COMPUTED_VALUE"""),44419.6875)</f>
        <v>44419.6875</v>
      </c>
      <c r="L156" s="2">
        <f>IFERROR(__xludf.DUMMYFUNCTION("""COMPUTED_VALUE"""),46.49)</f>
        <v>46.49</v>
      </c>
      <c r="N156" s="3">
        <f>IFERROR(__xludf.DUMMYFUNCTION("""COMPUTED_VALUE"""),44420.66666666667)</f>
        <v>44420.66667</v>
      </c>
      <c r="O156" s="2">
        <f>IFERROR(__xludf.DUMMYFUNCTION("""COMPUTED_VALUE"""),25.67)</f>
        <v>25.67</v>
      </c>
      <c r="Q156" s="3">
        <f>IFERROR(__xludf.DUMMYFUNCTION("""COMPUTED_VALUE"""),44420.66666666667)</f>
        <v>44420.66667</v>
      </c>
      <c r="R156" s="2">
        <f>IFERROR(__xludf.DUMMYFUNCTION("""COMPUTED_VALUE"""),142.95)</f>
        <v>142.95</v>
      </c>
    </row>
    <row r="157">
      <c r="B157" s="3">
        <f>IFERROR(__xludf.DUMMYFUNCTION("""COMPUTED_VALUE"""),44421.66666666667)</f>
        <v>44421.66667</v>
      </c>
      <c r="C157" s="2">
        <f>IFERROR(__xludf.DUMMYFUNCTION("""COMPUTED_VALUE"""),56.47)</f>
        <v>56.47</v>
      </c>
      <c r="E157" s="3">
        <f>IFERROR(__xludf.DUMMYFUNCTION("""COMPUTED_VALUE"""),45723.66666666667)</f>
        <v>45723.66667</v>
      </c>
      <c r="F157" s="2">
        <f>IFERROR(__xludf.DUMMYFUNCTION("""COMPUTED_VALUE"""),2.35)</f>
        <v>2.35</v>
      </c>
      <c r="H157" s="3">
        <f>IFERROR(__xludf.DUMMYFUNCTION("""COMPUTED_VALUE"""),45475.66666666667)</f>
        <v>45475.66667</v>
      </c>
      <c r="I157" s="2">
        <f>IFERROR(__xludf.DUMMYFUNCTION("""COMPUTED_VALUE"""),1.18)</f>
        <v>1.18</v>
      </c>
      <c r="K157" s="3">
        <f>IFERROR(__xludf.DUMMYFUNCTION("""COMPUTED_VALUE"""),44420.6875)</f>
        <v>44420.6875</v>
      </c>
      <c r="L157" s="2">
        <f>IFERROR(__xludf.DUMMYFUNCTION("""COMPUTED_VALUE"""),46.56)</f>
        <v>46.56</v>
      </c>
      <c r="N157" s="3">
        <f>IFERROR(__xludf.DUMMYFUNCTION("""COMPUTED_VALUE"""),44421.66666666667)</f>
        <v>44421.66667</v>
      </c>
      <c r="O157" s="2">
        <f>IFERROR(__xludf.DUMMYFUNCTION("""COMPUTED_VALUE"""),25.22)</f>
        <v>25.22</v>
      </c>
      <c r="Q157" s="3">
        <f>IFERROR(__xludf.DUMMYFUNCTION("""COMPUTED_VALUE"""),44421.66666666667)</f>
        <v>44421.66667</v>
      </c>
      <c r="R157" s="2">
        <f>IFERROR(__xludf.DUMMYFUNCTION("""COMPUTED_VALUE"""),143.64)</f>
        <v>143.64</v>
      </c>
    </row>
    <row r="158">
      <c r="B158" s="3">
        <f>IFERROR(__xludf.DUMMYFUNCTION("""COMPUTED_VALUE"""),44424.66666666667)</f>
        <v>44424.66667</v>
      </c>
      <c r="C158" s="2">
        <f>IFERROR(__xludf.DUMMYFUNCTION("""COMPUTED_VALUE"""),56.28)</f>
        <v>56.28</v>
      </c>
      <c r="E158" s="3">
        <f>IFERROR(__xludf.DUMMYFUNCTION("""COMPUTED_VALUE"""),45726.66666666667)</f>
        <v>45726.66667</v>
      </c>
      <c r="F158" s="2">
        <f>IFERROR(__xludf.DUMMYFUNCTION("""COMPUTED_VALUE"""),2.31)</f>
        <v>2.31</v>
      </c>
      <c r="H158" s="3">
        <f>IFERROR(__xludf.DUMMYFUNCTION("""COMPUTED_VALUE"""),45476.54513888889)</f>
        <v>45476.54514</v>
      </c>
      <c r="I158" s="2">
        <f>IFERROR(__xludf.DUMMYFUNCTION("""COMPUTED_VALUE"""),1.25)</f>
        <v>1.25</v>
      </c>
      <c r="K158" s="3">
        <f>IFERROR(__xludf.DUMMYFUNCTION("""COMPUTED_VALUE"""),44421.6875)</f>
        <v>44421.6875</v>
      </c>
      <c r="L158" s="2">
        <f>IFERROR(__xludf.DUMMYFUNCTION("""COMPUTED_VALUE"""),46.23)</f>
        <v>46.23</v>
      </c>
      <c r="N158" s="3">
        <f>IFERROR(__xludf.DUMMYFUNCTION("""COMPUTED_VALUE"""),44424.66666666667)</f>
        <v>44424.66667</v>
      </c>
      <c r="O158" s="2">
        <f>IFERROR(__xludf.DUMMYFUNCTION("""COMPUTED_VALUE"""),24.73)</f>
        <v>24.73</v>
      </c>
      <c r="Q158" s="3">
        <f>IFERROR(__xludf.DUMMYFUNCTION("""COMPUTED_VALUE"""),44424.66666666667)</f>
        <v>44424.66667</v>
      </c>
      <c r="R158" s="2">
        <f>IFERROR(__xludf.DUMMYFUNCTION("""COMPUTED_VALUE"""),144.64)</f>
        <v>144.64</v>
      </c>
    </row>
    <row r="159">
      <c r="B159" s="3">
        <f>IFERROR(__xludf.DUMMYFUNCTION("""COMPUTED_VALUE"""),44425.66666666667)</f>
        <v>44425.66667</v>
      </c>
      <c r="C159" s="2">
        <f>IFERROR(__xludf.DUMMYFUNCTION("""COMPUTED_VALUE"""),56.01)</f>
        <v>56.01</v>
      </c>
      <c r="E159" s="3">
        <f>IFERROR(__xludf.DUMMYFUNCTION("""COMPUTED_VALUE"""),45727.66666666667)</f>
        <v>45727.66667</v>
      </c>
      <c r="F159" s="2">
        <f>IFERROR(__xludf.DUMMYFUNCTION("""COMPUTED_VALUE"""),2.25)</f>
        <v>2.25</v>
      </c>
      <c r="H159" s="3">
        <f>IFERROR(__xludf.DUMMYFUNCTION("""COMPUTED_VALUE"""),45478.66666666667)</f>
        <v>45478.66667</v>
      </c>
      <c r="I159" s="2">
        <f>IFERROR(__xludf.DUMMYFUNCTION("""COMPUTED_VALUE"""),1.32)</f>
        <v>1.32</v>
      </c>
      <c r="K159" s="3">
        <f>IFERROR(__xludf.DUMMYFUNCTION("""COMPUTED_VALUE"""),44424.6875)</f>
        <v>44424.6875</v>
      </c>
      <c r="L159" s="2">
        <f>IFERROR(__xludf.DUMMYFUNCTION("""COMPUTED_VALUE"""),45.63)</f>
        <v>45.63</v>
      </c>
      <c r="N159" s="3">
        <f>IFERROR(__xludf.DUMMYFUNCTION("""COMPUTED_VALUE"""),44425.66666666667)</f>
        <v>44425.66667</v>
      </c>
      <c r="O159" s="2">
        <f>IFERROR(__xludf.DUMMYFUNCTION("""COMPUTED_VALUE"""),24.77)</f>
        <v>24.77</v>
      </c>
      <c r="Q159" s="3">
        <f>IFERROR(__xludf.DUMMYFUNCTION("""COMPUTED_VALUE"""),44425.66666666667)</f>
        <v>44425.66667</v>
      </c>
      <c r="R159" s="2">
        <f>IFERROR(__xludf.DUMMYFUNCTION("""COMPUTED_VALUE"""),144.88)</f>
        <v>144.88</v>
      </c>
    </row>
    <row r="160">
      <c r="B160" s="3">
        <f>IFERROR(__xludf.DUMMYFUNCTION("""COMPUTED_VALUE"""),44426.66666666667)</f>
        <v>44426.66667</v>
      </c>
      <c r="C160" s="2">
        <f>IFERROR(__xludf.DUMMYFUNCTION("""COMPUTED_VALUE"""),55.15)</f>
        <v>55.15</v>
      </c>
      <c r="E160" s="3">
        <f>IFERROR(__xludf.DUMMYFUNCTION("""COMPUTED_VALUE"""),45728.66666666667)</f>
        <v>45728.66667</v>
      </c>
      <c r="F160" s="2">
        <f>IFERROR(__xludf.DUMMYFUNCTION("""COMPUTED_VALUE"""),2.23)</f>
        <v>2.23</v>
      </c>
      <c r="H160" s="3">
        <f>IFERROR(__xludf.DUMMYFUNCTION("""COMPUTED_VALUE"""),45481.66666666667)</f>
        <v>45481.66667</v>
      </c>
      <c r="I160" s="2">
        <f>IFERROR(__xludf.DUMMYFUNCTION("""COMPUTED_VALUE"""),1.28)</f>
        <v>1.28</v>
      </c>
      <c r="K160" s="3">
        <f>IFERROR(__xludf.DUMMYFUNCTION("""COMPUTED_VALUE"""),44425.6875)</f>
        <v>44425.6875</v>
      </c>
      <c r="L160" s="2">
        <f>IFERROR(__xludf.DUMMYFUNCTION("""COMPUTED_VALUE"""),44.99)</f>
        <v>44.99</v>
      </c>
      <c r="N160" s="3">
        <f>IFERROR(__xludf.DUMMYFUNCTION("""COMPUTED_VALUE"""),44426.66666666667)</f>
        <v>44426.66667</v>
      </c>
      <c r="O160" s="2">
        <f>IFERROR(__xludf.DUMMYFUNCTION("""COMPUTED_VALUE"""),24.35)</f>
        <v>24.35</v>
      </c>
      <c r="Q160" s="3">
        <f>IFERROR(__xludf.DUMMYFUNCTION("""COMPUTED_VALUE"""),44426.66666666667)</f>
        <v>44426.66667</v>
      </c>
      <c r="R160" s="2">
        <f>IFERROR(__xludf.DUMMYFUNCTION("""COMPUTED_VALUE"""),143.3)</f>
        <v>143.3</v>
      </c>
    </row>
    <row r="161">
      <c r="B161" s="3">
        <f>IFERROR(__xludf.DUMMYFUNCTION("""COMPUTED_VALUE"""),44427.66666666667)</f>
        <v>44427.66667</v>
      </c>
      <c r="C161" s="2">
        <f>IFERROR(__xludf.DUMMYFUNCTION("""COMPUTED_VALUE"""),57.27)</f>
        <v>57.27</v>
      </c>
      <c r="E161" s="3">
        <f>IFERROR(__xludf.DUMMYFUNCTION("""COMPUTED_VALUE"""),45729.66666666667)</f>
        <v>45729.66667</v>
      </c>
      <c r="F161" s="2">
        <f>IFERROR(__xludf.DUMMYFUNCTION("""COMPUTED_VALUE"""),2.18)</f>
        <v>2.18</v>
      </c>
      <c r="H161" s="3">
        <f>IFERROR(__xludf.DUMMYFUNCTION("""COMPUTED_VALUE"""),45482.66666666667)</f>
        <v>45482.66667</v>
      </c>
      <c r="I161" s="2">
        <f>IFERROR(__xludf.DUMMYFUNCTION("""COMPUTED_VALUE"""),1.29)</f>
        <v>1.29</v>
      </c>
      <c r="K161" s="3">
        <f>IFERROR(__xludf.DUMMYFUNCTION("""COMPUTED_VALUE"""),44426.6875)</f>
        <v>44426.6875</v>
      </c>
      <c r="L161" s="2">
        <f>IFERROR(__xludf.DUMMYFUNCTION("""COMPUTED_VALUE"""),44.67)</f>
        <v>44.67</v>
      </c>
      <c r="N161" s="3">
        <f>IFERROR(__xludf.DUMMYFUNCTION("""COMPUTED_VALUE"""),44427.66666666667)</f>
        <v>44427.66667</v>
      </c>
      <c r="O161" s="2">
        <f>IFERROR(__xludf.DUMMYFUNCTION("""COMPUTED_VALUE"""),23.56)</f>
        <v>23.56</v>
      </c>
      <c r="Q161" s="3">
        <f>IFERROR(__xludf.DUMMYFUNCTION("""COMPUTED_VALUE"""),44427.66666666667)</f>
        <v>44427.66667</v>
      </c>
      <c r="R161" s="2">
        <f>IFERROR(__xludf.DUMMYFUNCTION("""COMPUTED_VALUE"""),144.99)</f>
        <v>144.99</v>
      </c>
    </row>
    <row r="162">
      <c r="B162" s="3">
        <f>IFERROR(__xludf.DUMMYFUNCTION("""COMPUTED_VALUE"""),44428.66666666667)</f>
        <v>44428.66667</v>
      </c>
      <c r="C162" s="2">
        <f>IFERROR(__xludf.DUMMYFUNCTION("""COMPUTED_VALUE"""),58.22)</f>
        <v>58.22</v>
      </c>
      <c r="E162" s="3">
        <f>IFERROR(__xludf.DUMMYFUNCTION("""COMPUTED_VALUE"""),45730.66666666667)</f>
        <v>45730.66667</v>
      </c>
      <c r="F162" s="2">
        <f>IFERROR(__xludf.DUMMYFUNCTION("""COMPUTED_VALUE"""),2.24)</f>
        <v>2.24</v>
      </c>
      <c r="H162" s="3">
        <f>IFERROR(__xludf.DUMMYFUNCTION("""COMPUTED_VALUE"""),45483.66666666667)</f>
        <v>45483.66667</v>
      </c>
      <c r="I162" s="2">
        <f>IFERROR(__xludf.DUMMYFUNCTION("""COMPUTED_VALUE"""),1.2)</f>
        <v>1.2</v>
      </c>
      <c r="K162" s="3">
        <f>IFERROR(__xludf.DUMMYFUNCTION("""COMPUTED_VALUE"""),44427.6875)</f>
        <v>44427.6875</v>
      </c>
      <c r="L162" s="2">
        <f>IFERROR(__xludf.DUMMYFUNCTION("""COMPUTED_VALUE"""),43.83)</f>
        <v>43.83</v>
      </c>
      <c r="N162" s="3">
        <f>IFERROR(__xludf.DUMMYFUNCTION("""COMPUTED_VALUE"""),44428.66666666667)</f>
        <v>44428.66667</v>
      </c>
      <c r="O162" s="2">
        <f>IFERROR(__xludf.DUMMYFUNCTION("""COMPUTED_VALUE"""),23.64)</f>
        <v>23.64</v>
      </c>
      <c r="Q162" s="3">
        <f>IFERROR(__xludf.DUMMYFUNCTION("""COMPUTED_VALUE"""),44428.66666666667)</f>
        <v>44428.66667</v>
      </c>
      <c r="R162" s="2">
        <f>IFERROR(__xludf.DUMMYFUNCTION("""COMPUTED_VALUE"""),145.09)</f>
        <v>145.09</v>
      </c>
    </row>
    <row r="163">
      <c r="B163" s="3">
        <f>IFERROR(__xludf.DUMMYFUNCTION("""COMPUTED_VALUE"""),44431.66666666667)</f>
        <v>44431.66667</v>
      </c>
      <c r="C163" s="2">
        <f>IFERROR(__xludf.DUMMYFUNCTION("""COMPUTED_VALUE"""),58.54)</f>
        <v>58.54</v>
      </c>
      <c r="E163" s="3">
        <f>IFERROR(__xludf.DUMMYFUNCTION("""COMPUTED_VALUE"""),45733.66666666667)</f>
        <v>45733.66667</v>
      </c>
      <c r="F163" s="2">
        <f>IFERROR(__xludf.DUMMYFUNCTION("""COMPUTED_VALUE"""),2.29)</f>
        <v>2.29</v>
      </c>
      <c r="H163" s="3">
        <f>IFERROR(__xludf.DUMMYFUNCTION("""COMPUTED_VALUE"""),45484.66666666667)</f>
        <v>45484.66667</v>
      </c>
      <c r="I163" s="2">
        <f>IFERROR(__xludf.DUMMYFUNCTION("""COMPUTED_VALUE"""),1.17)</f>
        <v>1.17</v>
      </c>
      <c r="K163" s="3">
        <f>IFERROR(__xludf.DUMMYFUNCTION("""COMPUTED_VALUE"""),44428.6875)</f>
        <v>44428.6875</v>
      </c>
      <c r="L163" s="2">
        <f>IFERROR(__xludf.DUMMYFUNCTION("""COMPUTED_VALUE"""),43.99)</f>
        <v>43.99</v>
      </c>
      <c r="N163" s="3">
        <f>IFERROR(__xludf.DUMMYFUNCTION("""COMPUTED_VALUE"""),44431.66666666667)</f>
        <v>44431.66667</v>
      </c>
      <c r="O163" s="2">
        <f>IFERROR(__xludf.DUMMYFUNCTION("""COMPUTED_VALUE"""),24.39)</f>
        <v>24.39</v>
      </c>
      <c r="Q163" s="3">
        <f>IFERROR(__xludf.DUMMYFUNCTION("""COMPUTED_VALUE"""),44431.66666666667)</f>
        <v>44431.66667</v>
      </c>
      <c r="R163" s="2">
        <f>IFERROR(__xludf.DUMMYFUNCTION("""COMPUTED_VALUE"""),144.35)</f>
        <v>144.35</v>
      </c>
    </row>
    <row r="164">
      <c r="B164" s="3">
        <f>IFERROR(__xludf.DUMMYFUNCTION("""COMPUTED_VALUE"""),44432.66666666667)</f>
        <v>44432.66667</v>
      </c>
      <c r="C164" s="2">
        <f>IFERROR(__xludf.DUMMYFUNCTION("""COMPUTED_VALUE"""),59.32)</f>
        <v>59.32</v>
      </c>
      <c r="E164" s="3">
        <f>IFERROR(__xludf.DUMMYFUNCTION("""COMPUTED_VALUE"""),45734.66666666667)</f>
        <v>45734.66667</v>
      </c>
      <c r="F164" s="2">
        <f>IFERROR(__xludf.DUMMYFUNCTION("""COMPUTED_VALUE"""),2.3)</f>
        <v>2.3</v>
      </c>
      <c r="H164" s="3">
        <f>IFERROR(__xludf.DUMMYFUNCTION("""COMPUTED_VALUE"""),45485.66666666667)</f>
        <v>45485.66667</v>
      </c>
      <c r="I164" s="2">
        <f>IFERROR(__xludf.DUMMYFUNCTION("""COMPUTED_VALUE"""),1.15)</f>
        <v>1.15</v>
      </c>
      <c r="K164" s="3">
        <f>IFERROR(__xludf.DUMMYFUNCTION("""COMPUTED_VALUE"""),44431.6875)</f>
        <v>44431.6875</v>
      </c>
      <c r="L164" s="2">
        <f>IFERROR(__xludf.DUMMYFUNCTION("""COMPUTED_VALUE"""),43.96)</f>
        <v>43.96</v>
      </c>
      <c r="N164" s="3">
        <f>IFERROR(__xludf.DUMMYFUNCTION("""COMPUTED_VALUE"""),44432.66666666667)</f>
        <v>44432.66667</v>
      </c>
      <c r="O164" s="2">
        <f>IFERROR(__xludf.DUMMYFUNCTION("""COMPUTED_VALUE"""),24.65)</f>
        <v>24.65</v>
      </c>
      <c r="Q164" s="3">
        <f>IFERROR(__xludf.DUMMYFUNCTION("""COMPUTED_VALUE"""),44432.66666666667)</f>
        <v>44432.66667</v>
      </c>
      <c r="R164" s="2">
        <f>IFERROR(__xludf.DUMMYFUNCTION("""COMPUTED_VALUE"""),143.18)</f>
        <v>143.18</v>
      </c>
    </row>
    <row r="165">
      <c r="B165" s="3">
        <f>IFERROR(__xludf.DUMMYFUNCTION("""COMPUTED_VALUE"""),44433.66666666667)</f>
        <v>44433.66667</v>
      </c>
      <c r="C165" s="2">
        <f>IFERROR(__xludf.DUMMYFUNCTION("""COMPUTED_VALUE"""),59.35)</f>
        <v>59.35</v>
      </c>
      <c r="E165" s="3">
        <f>IFERROR(__xludf.DUMMYFUNCTION("""COMPUTED_VALUE"""),45735.66666666667)</f>
        <v>45735.66667</v>
      </c>
      <c r="F165" s="2">
        <f>IFERROR(__xludf.DUMMYFUNCTION("""COMPUTED_VALUE"""),2.36)</f>
        <v>2.36</v>
      </c>
      <c r="H165" s="3">
        <f>IFERROR(__xludf.DUMMYFUNCTION("""COMPUTED_VALUE"""),45488.66666666667)</f>
        <v>45488.66667</v>
      </c>
      <c r="I165" s="2">
        <f>IFERROR(__xludf.DUMMYFUNCTION("""COMPUTED_VALUE"""),1.14)</f>
        <v>1.14</v>
      </c>
      <c r="K165" s="3">
        <f>IFERROR(__xludf.DUMMYFUNCTION("""COMPUTED_VALUE"""),44432.6875)</f>
        <v>44432.6875</v>
      </c>
      <c r="L165" s="2">
        <f>IFERROR(__xludf.DUMMYFUNCTION("""COMPUTED_VALUE"""),43.76)</f>
        <v>43.76</v>
      </c>
      <c r="N165" s="3">
        <f>IFERROR(__xludf.DUMMYFUNCTION("""COMPUTED_VALUE"""),44433.66666666667)</f>
        <v>44433.66667</v>
      </c>
      <c r="O165" s="2">
        <f>IFERROR(__xludf.DUMMYFUNCTION("""COMPUTED_VALUE"""),24.63)</f>
        <v>24.63</v>
      </c>
      <c r="Q165" s="3">
        <f>IFERROR(__xludf.DUMMYFUNCTION("""COMPUTED_VALUE"""),44433.66666666667)</f>
        <v>44433.66667</v>
      </c>
      <c r="R165" s="2">
        <f>IFERROR(__xludf.DUMMYFUNCTION("""COMPUTED_VALUE"""),142.67)</f>
        <v>142.67</v>
      </c>
    </row>
    <row r="166">
      <c r="B166" s="3">
        <f>IFERROR(__xludf.DUMMYFUNCTION("""COMPUTED_VALUE"""),44434.66666666667)</f>
        <v>44434.66667</v>
      </c>
      <c r="C166" s="2">
        <f>IFERROR(__xludf.DUMMYFUNCTION("""COMPUTED_VALUE"""),59.2)</f>
        <v>59.2</v>
      </c>
      <c r="E166" s="3">
        <f>IFERROR(__xludf.DUMMYFUNCTION("""COMPUTED_VALUE"""),45736.66666666667)</f>
        <v>45736.66667</v>
      </c>
      <c r="F166" s="2">
        <f>IFERROR(__xludf.DUMMYFUNCTION("""COMPUTED_VALUE"""),2.48)</f>
        <v>2.48</v>
      </c>
      <c r="H166" s="3">
        <f>IFERROR(__xludf.DUMMYFUNCTION("""COMPUTED_VALUE"""),45489.66666666667)</f>
        <v>45489.66667</v>
      </c>
      <c r="I166" s="2">
        <f>IFERROR(__xludf.DUMMYFUNCTION("""COMPUTED_VALUE"""),1.19)</f>
        <v>1.19</v>
      </c>
      <c r="K166" s="3">
        <f>IFERROR(__xludf.DUMMYFUNCTION("""COMPUTED_VALUE"""),44433.6875)</f>
        <v>44433.6875</v>
      </c>
      <c r="L166" s="2">
        <f>IFERROR(__xludf.DUMMYFUNCTION("""COMPUTED_VALUE"""),44.52)</f>
        <v>44.52</v>
      </c>
      <c r="N166" s="3">
        <f>IFERROR(__xludf.DUMMYFUNCTION("""COMPUTED_VALUE"""),44434.66666666667)</f>
        <v>44434.66667</v>
      </c>
      <c r="O166" s="2">
        <f>IFERROR(__xludf.DUMMYFUNCTION("""COMPUTED_VALUE"""),24.3)</f>
        <v>24.3</v>
      </c>
      <c r="Q166" s="3">
        <f>IFERROR(__xludf.DUMMYFUNCTION("""COMPUTED_VALUE"""),44434.66666666667)</f>
        <v>44434.66667</v>
      </c>
      <c r="R166" s="2">
        <f>IFERROR(__xludf.DUMMYFUNCTION("""COMPUTED_VALUE"""),142.42)</f>
        <v>142.42</v>
      </c>
    </row>
    <row r="167">
      <c r="B167" s="3">
        <f>IFERROR(__xludf.DUMMYFUNCTION("""COMPUTED_VALUE"""),44435.66666666667)</f>
        <v>44435.66667</v>
      </c>
      <c r="C167" s="2">
        <f>IFERROR(__xludf.DUMMYFUNCTION("""COMPUTED_VALUE"""),59.02)</f>
        <v>59.02</v>
      </c>
      <c r="E167" s="3">
        <f>IFERROR(__xludf.DUMMYFUNCTION("""COMPUTED_VALUE"""),45737.66666666667)</f>
        <v>45737.66667</v>
      </c>
      <c r="F167" s="2">
        <f>IFERROR(__xludf.DUMMYFUNCTION("""COMPUTED_VALUE"""),2.48)</f>
        <v>2.48</v>
      </c>
      <c r="H167" s="3">
        <f>IFERROR(__xludf.DUMMYFUNCTION("""COMPUTED_VALUE"""),45490.66666666667)</f>
        <v>45490.66667</v>
      </c>
      <c r="I167" s="2">
        <f>IFERROR(__xludf.DUMMYFUNCTION("""COMPUTED_VALUE"""),1.28)</f>
        <v>1.28</v>
      </c>
      <c r="K167" s="3">
        <f>IFERROR(__xludf.DUMMYFUNCTION("""COMPUTED_VALUE"""),44434.6875)</f>
        <v>44434.6875</v>
      </c>
      <c r="L167" s="2">
        <f>IFERROR(__xludf.DUMMYFUNCTION("""COMPUTED_VALUE"""),44.23)</f>
        <v>44.23</v>
      </c>
      <c r="N167" s="3">
        <f>IFERROR(__xludf.DUMMYFUNCTION("""COMPUTED_VALUE"""),44435.66666666667)</f>
        <v>44435.66667</v>
      </c>
      <c r="O167" s="2">
        <f>IFERROR(__xludf.DUMMYFUNCTION("""COMPUTED_VALUE"""),24.94)</f>
        <v>24.94</v>
      </c>
      <c r="Q167" s="3">
        <f>IFERROR(__xludf.DUMMYFUNCTION("""COMPUTED_VALUE"""),44435.66666666667)</f>
        <v>44435.66667</v>
      </c>
      <c r="R167" s="2">
        <f>IFERROR(__xludf.DUMMYFUNCTION("""COMPUTED_VALUE"""),142.31)</f>
        <v>142.31</v>
      </c>
    </row>
    <row r="168">
      <c r="B168" s="3">
        <f>IFERROR(__xludf.DUMMYFUNCTION("""COMPUTED_VALUE"""),44438.66666666667)</f>
        <v>44438.66667</v>
      </c>
      <c r="C168" s="2">
        <f>IFERROR(__xludf.DUMMYFUNCTION("""COMPUTED_VALUE"""),59.13)</f>
        <v>59.13</v>
      </c>
      <c r="E168" s="3">
        <f>IFERROR(__xludf.DUMMYFUNCTION("""COMPUTED_VALUE"""),45740.66666666667)</f>
        <v>45740.66667</v>
      </c>
      <c r="F168" s="2">
        <f>IFERROR(__xludf.DUMMYFUNCTION("""COMPUTED_VALUE"""),2.37)</f>
        <v>2.37</v>
      </c>
      <c r="H168" s="3">
        <f>IFERROR(__xludf.DUMMYFUNCTION("""COMPUTED_VALUE"""),45491.66666666667)</f>
        <v>45491.66667</v>
      </c>
      <c r="I168" s="2">
        <f>IFERROR(__xludf.DUMMYFUNCTION("""COMPUTED_VALUE"""),1.2)</f>
        <v>1.2</v>
      </c>
      <c r="K168" s="3">
        <f>IFERROR(__xludf.DUMMYFUNCTION("""COMPUTED_VALUE"""),44435.6875)</f>
        <v>44435.6875</v>
      </c>
      <c r="L168" s="2">
        <f>IFERROR(__xludf.DUMMYFUNCTION("""COMPUTED_VALUE"""),44.09)</f>
        <v>44.09</v>
      </c>
      <c r="N168" s="3">
        <f>IFERROR(__xludf.DUMMYFUNCTION("""COMPUTED_VALUE"""),44438.66666666667)</f>
        <v>44438.66667</v>
      </c>
      <c r="O168" s="2">
        <f>IFERROR(__xludf.DUMMYFUNCTION("""COMPUTED_VALUE"""),24.7)</f>
        <v>24.7</v>
      </c>
      <c r="Q168" s="3">
        <f>IFERROR(__xludf.DUMMYFUNCTION("""COMPUTED_VALUE"""),44438.66666666667)</f>
        <v>44438.66667</v>
      </c>
      <c r="R168" s="2">
        <f>IFERROR(__xludf.DUMMYFUNCTION("""COMPUTED_VALUE"""),142.93)</f>
        <v>142.93</v>
      </c>
    </row>
    <row r="169">
      <c r="B169" s="3">
        <f>IFERROR(__xludf.DUMMYFUNCTION("""COMPUTED_VALUE"""),44439.66666666667)</f>
        <v>44439.66667</v>
      </c>
      <c r="C169" s="2">
        <f>IFERROR(__xludf.DUMMYFUNCTION("""COMPUTED_VALUE"""),59.02)</f>
        <v>59.02</v>
      </c>
      <c r="E169" s="3">
        <f>IFERROR(__xludf.DUMMYFUNCTION("""COMPUTED_VALUE"""),45741.66666666667)</f>
        <v>45741.66667</v>
      </c>
      <c r="F169" s="2">
        <f>IFERROR(__xludf.DUMMYFUNCTION("""COMPUTED_VALUE"""),2.38)</f>
        <v>2.38</v>
      </c>
      <c r="H169" s="3">
        <f>IFERROR(__xludf.DUMMYFUNCTION("""COMPUTED_VALUE"""),45492.66666666667)</f>
        <v>45492.66667</v>
      </c>
      <c r="I169" s="2">
        <f>IFERROR(__xludf.DUMMYFUNCTION("""COMPUTED_VALUE"""),1.47)</f>
        <v>1.47</v>
      </c>
      <c r="K169" s="3">
        <f>IFERROR(__xludf.DUMMYFUNCTION("""COMPUTED_VALUE"""),44439.6875)</f>
        <v>44439.6875</v>
      </c>
      <c r="L169" s="2">
        <f>IFERROR(__xludf.DUMMYFUNCTION("""COMPUTED_VALUE"""),43.78)</f>
        <v>43.78</v>
      </c>
      <c r="N169" s="3">
        <f>IFERROR(__xludf.DUMMYFUNCTION("""COMPUTED_VALUE"""),44439.66666666667)</f>
        <v>44439.66667</v>
      </c>
      <c r="O169" s="2">
        <f>IFERROR(__xludf.DUMMYFUNCTION("""COMPUTED_VALUE"""),24.46)</f>
        <v>24.46</v>
      </c>
      <c r="Q169" s="3">
        <f>IFERROR(__xludf.DUMMYFUNCTION("""COMPUTED_VALUE"""),44439.66666666667)</f>
        <v>44439.66667</v>
      </c>
      <c r="R169" s="2">
        <f>IFERROR(__xludf.DUMMYFUNCTION("""COMPUTED_VALUE"""),142.39)</f>
        <v>142.39</v>
      </c>
    </row>
    <row r="170">
      <c r="B170" s="3">
        <f>IFERROR(__xludf.DUMMYFUNCTION("""COMPUTED_VALUE"""),44440.66666666667)</f>
        <v>44440.66667</v>
      </c>
      <c r="C170" s="2">
        <f>IFERROR(__xludf.DUMMYFUNCTION("""COMPUTED_VALUE"""),59.04)</f>
        <v>59.04</v>
      </c>
      <c r="E170" s="3">
        <f>IFERROR(__xludf.DUMMYFUNCTION("""COMPUTED_VALUE"""),45742.66666666667)</f>
        <v>45742.66667</v>
      </c>
      <c r="F170" s="2">
        <f>IFERROR(__xludf.DUMMYFUNCTION("""COMPUTED_VALUE"""),2.32)</f>
        <v>2.32</v>
      </c>
      <c r="H170" s="3">
        <f>IFERROR(__xludf.DUMMYFUNCTION("""COMPUTED_VALUE"""),45495.66666666667)</f>
        <v>45495.66667</v>
      </c>
      <c r="I170" s="2">
        <f>IFERROR(__xludf.DUMMYFUNCTION("""COMPUTED_VALUE"""),1.37)</f>
        <v>1.37</v>
      </c>
      <c r="K170" s="3">
        <f>IFERROR(__xludf.DUMMYFUNCTION("""COMPUTED_VALUE"""),44440.6875)</f>
        <v>44440.6875</v>
      </c>
      <c r="L170" s="2">
        <f>IFERROR(__xludf.DUMMYFUNCTION("""COMPUTED_VALUE"""),44.02)</f>
        <v>44.02</v>
      </c>
      <c r="N170" s="3">
        <f>IFERROR(__xludf.DUMMYFUNCTION("""COMPUTED_VALUE"""),44440.66666666667)</f>
        <v>44440.66667</v>
      </c>
      <c r="O170" s="2">
        <f>IFERROR(__xludf.DUMMYFUNCTION("""COMPUTED_VALUE"""),24.31)</f>
        <v>24.31</v>
      </c>
      <c r="Q170" s="3">
        <f>IFERROR(__xludf.DUMMYFUNCTION("""COMPUTED_VALUE"""),44440.66666666667)</f>
        <v>44440.66667</v>
      </c>
      <c r="R170" s="2">
        <f>IFERROR(__xludf.DUMMYFUNCTION("""COMPUTED_VALUE"""),143.84)</f>
        <v>143.84</v>
      </c>
    </row>
    <row r="171">
      <c r="B171" s="3">
        <f>IFERROR(__xludf.DUMMYFUNCTION("""COMPUTED_VALUE"""),44441.66666666667)</f>
        <v>44441.66667</v>
      </c>
      <c r="C171" s="2">
        <f>IFERROR(__xludf.DUMMYFUNCTION("""COMPUTED_VALUE"""),59.53)</f>
        <v>59.53</v>
      </c>
      <c r="E171" s="3">
        <f>IFERROR(__xludf.DUMMYFUNCTION("""COMPUTED_VALUE"""),45743.66666666667)</f>
        <v>45743.66667</v>
      </c>
      <c r="F171" s="2">
        <f>IFERROR(__xludf.DUMMYFUNCTION("""COMPUTED_VALUE"""),2.29)</f>
        <v>2.29</v>
      </c>
      <c r="H171" s="3">
        <f>IFERROR(__xludf.DUMMYFUNCTION("""COMPUTED_VALUE"""),45496.66666666667)</f>
        <v>45496.66667</v>
      </c>
      <c r="I171" s="2">
        <f>IFERROR(__xludf.DUMMYFUNCTION("""COMPUTED_VALUE"""),1.17)</f>
        <v>1.17</v>
      </c>
      <c r="K171" s="3">
        <f>IFERROR(__xludf.DUMMYFUNCTION("""COMPUTED_VALUE"""),44441.6875)</f>
        <v>44441.6875</v>
      </c>
      <c r="L171" s="2">
        <f>IFERROR(__xludf.DUMMYFUNCTION("""COMPUTED_VALUE"""),43.63)</f>
        <v>43.63</v>
      </c>
      <c r="N171" s="3">
        <f>IFERROR(__xludf.DUMMYFUNCTION("""COMPUTED_VALUE"""),44441.66666666667)</f>
        <v>44441.66667</v>
      </c>
      <c r="O171" s="2">
        <f>IFERROR(__xludf.DUMMYFUNCTION("""COMPUTED_VALUE"""),24.84)</f>
        <v>24.84</v>
      </c>
      <c r="Q171" s="3">
        <f>IFERROR(__xludf.DUMMYFUNCTION("""COMPUTED_VALUE"""),44441.66666666667)</f>
        <v>44441.66667</v>
      </c>
      <c r="R171" s="2">
        <f>IFERROR(__xludf.DUMMYFUNCTION("""COMPUTED_VALUE"""),143.95)</f>
        <v>143.95</v>
      </c>
    </row>
    <row r="172">
      <c r="B172" s="3">
        <f>IFERROR(__xludf.DUMMYFUNCTION("""COMPUTED_VALUE"""),44442.66666666667)</f>
        <v>44442.66667</v>
      </c>
      <c r="C172" s="2">
        <f>IFERROR(__xludf.DUMMYFUNCTION("""COMPUTED_VALUE"""),59.42)</f>
        <v>59.42</v>
      </c>
      <c r="E172" s="3">
        <f>IFERROR(__xludf.DUMMYFUNCTION("""COMPUTED_VALUE"""),45744.66666666667)</f>
        <v>45744.66667</v>
      </c>
      <c r="F172" s="2">
        <f>IFERROR(__xludf.DUMMYFUNCTION("""COMPUTED_VALUE"""),2.29)</f>
        <v>2.29</v>
      </c>
      <c r="H172" s="3">
        <f>IFERROR(__xludf.DUMMYFUNCTION("""COMPUTED_VALUE"""),45497.66666666667)</f>
        <v>45497.66667</v>
      </c>
      <c r="I172" s="2">
        <f>IFERROR(__xludf.DUMMYFUNCTION("""COMPUTED_VALUE"""),1.14)</f>
        <v>1.14</v>
      </c>
      <c r="K172" s="3">
        <f>IFERROR(__xludf.DUMMYFUNCTION("""COMPUTED_VALUE"""),44442.6875)</f>
        <v>44442.6875</v>
      </c>
      <c r="L172" s="2">
        <f>IFERROR(__xludf.DUMMYFUNCTION("""COMPUTED_VALUE"""),43.41)</f>
        <v>43.41</v>
      </c>
      <c r="N172" s="3">
        <f>IFERROR(__xludf.DUMMYFUNCTION("""COMPUTED_VALUE"""),44442.66666666667)</f>
        <v>44442.66667</v>
      </c>
      <c r="O172" s="2">
        <f>IFERROR(__xludf.DUMMYFUNCTION("""COMPUTED_VALUE"""),24.78)</f>
        <v>24.78</v>
      </c>
      <c r="Q172" s="3">
        <f>IFERROR(__xludf.DUMMYFUNCTION("""COMPUTED_VALUE"""),44442.66666666667)</f>
        <v>44442.66667</v>
      </c>
      <c r="R172" s="2">
        <f>IFERROR(__xludf.DUMMYFUNCTION("""COMPUTED_VALUE"""),144.05)</f>
        <v>144.05</v>
      </c>
    </row>
    <row r="173">
      <c r="B173" s="3">
        <f>IFERROR(__xludf.DUMMYFUNCTION("""COMPUTED_VALUE"""),44446.66666666667)</f>
        <v>44446.66667</v>
      </c>
      <c r="C173" s="2">
        <f>IFERROR(__xludf.DUMMYFUNCTION("""COMPUTED_VALUE"""),58.88)</f>
        <v>58.88</v>
      </c>
      <c r="E173" s="3">
        <f>IFERROR(__xludf.DUMMYFUNCTION("""COMPUTED_VALUE"""),45747.66666666667)</f>
        <v>45747.66667</v>
      </c>
      <c r="F173" s="2">
        <f>IFERROR(__xludf.DUMMYFUNCTION("""COMPUTED_VALUE"""),2.09)</f>
        <v>2.09</v>
      </c>
      <c r="H173" s="3">
        <f>IFERROR(__xludf.DUMMYFUNCTION("""COMPUTED_VALUE"""),45498.66666666667)</f>
        <v>45498.66667</v>
      </c>
      <c r="I173" s="2">
        <f>IFERROR(__xludf.DUMMYFUNCTION("""COMPUTED_VALUE"""),1.13)</f>
        <v>1.13</v>
      </c>
      <c r="K173" s="3">
        <f>IFERROR(__xludf.DUMMYFUNCTION("""COMPUTED_VALUE"""),44445.6875)</f>
        <v>44445.6875</v>
      </c>
      <c r="L173" s="2">
        <f>IFERROR(__xludf.DUMMYFUNCTION("""COMPUTED_VALUE"""),43.78)</f>
        <v>43.78</v>
      </c>
      <c r="N173" s="3">
        <f>IFERROR(__xludf.DUMMYFUNCTION("""COMPUTED_VALUE"""),44446.66666666667)</f>
        <v>44446.66667</v>
      </c>
      <c r="O173" s="2">
        <f>IFERROR(__xludf.DUMMYFUNCTION("""COMPUTED_VALUE"""),24.59)</f>
        <v>24.59</v>
      </c>
      <c r="Q173" s="3">
        <f>IFERROR(__xludf.DUMMYFUNCTION("""COMPUTED_VALUE"""),44446.66666666667)</f>
        <v>44446.66667</v>
      </c>
      <c r="R173" s="2">
        <f>IFERROR(__xludf.DUMMYFUNCTION("""COMPUTED_VALUE"""),143.51)</f>
        <v>143.51</v>
      </c>
    </row>
    <row r="174">
      <c r="B174" s="3">
        <f>IFERROR(__xludf.DUMMYFUNCTION("""COMPUTED_VALUE"""),44447.66666666667)</f>
        <v>44447.66667</v>
      </c>
      <c r="C174" s="2">
        <f>IFERROR(__xludf.DUMMYFUNCTION("""COMPUTED_VALUE"""),58.68)</f>
        <v>58.68</v>
      </c>
      <c r="E174" s="3">
        <f>IFERROR(__xludf.DUMMYFUNCTION("""COMPUTED_VALUE"""),45748.66666666667)</f>
        <v>45748.66667</v>
      </c>
      <c r="F174" s="2">
        <f>IFERROR(__xludf.DUMMYFUNCTION("""COMPUTED_VALUE"""),2.23)</f>
        <v>2.23</v>
      </c>
      <c r="H174" s="3">
        <f>IFERROR(__xludf.DUMMYFUNCTION("""COMPUTED_VALUE"""),45499.66666666667)</f>
        <v>45499.66667</v>
      </c>
      <c r="I174" s="2">
        <f>IFERROR(__xludf.DUMMYFUNCTION("""COMPUTED_VALUE"""),1.25)</f>
        <v>1.25</v>
      </c>
      <c r="K174" s="3">
        <f>IFERROR(__xludf.DUMMYFUNCTION("""COMPUTED_VALUE"""),44446.6875)</f>
        <v>44446.6875</v>
      </c>
      <c r="L174" s="2">
        <f>IFERROR(__xludf.DUMMYFUNCTION("""COMPUTED_VALUE"""),43.25)</f>
        <v>43.25</v>
      </c>
      <c r="N174" s="3">
        <f>IFERROR(__xludf.DUMMYFUNCTION("""COMPUTED_VALUE"""),44447.66666666667)</f>
        <v>44447.66667</v>
      </c>
      <c r="O174" s="2">
        <f>IFERROR(__xludf.DUMMYFUNCTION("""COMPUTED_VALUE"""),24.42)</f>
        <v>24.42</v>
      </c>
      <c r="Q174" s="3">
        <f>IFERROR(__xludf.DUMMYFUNCTION("""COMPUTED_VALUE"""),44447.66666666667)</f>
        <v>44447.66667</v>
      </c>
      <c r="R174" s="2">
        <f>IFERROR(__xludf.DUMMYFUNCTION("""COMPUTED_VALUE"""),144.6)</f>
        <v>144.6</v>
      </c>
    </row>
    <row r="175">
      <c r="B175" s="3">
        <f>IFERROR(__xludf.DUMMYFUNCTION("""COMPUTED_VALUE"""),44448.66666666667)</f>
        <v>44448.66667</v>
      </c>
      <c r="C175" s="2">
        <f>IFERROR(__xludf.DUMMYFUNCTION("""COMPUTED_VALUE"""),58.6)</f>
        <v>58.6</v>
      </c>
      <c r="E175" s="3">
        <f>IFERROR(__xludf.DUMMYFUNCTION("""COMPUTED_VALUE"""),45749.66666666667)</f>
        <v>45749.66667</v>
      </c>
      <c r="F175" s="2">
        <f>IFERROR(__xludf.DUMMYFUNCTION("""COMPUTED_VALUE"""),2.19)</f>
        <v>2.19</v>
      </c>
      <c r="H175" s="3">
        <f>IFERROR(__xludf.DUMMYFUNCTION("""COMPUTED_VALUE"""),45502.66666666667)</f>
        <v>45502.66667</v>
      </c>
      <c r="I175" s="2">
        <f>IFERROR(__xludf.DUMMYFUNCTION("""COMPUTED_VALUE"""),1.58)</f>
        <v>1.58</v>
      </c>
      <c r="K175" s="3">
        <f>IFERROR(__xludf.DUMMYFUNCTION("""COMPUTED_VALUE"""),44447.6875)</f>
        <v>44447.6875</v>
      </c>
      <c r="L175" s="2">
        <f>IFERROR(__xludf.DUMMYFUNCTION("""COMPUTED_VALUE"""),42.41)</f>
        <v>42.41</v>
      </c>
      <c r="N175" s="3">
        <f>IFERROR(__xludf.DUMMYFUNCTION("""COMPUTED_VALUE"""),44448.66666666667)</f>
        <v>44448.66667</v>
      </c>
      <c r="O175" s="2">
        <f>IFERROR(__xludf.DUMMYFUNCTION("""COMPUTED_VALUE"""),24.31)</f>
        <v>24.31</v>
      </c>
      <c r="Q175" s="3">
        <f>IFERROR(__xludf.DUMMYFUNCTION("""COMPUTED_VALUE"""),44448.66666666667)</f>
        <v>44448.66667</v>
      </c>
      <c r="R175" s="2">
        <f>IFERROR(__xludf.DUMMYFUNCTION("""COMPUTED_VALUE"""),143.99)</f>
        <v>143.99</v>
      </c>
    </row>
    <row r="176">
      <c r="B176" s="3">
        <f>IFERROR(__xludf.DUMMYFUNCTION("""COMPUTED_VALUE"""),44449.66666666667)</f>
        <v>44449.66667</v>
      </c>
      <c r="C176" s="2">
        <f>IFERROR(__xludf.DUMMYFUNCTION("""COMPUTED_VALUE"""),57.89)</f>
        <v>57.89</v>
      </c>
      <c r="E176" s="3">
        <f>IFERROR(__xludf.DUMMYFUNCTION("""COMPUTED_VALUE"""),45750.66666666667)</f>
        <v>45750.66667</v>
      </c>
      <c r="F176" s="2">
        <f>IFERROR(__xludf.DUMMYFUNCTION("""COMPUTED_VALUE"""),2.13)</f>
        <v>2.13</v>
      </c>
      <c r="H176" s="3">
        <f>IFERROR(__xludf.DUMMYFUNCTION("""COMPUTED_VALUE"""),45503.66666666667)</f>
        <v>45503.66667</v>
      </c>
      <c r="I176" s="2">
        <f>IFERROR(__xludf.DUMMYFUNCTION("""COMPUTED_VALUE"""),1.52)</f>
        <v>1.52</v>
      </c>
      <c r="K176" s="3">
        <f>IFERROR(__xludf.DUMMYFUNCTION("""COMPUTED_VALUE"""),44448.6875)</f>
        <v>44448.6875</v>
      </c>
      <c r="L176" s="2">
        <f>IFERROR(__xludf.DUMMYFUNCTION("""COMPUTED_VALUE"""),42.51)</f>
        <v>42.51</v>
      </c>
      <c r="N176" s="3">
        <f>IFERROR(__xludf.DUMMYFUNCTION("""COMPUTED_VALUE"""),44449.66666666667)</f>
        <v>44449.66667</v>
      </c>
      <c r="O176" s="2">
        <f>IFERROR(__xludf.DUMMYFUNCTION("""COMPUTED_VALUE"""),24.5)</f>
        <v>24.5</v>
      </c>
      <c r="Q176" s="3">
        <f>IFERROR(__xludf.DUMMYFUNCTION("""COMPUTED_VALUE"""),44449.66666666667)</f>
        <v>44449.66667</v>
      </c>
      <c r="R176" s="2">
        <f>IFERROR(__xludf.DUMMYFUNCTION("""COMPUTED_VALUE"""),144.13)</f>
        <v>144.13</v>
      </c>
    </row>
    <row r="177">
      <c r="B177" s="3">
        <f>IFERROR(__xludf.DUMMYFUNCTION("""COMPUTED_VALUE"""),44452.66666666667)</f>
        <v>44452.66667</v>
      </c>
      <c r="C177" s="2">
        <f>IFERROR(__xludf.DUMMYFUNCTION("""COMPUTED_VALUE"""),58.1)</f>
        <v>58.1</v>
      </c>
      <c r="E177" s="3">
        <f>IFERROR(__xludf.DUMMYFUNCTION("""COMPUTED_VALUE"""),45751.66666666667)</f>
        <v>45751.66667</v>
      </c>
      <c r="F177" s="2">
        <f>IFERROR(__xludf.DUMMYFUNCTION("""COMPUTED_VALUE"""),1.88)</f>
        <v>1.88</v>
      </c>
      <c r="H177" s="3">
        <f>IFERROR(__xludf.DUMMYFUNCTION("""COMPUTED_VALUE"""),45504.66666666667)</f>
        <v>45504.66667</v>
      </c>
      <c r="I177" s="2">
        <f>IFERROR(__xludf.DUMMYFUNCTION("""COMPUTED_VALUE"""),1.49)</f>
        <v>1.49</v>
      </c>
      <c r="K177" s="3">
        <f>IFERROR(__xludf.DUMMYFUNCTION("""COMPUTED_VALUE"""),44449.6875)</f>
        <v>44449.6875</v>
      </c>
      <c r="L177" s="2">
        <f>IFERROR(__xludf.DUMMYFUNCTION("""COMPUTED_VALUE"""),42.57)</f>
        <v>42.57</v>
      </c>
      <c r="N177" s="3">
        <f>IFERROR(__xludf.DUMMYFUNCTION("""COMPUTED_VALUE"""),44452.66666666667)</f>
        <v>44452.66667</v>
      </c>
      <c r="O177" s="2">
        <f>IFERROR(__xludf.DUMMYFUNCTION("""COMPUTED_VALUE"""),25.04)</f>
        <v>25.04</v>
      </c>
      <c r="Q177" s="3">
        <f>IFERROR(__xludf.DUMMYFUNCTION("""COMPUTED_VALUE"""),44452.66666666667)</f>
        <v>44452.66667</v>
      </c>
      <c r="R177" s="2">
        <f>IFERROR(__xludf.DUMMYFUNCTION("""COMPUTED_VALUE"""),145.68)</f>
        <v>145.68</v>
      </c>
    </row>
    <row r="178">
      <c r="B178" s="3">
        <f>IFERROR(__xludf.DUMMYFUNCTION("""COMPUTED_VALUE"""),44453.66666666667)</f>
        <v>44453.66667</v>
      </c>
      <c r="C178" s="2">
        <f>IFERROR(__xludf.DUMMYFUNCTION("""COMPUTED_VALUE"""),57.87)</f>
        <v>57.87</v>
      </c>
      <c r="E178" s="3">
        <f>IFERROR(__xludf.DUMMYFUNCTION("""COMPUTED_VALUE"""),45754.66666666667)</f>
        <v>45754.66667</v>
      </c>
      <c r="F178" s="2">
        <f>IFERROR(__xludf.DUMMYFUNCTION("""COMPUTED_VALUE"""),1.8)</f>
        <v>1.8</v>
      </c>
      <c r="H178" s="3">
        <f>IFERROR(__xludf.DUMMYFUNCTION("""COMPUTED_VALUE"""),45505.66666666667)</f>
        <v>45505.66667</v>
      </c>
      <c r="I178" s="2">
        <f>IFERROR(__xludf.DUMMYFUNCTION("""COMPUTED_VALUE"""),1.38)</f>
        <v>1.38</v>
      </c>
      <c r="K178" s="3">
        <f>IFERROR(__xludf.DUMMYFUNCTION("""COMPUTED_VALUE"""),44452.6875)</f>
        <v>44452.6875</v>
      </c>
      <c r="L178" s="2">
        <f>IFERROR(__xludf.DUMMYFUNCTION("""COMPUTED_VALUE"""),43.77)</f>
        <v>43.77</v>
      </c>
      <c r="N178" s="3">
        <f>IFERROR(__xludf.DUMMYFUNCTION("""COMPUTED_VALUE"""),44453.66666666667)</f>
        <v>44453.66667</v>
      </c>
      <c r="O178" s="2">
        <f>IFERROR(__xludf.DUMMYFUNCTION("""COMPUTED_VALUE"""),24.65)</f>
        <v>24.65</v>
      </c>
      <c r="Q178" s="3">
        <f>IFERROR(__xludf.DUMMYFUNCTION("""COMPUTED_VALUE"""),44453.66666666667)</f>
        <v>44453.66667</v>
      </c>
      <c r="R178" s="2">
        <f>IFERROR(__xludf.DUMMYFUNCTION("""COMPUTED_VALUE"""),145.43)</f>
        <v>145.43</v>
      </c>
    </row>
    <row r="179">
      <c r="B179" s="3">
        <f>IFERROR(__xludf.DUMMYFUNCTION("""COMPUTED_VALUE"""),44454.66666666667)</f>
        <v>44454.66667</v>
      </c>
      <c r="C179" s="2">
        <f>IFERROR(__xludf.DUMMYFUNCTION("""COMPUTED_VALUE"""),57.56)</f>
        <v>57.56</v>
      </c>
      <c r="E179" s="3">
        <f>IFERROR(__xludf.DUMMYFUNCTION("""COMPUTED_VALUE"""),45755.66666666667)</f>
        <v>45755.66667</v>
      </c>
      <c r="F179" s="2">
        <f>IFERROR(__xludf.DUMMYFUNCTION("""COMPUTED_VALUE"""),1.83)</f>
        <v>1.83</v>
      </c>
      <c r="H179" s="3">
        <f>IFERROR(__xludf.DUMMYFUNCTION("""COMPUTED_VALUE"""),45506.66666666667)</f>
        <v>45506.66667</v>
      </c>
      <c r="I179" s="2">
        <f>IFERROR(__xludf.DUMMYFUNCTION("""COMPUTED_VALUE"""),1.46)</f>
        <v>1.46</v>
      </c>
      <c r="K179" s="3">
        <f>IFERROR(__xludf.DUMMYFUNCTION("""COMPUTED_VALUE"""),44453.6875)</f>
        <v>44453.6875</v>
      </c>
      <c r="L179" s="2">
        <f>IFERROR(__xludf.DUMMYFUNCTION("""COMPUTED_VALUE"""),43.56)</f>
        <v>43.56</v>
      </c>
      <c r="N179" s="3">
        <f>IFERROR(__xludf.DUMMYFUNCTION("""COMPUTED_VALUE"""),44454.66666666667)</f>
        <v>44454.66667</v>
      </c>
      <c r="O179" s="2">
        <f>IFERROR(__xludf.DUMMYFUNCTION("""COMPUTED_VALUE"""),25.77)</f>
        <v>25.77</v>
      </c>
      <c r="Q179" s="3">
        <f>IFERROR(__xludf.DUMMYFUNCTION("""COMPUTED_VALUE"""),44454.66666666667)</f>
        <v>44454.66667</v>
      </c>
      <c r="R179" s="2">
        <f>IFERROR(__xludf.DUMMYFUNCTION("""COMPUTED_VALUE"""),145.12)</f>
        <v>145.12</v>
      </c>
    </row>
    <row r="180">
      <c r="B180" s="3">
        <f>IFERROR(__xludf.DUMMYFUNCTION("""COMPUTED_VALUE"""),44455.66666666667)</f>
        <v>44455.66667</v>
      </c>
      <c r="C180" s="2">
        <f>IFERROR(__xludf.DUMMYFUNCTION("""COMPUTED_VALUE"""),57.33)</f>
        <v>57.33</v>
      </c>
      <c r="E180" s="3">
        <f>IFERROR(__xludf.DUMMYFUNCTION("""COMPUTED_VALUE"""),45756.66666666667)</f>
        <v>45756.66667</v>
      </c>
      <c r="F180" s="2">
        <f>IFERROR(__xludf.DUMMYFUNCTION("""COMPUTED_VALUE"""),1.95)</f>
        <v>1.95</v>
      </c>
      <c r="H180" s="3">
        <f>IFERROR(__xludf.DUMMYFUNCTION("""COMPUTED_VALUE"""),45509.66666666667)</f>
        <v>45509.66667</v>
      </c>
      <c r="I180" s="2">
        <f>IFERROR(__xludf.DUMMYFUNCTION("""COMPUTED_VALUE"""),1.42)</f>
        <v>1.42</v>
      </c>
      <c r="K180" s="3">
        <f>IFERROR(__xludf.DUMMYFUNCTION("""COMPUTED_VALUE"""),44454.6875)</f>
        <v>44454.6875</v>
      </c>
      <c r="L180" s="2">
        <f>IFERROR(__xludf.DUMMYFUNCTION("""COMPUTED_VALUE"""),44.14)</f>
        <v>44.14</v>
      </c>
      <c r="N180" s="3">
        <f>IFERROR(__xludf.DUMMYFUNCTION("""COMPUTED_VALUE"""),44455.66666666667)</f>
        <v>44455.66667</v>
      </c>
      <c r="O180" s="2">
        <f>IFERROR(__xludf.DUMMYFUNCTION("""COMPUTED_VALUE"""),25.34)</f>
        <v>25.34</v>
      </c>
      <c r="Q180" s="3">
        <f>IFERROR(__xludf.DUMMYFUNCTION("""COMPUTED_VALUE"""),44455.66666666667)</f>
        <v>44455.66667</v>
      </c>
      <c r="R180" s="2">
        <f>IFERROR(__xludf.DUMMYFUNCTION("""COMPUTED_VALUE"""),144.11)</f>
        <v>144.11</v>
      </c>
    </row>
    <row r="181">
      <c r="B181" s="3">
        <f>IFERROR(__xludf.DUMMYFUNCTION("""COMPUTED_VALUE"""),44456.66666666667)</f>
        <v>44456.66667</v>
      </c>
      <c r="C181" s="2">
        <f>IFERROR(__xludf.DUMMYFUNCTION("""COMPUTED_VALUE"""),56.85)</f>
        <v>56.85</v>
      </c>
      <c r="E181" s="3">
        <f>IFERROR(__xludf.DUMMYFUNCTION("""COMPUTED_VALUE"""),45757.66666666667)</f>
        <v>45757.66667</v>
      </c>
      <c r="F181" s="2">
        <f>IFERROR(__xludf.DUMMYFUNCTION("""COMPUTED_VALUE"""),2.0)</f>
        <v>2</v>
      </c>
      <c r="H181" s="3">
        <f>IFERROR(__xludf.DUMMYFUNCTION("""COMPUTED_VALUE"""),45510.66666666667)</f>
        <v>45510.66667</v>
      </c>
      <c r="I181" s="2">
        <f>IFERROR(__xludf.DUMMYFUNCTION("""COMPUTED_VALUE"""),0.37)</f>
        <v>0.37</v>
      </c>
      <c r="K181" s="3">
        <f>IFERROR(__xludf.DUMMYFUNCTION("""COMPUTED_VALUE"""),44455.6875)</f>
        <v>44455.6875</v>
      </c>
      <c r="L181" s="2">
        <f>IFERROR(__xludf.DUMMYFUNCTION("""COMPUTED_VALUE"""),44.77)</f>
        <v>44.77</v>
      </c>
      <c r="N181" s="3">
        <f>IFERROR(__xludf.DUMMYFUNCTION("""COMPUTED_VALUE"""),44456.66666666667)</f>
        <v>44456.66667</v>
      </c>
      <c r="O181" s="2">
        <f>IFERROR(__xludf.DUMMYFUNCTION("""COMPUTED_VALUE"""),25.24)</f>
        <v>25.24</v>
      </c>
      <c r="Q181" s="3">
        <f>IFERROR(__xludf.DUMMYFUNCTION("""COMPUTED_VALUE"""),44456.66666666667)</f>
        <v>44456.66667</v>
      </c>
      <c r="R181" s="2">
        <f>IFERROR(__xludf.DUMMYFUNCTION("""COMPUTED_VALUE"""),144.34)</f>
        <v>144.34</v>
      </c>
    </row>
    <row r="182">
      <c r="B182" s="3">
        <f>IFERROR(__xludf.DUMMYFUNCTION("""COMPUTED_VALUE"""),44459.66666666667)</f>
        <v>44459.66667</v>
      </c>
      <c r="C182" s="2">
        <f>IFERROR(__xludf.DUMMYFUNCTION("""COMPUTED_VALUE"""),55.89)</f>
        <v>55.89</v>
      </c>
      <c r="E182" s="3">
        <f>IFERROR(__xludf.DUMMYFUNCTION("""COMPUTED_VALUE"""),45758.66666666667)</f>
        <v>45758.66667</v>
      </c>
      <c r="F182" s="2">
        <f>IFERROR(__xludf.DUMMYFUNCTION("""COMPUTED_VALUE"""),2.2)</f>
        <v>2.2</v>
      </c>
      <c r="H182" s="3">
        <f>IFERROR(__xludf.DUMMYFUNCTION("""COMPUTED_VALUE"""),45511.66666666667)</f>
        <v>45511.66667</v>
      </c>
      <c r="I182" s="2">
        <f>IFERROR(__xludf.DUMMYFUNCTION("""COMPUTED_VALUE"""),0.62)</f>
        <v>0.62</v>
      </c>
      <c r="K182" s="3">
        <f>IFERROR(__xludf.DUMMYFUNCTION("""COMPUTED_VALUE"""),44456.6875)</f>
        <v>44456.6875</v>
      </c>
      <c r="L182" s="2">
        <f>IFERROR(__xludf.DUMMYFUNCTION("""COMPUTED_VALUE"""),45.05)</f>
        <v>45.05</v>
      </c>
      <c r="N182" s="3">
        <f>IFERROR(__xludf.DUMMYFUNCTION("""COMPUTED_VALUE"""),44459.66666666667)</f>
        <v>44459.66667</v>
      </c>
      <c r="O182" s="2">
        <f>IFERROR(__xludf.DUMMYFUNCTION("""COMPUTED_VALUE"""),24.83)</f>
        <v>24.83</v>
      </c>
      <c r="Q182" s="3">
        <f>IFERROR(__xludf.DUMMYFUNCTION("""COMPUTED_VALUE"""),44459.66666666667)</f>
        <v>44459.66667</v>
      </c>
      <c r="R182" s="2">
        <f>IFERROR(__xludf.DUMMYFUNCTION("""COMPUTED_VALUE"""),142.89)</f>
        <v>142.89</v>
      </c>
    </row>
    <row r="183">
      <c r="B183" s="3">
        <f>IFERROR(__xludf.DUMMYFUNCTION("""COMPUTED_VALUE"""),44460.66666666667)</f>
        <v>44460.66667</v>
      </c>
      <c r="C183" s="2">
        <f>IFERROR(__xludf.DUMMYFUNCTION("""COMPUTED_VALUE"""),55.26)</f>
        <v>55.26</v>
      </c>
      <c r="E183" s="3">
        <f>IFERROR(__xludf.DUMMYFUNCTION("""COMPUTED_VALUE"""),45761.66666666667)</f>
        <v>45761.66667</v>
      </c>
      <c r="F183" s="2">
        <f>IFERROR(__xludf.DUMMYFUNCTION("""COMPUTED_VALUE"""),2.5)</f>
        <v>2.5</v>
      </c>
      <c r="H183" s="3">
        <f>IFERROR(__xludf.DUMMYFUNCTION("""COMPUTED_VALUE"""),45512.66666666667)</f>
        <v>45512.66667</v>
      </c>
      <c r="I183" s="2">
        <f>IFERROR(__xludf.DUMMYFUNCTION("""COMPUTED_VALUE"""),0.58)</f>
        <v>0.58</v>
      </c>
      <c r="K183" s="3">
        <f>IFERROR(__xludf.DUMMYFUNCTION("""COMPUTED_VALUE"""),44459.6875)</f>
        <v>44459.6875</v>
      </c>
      <c r="L183" s="2">
        <f>IFERROR(__xludf.DUMMYFUNCTION("""COMPUTED_VALUE"""),43.15)</f>
        <v>43.15</v>
      </c>
      <c r="N183" s="3">
        <f>IFERROR(__xludf.DUMMYFUNCTION("""COMPUTED_VALUE"""),44460.66666666667)</f>
        <v>44460.66667</v>
      </c>
      <c r="O183" s="2">
        <f>IFERROR(__xludf.DUMMYFUNCTION("""COMPUTED_VALUE"""),25.23)</f>
        <v>25.23</v>
      </c>
      <c r="Q183" s="3">
        <f>IFERROR(__xludf.DUMMYFUNCTION("""COMPUTED_VALUE"""),44460.66666666667)</f>
        <v>44460.66667</v>
      </c>
      <c r="R183" s="2">
        <f>IFERROR(__xludf.DUMMYFUNCTION("""COMPUTED_VALUE"""),143.11)</f>
        <v>143.11</v>
      </c>
    </row>
    <row r="184">
      <c r="B184" s="3">
        <f>IFERROR(__xludf.DUMMYFUNCTION("""COMPUTED_VALUE"""),44461.66666666667)</f>
        <v>44461.66667</v>
      </c>
      <c r="C184" s="2">
        <f>IFERROR(__xludf.DUMMYFUNCTION("""COMPUTED_VALUE"""),55.52)</f>
        <v>55.52</v>
      </c>
      <c r="E184" s="3">
        <f>IFERROR(__xludf.DUMMYFUNCTION("""COMPUTED_VALUE"""),45762.66666666667)</f>
        <v>45762.66667</v>
      </c>
      <c r="F184" s="2">
        <f>IFERROR(__xludf.DUMMYFUNCTION("""COMPUTED_VALUE"""),2.5)</f>
        <v>2.5</v>
      </c>
      <c r="H184" s="3">
        <f>IFERROR(__xludf.DUMMYFUNCTION("""COMPUTED_VALUE"""),45513.66666666667)</f>
        <v>45513.66667</v>
      </c>
      <c r="I184" s="2">
        <f>IFERROR(__xludf.DUMMYFUNCTION("""COMPUTED_VALUE"""),0.54)</f>
        <v>0.54</v>
      </c>
      <c r="K184" s="3">
        <f>IFERROR(__xludf.DUMMYFUNCTION("""COMPUTED_VALUE"""),44460.6875)</f>
        <v>44460.6875</v>
      </c>
      <c r="L184" s="2">
        <f>IFERROR(__xludf.DUMMYFUNCTION("""COMPUTED_VALUE"""),42.48)</f>
        <v>42.48</v>
      </c>
      <c r="N184" s="3">
        <f>IFERROR(__xludf.DUMMYFUNCTION("""COMPUTED_VALUE"""),44461.66666666667)</f>
        <v>44461.66667</v>
      </c>
      <c r="O184" s="2">
        <f>IFERROR(__xludf.DUMMYFUNCTION("""COMPUTED_VALUE"""),25.65)</f>
        <v>25.65</v>
      </c>
      <c r="Q184" s="3">
        <f>IFERROR(__xludf.DUMMYFUNCTION("""COMPUTED_VALUE"""),44461.66666666667)</f>
        <v>44461.66667</v>
      </c>
      <c r="R184" s="2">
        <f>IFERROR(__xludf.DUMMYFUNCTION("""COMPUTED_VALUE"""),143.6)</f>
        <v>143.6</v>
      </c>
    </row>
    <row r="185">
      <c r="B185" s="3">
        <f>IFERROR(__xludf.DUMMYFUNCTION("""COMPUTED_VALUE"""),44462.66666666667)</f>
        <v>44462.66667</v>
      </c>
      <c r="C185" s="2">
        <f>IFERROR(__xludf.DUMMYFUNCTION("""COMPUTED_VALUE"""),56.69)</f>
        <v>56.69</v>
      </c>
      <c r="E185" s="3">
        <f>IFERROR(__xludf.DUMMYFUNCTION("""COMPUTED_VALUE"""),45763.66666666667)</f>
        <v>45763.66667</v>
      </c>
      <c r="F185" s="2">
        <f>IFERROR(__xludf.DUMMYFUNCTION("""COMPUTED_VALUE"""),2.59)</f>
        <v>2.59</v>
      </c>
      <c r="H185" s="3">
        <f>IFERROR(__xludf.DUMMYFUNCTION("""COMPUTED_VALUE"""),45516.66666666667)</f>
        <v>45516.66667</v>
      </c>
      <c r="I185" s="2">
        <f>IFERROR(__xludf.DUMMYFUNCTION("""COMPUTED_VALUE"""),0.49)</f>
        <v>0.49</v>
      </c>
      <c r="K185" s="3">
        <f>IFERROR(__xludf.DUMMYFUNCTION("""COMPUTED_VALUE"""),44461.6875)</f>
        <v>44461.6875</v>
      </c>
      <c r="L185" s="2">
        <f>IFERROR(__xludf.DUMMYFUNCTION("""COMPUTED_VALUE"""),43.98)</f>
        <v>43.98</v>
      </c>
      <c r="N185" s="3">
        <f>IFERROR(__xludf.DUMMYFUNCTION("""COMPUTED_VALUE"""),44462.66666666667)</f>
        <v>44462.66667</v>
      </c>
      <c r="O185" s="2">
        <f>IFERROR(__xludf.DUMMYFUNCTION("""COMPUTED_VALUE"""),26.16)</f>
        <v>26.16</v>
      </c>
      <c r="Q185" s="3">
        <f>IFERROR(__xludf.DUMMYFUNCTION("""COMPUTED_VALUE"""),44462.66666666667)</f>
        <v>44462.66667</v>
      </c>
      <c r="R185" s="2">
        <f>IFERROR(__xludf.DUMMYFUNCTION("""COMPUTED_VALUE"""),144.19)</f>
        <v>144.19</v>
      </c>
    </row>
    <row r="186">
      <c r="B186" s="3">
        <f>IFERROR(__xludf.DUMMYFUNCTION("""COMPUTED_VALUE"""),44463.66666666667)</f>
        <v>44463.66667</v>
      </c>
      <c r="C186" s="2">
        <f>IFERROR(__xludf.DUMMYFUNCTION("""COMPUTED_VALUE"""),56.73)</f>
        <v>56.73</v>
      </c>
      <c r="E186" s="3">
        <f>IFERROR(__xludf.DUMMYFUNCTION("""COMPUTED_VALUE"""),45764.66666666667)</f>
        <v>45764.66667</v>
      </c>
      <c r="F186" s="2">
        <f>IFERROR(__xludf.DUMMYFUNCTION("""COMPUTED_VALUE"""),2.58)</f>
        <v>2.58</v>
      </c>
      <c r="H186" s="3">
        <f>IFERROR(__xludf.DUMMYFUNCTION("""COMPUTED_VALUE"""),45517.66666666667)</f>
        <v>45517.66667</v>
      </c>
      <c r="I186" s="2">
        <f>IFERROR(__xludf.DUMMYFUNCTION("""COMPUTED_VALUE"""),0.47)</f>
        <v>0.47</v>
      </c>
      <c r="K186" s="3">
        <f>IFERROR(__xludf.DUMMYFUNCTION("""COMPUTED_VALUE"""),44462.6875)</f>
        <v>44462.6875</v>
      </c>
      <c r="L186" s="2">
        <f>IFERROR(__xludf.DUMMYFUNCTION("""COMPUTED_VALUE"""),45.06)</f>
        <v>45.06</v>
      </c>
      <c r="N186" s="3">
        <f>IFERROR(__xludf.DUMMYFUNCTION("""COMPUTED_VALUE"""),44463.66666666667)</f>
        <v>44463.66667</v>
      </c>
      <c r="O186" s="2">
        <f>IFERROR(__xludf.DUMMYFUNCTION("""COMPUTED_VALUE"""),26.24)</f>
        <v>26.24</v>
      </c>
      <c r="Q186" s="3">
        <f>IFERROR(__xludf.DUMMYFUNCTION("""COMPUTED_VALUE"""),44463.66666666667)</f>
        <v>44463.66667</v>
      </c>
      <c r="R186" s="2">
        <f>IFERROR(__xludf.DUMMYFUNCTION("""COMPUTED_VALUE"""),143.55)</f>
        <v>143.55</v>
      </c>
    </row>
    <row r="187">
      <c r="B187" s="3">
        <f>IFERROR(__xludf.DUMMYFUNCTION("""COMPUTED_VALUE"""),44466.66666666667)</f>
        <v>44466.66667</v>
      </c>
      <c r="C187" s="2">
        <f>IFERROR(__xludf.DUMMYFUNCTION("""COMPUTED_VALUE"""),56.22)</f>
        <v>56.22</v>
      </c>
      <c r="E187" s="3">
        <f>IFERROR(__xludf.DUMMYFUNCTION("""COMPUTED_VALUE"""),45768.66666666667)</f>
        <v>45768.66667</v>
      </c>
      <c r="F187" s="2">
        <f>IFERROR(__xludf.DUMMYFUNCTION("""COMPUTED_VALUE"""),2.67)</f>
        <v>2.67</v>
      </c>
      <c r="H187" s="3">
        <f>IFERROR(__xludf.DUMMYFUNCTION("""COMPUTED_VALUE"""),45518.66666666667)</f>
        <v>45518.66667</v>
      </c>
      <c r="I187" s="2">
        <f>IFERROR(__xludf.DUMMYFUNCTION("""COMPUTED_VALUE"""),0.48)</f>
        <v>0.48</v>
      </c>
      <c r="K187" s="3">
        <f>IFERROR(__xludf.DUMMYFUNCTION("""COMPUTED_VALUE"""),44463.6875)</f>
        <v>44463.6875</v>
      </c>
      <c r="L187" s="2">
        <f>IFERROR(__xludf.DUMMYFUNCTION("""COMPUTED_VALUE"""),45.43)</f>
        <v>45.43</v>
      </c>
      <c r="N187" s="3">
        <f>IFERROR(__xludf.DUMMYFUNCTION("""COMPUTED_VALUE"""),44466.66666666667)</f>
        <v>44466.66667</v>
      </c>
      <c r="O187" s="2">
        <f>IFERROR(__xludf.DUMMYFUNCTION("""COMPUTED_VALUE"""),27.08)</f>
        <v>27.08</v>
      </c>
      <c r="Q187" s="3">
        <f>IFERROR(__xludf.DUMMYFUNCTION("""COMPUTED_VALUE"""),44466.66666666667)</f>
        <v>44466.66667</v>
      </c>
      <c r="R187" s="2">
        <f>IFERROR(__xludf.DUMMYFUNCTION("""COMPUTED_VALUE"""),141.66)</f>
        <v>141.66</v>
      </c>
    </row>
    <row r="188">
      <c r="B188" s="3">
        <f>IFERROR(__xludf.DUMMYFUNCTION("""COMPUTED_VALUE"""),44467.66666666667)</f>
        <v>44467.66667</v>
      </c>
      <c r="C188" s="2">
        <f>IFERROR(__xludf.DUMMYFUNCTION("""COMPUTED_VALUE"""),55.52)</f>
        <v>55.52</v>
      </c>
      <c r="E188" s="3">
        <f>IFERROR(__xludf.DUMMYFUNCTION("""COMPUTED_VALUE"""),45769.66666666667)</f>
        <v>45769.66667</v>
      </c>
      <c r="F188" s="2">
        <f>IFERROR(__xludf.DUMMYFUNCTION("""COMPUTED_VALUE"""),2.53)</f>
        <v>2.53</v>
      </c>
      <c r="H188" s="3">
        <f>IFERROR(__xludf.DUMMYFUNCTION("""COMPUTED_VALUE"""),45519.66666666667)</f>
        <v>45519.66667</v>
      </c>
      <c r="I188" s="2">
        <f>IFERROR(__xludf.DUMMYFUNCTION("""COMPUTED_VALUE"""),0.59)</f>
        <v>0.59</v>
      </c>
      <c r="K188" s="3">
        <f>IFERROR(__xludf.DUMMYFUNCTION("""COMPUTED_VALUE"""),44466.6875)</f>
        <v>44466.6875</v>
      </c>
      <c r="L188" s="2">
        <f>IFERROR(__xludf.DUMMYFUNCTION("""COMPUTED_VALUE"""),45.84)</f>
        <v>45.84</v>
      </c>
      <c r="N188" s="3">
        <f>IFERROR(__xludf.DUMMYFUNCTION("""COMPUTED_VALUE"""),44467.66666666667)</f>
        <v>44467.66667</v>
      </c>
      <c r="O188" s="2">
        <f>IFERROR(__xludf.DUMMYFUNCTION("""COMPUTED_VALUE"""),27.24)</f>
        <v>27.24</v>
      </c>
      <c r="Q188" s="3">
        <f>IFERROR(__xludf.DUMMYFUNCTION("""COMPUTED_VALUE"""),44467.66666666667)</f>
        <v>44467.66667</v>
      </c>
      <c r="R188" s="2">
        <f>IFERROR(__xludf.DUMMYFUNCTION("""COMPUTED_VALUE"""),140.59)</f>
        <v>140.59</v>
      </c>
    </row>
    <row r="189">
      <c r="B189" s="3">
        <f>IFERROR(__xludf.DUMMYFUNCTION("""COMPUTED_VALUE"""),44468.66666666667)</f>
        <v>44468.66667</v>
      </c>
      <c r="C189" s="2">
        <f>IFERROR(__xludf.DUMMYFUNCTION("""COMPUTED_VALUE"""),55.48)</f>
        <v>55.48</v>
      </c>
      <c r="E189" s="3">
        <f>IFERROR(__xludf.DUMMYFUNCTION("""COMPUTED_VALUE"""),45770.66666666667)</f>
        <v>45770.66667</v>
      </c>
      <c r="F189" s="2">
        <f>IFERROR(__xludf.DUMMYFUNCTION("""COMPUTED_VALUE"""),2.57)</f>
        <v>2.57</v>
      </c>
      <c r="H189" s="3">
        <f>IFERROR(__xludf.DUMMYFUNCTION("""COMPUTED_VALUE"""),45520.66666666667)</f>
        <v>45520.66667</v>
      </c>
      <c r="I189" s="2">
        <f>IFERROR(__xludf.DUMMYFUNCTION("""COMPUTED_VALUE"""),0.75)</f>
        <v>0.75</v>
      </c>
      <c r="K189" s="3">
        <f>IFERROR(__xludf.DUMMYFUNCTION("""COMPUTED_VALUE"""),44467.6875)</f>
        <v>44467.6875</v>
      </c>
      <c r="L189" s="2">
        <f>IFERROR(__xludf.DUMMYFUNCTION("""COMPUTED_VALUE"""),45.5)</f>
        <v>45.5</v>
      </c>
      <c r="N189" s="3">
        <f>IFERROR(__xludf.DUMMYFUNCTION("""COMPUTED_VALUE"""),44468.66666666667)</f>
        <v>44468.66667</v>
      </c>
      <c r="O189" s="2">
        <f>IFERROR(__xludf.DUMMYFUNCTION("""COMPUTED_VALUE"""),27.11)</f>
        <v>27.11</v>
      </c>
      <c r="Q189" s="3">
        <f>IFERROR(__xludf.DUMMYFUNCTION("""COMPUTED_VALUE"""),44468.66666666667)</f>
        <v>44468.66667</v>
      </c>
      <c r="R189" s="2">
        <f>IFERROR(__xludf.DUMMYFUNCTION("""COMPUTED_VALUE"""),142.02)</f>
        <v>142.02</v>
      </c>
    </row>
    <row r="190">
      <c r="B190" s="3">
        <f>IFERROR(__xludf.DUMMYFUNCTION("""COMPUTED_VALUE"""),44469.66666666667)</f>
        <v>44469.66667</v>
      </c>
      <c r="C190" s="2">
        <f>IFERROR(__xludf.DUMMYFUNCTION("""COMPUTED_VALUE"""),54.43)</f>
        <v>54.43</v>
      </c>
      <c r="E190" s="3">
        <f>IFERROR(__xludf.DUMMYFUNCTION("""COMPUTED_VALUE"""),45771.66666666667)</f>
        <v>45771.66667</v>
      </c>
      <c r="F190" s="2">
        <f>IFERROR(__xludf.DUMMYFUNCTION("""COMPUTED_VALUE"""),2.56)</f>
        <v>2.56</v>
      </c>
      <c r="H190" s="3">
        <f>IFERROR(__xludf.DUMMYFUNCTION("""COMPUTED_VALUE"""),45523.66666666667)</f>
        <v>45523.66667</v>
      </c>
      <c r="I190" s="2">
        <f>IFERROR(__xludf.DUMMYFUNCTION("""COMPUTED_VALUE"""),0.91)</f>
        <v>0.91</v>
      </c>
      <c r="K190" s="3">
        <f>IFERROR(__xludf.DUMMYFUNCTION("""COMPUTED_VALUE"""),44468.6875)</f>
        <v>44468.6875</v>
      </c>
      <c r="L190" s="2">
        <f>IFERROR(__xludf.DUMMYFUNCTION("""COMPUTED_VALUE"""),46.44)</f>
        <v>46.44</v>
      </c>
      <c r="N190" s="3">
        <f>IFERROR(__xludf.DUMMYFUNCTION("""COMPUTED_VALUE"""),44469.66666666667)</f>
        <v>44469.66667</v>
      </c>
      <c r="O190" s="2">
        <f>IFERROR(__xludf.DUMMYFUNCTION("""COMPUTED_VALUE"""),27.33)</f>
        <v>27.33</v>
      </c>
      <c r="Q190" s="3">
        <f>IFERROR(__xludf.DUMMYFUNCTION("""COMPUTED_VALUE"""),44469.66666666667)</f>
        <v>44469.66667</v>
      </c>
      <c r="R190" s="2">
        <f>IFERROR(__xludf.DUMMYFUNCTION("""COMPUTED_VALUE"""),139.8)</f>
        <v>139.8</v>
      </c>
    </row>
    <row r="191">
      <c r="B191" s="3">
        <f>IFERROR(__xludf.DUMMYFUNCTION("""COMPUTED_VALUE"""),44470.66666666667)</f>
        <v>44470.66667</v>
      </c>
      <c r="C191" s="2">
        <f>IFERROR(__xludf.DUMMYFUNCTION("""COMPUTED_VALUE"""),55.14)</f>
        <v>55.14</v>
      </c>
      <c r="E191" s="3">
        <f>IFERROR(__xludf.DUMMYFUNCTION("""COMPUTED_VALUE"""),45772.66666666667)</f>
        <v>45772.66667</v>
      </c>
      <c r="F191" s="2">
        <f>IFERROR(__xludf.DUMMYFUNCTION("""COMPUTED_VALUE"""),2.58)</f>
        <v>2.58</v>
      </c>
      <c r="H191" s="3">
        <f>IFERROR(__xludf.DUMMYFUNCTION("""COMPUTED_VALUE"""),45524.66666666667)</f>
        <v>45524.66667</v>
      </c>
      <c r="I191" s="2">
        <f>IFERROR(__xludf.DUMMYFUNCTION("""COMPUTED_VALUE"""),1.32)</f>
        <v>1.32</v>
      </c>
      <c r="K191" s="3">
        <f>IFERROR(__xludf.DUMMYFUNCTION("""COMPUTED_VALUE"""),44469.6875)</f>
        <v>44469.6875</v>
      </c>
      <c r="L191" s="2">
        <f>IFERROR(__xludf.DUMMYFUNCTION("""COMPUTED_VALUE"""),46.57)</f>
        <v>46.57</v>
      </c>
      <c r="N191" s="3">
        <f>IFERROR(__xludf.DUMMYFUNCTION("""COMPUTED_VALUE"""),44470.66666666667)</f>
        <v>44470.66667</v>
      </c>
      <c r="O191" s="2">
        <f>IFERROR(__xludf.DUMMYFUNCTION("""COMPUTED_VALUE"""),27.6)</f>
        <v>27.6</v>
      </c>
      <c r="Q191" s="3">
        <f>IFERROR(__xludf.DUMMYFUNCTION("""COMPUTED_VALUE"""),44470.66666666667)</f>
        <v>44470.66667</v>
      </c>
      <c r="R191" s="2">
        <f>IFERROR(__xludf.DUMMYFUNCTION("""COMPUTED_VALUE"""),139.58)</f>
        <v>139.58</v>
      </c>
    </row>
    <row r="192">
      <c r="B192" s="3">
        <f>IFERROR(__xludf.DUMMYFUNCTION("""COMPUTED_VALUE"""),44473.66666666667)</f>
        <v>44473.66667</v>
      </c>
      <c r="C192" s="2">
        <f>IFERROR(__xludf.DUMMYFUNCTION("""COMPUTED_VALUE"""),54.23)</f>
        <v>54.23</v>
      </c>
      <c r="E192" s="3">
        <f>IFERROR(__xludf.DUMMYFUNCTION("""COMPUTED_VALUE"""),45775.66666666667)</f>
        <v>45775.66667</v>
      </c>
      <c r="F192" s="2">
        <f>IFERROR(__xludf.DUMMYFUNCTION("""COMPUTED_VALUE"""),2.6)</f>
        <v>2.6</v>
      </c>
      <c r="H192" s="3">
        <f>IFERROR(__xludf.DUMMYFUNCTION("""COMPUTED_VALUE"""),45525.66666666667)</f>
        <v>45525.66667</v>
      </c>
      <c r="I192" s="2">
        <f>IFERROR(__xludf.DUMMYFUNCTION("""COMPUTED_VALUE"""),1.29)</f>
        <v>1.29</v>
      </c>
      <c r="K192" s="3">
        <f>IFERROR(__xludf.DUMMYFUNCTION("""COMPUTED_VALUE"""),44470.6875)</f>
        <v>44470.6875</v>
      </c>
      <c r="L192" s="2">
        <f>IFERROR(__xludf.DUMMYFUNCTION("""COMPUTED_VALUE"""),45.24)</f>
        <v>45.24</v>
      </c>
      <c r="N192" s="3">
        <f>IFERROR(__xludf.DUMMYFUNCTION("""COMPUTED_VALUE"""),44473.66666666667)</f>
        <v>44473.66667</v>
      </c>
      <c r="O192" s="2">
        <f>IFERROR(__xludf.DUMMYFUNCTION("""COMPUTED_VALUE"""),28.01)</f>
        <v>28.01</v>
      </c>
      <c r="Q192" s="3">
        <f>IFERROR(__xludf.DUMMYFUNCTION("""COMPUTED_VALUE"""),44473.66666666667)</f>
        <v>44473.66667</v>
      </c>
      <c r="R192" s="2">
        <f>IFERROR(__xludf.DUMMYFUNCTION("""COMPUTED_VALUE"""),138.79)</f>
        <v>138.79</v>
      </c>
    </row>
    <row r="193">
      <c r="B193" s="3">
        <f>IFERROR(__xludf.DUMMYFUNCTION("""COMPUTED_VALUE"""),44474.66666666667)</f>
        <v>44474.66667</v>
      </c>
      <c r="C193" s="2">
        <f>IFERROR(__xludf.DUMMYFUNCTION("""COMPUTED_VALUE"""),54.69)</f>
        <v>54.69</v>
      </c>
      <c r="E193" s="3">
        <f>IFERROR(__xludf.DUMMYFUNCTION("""COMPUTED_VALUE"""),45776.66666666667)</f>
        <v>45776.66667</v>
      </c>
      <c r="F193" s="2">
        <f>IFERROR(__xludf.DUMMYFUNCTION("""COMPUTED_VALUE"""),2.61)</f>
        <v>2.61</v>
      </c>
      <c r="H193" s="3">
        <f>IFERROR(__xludf.DUMMYFUNCTION("""COMPUTED_VALUE"""),45526.66666666667)</f>
        <v>45526.66667</v>
      </c>
      <c r="I193" s="2">
        <f>IFERROR(__xludf.DUMMYFUNCTION("""COMPUTED_VALUE"""),1.25)</f>
        <v>1.25</v>
      </c>
      <c r="K193" s="3">
        <f>IFERROR(__xludf.DUMMYFUNCTION("""COMPUTED_VALUE"""),44473.6875)</f>
        <v>44473.6875</v>
      </c>
      <c r="L193" s="2">
        <f>IFERROR(__xludf.DUMMYFUNCTION("""COMPUTED_VALUE"""),44.8)</f>
        <v>44.8</v>
      </c>
      <c r="N193" s="3">
        <f>IFERROR(__xludf.DUMMYFUNCTION("""COMPUTED_VALUE"""),44474.66666666667)</f>
        <v>44474.66667</v>
      </c>
      <c r="O193" s="2">
        <f>IFERROR(__xludf.DUMMYFUNCTION("""COMPUTED_VALUE"""),28.42)</f>
        <v>28.42</v>
      </c>
      <c r="Q193" s="3">
        <f>IFERROR(__xludf.DUMMYFUNCTION("""COMPUTED_VALUE"""),44474.66666666667)</f>
        <v>44474.66667</v>
      </c>
      <c r="R193" s="2">
        <f>IFERROR(__xludf.DUMMYFUNCTION("""COMPUTED_VALUE"""),139.33)</f>
        <v>139.33</v>
      </c>
    </row>
    <row r="194">
      <c r="B194" s="3">
        <f>IFERROR(__xludf.DUMMYFUNCTION("""COMPUTED_VALUE"""),44475.66666666667)</f>
        <v>44475.66667</v>
      </c>
      <c r="C194" s="2">
        <f>IFERROR(__xludf.DUMMYFUNCTION("""COMPUTED_VALUE"""),53.94)</f>
        <v>53.94</v>
      </c>
      <c r="E194" s="3">
        <f>IFERROR(__xludf.DUMMYFUNCTION("""COMPUTED_VALUE"""),45777.66666666667)</f>
        <v>45777.66667</v>
      </c>
      <c r="F194" s="2">
        <f>IFERROR(__xludf.DUMMYFUNCTION("""COMPUTED_VALUE"""),2.55)</f>
        <v>2.55</v>
      </c>
      <c r="H194" s="3">
        <f>IFERROR(__xludf.DUMMYFUNCTION("""COMPUTED_VALUE"""),45527.66666666667)</f>
        <v>45527.66667</v>
      </c>
      <c r="I194" s="2">
        <f>IFERROR(__xludf.DUMMYFUNCTION("""COMPUTED_VALUE"""),1.38)</f>
        <v>1.38</v>
      </c>
      <c r="K194" s="3">
        <f>IFERROR(__xludf.DUMMYFUNCTION("""COMPUTED_VALUE"""),44474.6875)</f>
        <v>44474.6875</v>
      </c>
      <c r="L194" s="2">
        <f>IFERROR(__xludf.DUMMYFUNCTION("""COMPUTED_VALUE"""),46.52)</f>
        <v>46.52</v>
      </c>
      <c r="N194" s="3">
        <f>IFERROR(__xludf.DUMMYFUNCTION("""COMPUTED_VALUE"""),44475.66666666667)</f>
        <v>44475.66667</v>
      </c>
      <c r="O194" s="2">
        <f>IFERROR(__xludf.DUMMYFUNCTION("""COMPUTED_VALUE"""),28.11)</f>
        <v>28.11</v>
      </c>
      <c r="Q194" s="3">
        <f>IFERROR(__xludf.DUMMYFUNCTION("""COMPUTED_VALUE"""),44475.66666666667)</f>
        <v>44475.66667</v>
      </c>
      <c r="R194" s="2">
        <f>IFERROR(__xludf.DUMMYFUNCTION("""COMPUTED_VALUE"""),141.19)</f>
        <v>141.19</v>
      </c>
    </row>
    <row r="195">
      <c r="B195" s="3">
        <f>IFERROR(__xludf.DUMMYFUNCTION("""COMPUTED_VALUE"""),44476.66666666667)</f>
        <v>44476.66667</v>
      </c>
      <c r="C195" s="2">
        <f>IFERROR(__xludf.DUMMYFUNCTION("""COMPUTED_VALUE"""),55.02)</f>
        <v>55.02</v>
      </c>
      <c r="E195" s="3">
        <f>IFERROR(__xludf.DUMMYFUNCTION("""COMPUTED_VALUE"""),45778.66666666667)</f>
        <v>45778.66667</v>
      </c>
      <c r="F195" s="2">
        <f>IFERROR(__xludf.DUMMYFUNCTION("""COMPUTED_VALUE"""),2.65)</f>
        <v>2.65</v>
      </c>
      <c r="H195" s="3">
        <f>IFERROR(__xludf.DUMMYFUNCTION("""COMPUTED_VALUE"""),45530.66666666667)</f>
        <v>45530.66667</v>
      </c>
      <c r="I195" s="2">
        <f>IFERROR(__xludf.DUMMYFUNCTION("""COMPUTED_VALUE"""),1.64)</f>
        <v>1.64</v>
      </c>
      <c r="K195" s="3">
        <f>IFERROR(__xludf.DUMMYFUNCTION("""COMPUTED_VALUE"""),44475.6875)</f>
        <v>44475.6875</v>
      </c>
      <c r="L195" s="2">
        <f>IFERROR(__xludf.DUMMYFUNCTION("""COMPUTED_VALUE"""),46.05)</f>
        <v>46.05</v>
      </c>
      <c r="N195" s="3">
        <f>IFERROR(__xludf.DUMMYFUNCTION("""COMPUTED_VALUE"""),44476.66666666667)</f>
        <v>44476.66667</v>
      </c>
      <c r="O195" s="2">
        <f>IFERROR(__xludf.DUMMYFUNCTION("""COMPUTED_VALUE"""),28.23)</f>
        <v>28.23</v>
      </c>
      <c r="Q195" s="3">
        <f>IFERROR(__xludf.DUMMYFUNCTION("""COMPUTED_VALUE"""),44476.66666666667)</f>
        <v>44476.66667</v>
      </c>
      <c r="R195" s="2">
        <f>IFERROR(__xludf.DUMMYFUNCTION("""COMPUTED_VALUE"""),142.32)</f>
        <v>142.32</v>
      </c>
    </row>
    <row r="196">
      <c r="B196" s="3">
        <f>IFERROR(__xludf.DUMMYFUNCTION("""COMPUTED_VALUE"""),44477.66666666667)</f>
        <v>44477.66667</v>
      </c>
      <c r="C196" s="2">
        <f>IFERROR(__xludf.DUMMYFUNCTION("""COMPUTED_VALUE"""),55.08)</f>
        <v>55.08</v>
      </c>
      <c r="E196" s="3">
        <f>IFERROR(__xludf.DUMMYFUNCTION("""COMPUTED_VALUE"""),45779.66666666667)</f>
        <v>45779.66667</v>
      </c>
      <c r="F196" s="2">
        <f>IFERROR(__xludf.DUMMYFUNCTION("""COMPUTED_VALUE"""),2.59)</f>
        <v>2.59</v>
      </c>
      <c r="H196" s="3">
        <f>IFERROR(__xludf.DUMMYFUNCTION("""COMPUTED_VALUE"""),45531.66666666667)</f>
        <v>45531.66667</v>
      </c>
      <c r="I196" s="2">
        <f>IFERROR(__xludf.DUMMYFUNCTION("""COMPUTED_VALUE"""),1.58)</f>
        <v>1.58</v>
      </c>
      <c r="K196" s="3">
        <f>IFERROR(__xludf.DUMMYFUNCTION("""COMPUTED_VALUE"""),44476.6875)</f>
        <v>44476.6875</v>
      </c>
      <c r="L196" s="2">
        <f>IFERROR(__xludf.DUMMYFUNCTION("""COMPUTED_VALUE"""),46.5)</f>
        <v>46.5</v>
      </c>
      <c r="N196" s="3">
        <f>IFERROR(__xludf.DUMMYFUNCTION("""COMPUTED_VALUE"""),44477.66666666667)</f>
        <v>44477.66667</v>
      </c>
      <c r="O196" s="2">
        <f>IFERROR(__xludf.DUMMYFUNCTION("""COMPUTED_VALUE"""),28.87)</f>
        <v>28.87</v>
      </c>
      <c r="Q196" s="3">
        <f>IFERROR(__xludf.DUMMYFUNCTION("""COMPUTED_VALUE"""),44477.66666666667)</f>
        <v>44477.66667</v>
      </c>
      <c r="R196" s="2">
        <f>IFERROR(__xludf.DUMMYFUNCTION("""COMPUTED_VALUE"""),141.73)</f>
        <v>141.73</v>
      </c>
    </row>
    <row r="197">
      <c r="B197" s="3">
        <f>IFERROR(__xludf.DUMMYFUNCTION("""COMPUTED_VALUE"""),44480.66666666667)</f>
        <v>44480.66667</v>
      </c>
      <c r="C197" s="2">
        <f>IFERROR(__xludf.DUMMYFUNCTION("""COMPUTED_VALUE"""),54.93)</f>
        <v>54.93</v>
      </c>
      <c r="E197" s="3">
        <f>IFERROR(__xludf.DUMMYFUNCTION("""COMPUTED_VALUE"""),45782.66666666667)</f>
        <v>45782.66667</v>
      </c>
      <c r="F197" s="2">
        <f>IFERROR(__xludf.DUMMYFUNCTION("""COMPUTED_VALUE"""),2.55)</f>
        <v>2.55</v>
      </c>
      <c r="H197" s="3">
        <f>IFERROR(__xludf.DUMMYFUNCTION("""COMPUTED_VALUE"""),45532.66666666667)</f>
        <v>45532.66667</v>
      </c>
      <c r="I197" s="2">
        <f>IFERROR(__xludf.DUMMYFUNCTION("""COMPUTED_VALUE"""),1.45)</f>
        <v>1.45</v>
      </c>
      <c r="K197" s="3">
        <f>IFERROR(__xludf.DUMMYFUNCTION("""COMPUTED_VALUE"""),44477.6875)</f>
        <v>44477.6875</v>
      </c>
      <c r="L197" s="2">
        <f>IFERROR(__xludf.DUMMYFUNCTION("""COMPUTED_VALUE"""),46.86)</f>
        <v>46.86</v>
      </c>
      <c r="N197" s="3">
        <f>IFERROR(__xludf.DUMMYFUNCTION("""COMPUTED_VALUE"""),44480.66666666667)</f>
        <v>44480.66667</v>
      </c>
      <c r="O197" s="2">
        <f>IFERROR(__xludf.DUMMYFUNCTION("""COMPUTED_VALUE"""),29.1)</f>
        <v>29.1</v>
      </c>
      <c r="Q197" s="3">
        <f>IFERROR(__xludf.DUMMYFUNCTION("""COMPUTED_VALUE"""),44480.66666666667)</f>
        <v>44480.66667</v>
      </c>
      <c r="R197" s="2">
        <f>IFERROR(__xludf.DUMMYFUNCTION("""COMPUTED_VALUE"""),142.32)</f>
        <v>142.32</v>
      </c>
    </row>
    <row r="198">
      <c r="B198" s="3">
        <f>IFERROR(__xludf.DUMMYFUNCTION("""COMPUTED_VALUE"""),44481.66666666667)</f>
        <v>44481.66667</v>
      </c>
      <c r="C198" s="2">
        <f>IFERROR(__xludf.DUMMYFUNCTION("""COMPUTED_VALUE"""),54.28)</f>
        <v>54.28</v>
      </c>
      <c r="E198" s="3">
        <f>IFERROR(__xludf.DUMMYFUNCTION("""COMPUTED_VALUE"""),45783.66666666667)</f>
        <v>45783.66667</v>
      </c>
      <c r="F198" s="2">
        <f>IFERROR(__xludf.DUMMYFUNCTION("""COMPUTED_VALUE"""),2.55)</f>
        <v>2.55</v>
      </c>
      <c r="H198" s="3">
        <f>IFERROR(__xludf.DUMMYFUNCTION("""COMPUTED_VALUE"""),45533.66666666667)</f>
        <v>45533.66667</v>
      </c>
      <c r="I198" s="2">
        <f>IFERROR(__xludf.DUMMYFUNCTION("""COMPUTED_VALUE"""),1.45)</f>
        <v>1.45</v>
      </c>
      <c r="K198" s="3">
        <f>IFERROR(__xludf.DUMMYFUNCTION("""COMPUTED_VALUE"""),44480.6875)</f>
        <v>44480.6875</v>
      </c>
      <c r="L198" s="2">
        <f>IFERROR(__xludf.DUMMYFUNCTION("""COMPUTED_VALUE"""),47.93)</f>
        <v>47.93</v>
      </c>
      <c r="N198" s="3">
        <f>IFERROR(__xludf.DUMMYFUNCTION("""COMPUTED_VALUE"""),44481.66666666667)</f>
        <v>44481.66667</v>
      </c>
      <c r="O198" s="2">
        <f>IFERROR(__xludf.DUMMYFUNCTION("""COMPUTED_VALUE"""),29.1)</f>
        <v>29.1</v>
      </c>
      <c r="Q198" s="3">
        <f>IFERROR(__xludf.DUMMYFUNCTION("""COMPUTED_VALUE"""),44481.66666666667)</f>
        <v>44481.66667</v>
      </c>
      <c r="R198" s="2">
        <f>IFERROR(__xludf.DUMMYFUNCTION("""COMPUTED_VALUE"""),142.11)</f>
        <v>142.11</v>
      </c>
    </row>
    <row r="199">
      <c r="B199" s="3">
        <f>IFERROR(__xludf.DUMMYFUNCTION("""COMPUTED_VALUE"""),44482.66666666667)</f>
        <v>44482.66667</v>
      </c>
      <c r="C199" s="2">
        <f>IFERROR(__xludf.DUMMYFUNCTION("""COMPUTED_VALUE"""),54.62)</f>
        <v>54.62</v>
      </c>
      <c r="E199" s="3">
        <f>IFERROR(__xludf.DUMMYFUNCTION("""COMPUTED_VALUE"""),45784.66666666667)</f>
        <v>45784.66667</v>
      </c>
      <c r="F199" s="2">
        <f>IFERROR(__xludf.DUMMYFUNCTION("""COMPUTED_VALUE"""),2.57)</f>
        <v>2.57</v>
      </c>
      <c r="H199" s="3">
        <f>IFERROR(__xludf.DUMMYFUNCTION("""COMPUTED_VALUE"""),45534.66666666667)</f>
        <v>45534.66667</v>
      </c>
      <c r="I199" s="2">
        <f>IFERROR(__xludf.DUMMYFUNCTION("""COMPUTED_VALUE"""),1.25)</f>
        <v>1.25</v>
      </c>
      <c r="K199" s="3">
        <f>IFERROR(__xludf.DUMMYFUNCTION("""COMPUTED_VALUE"""),44481.6875)</f>
        <v>44481.6875</v>
      </c>
      <c r="L199" s="2">
        <f>IFERROR(__xludf.DUMMYFUNCTION("""COMPUTED_VALUE"""),48.53)</f>
        <v>48.53</v>
      </c>
      <c r="N199" s="3">
        <f>IFERROR(__xludf.DUMMYFUNCTION("""COMPUTED_VALUE"""),44482.66666666667)</f>
        <v>44482.66667</v>
      </c>
      <c r="O199" s="2">
        <f>IFERROR(__xludf.DUMMYFUNCTION("""COMPUTED_VALUE"""),29.19)</f>
        <v>29.19</v>
      </c>
      <c r="Q199" s="3">
        <f>IFERROR(__xludf.DUMMYFUNCTION("""COMPUTED_VALUE"""),44482.66666666667)</f>
        <v>44482.66667</v>
      </c>
      <c r="R199" s="2">
        <f>IFERROR(__xludf.DUMMYFUNCTION("""COMPUTED_VALUE"""),142.44)</f>
        <v>142.44</v>
      </c>
    </row>
    <row r="200">
      <c r="B200" s="3">
        <f>IFERROR(__xludf.DUMMYFUNCTION("""COMPUTED_VALUE"""),44483.66666666667)</f>
        <v>44483.66667</v>
      </c>
      <c r="C200" s="2">
        <f>IFERROR(__xludf.DUMMYFUNCTION("""COMPUTED_VALUE"""),55.65)</f>
        <v>55.65</v>
      </c>
      <c r="E200" s="3">
        <f>IFERROR(__xludf.DUMMYFUNCTION("""COMPUTED_VALUE"""),45785.66666666667)</f>
        <v>45785.66667</v>
      </c>
      <c r="F200" s="2">
        <f>IFERROR(__xludf.DUMMYFUNCTION("""COMPUTED_VALUE"""),2.36)</f>
        <v>2.36</v>
      </c>
      <c r="H200" s="3">
        <f>IFERROR(__xludf.DUMMYFUNCTION("""COMPUTED_VALUE"""),45538.66666666667)</f>
        <v>45538.66667</v>
      </c>
      <c r="I200" s="2">
        <f>IFERROR(__xludf.DUMMYFUNCTION("""COMPUTED_VALUE"""),1.27)</f>
        <v>1.27</v>
      </c>
      <c r="K200" s="3">
        <f>IFERROR(__xludf.DUMMYFUNCTION("""COMPUTED_VALUE"""),44482.6875)</f>
        <v>44482.6875</v>
      </c>
      <c r="L200" s="2">
        <f>IFERROR(__xludf.DUMMYFUNCTION("""COMPUTED_VALUE"""),47.76)</f>
        <v>47.76</v>
      </c>
      <c r="N200" s="3">
        <f>IFERROR(__xludf.DUMMYFUNCTION("""COMPUTED_VALUE"""),44483.66666666667)</f>
        <v>44483.66667</v>
      </c>
      <c r="O200" s="2">
        <f>IFERROR(__xludf.DUMMYFUNCTION("""COMPUTED_VALUE"""),29.45)</f>
        <v>29.45</v>
      </c>
      <c r="Q200" s="3">
        <f>IFERROR(__xludf.DUMMYFUNCTION("""COMPUTED_VALUE"""),44483.66666666667)</f>
        <v>44483.66667</v>
      </c>
      <c r="R200" s="2">
        <f>IFERROR(__xludf.DUMMYFUNCTION("""COMPUTED_VALUE"""),144.05)</f>
        <v>144.05</v>
      </c>
    </row>
    <row r="201">
      <c r="B201" s="3">
        <f>IFERROR(__xludf.DUMMYFUNCTION("""COMPUTED_VALUE"""),44484.66666666667)</f>
        <v>44484.66667</v>
      </c>
      <c r="C201" s="2">
        <f>IFERROR(__xludf.DUMMYFUNCTION("""COMPUTED_VALUE"""),55.25)</f>
        <v>55.25</v>
      </c>
      <c r="E201" s="3">
        <f>IFERROR(__xludf.DUMMYFUNCTION("""COMPUTED_VALUE"""),45786.66666666667)</f>
        <v>45786.66667</v>
      </c>
      <c r="F201" s="2">
        <f>IFERROR(__xludf.DUMMYFUNCTION("""COMPUTED_VALUE"""),2.46)</f>
        <v>2.46</v>
      </c>
      <c r="H201" s="3">
        <f>IFERROR(__xludf.DUMMYFUNCTION("""COMPUTED_VALUE"""),45539.66666666667)</f>
        <v>45539.66667</v>
      </c>
      <c r="I201" s="2">
        <f>IFERROR(__xludf.DUMMYFUNCTION("""COMPUTED_VALUE"""),1.04)</f>
        <v>1.04</v>
      </c>
      <c r="K201" s="3">
        <f>IFERROR(__xludf.DUMMYFUNCTION("""COMPUTED_VALUE"""),44483.6875)</f>
        <v>44483.6875</v>
      </c>
      <c r="L201" s="2">
        <f>IFERROR(__xludf.DUMMYFUNCTION("""COMPUTED_VALUE"""),48.44)</f>
        <v>48.44</v>
      </c>
      <c r="N201" s="3">
        <f>IFERROR(__xludf.DUMMYFUNCTION("""COMPUTED_VALUE"""),44484.66666666667)</f>
        <v>44484.66667</v>
      </c>
      <c r="O201" s="2">
        <f>IFERROR(__xludf.DUMMYFUNCTION("""COMPUTED_VALUE"""),29.93)</f>
        <v>29.93</v>
      </c>
      <c r="Q201" s="3">
        <f>IFERROR(__xludf.DUMMYFUNCTION("""COMPUTED_VALUE"""),44484.66666666667)</f>
        <v>44484.66667</v>
      </c>
      <c r="R201" s="2">
        <f>IFERROR(__xludf.DUMMYFUNCTION("""COMPUTED_VALUE"""),144.42)</f>
        <v>144.42</v>
      </c>
    </row>
    <row r="202">
      <c r="B202" s="3">
        <f>IFERROR(__xludf.DUMMYFUNCTION("""COMPUTED_VALUE"""),44487.66666666667)</f>
        <v>44487.66667</v>
      </c>
      <c r="C202" s="2">
        <f>IFERROR(__xludf.DUMMYFUNCTION("""COMPUTED_VALUE"""),55.19)</f>
        <v>55.19</v>
      </c>
      <c r="E202" s="3">
        <f>IFERROR(__xludf.DUMMYFUNCTION("""COMPUTED_VALUE"""),45789.66666666667)</f>
        <v>45789.66667</v>
      </c>
      <c r="F202" s="2">
        <f>IFERROR(__xludf.DUMMYFUNCTION("""COMPUTED_VALUE"""),2.39)</f>
        <v>2.39</v>
      </c>
      <c r="H202" s="3">
        <f>IFERROR(__xludf.DUMMYFUNCTION("""COMPUTED_VALUE"""),45540.66666666667)</f>
        <v>45540.66667</v>
      </c>
      <c r="I202" s="2">
        <f>IFERROR(__xludf.DUMMYFUNCTION("""COMPUTED_VALUE"""),1.13)</f>
        <v>1.13</v>
      </c>
      <c r="K202" s="3">
        <f>IFERROR(__xludf.DUMMYFUNCTION("""COMPUTED_VALUE"""),44484.6875)</f>
        <v>44484.6875</v>
      </c>
      <c r="L202" s="2">
        <f>IFERROR(__xludf.DUMMYFUNCTION("""COMPUTED_VALUE"""),49.12)</f>
        <v>49.12</v>
      </c>
      <c r="N202" s="3">
        <f>IFERROR(__xludf.DUMMYFUNCTION("""COMPUTED_VALUE"""),44487.66666666667)</f>
        <v>44487.66667</v>
      </c>
      <c r="O202" s="2">
        <f>IFERROR(__xludf.DUMMYFUNCTION("""COMPUTED_VALUE"""),29.71)</f>
        <v>29.71</v>
      </c>
      <c r="Q202" s="3">
        <f>IFERROR(__xludf.DUMMYFUNCTION("""COMPUTED_VALUE"""),44487.66666666667)</f>
        <v>44487.66667</v>
      </c>
      <c r="R202" s="2">
        <f>IFERROR(__xludf.DUMMYFUNCTION("""COMPUTED_VALUE"""),142.34)</f>
        <v>142.34</v>
      </c>
    </row>
    <row r="203">
      <c r="B203" s="3">
        <f>IFERROR(__xludf.DUMMYFUNCTION("""COMPUTED_VALUE"""),44488.66666666667)</f>
        <v>44488.66667</v>
      </c>
      <c r="C203" s="2">
        <f>IFERROR(__xludf.DUMMYFUNCTION("""COMPUTED_VALUE"""),55.74)</f>
        <v>55.74</v>
      </c>
      <c r="E203" s="3">
        <f>IFERROR(__xludf.DUMMYFUNCTION("""COMPUTED_VALUE"""),45790.66666666667)</f>
        <v>45790.66667</v>
      </c>
      <c r="F203" s="2">
        <f>IFERROR(__xludf.DUMMYFUNCTION("""COMPUTED_VALUE"""),2.5)</f>
        <v>2.5</v>
      </c>
      <c r="H203" s="3">
        <f>IFERROR(__xludf.DUMMYFUNCTION("""COMPUTED_VALUE"""),45541.66666666667)</f>
        <v>45541.66667</v>
      </c>
      <c r="I203" s="2">
        <f>IFERROR(__xludf.DUMMYFUNCTION("""COMPUTED_VALUE"""),1.08)</f>
        <v>1.08</v>
      </c>
      <c r="K203" s="3">
        <f>IFERROR(__xludf.DUMMYFUNCTION("""COMPUTED_VALUE"""),44487.6875)</f>
        <v>44487.6875</v>
      </c>
      <c r="L203" s="2">
        <f>IFERROR(__xludf.DUMMYFUNCTION("""COMPUTED_VALUE"""),49.28)</f>
        <v>49.28</v>
      </c>
      <c r="N203" s="3">
        <f>IFERROR(__xludf.DUMMYFUNCTION("""COMPUTED_VALUE"""),44488.66666666667)</f>
        <v>44488.66667</v>
      </c>
      <c r="O203" s="2">
        <f>IFERROR(__xludf.DUMMYFUNCTION("""COMPUTED_VALUE"""),29.86)</f>
        <v>29.86</v>
      </c>
      <c r="Q203" s="3">
        <f>IFERROR(__xludf.DUMMYFUNCTION("""COMPUTED_VALUE"""),44488.66666666667)</f>
        <v>44488.66667</v>
      </c>
      <c r="R203" s="2">
        <f>IFERROR(__xludf.DUMMYFUNCTION("""COMPUTED_VALUE"""),140.66)</f>
        <v>140.66</v>
      </c>
    </row>
    <row r="204">
      <c r="B204" s="3">
        <f>IFERROR(__xludf.DUMMYFUNCTION("""COMPUTED_VALUE"""),44489.66666666667)</f>
        <v>44489.66667</v>
      </c>
      <c r="C204" s="2">
        <f>IFERROR(__xludf.DUMMYFUNCTION("""COMPUTED_VALUE"""),56.2)</f>
        <v>56.2</v>
      </c>
      <c r="E204" s="3">
        <f>IFERROR(__xludf.DUMMYFUNCTION("""COMPUTED_VALUE"""),45791.66666666667)</f>
        <v>45791.66667</v>
      </c>
      <c r="F204" s="2">
        <f>IFERROR(__xludf.DUMMYFUNCTION("""COMPUTED_VALUE"""),2.45)</f>
        <v>2.45</v>
      </c>
      <c r="H204" s="3">
        <f>IFERROR(__xludf.DUMMYFUNCTION("""COMPUTED_VALUE"""),45544.66666666667)</f>
        <v>45544.66667</v>
      </c>
      <c r="I204" s="2">
        <f>IFERROR(__xludf.DUMMYFUNCTION("""COMPUTED_VALUE"""),1.11)</f>
        <v>1.11</v>
      </c>
      <c r="K204" s="3">
        <f>IFERROR(__xludf.DUMMYFUNCTION("""COMPUTED_VALUE"""),44488.6875)</f>
        <v>44488.6875</v>
      </c>
      <c r="L204" s="2">
        <f>IFERROR(__xludf.DUMMYFUNCTION("""COMPUTED_VALUE"""),49.4)</f>
        <v>49.4</v>
      </c>
      <c r="N204" s="3">
        <f>IFERROR(__xludf.DUMMYFUNCTION("""COMPUTED_VALUE"""),44489.66666666667)</f>
        <v>44489.66667</v>
      </c>
      <c r="O204" s="2">
        <f>IFERROR(__xludf.DUMMYFUNCTION("""COMPUTED_VALUE"""),30.13)</f>
        <v>30.13</v>
      </c>
      <c r="Q204" s="3">
        <f>IFERROR(__xludf.DUMMYFUNCTION("""COMPUTED_VALUE"""),44489.66666666667)</f>
        <v>44489.66667</v>
      </c>
      <c r="R204" s="2">
        <f>IFERROR(__xludf.DUMMYFUNCTION("""COMPUTED_VALUE"""),141.21)</f>
        <v>141.21</v>
      </c>
    </row>
    <row r="205">
      <c r="B205" s="3">
        <f>IFERROR(__xludf.DUMMYFUNCTION("""COMPUTED_VALUE"""),44490.66666666667)</f>
        <v>44490.66667</v>
      </c>
      <c r="C205" s="2">
        <f>IFERROR(__xludf.DUMMYFUNCTION("""COMPUTED_VALUE"""),55.69)</f>
        <v>55.69</v>
      </c>
      <c r="E205" s="3">
        <f>IFERROR(__xludf.DUMMYFUNCTION("""COMPUTED_VALUE"""),45792.66666666667)</f>
        <v>45792.66667</v>
      </c>
      <c r="F205" s="2">
        <f>IFERROR(__xludf.DUMMYFUNCTION("""COMPUTED_VALUE"""),2.45)</f>
        <v>2.45</v>
      </c>
      <c r="H205" s="3">
        <f>IFERROR(__xludf.DUMMYFUNCTION("""COMPUTED_VALUE"""),45545.66666666667)</f>
        <v>45545.66667</v>
      </c>
      <c r="I205" s="2">
        <f>IFERROR(__xludf.DUMMYFUNCTION("""COMPUTED_VALUE"""),1.04)</f>
        <v>1.04</v>
      </c>
      <c r="K205" s="3">
        <f>IFERROR(__xludf.DUMMYFUNCTION("""COMPUTED_VALUE"""),44489.6875)</f>
        <v>44489.6875</v>
      </c>
      <c r="L205" s="2">
        <f>IFERROR(__xludf.DUMMYFUNCTION("""COMPUTED_VALUE"""),49.05)</f>
        <v>49.05</v>
      </c>
      <c r="N205" s="3">
        <f>IFERROR(__xludf.DUMMYFUNCTION("""COMPUTED_VALUE"""),44490.66666666667)</f>
        <v>44490.66667</v>
      </c>
      <c r="O205" s="2">
        <f>IFERROR(__xludf.DUMMYFUNCTION("""COMPUTED_VALUE"""),29.44)</f>
        <v>29.44</v>
      </c>
      <c r="Q205" s="3">
        <f>IFERROR(__xludf.DUMMYFUNCTION("""COMPUTED_VALUE"""),44490.66666666667)</f>
        <v>44490.66667</v>
      </c>
      <c r="R205" s="2">
        <f>IFERROR(__xludf.DUMMYFUNCTION("""COMPUTED_VALUE"""),139.33)</f>
        <v>139.33</v>
      </c>
    </row>
    <row r="206">
      <c r="B206" s="3">
        <f>IFERROR(__xludf.DUMMYFUNCTION("""COMPUTED_VALUE"""),44491.66666666667)</f>
        <v>44491.66667</v>
      </c>
      <c r="C206" s="2">
        <f>IFERROR(__xludf.DUMMYFUNCTION("""COMPUTED_VALUE"""),55.11)</f>
        <v>55.11</v>
      </c>
      <c r="E206" s="3">
        <f>IFERROR(__xludf.DUMMYFUNCTION("""COMPUTED_VALUE"""),45793.66666666667)</f>
        <v>45793.66667</v>
      </c>
      <c r="F206" s="2">
        <f>IFERROR(__xludf.DUMMYFUNCTION("""COMPUTED_VALUE"""),2.43)</f>
        <v>2.43</v>
      </c>
      <c r="H206" s="3">
        <f>IFERROR(__xludf.DUMMYFUNCTION("""COMPUTED_VALUE"""),45546.66666666667)</f>
        <v>45546.66667</v>
      </c>
      <c r="I206" s="2">
        <f>IFERROR(__xludf.DUMMYFUNCTION("""COMPUTED_VALUE"""),1.03)</f>
        <v>1.03</v>
      </c>
      <c r="K206" s="3">
        <f>IFERROR(__xludf.DUMMYFUNCTION("""COMPUTED_VALUE"""),44490.6875)</f>
        <v>44490.6875</v>
      </c>
      <c r="L206" s="2">
        <f>IFERROR(__xludf.DUMMYFUNCTION("""COMPUTED_VALUE"""),48.32)</f>
        <v>48.32</v>
      </c>
      <c r="N206" s="3">
        <f>IFERROR(__xludf.DUMMYFUNCTION("""COMPUTED_VALUE"""),44491.66666666667)</f>
        <v>44491.66667</v>
      </c>
      <c r="O206" s="2">
        <f>IFERROR(__xludf.DUMMYFUNCTION("""COMPUTED_VALUE"""),29.51)</f>
        <v>29.51</v>
      </c>
      <c r="Q206" s="3">
        <f>IFERROR(__xludf.DUMMYFUNCTION("""COMPUTED_VALUE"""),44491.66666666667)</f>
        <v>44491.66667</v>
      </c>
      <c r="R206" s="2">
        <f>IFERROR(__xludf.DUMMYFUNCTION("""COMPUTED_VALUE"""),140.83)</f>
        <v>140.83</v>
      </c>
    </row>
    <row r="207">
      <c r="B207" s="3">
        <f>IFERROR(__xludf.DUMMYFUNCTION("""COMPUTED_VALUE"""),44494.66666666667)</f>
        <v>44494.66667</v>
      </c>
      <c r="C207" s="2">
        <f>IFERROR(__xludf.DUMMYFUNCTION("""COMPUTED_VALUE"""),55.14)</f>
        <v>55.14</v>
      </c>
      <c r="E207" s="3">
        <f>IFERROR(__xludf.DUMMYFUNCTION("""COMPUTED_VALUE"""),45796.66666666667)</f>
        <v>45796.66667</v>
      </c>
      <c r="F207" s="2">
        <f>IFERROR(__xludf.DUMMYFUNCTION("""COMPUTED_VALUE"""),2.45)</f>
        <v>2.45</v>
      </c>
      <c r="H207" s="3">
        <f>IFERROR(__xludf.DUMMYFUNCTION("""COMPUTED_VALUE"""),45547.66666666667)</f>
        <v>45547.66667</v>
      </c>
      <c r="I207" s="2">
        <f>IFERROR(__xludf.DUMMYFUNCTION("""COMPUTED_VALUE"""),1.02)</f>
        <v>1.02</v>
      </c>
      <c r="K207" s="3">
        <f>IFERROR(__xludf.DUMMYFUNCTION("""COMPUTED_VALUE"""),44491.6875)</f>
        <v>44491.6875</v>
      </c>
      <c r="L207" s="2">
        <f>IFERROR(__xludf.DUMMYFUNCTION("""COMPUTED_VALUE"""),48.73)</f>
        <v>48.73</v>
      </c>
      <c r="N207" s="3">
        <f>IFERROR(__xludf.DUMMYFUNCTION("""COMPUTED_VALUE"""),44494.66666666667)</f>
        <v>44494.66667</v>
      </c>
      <c r="O207" s="2">
        <f>IFERROR(__xludf.DUMMYFUNCTION("""COMPUTED_VALUE"""),29.71)</f>
        <v>29.71</v>
      </c>
      <c r="Q207" s="3">
        <f>IFERROR(__xludf.DUMMYFUNCTION("""COMPUTED_VALUE"""),44494.66666666667)</f>
        <v>44494.66667</v>
      </c>
      <c r="R207" s="2">
        <f>IFERROR(__xludf.DUMMYFUNCTION("""COMPUTED_VALUE"""),140.85)</f>
        <v>140.85</v>
      </c>
    </row>
    <row r="208">
      <c r="B208" s="3">
        <f>IFERROR(__xludf.DUMMYFUNCTION("""COMPUTED_VALUE"""),44495.66666666667)</f>
        <v>44495.66667</v>
      </c>
      <c r="C208" s="2">
        <f>IFERROR(__xludf.DUMMYFUNCTION("""COMPUTED_VALUE"""),55.81)</f>
        <v>55.81</v>
      </c>
      <c r="E208" s="3">
        <f>IFERROR(__xludf.DUMMYFUNCTION("""COMPUTED_VALUE"""),45797.66666666667)</f>
        <v>45797.66667</v>
      </c>
      <c r="F208" s="2">
        <f>IFERROR(__xludf.DUMMYFUNCTION("""COMPUTED_VALUE"""),2.43)</f>
        <v>2.43</v>
      </c>
      <c r="H208" s="3">
        <f>IFERROR(__xludf.DUMMYFUNCTION("""COMPUTED_VALUE"""),45548.66666666667)</f>
        <v>45548.66667</v>
      </c>
      <c r="I208" s="2">
        <f>IFERROR(__xludf.DUMMYFUNCTION("""COMPUTED_VALUE"""),0.94)</f>
        <v>0.94</v>
      </c>
      <c r="K208" s="3">
        <f>IFERROR(__xludf.DUMMYFUNCTION("""COMPUTED_VALUE"""),44494.6875)</f>
        <v>44494.6875</v>
      </c>
      <c r="L208" s="2">
        <f>IFERROR(__xludf.DUMMYFUNCTION("""COMPUTED_VALUE"""),48.78)</f>
        <v>48.78</v>
      </c>
      <c r="N208" s="3">
        <f>IFERROR(__xludf.DUMMYFUNCTION("""COMPUTED_VALUE"""),44495.66666666667)</f>
        <v>44495.66667</v>
      </c>
      <c r="O208" s="2">
        <f>IFERROR(__xludf.DUMMYFUNCTION("""COMPUTED_VALUE"""),29.64)</f>
        <v>29.64</v>
      </c>
      <c r="Q208" s="3">
        <f>IFERROR(__xludf.DUMMYFUNCTION("""COMPUTED_VALUE"""),44495.66666666667)</f>
        <v>44495.66667</v>
      </c>
      <c r="R208" s="2">
        <f>IFERROR(__xludf.DUMMYFUNCTION("""COMPUTED_VALUE"""),142.85)</f>
        <v>142.85</v>
      </c>
    </row>
    <row r="209">
      <c r="B209" s="3">
        <f>IFERROR(__xludf.DUMMYFUNCTION("""COMPUTED_VALUE"""),44496.66666666667)</f>
        <v>44496.66667</v>
      </c>
      <c r="C209" s="2">
        <f>IFERROR(__xludf.DUMMYFUNCTION("""COMPUTED_VALUE"""),56.18)</f>
        <v>56.18</v>
      </c>
      <c r="E209" s="3">
        <f>IFERROR(__xludf.DUMMYFUNCTION("""COMPUTED_VALUE"""),45798.66666666667)</f>
        <v>45798.66667</v>
      </c>
      <c r="F209" s="2">
        <f>IFERROR(__xludf.DUMMYFUNCTION("""COMPUTED_VALUE"""),2.43)</f>
        <v>2.43</v>
      </c>
      <c r="H209" s="3">
        <f>IFERROR(__xludf.DUMMYFUNCTION("""COMPUTED_VALUE"""),45551.66666666667)</f>
        <v>45551.66667</v>
      </c>
      <c r="I209" s="2">
        <f>IFERROR(__xludf.DUMMYFUNCTION("""COMPUTED_VALUE"""),0.91)</f>
        <v>0.91</v>
      </c>
      <c r="K209" s="3">
        <f>IFERROR(__xludf.DUMMYFUNCTION("""COMPUTED_VALUE"""),44495.6875)</f>
        <v>44495.6875</v>
      </c>
      <c r="L209" s="2">
        <f>IFERROR(__xludf.DUMMYFUNCTION("""COMPUTED_VALUE"""),49.0)</f>
        <v>49</v>
      </c>
      <c r="N209" s="3">
        <f>IFERROR(__xludf.DUMMYFUNCTION("""COMPUTED_VALUE"""),44496.66666666667)</f>
        <v>44496.66667</v>
      </c>
      <c r="O209" s="2">
        <f>IFERROR(__xludf.DUMMYFUNCTION("""COMPUTED_VALUE"""),29.25)</f>
        <v>29.25</v>
      </c>
      <c r="Q209" s="3">
        <f>IFERROR(__xludf.DUMMYFUNCTION("""COMPUTED_VALUE"""),44496.66666666667)</f>
        <v>44496.66667</v>
      </c>
      <c r="R209" s="2">
        <f>IFERROR(__xludf.DUMMYFUNCTION("""COMPUTED_VALUE"""),141.83)</f>
        <v>141.83</v>
      </c>
    </row>
    <row r="210">
      <c r="B210" s="3">
        <f>IFERROR(__xludf.DUMMYFUNCTION("""COMPUTED_VALUE"""),44497.66666666667)</f>
        <v>44497.66667</v>
      </c>
      <c r="C210" s="2">
        <f>IFERROR(__xludf.DUMMYFUNCTION("""COMPUTED_VALUE"""),56.24)</f>
        <v>56.24</v>
      </c>
      <c r="E210" s="3">
        <f>IFERROR(__xludf.DUMMYFUNCTION("""COMPUTED_VALUE"""),45799.66666666667)</f>
        <v>45799.66667</v>
      </c>
      <c r="F210" s="2">
        <f>IFERROR(__xludf.DUMMYFUNCTION("""COMPUTED_VALUE"""),2.43)</f>
        <v>2.43</v>
      </c>
      <c r="H210" s="3">
        <f>IFERROR(__xludf.DUMMYFUNCTION("""COMPUTED_VALUE"""),45552.66666666667)</f>
        <v>45552.66667</v>
      </c>
      <c r="I210" s="2">
        <f>IFERROR(__xludf.DUMMYFUNCTION("""COMPUTED_VALUE"""),0.9)</f>
        <v>0.9</v>
      </c>
      <c r="K210" s="3">
        <f>IFERROR(__xludf.DUMMYFUNCTION("""COMPUTED_VALUE"""),44496.6875)</f>
        <v>44496.6875</v>
      </c>
      <c r="L210" s="2">
        <f>IFERROR(__xludf.DUMMYFUNCTION("""COMPUTED_VALUE"""),48.96)</f>
        <v>48.96</v>
      </c>
      <c r="N210" s="3">
        <f>IFERROR(__xludf.DUMMYFUNCTION("""COMPUTED_VALUE"""),44497.66666666667)</f>
        <v>44497.66667</v>
      </c>
      <c r="O210" s="2">
        <f>IFERROR(__xludf.DUMMYFUNCTION("""COMPUTED_VALUE"""),29.22)</f>
        <v>29.22</v>
      </c>
      <c r="Q210" s="3">
        <f>IFERROR(__xludf.DUMMYFUNCTION("""COMPUTED_VALUE"""),44497.66666666667)</f>
        <v>44497.66667</v>
      </c>
      <c r="R210" s="2">
        <f>IFERROR(__xludf.DUMMYFUNCTION("""COMPUTED_VALUE"""),142.68)</f>
        <v>142.68</v>
      </c>
    </row>
    <row r="211">
      <c r="B211" s="3">
        <f>IFERROR(__xludf.DUMMYFUNCTION("""COMPUTED_VALUE"""),44498.66666666667)</f>
        <v>44498.66667</v>
      </c>
      <c r="C211" s="2">
        <f>IFERROR(__xludf.DUMMYFUNCTION("""COMPUTED_VALUE"""),55.97)</f>
        <v>55.97</v>
      </c>
      <c r="E211" s="3">
        <f>IFERROR(__xludf.DUMMYFUNCTION("""COMPUTED_VALUE"""),45800.66666666667)</f>
        <v>45800.66667</v>
      </c>
      <c r="F211" s="2">
        <f>IFERROR(__xludf.DUMMYFUNCTION("""COMPUTED_VALUE"""),2.4)</f>
        <v>2.4</v>
      </c>
      <c r="H211" s="3">
        <f>IFERROR(__xludf.DUMMYFUNCTION("""COMPUTED_VALUE"""),45553.66666666667)</f>
        <v>45553.66667</v>
      </c>
      <c r="I211" s="2">
        <f>IFERROR(__xludf.DUMMYFUNCTION("""COMPUTED_VALUE"""),0.85)</f>
        <v>0.85</v>
      </c>
      <c r="K211" s="3">
        <f>IFERROR(__xludf.DUMMYFUNCTION("""COMPUTED_VALUE"""),44497.6875)</f>
        <v>44497.6875</v>
      </c>
      <c r="L211" s="2">
        <f>IFERROR(__xludf.DUMMYFUNCTION("""COMPUTED_VALUE"""),49.58)</f>
        <v>49.58</v>
      </c>
      <c r="N211" s="3">
        <f>IFERROR(__xludf.DUMMYFUNCTION("""COMPUTED_VALUE"""),44498.66666666667)</f>
        <v>44498.66667</v>
      </c>
      <c r="O211" s="2">
        <f>IFERROR(__xludf.DUMMYFUNCTION("""COMPUTED_VALUE"""),28.79)</f>
        <v>28.79</v>
      </c>
      <c r="Q211" s="3">
        <f>IFERROR(__xludf.DUMMYFUNCTION("""COMPUTED_VALUE"""),44498.66666666667)</f>
        <v>44498.66667</v>
      </c>
      <c r="R211" s="2">
        <f>IFERROR(__xludf.DUMMYFUNCTION("""COMPUTED_VALUE"""),142.99)</f>
        <v>142.99</v>
      </c>
    </row>
    <row r="212">
      <c r="B212" s="3">
        <f>IFERROR(__xludf.DUMMYFUNCTION("""COMPUTED_VALUE"""),44501.66666666667)</f>
        <v>44501.66667</v>
      </c>
      <c r="C212" s="2">
        <f>IFERROR(__xludf.DUMMYFUNCTION("""COMPUTED_VALUE"""),56.1)</f>
        <v>56.1</v>
      </c>
      <c r="E212" s="3">
        <f>IFERROR(__xludf.DUMMYFUNCTION("""COMPUTED_VALUE"""),45804.66666666667)</f>
        <v>45804.66667</v>
      </c>
      <c r="F212" s="2">
        <f>IFERROR(__xludf.DUMMYFUNCTION("""COMPUTED_VALUE"""),2.43)</f>
        <v>2.43</v>
      </c>
      <c r="H212" s="3">
        <f>IFERROR(__xludf.DUMMYFUNCTION("""COMPUTED_VALUE"""),45554.66666666667)</f>
        <v>45554.66667</v>
      </c>
      <c r="I212" s="2">
        <f>IFERROR(__xludf.DUMMYFUNCTION("""COMPUTED_VALUE"""),0.92)</f>
        <v>0.92</v>
      </c>
      <c r="K212" s="3">
        <f>IFERROR(__xludf.DUMMYFUNCTION("""COMPUTED_VALUE"""),44498.6875)</f>
        <v>44498.6875</v>
      </c>
      <c r="L212" s="2">
        <f>IFERROR(__xludf.DUMMYFUNCTION("""COMPUTED_VALUE"""),50.22)</f>
        <v>50.22</v>
      </c>
      <c r="N212" s="3">
        <f>IFERROR(__xludf.DUMMYFUNCTION("""COMPUTED_VALUE"""),44501.66666666667)</f>
        <v>44501.66667</v>
      </c>
      <c r="O212" s="2">
        <f>IFERROR(__xludf.DUMMYFUNCTION("""COMPUTED_VALUE"""),29.28)</f>
        <v>29.28</v>
      </c>
      <c r="Q212" s="3">
        <f>IFERROR(__xludf.DUMMYFUNCTION("""COMPUTED_VALUE"""),44501.66666666667)</f>
        <v>44501.66667</v>
      </c>
      <c r="R212" s="2">
        <f>IFERROR(__xludf.DUMMYFUNCTION("""COMPUTED_VALUE"""),142.64)</f>
        <v>142.64</v>
      </c>
    </row>
    <row r="213">
      <c r="B213" s="3">
        <f>IFERROR(__xludf.DUMMYFUNCTION("""COMPUTED_VALUE"""),44502.66666666667)</f>
        <v>44502.66667</v>
      </c>
      <c r="C213" s="2">
        <f>IFERROR(__xludf.DUMMYFUNCTION("""COMPUTED_VALUE"""),57.62)</f>
        <v>57.62</v>
      </c>
      <c r="E213" s="3">
        <f>IFERROR(__xludf.DUMMYFUNCTION("""COMPUTED_VALUE"""),45805.66666666667)</f>
        <v>45805.66667</v>
      </c>
      <c r="F213" s="2">
        <f>IFERROR(__xludf.DUMMYFUNCTION("""COMPUTED_VALUE"""),2.4)</f>
        <v>2.4</v>
      </c>
      <c r="H213" s="3">
        <f>IFERROR(__xludf.DUMMYFUNCTION("""COMPUTED_VALUE"""),45555.66666666667)</f>
        <v>45555.66667</v>
      </c>
      <c r="I213" s="2">
        <f>IFERROR(__xludf.DUMMYFUNCTION("""COMPUTED_VALUE"""),0.77)</f>
        <v>0.77</v>
      </c>
      <c r="K213" s="3">
        <f>IFERROR(__xludf.DUMMYFUNCTION("""COMPUTED_VALUE"""),44501.6875)</f>
        <v>44501.6875</v>
      </c>
      <c r="L213" s="2">
        <f>IFERROR(__xludf.DUMMYFUNCTION("""COMPUTED_VALUE"""),51.11)</f>
        <v>51.11</v>
      </c>
      <c r="N213" s="3">
        <f>IFERROR(__xludf.DUMMYFUNCTION("""COMPUTED_VALUE"""),44502.66666666667)</f>
        <v>44502.66667</v>
      </c>
      <c r="O213" s="2">
        <f>IFERROR(__xludf.DUMMYFUNCTION("""COMPUTED_VALUE"""),27.94)</f>
        <v>27.94</v>
      </c>
      <c r="Q213" s="3">
        <f>IFERROR(__xludf.DUMMYFUNCTION("""COMPUTED_VALUE"""),44502.66666666667)</f>
        <v>44502.66667</v>
      </c>
      <c r="R213" s="2">
        <f>IFERROR(__xludf.DUMMYFUNCTION("""COMPUTED_VALUE"""),144.06)</f>
        <v>144.06</v>
      </c>
    </row>
    <row r="214">
      <c r="B214" s="3">
        <f>IFERROR(__xludf.DUMMYFUNCTION("""COMPUTED_VALUE"""),44503.66666666667)</f>
        <v>44503.66667</v>
      </c>
      <c r="C214" s="2">
        <f>IFERROR(__xludf.DUMMYFUNCTION("""COMPUTED_VALUE"""),57.65)</f>
        <v>57.65</v>
      </c>
      <c r="E214" s="3">
        <f>IFERROR(__xludf.DUMMYFUNCTION("""COMPUTED_VALUE"""),45806.66666666667)</f>
        <v>45806.66667</v>
      </c>
      <c r="F214" s="2">
        <f>IFERROR(__xludf.DUMMYFUNCTION("""COMPUTED_VALUE"""),2.4)</f>
        <v>2.4</v>
      </c>
      <c r="H214" s="3">
        <f>IFERROR(__xludf.DUMMYFUNCTION("""COMPUTED_VALUE"""),45558.66666666667)</f>
        <v>45558.66667</v>
      </c>
      <c r="I214" s="2">
        <f>IFERROR(__xludf.DUMMYFUNCTION("""COMPUTED_VALUE"""),0.73)</f>
        <v>0.73</v>
      </c>
      <c r="K214" s="3">
        <f>IFERROR(__xludf.DUMMYFUNCTION("""COMPUTED_VALUE"""),44502.6875)</f>
        <v>44502.6875</v>
      </c>
      <c r="L214" s="2">
        <f>IFERROR(__xludf.DUMMYFUNCTION("""COMPUTED_VALUE"""),51.03)</f>
        <v>51.03</v>
      </c>
      <c r="N214" s="3">
        <f>IFERROR(__xludf.DUMMYFUNCTION("""COMPUTED_VALUE"""),44503.66666666667)</f>
        <v>44503.66667</v>
      </c>
      <c r="O214" s="2">
        <f>IFERROR(__xludf.DUMMYFUNCTION("""COMPUTED_VALUE"""),27.26)</f>
        <v>27.26</v>
      </c>
      <c r="Q214" s="3">
        <f>IFERROR(__xludf.DUMMYFUNCTION("""COMPUTED_VALUE"""),44503.66666666667)</f>
        <v>44503.66667</v>
      </c>
      <c r="R214" s="2">
        <f>IFERROR(__xludf.DUMMYFUNCTION("""COMPUTED_VALUE"""),145.05)</f>
        <v>145.05</v>
      </c>
    </row>
    <row r="215">
      <c r="B215" s="3">
        <f>IFERROR(__xludf.DUMMYFUNCTION("""COMPUTED_VALUE"""),44504.66666666667)</f>
        <v>44504.66667</v>
      </c>
      <c r="C215" s="2">
        <f>IFERROR(__xludf.DUMMYFUNCTION("""COMPUTED_VALUE"""),57.12)</f>
        <v>57.12</v>
      </c>
      <c r="E215" s="3">
        <f>IFERROR(__xludf.DUMMYFUNCTION("""COMPUTED_VALUE"""),45807.66666666667)</f>
        <v>45807.66667</v>
      </c>
      <c r="F215" s="2">
        <f>IFERROR(__xludf.DUMMYFUNCTION("""COMPUTED_VALUE"""),2.5)</f>
        <v>2.5</v>
      </c>
      <c r="H215" s="3">
        <f>IFERROR(__xludf.DUMMYFUNCTION("""COMPUTED_VALUE"""),45559.66666666667)</f>
        <v>45559.66667</v>
      </c>
      <c r="I215" s="2">
        <f>IFERROR(__xludf.DUMMYFUNCTION("""COMPUTED_VALUE"""),0.79)</f>
        <v>0.79</v>
      </c>
      <c r="K215" s="3">
        <f>IFERROR(__xludf.DUMMYFUNCTION("""COMPUTED_VALUE"""),44503.6875)</f>
        <v>44503.6875</v>
      </c>
      <c r="L215" s="2">
        <f>IFERROR(__xludf.DUMMYFUNCTION("""COMPUTED_VALUE"""),50.5)</f>
        <v>50.5</v>
      </c>
      <c r="N215" s="3">
        <f>IFERROR(__xludf.DUMMYFUNCTION("""COMPUTED_VALUE"""),44504.66666666667)</f>
        <v>44504.66667</v>
      </c>
      <c r="O215" s="2">
        <f>IFERROR(__xludf.DUMMYFUNCTION("""COMPUTED_VALUE"""),27.31)</f>
        <v>27.31</v>
      </c>
      <c r="Q215" s="3">
        <f>IFERROR(__xludf.DUMMYFUNCTION("""COMPUTED_VALUE"""),44504.66666666667)</f>
        <v>44504.66667</v>
      </c>
      <c r="R215" s="2">
        <f>IFERROR(__xludf.DUMMYFUNCTION("""COMPUTED_VALUE"""),145.32)</f>
        <v>145.32</v>
      </c>
    </row>
    <row r="216">
      <c r="B216" s="3">
        <f>IFERROR(__xludf.DUMMYFUNCTION("""COMPUTED_VALUE"""),44505.66666666667)</f>
        <v>44505.66667</v>
      </c>
      <c r="C216" s="2">
        <f>IFERROR(__xludf.DUMMYFUNCTION("""COMPUTED_VALUE"""),57.07)</f>
        <v>57.07</v>
      </c>
      <c r="E216" s="3">
        <f>IFERROR(__xludf.DUMMYFUNCTION("""COMPUTED_VALUE"""),45810.66666666667)</f>
        <v>45810.66667</v>
      </c>
      <c r="F216" s="2">
        <f>IFERROR(__xludf.DUMMYFUNCTION("""COMPUTED_VALUE"""),2.76)</f>
        <v>2.76</v>
      </c>
      <c r="H216" s="3">
        <f>IFERROR(__xludf.DUMMYFUNCTION("""COMPUTED_VALUE"""),45560.66666666667)</f>
        <v>45560.66667</v>
      </c>
      <c r="I216" s="2">
        <f>IFERROR(__xludf.DUMMYFUNCTION("""COMPUTED_VALUE"""),0.83)</f>
        <v>0.83</v>
      </c>
      <c r="K216" s="3">
        <f>IFERROR(__xludf.DUMMYFUNCTION("""COMPUTED_VALUE"""),44504.6875)</f>
        <v>44504.6875</v>
      </c>
      <c r="L216" s="2">
        <f>IFERROR(__xludf.DUMMYFUNCTION("""COMPUTED_VALUE"""),48.25)</f>
        <v>48.25</v>
      </c>
      <c r="N216" s="3">
        <f>IFERROR(__xludf.DUMMYFUNCTION("""COMPUTED_VALUE"""),44505.66666666667)</f>
        <v>44505.66667</v>
      </c>
      <c r="O216" s="2">
        <f>IFERROR(__xludf.DUMMYFUNCTION("""COMPUTED_VALUE"""),27.85)</f>
        <v>27.85</v>
      </c>
      <c r="Q216" s="3">
        <f>IFERROR(__xludf.DUMMYFUNCTION("""COMPUTED_VALUE"""),44505.66666666667)</f>
        <v>44505.66667</v>
      </c>
      <c r="R216" s="2">
        <f>IFERROR(__xludf.DUMMYFUNCTION("""COMPUTED_VALUE"""),146.04)</f>
        <v>146.04</v>
      </c>
    </row>
    <row r="217">
      <c r="B217" s="3">
        <f>IFERROR(__xludf.DUMMYFUNCTION("""COMPUTED_VALUE"""),44508.66666666667)</f>
        <v>44508.66667</v>
      </c>
      <c r="C217" s="2">
        <f>IFERROR(__xludf.DUMMYFUNCTION("""COMPUTED_VALUE"""),57.0)</f>
        <v>57</v>
      </c>
      <c r="E217" s="3">
        <f>IFERROR(__xludf.DUMMYFUNCTION("""COMPUTED_VALUE"""),45811.66666666667)</f>
        <v>45811.66667</v>
      </c>
      <c r="F217" s="2">
        <f>IFERROR(__xludf.DUMMYFUNCTION("""COMPUTED_VALUE"""),2.7)</f>
        <v>2.7</v>
      </c>
      <c r="H217" s="3">
        <f>IFERROR(__xludf.DUMMYFUNCTION("""COMPUTED_VALUE"""),45561.66666666667)</f>
        <v>45561.66667</v>
      </c>
      <c r="I217" s="2">
        <f>IFERROR(__xludf.DUMMYFUNCTION("""COMPUTED_VALUE"""),0.85)</f>
        <v>0.85</v>
      </c>
      <c r="K217" s="3">
        <f>IFERROR(__xludf.DUMMYFUNCTION("""COMPUTED_VALUE"""),44505.6875)</f>
        <v>44505.6875</v>
      </c>
      <c r="L217" s="2">
        <f>IFERROR(__xludf.DUMMYFUNCTION("""COMPUTED_VALUE"""),49.11)</f>
        <v>49.11</v>
      </c>
      <c r="N217" s="3">
        <f>IFERROR(__xludf.DUMMYFUNCTION("""COMPUTED_VALUE"""),44508.66666666667)</f>
        <v>44508.66667</v>
      </c>
      <c r="O217" s="2">
        <f>IFERROR(__xludf.DUMMYFUNCTION("""COMPUTED_VALUE"""),28.02)</f>
        <v>28.02</v>
      </c>
      <c r="Q217" s="3">
        <f>IFERROR(__xludf.DUMMYFUNCTION("""COMPUTED_VALUE"""),44508.66666666667)</f>
        <v>44508.66667</v>
      </c>
      <c r="R217" s="2">
        <f>IFERROR(__xludf.DUMMYFUNCTION("""COMPUTED_VALUE"""),144.95)</f>
        <v>144.95</v>
      </c>
    </row>
    <row r="218">
      <c r="B218" s="3">
        <f>IFERROR(__xludf.DUMMYFUNCTION("""COMPUTED_VALUE"""),44509.66666666667)</f>
        <v>44509.66667</v>
      </c>
      <c r="C218" s="2">
        <f>IFERROR(__xludf.DUMMYFUNCTION("""COMPUTED_VALUE"""),57.44)</f>
        <v>57.44</v>
      </c>
      <c r="E218" s="3">
        <f>IFERROR(__xludf.DUMMYFUNCTION("""COMPUTED_VALUE"""),45812.66666666667)</f>
        <v>45812.66667</v>
      </c>
      <c r="F218" s="2">
        <f>IFERROR(__xludf.DUMMYFUNCTION("""COMPUTED_VALUE"""),2.75)</f>
        <v>2.75</v>
      </c>
      <c r="H218" s="3">
        <f>IFERROR(__xludf.DUMMYFUNCTION("""COMPUTED_VALUE"""),45562.66666666667)</f>
        <v>45562.66667</v>
      </c>
      <c r="I218" s="2">
        <f>IFERROR(__xludf.DUMMYFUNCTION("""COMPUTED_VALUE"""),0.91)</f>
        <v>0.91</v>
      </c>
      <c r="K218" s="3">
        <f>IFERROR(__xludf.DUMMYFUNCTION("""COMPUTED_VALUE"""),44508.6875)</f>
        <v>44508.6875</v>
      </c>
      <c r="L218" s="2">
        <f>IFERROR(__xludf.DUMMYFUNCTION("""COMPUTED_VALUE"""),49.16)</f>
        <v>49.16</v>
      </c>
      <c r="N218" s="3">
        <f>IFERROR(__xludf.DUMMYFUNCTION("""COMPUTED_VALUE"""),44509.66666666667)</f>
        <v>44509.66667</v>
      </c>
      <c r="O218" s="2">
        <f>IFERROR(__xludf.DUMMYFUNCTION("""COMPUTED_VALUE"""),28.2)</f>
        <v>28.2</v>
      </c>
      <c r="Q218" s="3">
        <f>IFERROR(__xludf.DUMMYFUNCTION("""COMPUTED_VALUE"""),44509.66666666667)</f>
        <v>44509.66667</v>
      </c>
      <c r="R218" s="2">
        <f>IFERROR(__xludf.DUMMYFUNCTION("""COMPUTED_VALUE"""),145.39)</f>
        <v>145.39</v>
      </c>
    </row>
    <row r="219">
      <c r="B219" s="3">
        <f>IFERROR(__xludf.DUMMYFUNCTION("""COMPUTED_VALUE"""),44510.66666666667)</f>
        <v>44510.66667</v>
      </c>
      <c r="C219" s="2">
        <f>IFERROR(__xludf.DUMMYFUNCTION("""COMPUTED_VALUE"""),57.77)</f>
        <v>57.77</v>
      </c>
      <c r="E219" s="3">
        <f>IFERROR(__xludf.DUMMYFUNCTION("""COMPUTED_VALUE"""),45813.66666666667)</f>
        <v>45813.66667</v>
      </c>
      <c r="F219" s="2">
        <f>IFERROR(__xludf.DUMMYFUNCTION("""COMPUTED_VALUE"""),2.83)</f>
        <v>2.83</v>
      </c>
      <c r="H219" s="3">
        <f>IFERROR(__xludf.DUMMYFUNCTION("""COMPUTED_VALUE"""),45565.66666666667)</f>
        <v>45565.66667</v>
      </c>
      <c r="I219" s="2">
        <f>IFERROR(__xludf.DUMMYFUNCTION("""COMPUTED_VALUE"""),0.84)</f>
        <v>0.84</v>
      </c>
      <c r="K219" s="3">
        <f>IFERROR(__xludf.DUMMYFUNCTION("""COMPUTED_VALUE"""),44509.6875)</f>
        <v>44509.6875</v>
      </c>
      <c r="L219" s="2">
        <f>IFERROR(__xludf.DUMMYFUNCTION("""COMPUTED_VALUE"""),48.38)</f>
        <v>48.38</v>
      </c>
      <c r="N219" s="3">
        <f>IFERROR(__xludf.DUMMYFUNCTION("""COMPUTED_VALUE"""),44510.66666666667)</f>
        <v>44510.66667</v>
      </c>
      <c r="O219" s="2">
        <f>IFERROR(__xludf.DUMMYFUNCTION("""COMPUTED_VALUE"""),27.42)</f>
        <v>27.42</v>
      </c>
      <c r="Q219" s="3">
        <f>IFERROR(__xludf.DUMMYFUNCTION("""COMPUTED_VALUE"""),44510.66666666667)</f>
        <v>44510.66667</v>
      </c>
      <c r="R219" s="2">
        <f>IFERROR(__xludf.DUMMYFUNCTION("""COMPUTED_VALUE"""),146.82)</f>
        <v>146.82</v>
      </c>
    </row>
    <row r="220">
      <c r="B220" s="3">
        <f>IFERROR(__xludf.DUMMYFUNCTION("""COMPUTED_VALUE"""),44511.66666666667)</f>
        <v>44511.66667</v>
      </c>
      <c r="C220" s="2">
        <f>IFERROR(__xludf.DUMMYFUNCTION("""COMPUTED_VALUE"""),56.76)</f>
        <v>56.76</v>
      </c>
      <c r="E220" s="3">
        <f>IFERROR(__xludf.DUMMYFUNCTION("""COMPUTED_VALUE"""),45814.66666666667)</f>
        <v>45814.66667</v>
      </c>
      <c r="F220" s="2">
        <f>IFERROR(__xludf.DUMMYFUNCTION("""COMPUTED_VALUE"""),2.86)</f>
        <v>2.86</v>
      </c>
      <c r="H220" s="3">
        <f>IFERROR(__xludf.DUMMYFUNCTION("""COMPUTED_VALUE"""),45566.66666666667)</f>
        <v>45566.66667</v>
      </c>
      <c r="I220" s="2">
        <f>IFERROR(__xludf.DUMMYFUNCTION("""COMPUTED_VALUE"""),0.77)</f>
        <v>0.77</v>
      </c>
      <c r="K220" s="3">
        <f>IFERROR(__xludf.DUMMYFUNCTION("""COMPUTED_VALUE"""),44510.6875)</f>
        <v>44510.6875</v>
      </c>
      <c r="L220" s="2">
        <f>IFERROR(__xludf.DUMMYFUNCTION("""COMPUTED_VALUE"""),49.28)</f>
        <v>49.28</v>
      </c>
      <c r="N220" s="3">
        <f>IFERROR(__xludf.DUMMYFUNCTION("""COMPUTED_VALUE"""),44511.66666666667)</f>
        <v>44511.66667</v>
      </c>
      <c r="O220" s="2">
        <f>IFERROR(__xludf.DUMMYFUNCTION("""COMPUTED_VALUE"""),27.41)</f>
        <v>27.41</v>
      </c>
      <c r="Q220" s="3">
        <f>IFERROR(__xludf.DUMMYFUNCTION("""COMPUTED_VALUE"""),44511.66666666667)</f>
        <v>44511.66667</v>
      </c>
      <c r="R220" s="2">
        <f>IFERROR(__xludf.DUMMYFUNCTION("""COMPUTED_VALUE"""),146.4)</f>
        <v>146.4</v>
      </c>
    </row>
    <row r="221">
      <c r="B221" s="3">
        <f>IFERROR(__xludf.DUMMYFUNCTION("""COMPUTED_VALUE"""),44512.66666666667)</f>
        <v>44512.66667</v>
      </c>
      <c r="C221" s="2">
        <f>IFERROR(__xludf.DUMMYFUNCTION("""COMPUTED_VALUE"""),56.82)</f>
        <v>56.82</v>
      </c>
      <c r="E221" s="3">
        <f>IFERROR(__xludf.DUMMYFUNCTION("""COMPUTED_VALUE"""),45817.66666666667)</f>
        <v>45817.66667</v>
      </c>
      <c r="F221" s="2">
        <f>IFERROR(__xludf.DUMMYFUNCTION("""COMPUTED_VALUE"""),2.7)</f>
        <v>2.7</v>
      </c>
      <c r="H221" s="3">
        <f>IFERROR(__xludf.DUMMYFUNCTION("""COMPUTED_VALUE"""),45567.66666666667)</f>
        <v>45567.66667</v>
      </c>
      <c r="I221" s="2">
        <f>IFERROR(__xludf.DUMMYFUNCTION("""COMPUTED_VALUE"""),0.74)</f>
        <v>0.74</v>
      </c>
      <c r="K221" s="3">
        <f>IFERROR(__xludf.DUMMYFUNCTION("""COMPUTED_VALUE"""),44511.6875)</f>
        <v>44511.6875</v>
      </c>
      <c r="L221" s="2">
        <f>IFERROR(__xludf.DUMMYFUNCTION("""COMPUTED_VALUE"""),49.88)</f>
        <v>49.88</v>
      </c>
      <c r="N221" s="3">
        <f>IFERROR(__xludf.DUMMYFUNCTION("""COMPUTED_VALUE"""),44512.66666666667)</f>
        <v>44512.66667</v>
      </c>
      <c r="O221" s="2">
        <f>IFERROR(__xludf.DUMMYFUNCTION("""COMPUTED_VALUE"""),27.38)</f>
        <v>27.38</v>
      </c>
      <c r="Q221" s="3">
        <f>IFERROR(__xludf.DUMMYFUNCTION("""COMPUTED_VALUE"""),44512.66666666667)</f>
        <v>44512.66667</v>
      </c>
      <c r="R221" s="2">
        <f>IFERROR(__xludf.DUMMYFUNCTION("""COMPUTED_VALUE"""),146.56)</f>
        <v>146.56</v>
      </c>
    </row>
    <row r="222">
      <c r="B222" s="3">
        <f>IFERROR(__xludf.DUMMYFUNCTION("""COMPUTED_VALUE"""),44515.66666666667)</f>
        <v>44515.66667</v>
      </c>
      <c r="C222" s="2">
        <f>IFERROR(__xludf.DUMMYFUNCTION("""COMPUTED_VALUE"""),57.27)</f>
        <v>57.27</v>
      </c>
      <c r="E222" s="3">
        <f>IFERROR(__xludf.DUMMYFUNCTION("""COMPUTED_VALUE"""),45818.66666666667)</f>
        <v>45818.66667</v>
      </c>
      <c r="F222" s="2">
        <f>IFERROR(__xludf.DUMMYFUNCTION("""COMPUTED_VALUE"""),2.68)</f>
        <v>2.68</v>
      </c>
      <c r="H222" s="3">
        <f>IFERROR(__xludf.DUMMYFUNCTION("""COMPUTED_VALUE"""),45568.66666666667)</f>
        <v>45568.66667</v>
      </c>
      <c r="I222" s="2">
        <f>IFERROR(__xludf.DUMMYFUNCTION("""COMPUTED_VALUE"""),0.69)</f>
        <v>0.69</v>
      </c>
      <c r="K222" s="3">
        <f>IFERROR(__xludf.DUMMYFUNCTION("""COMPUTED_VALUE"""),44512.6875)</f>
        <v>44512.6875</v>
      </c>
      <c r="L222" s="2">
        <f>IFERROR(__xludf.DUMMYFUNCTION("""COMPUTED_VALUE"""),49.23)</f>
        <v>49.23</v>
      </c>
      <c r="N222" s="3">
        <f>IFERROR(__xludf.DUMMYFUNCTION("""COMPUTED_VALUE"""),44515.66666666667)</f>
        <v>44515.66667</v>
      </c>
      <c r="O222" s="2">
        <f>IFERROR(__xludf.DUMMYFUNCTION("""COMPUTED_VALUE"""),27.55)</f>
        <v>27.55</v>
      </c>
      <c r="Q222" s="3">
        <f>IFERROR(__xludf.DUMMYFUNCTION("""COMPUTED_VALUE"""),44515.66666666667)</f>
        <v>44515.66667</v>
      </c>
      <c r="R222" s="2">
        <f>IFERROR(__xludf.DUMMYFUNCTION("""COMPUTED_VALUE"""),147.4)</f>
        <v>147.4</v>
      </c>
    </row>
    <row r="223">
      <c r="B223" s="3">
        <f>IFERROR(__xludf.DUMMYFUNCTION("""COMPUTED_VALUE"""),44516.66666666667)</f>
        <v>44516.66667</v>
      </c>
      <c r="C223" s="2">
        <f>IFERROR(__xludf.DUMMYFUNCTION("""COMPUTED_VALUE"""),57.0)</f>
        <v>57</v>
      </c>
      <c r="E223" s="3">
        <f>IFERROR(__xludf.DUMMYFUNCTION("""COMPUTED_VALUE"""),45819.66666666667)</f>
        <v>45819.66667</v>
      </c>
      <c r="F223" s="2">
        <f>IFERROR(__xludf.DUMMYFUNCTION("""COMPUTED_VALUE"""),2.6)</f>
        <v>2.6</v>
      </c>
      <c r="H223" s="3">
        <f>IFERROR(__xludf.DUMMYFUNCTION("""COMPUTED_VALUE"""),45569.66666666667)</f>
        <v>45569.66667</v>
      </c>
      <c r="I223" s="2">
        <f>IFERROR(__xludf.DUMMYFUNCTION("""COMPUTED_VALUE"""),0.72)</f>
        <v>0.72</v>
      </c>
      <c r="K223" s="3">
        <f>IFERROR(__xludf.DUMMYFUNCTION("""COMPUTED_VALUE"""),44515.6875)</f>
        <v>44515.6875</v>
      </c>
      <c r="L223" s="2">
        <f>IFERROR(__xludf.DUMMYFUNCTION("""COMPUTED_VALUE"""),49.63)</f>
        <v>49.63</v>
      </c>
      <c r="N223" s="3">
        <f>IFERROR(__xludf.DUMMYFUNCTION("""COMPUTED_VALUE"""),44516.66666666667)</f>
        <v>44516.66667</v>
      </c>
      <c r="O223" s="2">
        <f>IFERROR(__xludf.DUMMYFUNCTION("""COMPUTED_VALUE"""),27.67)</f>
        <v>27.67</v>
      </c>
      <c r="Q223" s="3">
        <f>IFERROR(__xludf.DUMMYFUNCTION("""COMPUTED_VALUE"""),44516.66666666667)</f>
        <v>44516.66667</v>
      </c>
      <c r="R223" s="2">
        <f>IFERROR(__xludf.DUMMYFUNCTION("""COMPUTED_VALUE"""),147.19)</f>
        <v>147.19</v>
      </c>
    </row>
    <row r="224">
      <c r="B224" s="3">
        <f>IFERROR(__xludf.DUMMYFUNCTION("""COMPUTED_VALUE"""),44517.66666666667)</f>
        <v>44517.66667</v>
      </c>
      <c r="C224" s="2">
        <f>IFERROR(__xludf.DUMMYFUNCTION("""COMPUTED_VALUE"""),56.76)</f>
        <v>56.76</v>
      </c>
      <c r="E224" s="3">
        <f>IFERROR(__xludf.DUMMYFUNCTION("""COMPUTED_VALUE"""),45820.66666666667)</f>
        <v>45820.66667</v>
      </c>
      <c r="F224" s="2">
        <f>IFERROR(__xludf.DUMMYFUNCTION("""COMPUTED_VALUE"""),2.6)</f>
        <v>2.6</v>
      </c>
      <c r="H224" s="3">
        <f>IFERROR(__xludf.DUMMYFUNCTION("""COMPUTED_VALUE"""),45572.66666666667)</f>
        <v>45572.66667</v>
      </c>
      <c r="I224" s="2">
        <f>IFERROR(__xludf.DUMMYFUNCTION("""COMPUTED_VALUE"""),0.7)</f>
        <v>0.7</v>
      </c>
      <c r="K224" s="3">
        <f>IFERROR(__xludf.DUMMYFUNCTION("""COMPUTED_VALUE"""),44516.6875)</f>
        <v>44516.6875</v>
      </c>
      <c r="L224" s="2">
        <f>IFERROR(__xludf.DUMMYFUNCTION("""COMPUTED_VALUE"""),49.97)</f>
        <v>49.97</v>
      </c>
      <c r="N224" s="3">
        <f>IFERROR(__xludf.DUMMYFUNCTION("""COMPUTED_VALUE"""),44517.66666666667)</f>
        <v>44517.66667</v>
      </c>
      <c r="O224" s="2">
        <f>IFERROR(__xludf.DUMMYFUNCTION("""COMPUTED_VALUE"""),27.43)</f>
        <v>27.43</v>
      </c>
      <c r="Q224" s="3">
        <f>IFERROR(__xludf.DUMMYFUNCTION("""COMPUTED_VALUE"""),44517.66666666667)</f>
        <v>44517.66667</v>
      </c>
      <c r="R224" s="2">
        <f>IFERROR(__xludf.DUMMYFUNCTION("""COMPUTED_VALUE"""),147.1)</f>
        <v>147.1</v>
      </c>
    </row>
    <row r="225">
      <c r="B225" s="3">
        <f>IFERROR(__xludf.DUMMYFUNCTION("""COMPUTED_VALUE"""),44518.66666666667)</f>
        <v>44518.66667</v>
      </c>
      <c r="C225" s="2">
        <f>IFERROR(__xludf.DUMMYFUNCTION("""COMPUTED_VALUE"""),53.63)</f>
        <v>53.63</v>
      </c>
      <c r="E225" s="3">
        <f>IFERROR(__xludf.DUMMYFUNCTION("""COMPUTED_VALUE"""),45821.66666666667)</f>
        <v>45821.66667</v>
      </c>
      <c r="F225" s="2">
        <f>IFERROR(__xludf.DUMMYFUNCTION("""COMPUTED_VALUE"""),2.64)</f>
        <v>2.64</v>
      </c>
      <c r="H225" s="3">
        <f>IFERROR(__xludf.DUMMYFUNCTION("""COMPUTED_VALUE"""),45573.66666666667)</f>
        <v>45573.66667</v>
      </c>
      <c r="I225" s="2">
        <f>IFERROR(__xludf.DUMMYFUNCTION("""COMPUTED_VALUE"""),0.62)</f>
        <v>0.62</v>
      </c>
      <c r="K225" s="3">
        <f>IFERROR(__xludf.DUMMYFUNCTION("""COMPUTED_VALUE"""),44517.6875)</f>
        <v>44517.6875</v>
      </c>
      <c r="L225" s="2">
        <f>IFERROR(__xludf.DUMMYFUNCTION("""COMPUTED_VALUE"""),49.99)</f>
        <v>49.99</v>
      </c>
      <c r="N225" s="3">
        <f>IFERROR(__xludf.DUMMYFUNCTION("""COMPUTED_VALUE"""),44518.66666666667)</f>
        <v>44518.66667</v>
      </c>
      <c r="O225" s="2">
        <f>IFERROR(__xludf.DUMMYFUNCTION("""COMPUTED_VALUE"""),27.29)</f>
        <v>27.29</v>
      </c>
      <c r="Q225" s="3">
        <f>IFERROR(__xludf.DUMMYFUNCTION("""COMPUTED_VALUE"""),44518.66666666667)</f>
        <v>44518.66667</v>
      </c>
      <c r="R225" s="2">
        <f>IFERROR(__xludf.DUMMYFUNCTION("""COMPUTED_VALUE"""),147.12)</f>
        <v>147.12</v>
      </c>
    </row>
    <row r="226">
      <c r="B226" s="3">
        <f>IFERROR(__xludf.DUMMYFUNCTION("""COMPUTED_VALUE"""),44519.66666666667)</f>
        <v>44519.66667</v>
      </c>
      <c r="C226" s="2">
        <f>IFERROR(__xludf.DUMMYFUNCTION("""COMPUTED_VALUE"""),53.25)</f>
        <v>53.25</v>
      </c>
      <c r="E226" s="3">
        <f>IFERROR(__xludf.DUMMYFUNCTION("""COMPUTED_VALUE"""),45824.66666666667)</f>
        <v>45824.66667</v>
      </c>
      <c r="F226" s="2">
        <f>IFERROR(__xludf.DUMMYFUNCTION("""COMPUTED_VALUE"""),2.67)</f>
        <v>2.67</v>
      </c>
      <c r="H226" s="3">
        <f>IFERROR(__xludf.DUMMYFUNCTION("""COMPUTED_VALUE"""),45574.66666666667)</f>
        <v>45574.66667</v>
      </c>
      <c r="I226" s="2">
        <f>IFERROR(__xludf.DUMMYFUNCTION("""COMPUTED_VALUE"""),0.71)</f>
        <v>0.71</v>
      </c>
      <c r="K226" s="3">
        <f>IFERROR(__xludf.DUMMYFUNCTION("""COMPUTED_VALUE"""),44518.6875)</f>
        <v>44518.6875</v>
      </c>
      <c r="L226" s="2">
        <f>IFERROR(__xludf.DUMMYFUNCTION("""COMPUTED_VALUE"""),49.89)</f>
        <v>49.89</v>
      </c>
      <c r="N226" s="3">
        <f>IFERROR(__xludf.DUMMYFUNCTION("""COMPUTED_VALUE"""),44519.66666666667)</f>
        <v>44519.66667</v>
      </c>
      <c r="O226" s="2">
        <f>IFERROR(__xludf.DUMMYFUNCTION("""COMPUTED_VALUE"""),26.23)</f>
        <v>26.23</v>
      </c>
      <c r="Q226" s="3">
        <f>IFERROR(__xludf.DUMMYFUNCTION("""COMPUTED_VALUE"""),44519.66666666667)</f>
        <v>44519.66667</v>
      </c>
      <c r="R226" s="2">
        <f>IFERROR(__xludf.DUMMYFUNCTION("""COMPUTED_VALUE"""),146.82)</f>
        <v>146.82</v>
      </c>
    </row>
    <row r="227">
      <c r="B227" s="3">
        <f>IFERROR(__xludf.DUMMYFUNCTION("""COMPUTED_VALUE"""),44522.66666666667)</f>
        <v>44522.66667</v>
      </c>
      <c r="C227" s="2">
        <f>IFERROR(__xludf.DUMMYFUNCTION("""COMPUTED_VALUE"""),54.6)</f>
        <v>54.6</v>
      </c>
      <c r="E227" s="3">
        <f>IFERROR(__xludf.DUMMYFUNCTION("""COMPUTED_VALUE"""),45825.66666666667)</f>
        <v>45825.66667</v>
      </c>
      <c r="F227" s="2">
        <f>IFERROR(__xludf.DUMMYFUNCTION("""COMPUTED_VALUE"""),2.61)</f>
        <v>2.61</v>
      </c>
      <c r="H227" s="3">
        <f>IFERROR(__xludf.DUMMYFUNCTION("""COMPUTED_VALUE"""),45575.66666666667)</f>
        <v>45575.66667</v>
      </c>
      <c r="I227" s="2">
        <f>IFERROR(__xludf.DUMMYFUNCTION("""COMPUTED_VALUE"""),0.69)</f>
        <v>0.69</v>
      </c>
      <c r="K227" s="3">
        <f>IFERROR(__xludf.DUMMYFUNCTION("""COMPUTED_VALUE"""),44519.6875)</f>
        <v>44519.6875</v>
      </c>
      <c r="L227" s="2">
        <f>IFERROR(__xludf.DUMMYFUNCTION("""COMPUTED_VALUE"""),49.06)</f>
        <v>49.06</v>
      </c>
      <c r="N227" s="3">
        <f>IFERROR(__xludf.DUMMYFUNCTION("""COMPUTED_VALUE"""),44522.66666666667)</f>
        <v>44522.66667</v>
      </c>
      <c r="O227" s="2">
        <f>IFERROR(__xludf.DUMMYFUNCTION("""COMPUTED_VALUE"""),26.66)</f>
        <v>26.66</v>
      </c>
      <c r="Q227" s="3">
        <f>IFERROR(__xludf.DUMMYFUNCTION("""COMPUTED_VALUE"""),44522.66666666667)</f>
        <v>44522.66667</v>
      </c>
      <c r="R227" s="2">
        <f>IFERROR(__xludf.DUMMYFUNCTION("""COMPUTED_VALUE"""),147.8)</f>
        <v>147.8</v>
      </c>
    </row>
    <row r="228">
      <c r="B228" s="3">
        <f>IFERROR(__xludf.DUMMYFUNCTION("""COMPUTED_VALUE"""),44523.66666666667)</f>
        <v>44523.66667</v>
      </c>
      <c r="C228" s="2">
        <f>IFERROR(__xludf.DUMMYFUNCTION("""COMPUTED_VALUE"""),55.3)</f>
        <v>55.3</v>
      </c>
      <c r="E228" s="3">
        <f>IFERROR(__xludf.DUMMYFUNCTION("""COMPUTED_VALUE"""),45826.66666666667)</f>
        <v>45826.66667</v>
      </c>
      <c r="F228" s="2">
        <f>IFERROR(__xludf.DUMMYFUNCTION("""COMPUTED_VALUE"""),2.64)</f>
        <v>2.64</v>
      </c>
      <c r="H228" s="3">
        <f>IFERROR(__xludf.DUMMYFUNCTION("""COMPUTED_VALUE"""),45576.66666666667)</f>
        <v>45576.66667</v>
      </c>
      <c r="I228" s="2">
        <f>IFERROR(__xludf.DUMMYFUNCTION("""COMPUTED_VALUE"""),0.68)</f>
        <v>0.68</v>
      </c>
      <c r="K228" s="3">
        <f>IFERROR(__xludf.DUMMYFUNCTION("""COMPUTED_VALUE"""),44522.6875)</f>
        <v>44522.6875</v>
      </c>
      <c r="L228" s="2">
        <f>IFERROR(__xludf.DUMMYFUNCTION("""COMPUTED_VALUE"""),49.73)</f>
        <v>49.73</v>
      </c>
      <c r="N228" s="3">
        <f>IFERROR(__xludf.DUMMYFUNCTION("""COMPUTED_VALUE"""),44523.66666666667)</f>
        <v>44523.66667</v>
      </c>
      <c r="O228" s="2">
        <f>IFERROR(__xludf.DUMMYFUNCTION("""COMPUTED_VALUE"""),27.46)</f>
        <v>27.46</v>
      </c>
      <c r="Q228" s="3">
        <f>IFERROR(__xludf.DUMMYFUNCTION("""COMPUTED_VALUE"""),44523.66666666667)</f>
        <v>44523.66667</v>
      </c>
      <c r="R228" s="2">
        <f>IFERROR(__xludf.DUMMYFUNCTION("""COMPUTED_VALUE"""),149.44)</f>
        <v>149.44</v>
      </c>
    </row>
    <row r="229">
      <c r="B229" s="3">
        <f>IFERROR(__xludf.DUMMYFUNCTION("""COMPUTED_VALUE"""),44524.66666666667)</f>
        <v>44524.66667</v>
      </c>
      <c r="C229" s="2">
        <f>IFERROR(__xludf.DUMMYFUNCTION("""COMPUTED_VALUE"""),55.54)</f>
        <v>55.54</v>
      </c>
      <c r="E229" s="3">
        <f>IFERROR(__xludf.DUMMYFUNCTION("""COMPUTED_VALUE"""),45828.66666666667)</f>
        <v>45828.66667</v>
      </c>
      <c r="F229" s="2">
        <f>IFERROR(__xludf.DUMMYFUNCTION("""COMPUTED_VALUE"""),2.42)</f>
        <v>2.42</v>
      </c>
      <c r="H229" s="3">
        <f>IFERROR(__xludf.DUMMYFUNCTION("""COMPUTED_VALUE"""),45579.66666666667)</f>
        <v>45579.66667</v>
      </c>
      <c r="I229" s="2">
        <f>IFERROR(__xludf.DUMMYFUNCTION("""COMPUTED_VALUE"""),0.7)</f>
        <v>0.7</v>
      </c>
      <c r="K229" s="3">
        <f>IFERROR(__xludf.DUMMYFUNCTION("""COMPUTED_VALUE"""),44523.6875)</f>
        <v>44523.6875</v>
      </c>
      <c r="L229" s="2">
        <f>IFERROR(__xludf.DUMMYFUNCTION("""COMPUTED_VALUE"""),49.84)</f>
        <v>49.84</v>
      </c>
      <c r="N229" s="3">
        <f>IFERROR(__xludf.DUMMYFUNCTION("""COMPUTED_VALUE"""),44524.66666666667)</f>
        <v>44524.66667</v>
      </c>
      <c r="O229" s="2">
        <f>IFERROR(__xludf.DUMMYFUNCTION("""COMPUTED_VALUE"""),27.65)</f>
        <v>27.65</v>
      </c>
      <c r="Q229" s="3">
        <f>IFERROR(__xludf.DUMMYFUNCTION("""COMPUTED_VALUE"""),44524.66666666667)</f>
        <v>44524.66667</v>
      </c>
      <c r="R229" s="2">
        <f>IFERROR(__xludf.DUMMYFUNCTION("""COMPUTED_VALUE"""),148.66)</f>
        <v>148.66</v>
      </c>
    </row>
    <row r="230">
      <c r="B230" s="3">
        <f>IFERROR(__xludf.DUMMYFUNCTION("""COMPUTED_VALUE"""),44526.54166666667)</f>
        <v>44526.54167</v>
      </c>
      <c r="C230" s="2">
        <f>IFERROR(__xludf.DUMMYFUNCTION("""COMPUTED_VALUE"""),54.67)</f>
        <v>54.67</v>
      </c>
      <c r="E230" s="3">
        <f>IFERROR(__xludf.DUMMYFUNCTION("""COMPUTED_VALUE"""),45831.66666666667)</f>
        <v>45831.66667</v>
      </c>
      <c r="F230" s="2">
        <f>IFERROR(__xludf.DUMMYFUNCTION("""COMPUTED_VALUE"""),2.52)</f>
        <v>2.52</v>
      </c>
      <c r="H230" s="3">
        <f>IFERROR(__xludf.DUMMYFUNCTION("""COMPUTED_VALUE"""),45580.66666666667)</f>
        <v>45580.66667</v>
      </c>
      <c r="I230" s="2">
        <f>IFERROR(__xludf.DUMMYFUNCTION("""COMPUTED_VALUE"""),0.7)</f>
        <v>0.7</v>
      </c>
      <c r="K230" s="3">
        <f>IFERROR(__xludf.DUMMYFUNCTION("""COMPUTED_VALUE"""),44524.6875)</f>
        <v>44524.6875</v>
      </c>
      <c r="L230" s="2">
        <f>IFERROR(__xludf.DUMMYFUNCTION("""COMPUTED_VALUE"""),49.52)</f>
        <v>49.52</v>
      </c>
      <c r="N230" s="3">
        <f>IFERROR(__xludf.DUMMYFUNCTION("""COMPUTED_VALUE"""),44526.54166666667)</f>
        <v>44526.54167</v>
      </c>
      <c r="O230" s="2">
        <f>IFERROR(__xludf.DUMMYFUNCTION("""COMPUTED_VALUE"""),25.96)</f>
        <v>25.96</v>
      </c>
      <c r="Q230" s="3">
        <f>IFERROR(__xludf.DUMMYFUNCTION("""COMPUTED_VALUE"""),44526.54166666667)</f>
        <v>44526.54167</v>
      </c>
      <c r="R230" s="2">
        <f>IFERROR(__xludf.DUMMYFUNCTION("""COMPUTED_VALUE"""),147.47)</f>
        <v>147.47</v>
      </c>
    </row>
    <row r="231">
      <c r="B231" s="3">
        <f>IFERROR(__xludf.DUMMYFUNCTION("""COMPUTED_VALUE"""),44529.66666666667)</f>
        <v>44529.66667</v>
      </c>
      <c r="C231" s="2">
        <f>IFERROR(__xludf.DUMMYFUNCTION("""COMPUTED_VALUE"""),55.76)</f>
        <v>55.76</v>
      </c>
      <c r="E231" s="3">
        <f>IFERROR(__xludf.DUMMYFUNCTION("""COMPUTED_VALUE"""),45832.66666666667)</f>
        <v>45832.66667</v>
      </c>
      <c r="F231" s="2">
        <f>IFERROR(__xludf.DUMMYFUNCTION("""COMPUTED_VALUE"""),2.57)</f>
        <v>2.57</v>
      </c>
      <c r="H231" s="3">
        <f>IFERROR(__xludf.DUMMYFUNCTION("""COMPUTED_VALUE"""),45581.66666666667)</f>
        <v>45581.66667</v>
      </c>
      <c r="I231" s="2">
        <f>IFERROR(__xludf.DUMMYFUNCTION("""COMPUTED_VALUE"""),0.71)</f>
        <v>0.71</v>
      </c>
      <c r="K231" s="3">
        <f>IFERROR(__xludf.DUMMYFUNCTION("""COMPUTED_VALUE"""),44525.6875)</f>
        <v>44525.6875</v>
      </c>
      <c r="L231" s="2">
        <f>IFERROR(__xludf.DUMMYFUNCTION("""COMPUTED_VALUE"""),49.69)</f>
        <v>49.69</v>
      </c>
      <c r="N231" s="3">
        <f>IFERROR(__xludf.DUMMYFUNCTION("""COMPUTED_VALUE"""),44529.66666666667)</f>
        <v>44529.66667</v>
      </c>
      <c r="O231" s="2">
        <f>IFERROR(__xludf.DUMMYFUNCTION("""COMPUTED_VALUE"""),26.18)</f>
        <v>26.18</v>
      </c>
      <c r="Q231" s="3">
        <f>IFERROR(__xludf.DUMMYFUNCTION("""COMPUTED_VALUE"""),44529.66666666667)</f>
        <v>44529.66667</v>
      </c>
      <c r="R231" s="2">
        <f>IFERROR(__xludf.DUMMYFUNCTION("""COMPUTED_VALUE"""),149.02)</f>
        <v>149.02</v>
      </c>
    </row>
    <row r="232">
      <c r="B232" s="3">
        <f>IFERROR(__xludf.DUMMYFUNCTION("""COMPUTED_VALUE"""),44530.66666666667)</f>
        <v>44530.66667</v>
      </c>
      <c r="C232" s="2">
        <f>IFERROR(__xludf.DUMMYFUNCTION("""COMPUTED_VALUE"""),54.84)</f>
        <v>54.84</v>
      </c>
      <c r="E232" s="3">
        <f>IFERROR(__xludf.DUMMYFUNCTION("""COMPUTED_VALUE"""),45833.66666666667)</f>
        <v>45833.66667</v>
      </c>
      <c r="F232" s="2">
        <f>IFERROR(__xludf.DUMMYFUNCTION("""COMPUTED_VALUE"""),2.61)</f>
        <v>2.61</v>
      </c>
      <c r="H232" s="3">
        <f>IFERROR(__xludf.DUMMYFUNCTION("""COMPUTED_VALUE"""),45582.66666666667)</f>
        <v>45582.66667</v>
      </c>
      <c r="I232" s="2">
        <f>IFERROR(__xludf.DUMMYFUNCTION("""COMPUTED_VALUE"""),0.71)</f>
        <v>0.71</v>
      </c>
      <c r="K232" s="3">
        <f>IFERROR(__xludf.DUMMYFUNCTION("""COMPUTED_VALUE"""),44526.6875)</f>
        <v>44526.6875</v>
      </c>
      <c r="L232" s="2">
        <f>IFERROR(__xludf.DUMMYFUNCTION("""COMPUTED_VALUE"""),46.0)</f>
        <v>46</v>
      </c>
      <c r="N232" s="3">
        <f>IFERROR(__xludf.DUMMYFUNCTION("""COMPUTED_VALUE"""),44530.66666666667)</f>
        <v>44530.66667</v>
      </c>
      <c r="O232" s="2">
        <f>IFERROR(__xludf.DUMMYFUNCTION("""COMPUTED_VALUE"""),25.96)</f>
        <v>25.96</v>
      </c>
      <c r="Q232" s="3">
        <f>IFERROR(__xludf.DUMMYFUNCTION("""COMPUTED_VALUE"""),44530.66666666667)</f>
        <v>44530.66667</v>
      </c>
      <c r="R232" s="2">
        <f>IFERROR(__xludf.DUMMYFUNCTION("""COMPUTED_VALUE"""),144.58)</f>
        <v>144.58</v>
      </c>
    </row>
    <row r="233">
      <c r="B233" s="3">
        <f>IFERROR(__xludf.DUMMYFUNCTION("""COMPUTED_VALUE"""),44531.66666666667)</f>
        <v>44531.66667</v>
      </c>
      <c r="C233" s="2">
        <f>IFERROR(__xludf.DUMMYFUNCTION("""COMPUTED_VALUE"""),55.03)</f>
        <v>55.03</v>
      </c>
      <c r="E233" s="3">
        <f>IFERROR(__xludf.DUMMYFUNCTION("""COMPUTED_VALUE"""),45834.66666666667)</f>
        <v>45834.66667</v>
      </c>
      <c r="F233" s="2">
        <f>IFERROR(__xludf.DUMMYFUNCTION("""COMPUTED_VALUE"""),2.51)</f>
        <v>2.51</v>
      </c>
      <c r="H233" s="3">
        <f>IFERROR(__xludf.DUMMYFUNCTION("""COMPUTED_VALUE"""),45583.66666666667)</f>
        <v>45583.66667</v>
      </c>
      <c r="I233" s="2">
        <f>IFERROR(__xludf.DUMMYFUNCTION("""COMPUTED_VALUE"""),0.73)</f>
        <v>0.73</v>
      </c>
      <c r="K233" s="3">
        <f>IFERROR(__xludf.DUMMYFUNCTION("""COMPUTED_VALUE"""),44529.6875)</f>
        <v>44529.6875</v>
      </c>
      <c r="L233" s="2">
        <f>IFERROR(__xludf.DUMMYFUNCTION("""COMPUTED_VALUE"""),46.8)</f>
        <v>46.8</v>
      </c>
      <c r="N233" s="3">
        <f>IFERROR(__xludf.DUMMYFUNCTION("""COMPUTED_VALUE"""),44531.66666666667)</f>
        <v>44531.66667</v>
      </c>
      <c r="O233" s="2">
        <f>IFERROR(__xludf.DUMMYFUNCTION("""COMPUTED_VALUE"""),25.74)</f>
        <v>25.74</v>
      </c>
      <c r="Q233" s="3">
        <f>IFERROR(__xludf.DUMMYFUNCTION("""COMPUTED_VALUE"""),44531.66666666667)</f>
        <v>44531.66667</v>
      </c>
      <c r="R233" s="2">
        <f>IFERROR(__xludf.DUMMYFUNCTION("""COMPUTED_VALUE"""),146.4)</f>
        <v>146.4</v>
      </c>
    </row>
    <row r="234">
      <c r="B234" s="3">
        <f>IFERROR(__xludf.DUMMYFUNCTION("""COMPUTED_VALUE"""),44532.66666666667)</f>
        <v>44532.66667</v>
      </c>
      <c r="C234" s="2">
        <f>IFERROR(__xludf.DUMMYFUNCTION("""COMPUTED_VALUE"""),56.15)</f>
        <v>56.15</v>
      </c>
      <c r="E234" s="3">
        <f>IFERROR(__xludf.DUMMYFUNCTION("""COMPUTED_VALUE"""),45835.66666666667)</f>
        <v>45835.66667</v>
      </c>
      <c r="F234" s="2">
        <f>IFERROR(__xludf.DUMMYFUNCTION("""COMPUTED_VALUE"""),2.51)</f>
        <v>2.51</v>
      </c>
      <c r="H234" s="3">
        <f>IFERROR(__xludf.DUMMYFUNCTION("""COMPUTED_VALUE"""),45586.66666666667)</f>
        <v>45586.66667</v>
      </c>
      <c r="I234" s="2">
        <f>IFERROR(__xludf.DUMMYFUNCTION("""COMPUTED_VALUE"""),0.72)</f>
        <v>0.72</v>
      </c>
      <c r="K234" s="3">
        <f>IFERROR(__xludf.DUMMYFUNCTION("""COMPUTED_VALUE"""),44530.6875)</f>
        <v>44530.6875</v>
      </c>
      <c r="L234" s="2">
        <f>IFERROR(__xludf.DUMMYFUNCTION("""COMPUTED_VALUE"""),46.8)</f>
        <v>46.8</v>
      </c>
      <c r="N234" s="3">
        <f>IFERROR(__xludf.DUMMYFUNCTION("""COMPUTED_VALUE"""),44532.66666666667)</f>
        <v>44532.66667</v>
      </c>
      <c r="O234" s="2">
        <f>IFERROR(__xludf.DUMMYFUNCTION("""COMPUTED_VALUE"""),27.06)</f>
        <v>27.06</v>
      </c>
      <c r="Q234" s="3">
        <f>IFERROR(__xludf.DUMMYFUNCTION("""COMPUTED_VALUE"""),44532.66666666667)</f>
        <v>44532.66667</v>
      </c>
      <c r="R234" s="2">
        <f>IFERROR(__xludf.DUMMYFUNCTION("""COMPUTED_VALUE"""),147.26)</f>
        <v>147.26</v>
      </c>
    </row>
    <row r="235">
      <c r="B235" s="3">
        <f>IFERROR(__xludf.DUMMYFUNCTION("""COMPUTED_VALUE"""),44533.66666666667)</f>
        <v>44533.66667</v>
      </c>
      <c r="C235" s="2">
        <f>IFERROR(__xludf.DUMMYFUNCTION("""COMPUTED_VALUE"""),56.23)</f>
        <v>56.23</v>
      </c>
      <c r="E235" s="3">
        <f>IFERROR(__xludf.DUMMYFUNCTION("""COMPUTED_VALUE"""),45838.66666666667)</f>
        <v>45838.66667</v>
      </c>
      <c r="F235" s="2">
        <f>IFERROR(__xludf.DUMMYFUNCTION("""COMPUTED_VALUE"""),2.51)</f>
        <v>2.51</v>
      </c>
      <c r="H235" s="3">
        <f>IFERROR(__xludf.DUMMYFUNCTION("""COMPUTED_VALUE"""),45587.66666666667)</f>
        <v>45587.66667</v>
      </c>
      <c r="I235" s="2">
        <f>IFERROR(__xludf.DUMMYFUNCTION("""COMPUTED_VALUE"""),0.67)</f>
        <v>0.67</v>
      </c>
      <c r="K235" s="3">
        <f>IFERROR(__xludf.DUMMYFUNCTION("""COMPUTED_VALUE"""),44531.6875)</f>
        <v>44531.6875</v>
      </c>
      <c r="L235" s="2">
        <f>IFERROR(__xludf.DUMMYFUNCTION("""COMPUTED_VALUE"""),47.69)</f>
        <v>47.69</v>
      </c>
      <c r="N235" s="3">
        <f>IFERROR(__xludf.DUMMYFUNCTION("""COMPUTED_VALUE"""),44533.66666666667)</f>
        <v>44533.66667</v>
      </c>
      <c r="O235" s="2">
        <f>IFERROR(__xludf.DUMMYFUNCTION("""COMPUTED_VALUE"""),26.91)</f>
        <v>26.91</v>
      </c>
      <c r="Q235" s="3">
        <f>IFERROR(__xludf.DUMMYFUNCTION("""COMPUTED_VALUE"""),44533.66666666667)</f>
        <v>44533.66667</v>
      </c>
      <c r="R235" s="2">
        <f>IFERROR(__xludf.DUMMYFUNCTION("""COMPUTED_VALUE"""),149.88)</f>
        <v>149.88</v>
      </c>
    </row>
    <row r="236">
      <c r="B236" s="3">
        <f>IFERROR(__xludf.DUMMYFUNCTION("""COMPUTED_VALUE"""),44536.66666666667)</f>
        <v>44536.66667</v>
      </c>
      <c r="C236" s="2">
        <f>IFERROR(__xludf.DUMMYFUNCTION("""COMPUTED_VALUE"""),56.96)</f>
        <v>56.96</v>
      </c>
      <c r="E236" s="3">
        <f>IFERROR(__xludf.DUMMYFUNCTION("""COMPUTED_VALUE"""),45839.66666666667)</f>
        <v>45839.66667</v>
      </c>
      <c r="F236" s="2">
        <f>IFERROR(__xludf.DUMMYFUNCTION("""COMPUTED_VALUE"""),2.48)</f>
        <v>2.48</v>
      </c>
      <c r="H236" s="3">
        <f>IFERROR(__xludf.DUMMYFUNCTION("""COMPUTED_VALUE"""),45588.66666666667)</f>
        <v>45588.66667</v>
      </c>
      <c r="I236" s="2">
        <f>IFERROR(__xludf.DUMMYFUNCTION("""COMPUTED_VALUE"""),0.63)</f>
        <v>0.63</v>
      </c>
      <c r="K236" s="3">
        <f>IFERROR(__xludf.DUMMYFUNCTION("""COMPUTED_VALUE"""),44532.6875)</f>
        <v>44532.6875</v>
      </c>
      <c r="L236" s="2">
        <f>IFERROR(__xludf.DUMMYFUNCTION("""COMPUTED_VALUE"""),46.93)</f>
        <v>46.93</v>
      </c>
      <c r="N236" s="3">
        <f>IFERROR(__xludf.DUMMYFUNCTION("""COMPUTED_VALUE"""),44536.66666666667)</f>
        <v>44536.66667</v>
      </c>
      <c r="O236" s="2">
        <f>IFERROR(__xludf.DUMMYFUNCTION("""COMPUTED_VALUE"""),27.33)</f>
        <v>27.33</v>
      </c>
      <c r="Q236" s="3">
        <f>IFERROR(__xludf.DUMMYFUNCTION("""COMPUTED_VALUE"""),44536.66666666667)</f>
        <v>44536.66667</v>
      </c>
      <c r="R236" s="2">
        <f>IFERROR(__xludf.DUMMYFUNCTION("""COMPUTED_VALUE"""),152.15)</f>
        <v>152.15</v>
      </c>
    </row>
    <row r="237">
      <c r="B237" s="3">
        <f>IFERROR(__xludf.DUMMYFUNCTION("""COMPUTED_VALUE"""),44537.66666666667)</f>
        <v>44537.66667</v>
      </c>
      <c r="C237" s="2">
        <f>IFERROR(__xludf.DUMMYFUNCTION("""COMPUTED_VALUE"""),58.08)</f>
        <v>58.08</v>
      </c>
      <c r="E237" s="3">
        <f>IFERROR(__xludf.DUMMYFUNCTION("""COMPUTED_VALUE"""),45840.66666666667)</f>
        <v>45840.66667</v>
      </c>
      <c r="F237" s="2">
        <f>IFERROR(__xludf.DUMMYFUNCTION("""COMPUTED_VALUE"""),2.45)</f>
        <v>2.45</v>
      </c>
      <c r="H237" s="3">
        <f>IFERROR(__xludf.DUMMYFUNCTION("""COMPUTED_VALUE"""),45589.66666666667)</f>
        <v>45589.66667</v>
      </c>
      <c r="I237" s="2">
        <f>IFERROR(__xludf.DUMMYFUNCTION("""COMPUTED_VALUE"""),0.62)</f>
        <v>0.62</v>
      </c>
      <c r="K237" s="3">
        <f>IFERROR(__xludf.DUMMYFUNCTION("""COMPUTED_VALUE"""),44533.6875)</f>
        <v>44533.6875</v>
      </c>
      <c r="L237" s="2">
        <f>IFERROR(__xludf.DUMMYFUNCTION("""COMPUTED_VALUE"""),46.48)</f>
        <v>46.48</v>
      </c>
      <c r="N237" s="3">
        <f>IFERROR(__xludf.DUMMYFUNCTION("""COMPUTED_VALUE"""),44537.66666666667)</f>
        <v>44537.66667</v>
      </c>
      <c r="O237" s="2">
        <f>IFERROR(__xludf.DUMMYFUNCTION("""COMPUTED_VALUE"""),27.54)</f>
        <v>27.54</v>
      </c>
      <c r="Q237" s="3">
        <f>IFERROR(__xludf.DUMMYFUNCTION("""COMPUTED_VALUE"""),44537.66666666667)</f>
        <v>44537.66667</v>
      </c>
      <c r="R237" s="2">
        <f>IFERROR(__xludf.DUMMYFUNCTION("""COMPUTED_VALUE"""),151.75)</f>
        <v>151.75</v>
      </c>
    </row>
    <row r="238">
      <c r="B238" s="3">
        <f>IFERROR(__xludf.DUMMYFUNCTION("""COMPUTED_VALUE"""),44538.66666666667)</f>
        <v>44538.66667</v>
      </c>
      <c r="C238" s="2">
        <f>IFERROR(__xludf.DUMMYFUNCTION("""COMPUTED_VALUE"""),57.02)</f>
        <v>57.02</v>
      </c>
      <c r="E238" s="3">
        <f>IFERROR(__xludf.DUMMYFUNCTION("""COMPUTED_VALUE"""),45841.54513888889)</f>
        <v>45841.54514</v>
      </c>
      <c r="F238" s="2">
        <f>IFERROR(__xludf.DUMMYFUNCTION("""COMPUTED_VALUE"""),2.42)</f>
        <v>2.42</v>
      </c>
      <c r="H238" s="3">
        <f>IFERROR(__xludf.DUMMYFUNCTION("""COMPUTED_VALUE"""),45590.66666666667)</f>
        <v>45590.66667</v>
      </c>
      <c r="I238" s="2">
        <f>IFERROR(__xludf.DUMMYFUNCTION("""COMPUTED_VALUE"""),0.63)</f>
        <v>0.63</v>
      </c>
      <c r="K238" s="3">
        <f>IFERROR(__xludf.DUMMYFUNCTION("""COMPUTED_VALUE"""),44536.6875)</f>
        <v>44536.6875</v>
      </c>
      <c r="L238" s="2">
        <f>IFERROR(__xludf.DUMMYFUNCTION("""COMPUTED_VALUE"""),46.28)</f>
        <v>46.28</v>
      </c>
      <c r="N238" s="3">
        <f>IFERROR(__xludf.DUMMYFUNCTION("""COMPUTED_VALUE"""),44538.66666666667)</f>
        <v>44538.66667</v>
      </c>
      <c r="O238" s="2">
        <f>IFERROR(__xludf.DUMMYFUNCTION("""COMPUTED_VALUE"""),27.5)</f>
        <v>27.5</v>
      </c>
      <c r="Q238" s="3">
        <f>IFERROR(__xludf.DUMMYFUNCTION("""COMPUTED_VALUE"""),44538.66666666667)</f>
        <v>44538.66667</v>
      </c>
      <c r="R238" s="2">
        <f>IFERROR(__xludf.DUMMYFUNCTION("""COMPUTED_VALUE"""),152.43)</f>
        <v>152.43</v>
      </c>
    </row>
    <row r="239">
      <c r="B239" s="3">
        <f>IFERROR(__xludf.DUMMYFUNCTION("""COMPUTED_VALUE"""),44539.66666666667)</f>
        <v>44539.66667</v>
      </c>
      <c r="C239" s="2">
        <f>IFERROR(__xludf.DUMMYFUNCTION("""COMPUTED_VALUE"""),57.55)</f>
        <v>57.55</v>
      </c>
      <c r="E239" s="3">
        <f>IFERROR(__xludf.DUMMYFUNCTION("""COMPUTED_VALUE"""),45845.66666666667)</f>
        <v>45845.66667</v>
      </c>
      <c r="F239" s="2">
        <f>IFERROR(__xludf.DUMMYFUNCTION("""COMPUTED_VALUE"""),2.28)</f>
        <v>2.28</v>
      </c>
      <c r="H239" s="3">
        <f>IFERROR(__xludf.DUMMYFUNCTION("""COMPUTED_VALUE"""),45593.66666666667)</f>
        <v>45593.66667</v>
      </c>
      <c r="I239" s="2">
        <f>IFERROR(__xludf.DUMMYFUNCTION("""COMPUTED_VALUE"""),0.75)</f>
        <v>0.75</v>
      </c>
      <c r="K239" s="3">
        <f>IFERROR(__xludf.DUMMYFUNCTION("""COMPUTED_VALUE"""),44537.6875)</f>
        <v>44537.6875</v>
      </c>
      <c r="L239" s="2">
        <f>IFERROR(__xludf.DUMMYFUNCTION("""COMPUTED_VALUE"""),47.49)</f>
        <v>47.49</v>
      </c>
      <c r="N239" s="3">
        <f>IFERROR(__xludf.DUMMYFUNCTION("""COMPUTED_VALUE"""),44539.66666666667)</f>
        <v>44539.66667</v>
      </c>
      <c r="O239" s="2">
        <f>IFERROR(__xludf.DUMMYFUNCTION("""COMPUTED_VALUE"""),27.16)</f>
        <v>27.16</v>
      </c>
      <c r="Q239" s="3">
        <f>IFERROR(__xludf.DUMMYFUNCTION("""COMPUTED_VALUE"""),44539.66666666667)</f>
        <v>44539.66667</v>
      </c>
      <c r="R239" s="2">
        <f>IFERROR(__xludf.DUMMYFUNCTION("""COMPUTED_VALUE"""),153.32)</f>
        <v>153.32</v>
      </c>
    </row>
    <row r="240">
      <c r="B240" s="3">
        <f>IFERROR(__xludf.DUMMYFUNCTION("""COMPUTED_VALUE"""),44540.66666666667)</f>
        <v>44540.66667</v>
      </c>
      <c r="C240" s="2">
        <f>IFERROR(__xludf.DUMMYFUNCTION("""COMPUTED_VALUE"""),59.25)</f>
        <v>59.25</v>
      </c>
      <c r="E240" s="3">
        <f>IFERROR(__xludf.DUMMYFUNCTION("""COMPUTED_VALUE"""),45846.66666666667)</f>
        <v>45846.66667</v>
      </c>
      <c r="F240" s="2">
        <f>IFERROR(__xludf.DUMMYFUNCTION("""COMPUTED_VALUE"""),2.25)</f>
        <v>2.25</v>
      </c>
      <c r="H240" s="3">
        <f>IFERROR(__xludf.DUMMYFUNCTION("""COMPUTED_VALUE"""),45594.66666666667)</f>
        <v>45594.66667</v>
      </c>
      <c r="I240" s="2">
        <f>IFERROR(__xludf.DUMMYFUNCTION("""COMPUTED_VALUE"""),0.74)</f>
        <v>0.74</v>
      </c>
      <c r="K240" s="3">
        <f>IFERROR(__xludf.DUMMYFUNCTION("""COMPUTED_VALUE"""),44538.6875)</f>
        <v>44538.6875</v>
      </c>
      <c r="L240" s="2">
        <f>IFERROR(__xludf.DUMMYFUNCTION("""COMPUTED_VALUE"""),47.37)</f>
        <v>47.37</v>
      </c>
      <c r="N240" s="3">
        <f>IFERROR(__xludf.DUMMYFUNCTION("""COMPUTED_VALUE"""),44540.66666666667)</f>
        <v>44540.66667</v>
      </c>
      <c r="O240" s="2">
        <f>IFERROR(__xludf.DUMMYFUNCTION("""COMPUTED_VALUE"""),27.41)</f>
        <v>27.41</v>
      </c>
      <c r="Q240" s="3">
        <f>IFERROR(__xludf.DUMMYFUNCTION("""COMPUTED_VALUE"""),44540.66666666667)</f>
        <v>44540.66667</v>
      </c>
      <c r="R240" s="2">
        <f>IFERROR(__xludf.DUMMYFUNCTION("""COMPUTED_VALUE"""),155.46)</f>
        <v>155.46</v>
      </c>
    </row>
    <row r="241">
      <c r="B241" s="3">
        <f>IFERROR(__xludf.DUMMYFUNCTION("""COMPUTED_VALUE"""),44543.66666666667)</f>
        <v>44543.66667</v>
      </c>
      <c r="C241" s="2">
        <f>IFERROR(__xludf.DUMMYFUNCTION("""COMPUTED_VALUE"""),58.61)</f>
        <v>58.61</v>
      </c>
      <c r="E241" s="3">
        <f>IFERROR(__xludf.DUMMYFUNCTION("""COMPUTED_VALUE"""),45847.66666666667)</f>
        <v>45847.66667</v>
      </c>
      <c r="F241" s="2">
        <f>IFERROR(__xludf.DUMMYFUNCTION("""COMPUTED_VALUE"""),2.16)</f>
        <v>2.16</v>
      </c>
      <c r="H241" s="3">
        <f>IFERROR(__xludf.DUMMYFUNCTION("""COMPUTED_VALUE"""),45595.66666666667)</f>
        <v>45595.66667</v>
      </c>
      <c r="I241" s="2">
        <f>IFERROR(__xludf.DUMMYFUNCTION("""COMPUTED_VALUE"""),0.71)</f>
        <v>0.71</v>
      </c>
      <c r="K241" s="3">
        <f>IFERROR(__xludf.DUMMYFUNCTION("""COMPUTED_VALUE"""),44539.6875)</f>
        <v>44539.6875</v>
      </c>
      <c r="L241" s="2">
        <f>IFERROR(__xludf.DUMMYFUNCTION("""COMPUTED_VALUE"""),46.7)</f>
        <v>46.7</v>
      </c>
      <c r="N241" s="3">
        <f>IFERROR(__xludf.DUMMYFUNCTION("""COMPUTED_VALUE"""),44543.66666666667)</f>
        <v>44543.66667</v>
      </c>
      <c r="O241" s="2">
        <f>IFERROR(__xludf.DUMMYFUNCTION("""COMPUTED_VALUE"""),26.59)</f>
        <v>26.59</v>
      </c>
      <c r="Q241" s="3">
        <f>IFERROR(__xludf.DUMMYFUNCTION("""COMPUTED_VALUE"""),44543.66666666667)</f>
        <v>44543.66667</v>
      </c>
      <c r="R241" s="2">
        <f>IFERROR(__xludf.DUMMYFUNCTION("""COMPUTED_VALUE"""),157.67)</f>
        <v>157.67</v>
      </c>
    </row>
    <row r="242">
      <c r="B242" s="3">
        <f>IFERROR(__xludf.DUMMYFUNCTION("""COMPUTED_VALUE"""),44544.66666666667)</f>
        <v>44544.66667</v>
      </c>
      <c r="C242" s="2">
        <f>IFERROR(__xludf.DUMMYFUNCTION("""COMPUTED_VALUE"""),57.77)</f>
        <v>57.77</v>
      </c>
      <c r="E242" s="3">
        <f>IFERROR(__xludf.DUMMYFUNCTION("""COMPUTED_VALUE"""),45848.66666666667)</f>
        <v>45848.66667</v>
      </c>
      <c r="F242" s="2">
        <f>IFERROR(__xludf.DUMMYFUNCTION("""COMPUTED_VALUE"""),2.28)</f>
        <v>2.28</v>
      </c>
      <c r="H242" s="3">
        <f>IFERROR(__xludf.DUMMYFUNCTION("""COMPUTED_VALUE"""),45596.66666666667)</f>
        <v>45596.66667</v>
      </c>
      <c r="I242" s="2">
        <f>IFERROR(__xludf.DUMMYFUNCTION("""COMPUTED_VALUE"""),0.66)</f>
        <v>0.66</v>
      </c>
      <c r="K242" s="3">
        <f>IFERROR(__xludf.DUMMYFUNCTION("""COMPUTED_VALUE"""),44540.6875)</f>
        <v>44540.6875</v>
      </c>
      <c r="L242" s="2">
        <f>IFERROR(__xludf.DUMMYFUNCTION("""COMPUTED_VALUE"""),46.34)</f>
        <v>46.34</v>
      </c>
      <c r="N242" s="3">
        <f>IFERROR(__xludf.DUMMYFUNCTION("""COMPUTED_VALUE"""),44544.66666666667)</f>
        <v>44544.66667</v>
      </c>
      <c r="O242" s="2">
        <f>IFERROR(__xludf.DUMMYFUNCTION("""COMPUTED_VALUE"""),26.55)</f>
        <v>26.55</v>
      </c>
      <c r="Q242" s="3">
        <f>IFERROR(__xludf.DUMMYFUNCTION("""COMPUTED_VALUE"""),44544.66666666667)</f>
        <v>44544.66667</v>
      </c>
      <c r="R242" s="2">
        <f>IFERROR(__xludf.DUMMYFUNCTION("""COMPUTED_VALUE"""),158.25)</f>
        <v>158.25</v>
      </c>
    </row>
    <row r="243">
      <c r="B243" s="3">
        <f>IFERROR(__xludf.DUMMYFUNCTION("""COMPUTED_VALUE"""),44545.66666666667)</f>
        <v>44545.66667</v>
      </c>
      <c r="C243" s="2">
        <f>IFERROR(__xludf.DUMMYFUNCTION("""COMPUTED_VALUE"""),59.93)</f>
        <v>59.93</v>
      </c>
      <c r="E243" s="3">
        <f>IFERROR(__xludf.DUMMYFUNCTION("""COMPUTED_VALUE"""),45849.66666666667)</f>
        <v>45849.66667</v>
      </c>
      <c r="F243" s="2">
        <f>IFERROR(__xludf.DUMMYFUNCTION("""COMPUTED_VALUE"""),2.26)</f>
        <v>2.26</v>
      </c>
      <c r="H243" s="3">
        <f>IFERROR(__xludf.DUMMYFUNCTION("""COMPUTED_VALUE"""),45597.66666666667)</f>
        <v>45597.66667</v>
      </c>
      <c r="I243" s="2">
        <f>IFERROR(__xludf.DUMMYFUNCTION("""COMPUTED_VALUE"""),0.62)</f>
        <v>0.62</v>
      </c>
      <c r="K243" s="3">
        <f>IFERROR(__xludf.DUMMYFUNCTION("""COMPUTED_VALUE"""),44543.6875)</f>
        <v>44543.6875</v>
      </c>
      <c r="L243" s="2">
        <f>IFERROR(__xludf.DUMMYFUNCTION("""COMPUTED_VALUE"""),44.35)</f>
        <v>44.35</v>
      </c>
      <c r="N243" s="3">
        <f>IFERROR(__xludf.DUMMYFUNCTION("""COMPUTED_VALUE"""),44545.66666666667)</f>
        <v>44545.66667</v>
      </c>
      <c r="O243" s="2">
        <f>IFERROR(__xludf.DUMMYFUNCTION("""COMPUTED_VALUE"""),26.62)</f>
        <v>26.62</v>
      </c>
      <c r="Q243" s="3">
        <f>IFERROR(__xludf.DUMMYFUNCTION("""COMPUTED_VALUE"""),44545.66666666667)</f>
        <v>44545.66667</v>
      </c>
      <c r="R243" s="2">
        <f>IFERROR(__xludf.DUMMYFUNCTION("""COMPUTED_VALUE"""),158.86)</f>
        <v>158.86</v>
      </c>
    </row>
    <row r="244">
      <c r="B244" s="3">
        <f>IFERROR(__xludf.DUMMYFUNCTION("""COMPUTED_VALUE"""),44546.66666666667)</f>
        <v>44546.66667</v>
      </c>
      <c r="C244" s="2">
        <f>IFERROR(__xludf.DUMMYFUNCTION("""COMPUTED_VALUE"""),60.31)</f>
        <v>60.31</v>
      </c>
      <c r="E244" s="3">
        <f>IFERROR(__xludf.DUMMYFUNCTION("""COMPUTED_VALUE"""),45852.66666666667)</f>
        <v>45852.66667</v>
      </c>
      <c r="F244" s="2">
        <f>IFERROR(__xludf.DUMMYFUNCTION("""COMPUTED_VALUE"""),2.11)</f>
        <v>2.11</v>
      </c>
      <c r="H244" s="3">
        <f>IFERROR(__xludf.DUMMYFUNCTION("""COMPUTED_VALUE"""),45600.66666666667)</f>
        <v>45600.66667</v>
      </c>
      <c r="I244" s="2">
        <f>IFERROR(__xludf.DUMMYFUNCTION("""COMPUTED_VALUE"""),0.65)</f>
        <v>0.65</v>
      </c>
      <c r="K244" s="3">
        <f>IFERROR(__xludf.DUMMYFUNCTION("""COMPUTED_VALUE"""),44544.6875)</f>
        <v>44544.6875</v>
      </c>
      <c r="L244" s="2">
        <f>IFERROR(__xludf.DUMMYFUNCTION("""COMPUTED_VALUE"""),45.19)</f>
        <v>45.19</v>
      </c>
      <c r="N244" s="3">
        <f>IFERROR(__xludf.DUMMYFUNCTION("""COMPUTED_VALUE"""),44546.66666666667)</f>
        <v>44546.66667</v>
      </c>
      <c r="O244" s="2">
        <f>IFERROR(__xludf.DUMMYFUNCTION("""COMPUTED_VALUE"""),26.73)</f>
        <v>26.73</v>
      </c>
      <c r="Q244" s="3">
        <f>IFERROR(__xludf.DUMMYFUNCTION("""COMPUTED_VALUE"""),44546.66666666667)</f>
        <v>44546.66667</v>
      </c>
      <c r="R244" s="2">
        <f>IFERROR(__xludf.DUMMYFUNCTION("""COMPUTED_VALUE"""),161.11)</f>
        <v>161.11</v>
      </c>
    </row>
    <row r="245">
      <c r="B245" s="3">
        <f>IFERROR(__xludf.DUMMYFUNCTION("""COMPUTED_VALUE"""),44547.66666666667)</f>
        <v>44547.66667</v>
      </c>
      <c r="C245" s="2">
        <f>IFERROR(__xludf.DUMMYFUNCTION("""COMPUTED_VALUE"""),60.46)</f>
        <v>60.46</v>
      </c>
      <c r="E245" s="3">
        <f>IFERROR(__xludf.DUMMYFUNCTION("""COMPUTED_VALUE"""),45853.66666666667)</f>
        <v>45853.66667</v>
      </c>
      <c r="F245" s="2">
        <f>IFERROR(__xludf.DUMMYFUNCTION("""COMPUTED_VALUE"""),1.86)</f>
        <v>1.86</v>
      </c>
      <c r="H245" s="3">
        <f>IFERROR(__xludf.DUMMYFUNCTION("""COMPUTED_VALUE"""),45601.66666666667)</f>
        <v>45601.66667</v>
      </c>
      <c r="I245" s="2">
        <f>IFERROR(__xludf.DUMMYFUNCTION("""COMPUTED_VALUE"""),0.61)</f>
        <v>0.61</v>
      </c>
      <c r="K245" s="3">
        <f>IFERROR(__xludf.DUMMYFUNCTION("""COMPUTED_VALUE"""),44545.6875)</f>
        <v>44545.6875</v>
      </c>
      <c r="L245" s="2">
        <f>IFERROR(__xludf.DUMMYFUNCTION("""COMPUTED_VALUE"""),44.36)</f>
        <v>44.36</v>
      </c>
      <c r="N245" s="3">
        <f>IFERROR(__xludf.DUMMYFUNCTION("""COMPUTED_VALUE"""),44547.66666666667)</f>
        <v>44547.66667</v>
      </c>
      <c r="O245" s="2">
        <f>IFERROR(__xludf.DUMMYFUNCTION("""COMPUTED_VALUE"""),26.3)</f>
        <v>26.3</v>
      </c>
      <c r="Q245" s="3">
        <f>IFERROR(__xludf.DUMMYFUNCTION("""COMPUTED_VALUE"""),44547.66666666667)</f>
        <v>44547.66667</v>
      </c>
      <c r="R245" s="2">
        <f>IFERROR(__xludf.DUMMYFUNCTION("""COMPUTED_VALUE"""),157.46)</f>
        <v>157.46</v>
      </c>
    </row>
    <row r="246">
      <c r="B246" s="3">
        <f>IFERROR(__xludf.DUMMYFUNCTION("""COMPUTED_VALUE"""),44550.66666666667)</f>
        <v>44550.66667</v>
      </c>
      <c r="C246" s="2">
        <f>IFERROR(__xludf.DUMMYFUNCTION("""COMPUTED_VALUE"""),60.36)</f>
        <v>60.36</v>
      </c>
      <c r="E246" s="3">
        <f>IFERROR(__xludf.DUMMYFUNCTION("""COMPUTED_VALUE"""),45854.66666666667)</f>
        <v>45854.66667</v>
      </c>
      <c r="F246" s="2">
        <f>IFERROR(__xludf.DUMMYFUNCTION("""COMPUTED_VALUE"""),1.83)</f>
        <v>1.83</v>
      </c>
      <c r="H246" s="3">
        <f>IFERROR(__xludf.DUMMYFUNCTION("""COMPUTED_VALUE"""),45602.66666666667)</f>
        <v>45602.66667</v>
      </c>
      <c r="I246" s="2">
        <f>IFERROR(__xludf.DUMMYFUNCTION("""COMPUTED_VALUE"""),0.57)</f>
        <v>0.57</v>
      </c>
      <c r="K246" s="3">
        <f>IFERROR(__xludf.DUMMYFUNCTION("""COMPUTED_VALUE"""),44546.6875)</f>
        <v>44546.6875</v>
      </c>
      <c r="L246" s="2">
        <f>IFERROR(__xludf.DUMMYFUNCTION("""COMPUTED_VALUE"""),46.41)</f>
        <v>46.41</v>
      </c>
      <c r="N246" s="3">
        <f>IFERROR(__xludf.DUMMYFUNCTION("""COMPUTED_VALUE"""),44550.66666666667)</f>
        <v>44550.66667</v>
      </c>
      <c r="O246" s="2">
        <f>IFERROR(__xludf.DUMMYFUNCTION("""COMPUTED_VALUE"""),25.65)</f>
        <v>25.65</v>
      </c>
      <c r="Q246" s="3">
        <f>IFERROR(__xludf.DUMMYFUNCTION("""COMPUTED_VALUE"""),44550.66666666667)</f>
        <v>44550.66667</v>
      </c>
      <c r="R246" s="2">
        <f>IFERROR(__xludf.DUMMYFUNCTION("""COMPUTED_VALUE"""),157.86)</f>
        <v>157.86</v>
      </c>
    </row>
    <row r="247">
      <c r="B247" s="3">
        <f>IFERROR(__xludf.DUMMYFUNCTION("""COMPUTED_VALUE"""),44551.66666666667)</f>
        <v>44551.66667</v>
      </c>
      <c r="C247" s="2">
        <f>IFERROR(__xludf.DUMMYFUNCTION("""COMPUTED_VALUE"""),61.03)</f>
        <v>61.03</v>
      </c>
      <c r="E247" s="3">
        <f>IFERROR(__xludf.DUMMYFUNCTION("""COMPUTED_VALUE"""),45855.66666666667)</f>
        <v>45855.66667</v>
      </c>
      <c r="F247" s="2">
        <f>IFERROR(__xludf.DUMMYFUNCTION("""COMPUTED_VALUE"""),1.92)</f>
        <v>1.92</v>
      </c>
      <c r="H247" s="3">
        <f>IFERROR(__xludf.DUMMYFUNCTION("""COMPUTED_VALUE"""),45603.66666666667)</f>
        <v>45603.66667</v>
      </c>
      <c r="I247" s="2">
        <f>IFERROR(__xludf.DUMMYFUNCTION("""COMPUTED_VALUE"""),0.62)</f>
        <v>0.62</v>
      </c>
      <c r="K247" s="3">
        <f>IFERROR(__xludf.DUMMYFUNCTION("""COMPUTED_VALUE"""),44547.6875)</f>
        <v>44547.6875</v>
      </c>
      <c r="L247" s="2">
        <f>IFERROR(__xludf.DUMMYFUNCTION("""COMPUTED_VALUE"""),46.16)</f>
        <v>46.16</v>
      </c>
      <c r="N247" s="3">
        <f>IFERROR(__xludf.DUMMYFUNCTION("""COMPUTED_VALUE"""),44551.66666666667)</f>
        <v>44551.66667</v>
      </c>
      <c r="O247" s="2">
        <f>IFERROR(__xludf.DUMMYFUNCTION("""COMPUTED_VALUE"""),26.43)</f>
        <v>26.43</v>
      </c>
      <c r="Q247" s="3">
        <f>IFERROR(__xludf.DUMMYFUNCTION("""COMPUTED_VALUE"""),44551.66666666667)</f>
        <v>44551.66667</v>
      </c>
      <c r="R247" s="2">
        <f>IFERROR(__xludf.DUMMYFUNCTION("""COMPUTED_VALUE"""),157.76)</f>
        <v>157.76</v>
      </c>
    </row>
    <row r="248">
      <c r="B248" s="3">
        <f>IFERROR(__xludf.DUMMYFUNCTION("""COMPUTED_VALUE"""),44552.66666666667)</f>
        <v>44552.66667</v>
      </c>
      <c r="C248" s="2">
        <f>IFERROR(__xludf.DUMMYFUNCTION("""COMPUTED_VALUE"""),61.53)</f>
        <v>61.53</v>
      </c>
      <c r="E248" s="3">
        <f>IFERROR(__xludf.DUMMYFUNCTION("""COMPUTED_VALUE"""),45856.66666666667)</f>
        <v>45856.66667</v>
      </c>
      <c r="F248" s="2">
        <f>IFERROR(__xludf.DUMMYFUNCTION("""COMPUTED_VALUE"""),1.88)</f>
        <v>1.88</v>
      </c>
      <c r="H248" s="3">
        <f>IFERROR(__xludf.DUMMYFUNCTION("""COMPUTED_VALUE"""),45604.66666666667)</f>
        <v>45604.66667</v>
      </c>
      <c r="I248" s="2">
        <f>IFERROR(__xludf.DUMMYFUNCTION("""COMPUTED_VALUE"""),0.62)</f>
        <v>0.62</v>
      </c>
      <c r="K248" s="3">
        <f>IFERROR(__xludf.DUMMYFUNCTION("""COMPUTED_VALUE"""),44550.6875)</f>
        <v>44550.6875</v>
      </c>
      <c r="L248" s="2">
        <f>IFERROR(__xludf.DUMMYFUNCTION("""COMPUTED_VALUE"""),45.46)</f>
        <v>45.46</v>
      </c>
      <c r="N248" s="3">
        <f>IFERROR(__xludf.DUMMYFUNCTION("""COMPUTED_VALUE"""),44552.66666666667)</f>
        <v>44552.66667</v>
      </c>
      <c r="O248" s="2">
        <f>IFERROR(__xludf.DUMMYFUNCTION("""COMPUTED_VALUE"""),26.77)</f>
        <v>26.77</v>
      </c>
      <c r="Q248" s="3">
        <f>IFERROR(__xludf.DUMMYFUNCTION("""COMPUTED_VALUE"""),44552.66666666667)</f>
        <v>44552.66667</v>
      </c>
      <c r="R248" s="2">
        <f>IFERROR(__xludf.DUMMYFUNCTION("""COMPUTED_VALUE"""),159.32)</f>
        <v>159.32</v>
      </c>
    </row>
    <row r="249">
      <c r="B249" s="3">
        <f>IFERROR(__xludf.DUMMYFUNCTION("""COMPUTED_VALUE"""),44553.66666666667)</f>
        <v>44553.66667</v>
      </c>
      <c r="C249" s="2">
        <f>IFERROR(__xludf.DUMMYFUNCTION("""COMPUTED_VALUE"""),62.28)</f>
        <v>62.28</v>
      </c>
      <c r="E249" s="3">
        <f>IFERROR(__xludf.DUMMYFUNCTION("""COMPUTED_VALUE"""),45859.66666666667)</f>
        <v>45859.66667</v>
      </c>
      <c r="F249" s="2">
        <f>IFERROR(__xludf.DUMMYFUNCTION("""COMPUTED_VALUE"""),1.88)</f>
        <v>1.88</v>
      </c>
      <c r="H249" s="3">
        <f>IFERROR(__xludf.DUMMYFUNCTION("""COMPUTED_VALUE"""),45607.66666666667)</f>
        <v>45607.66667</v>
      </c>
      <c r="I249" s="2">
        <f>IFERROR(__xludf.DUMMYFUNCTION("""COMPUTED_VALUE"""),0.64)</f>
        <v>0.64</v>
      </c>
      <c r="K249" s="3">
        <f>IFERROR(__xludf.DUMMYFUNCTION("""COMPUTED_VALUE"""),44551.6875)</f>
        <v>44551.6875</v>
      </c>
      <c r="L249" s="2">
        <f>IFERROR(__xludf.DUMMYFUNCTION("""COMPUTED_VALUE"""),46.36)</f>
        <v>46.36</v>
      </c>
      <c r="N249" s="3">
        <f>IFERROR(__xludf.DUMMYFUNCTION("""COMPUTED_VALUE"""),44553.66666666667)</f>
        <v>44553.66667</v>
      </c>
      <c r="O249" s="2">
        <f>IFERROR(__xludf.DUMMYFUNCTION("""COMPUTED_VALUE"""),26.97)</f>
        <v>26.97</v>
      </c>
      <c r="Q249" s="3">
        <f>IFERROR(__xludf.DUMMYFUNCTION("""COMPUTED_VALUE"""),44553.66666666667)</f>
        <v>44553.66667</v>
      </c>
      <c r="R249" s="2">
        <f>IFERROR(__xludf.DUMMYFUNCTION("""COMPUTED_VALUE"""),160.1)</f>
        <v>160.1</v>
      </c>
    </row>
    <row r="250">
      <c r="B250" s="3">
        <f>IFERROR(__xludf.DUMMYFUNCTION("""COMPUTED_VALUE"""),44557.66666666667)</f>
        <v>44557.66667</v>
      </c>
      <c r="C250" s="2">
        <f>IFERROR(__xludf.DUMMYFUNCTION("""COMPUTED_VALUE"""),63.42)</f>
        <v>63.42</v>
      </c>
      <c r="E250" s="3">
        <f>IFERROR(__xludf.DUMMYFUNCTION("""COMPUTED_VALUE"""),45860.66666666667)</f>
        <v>45860.66667</v>
      </c>
      <c r="F250" s="2">
        <f>IFERROR(__xludf.DUMMYFUNCTION("""COMPUTED_VALUE"""),1.93)</f>
        <v>1.93</v>
      </c>
      <c r="H250" s="3">
        <f>IFERROR(__xludf.DUMMYFUNCTION("""COMPUTED_VALUE"""),45608.66666666667)</f>
        <v>45608.66667</v>
      </c>
      <c r="I250" s="2">
        <f>IFERROR(__xludf.DUMMYFUNCTION("""COMPUTED_VALUE"""),0.61)</f>
        <v>0.61</v>
      </c>
      <c r="K250" s="3">
        <f>IFERROR(__xludf.DUMMYFUNCTION("""COMPUTED_VALUE"""),44552.6875)</f>
        <v>44552.6875</v>
      </c>
      <c r="L250" s="2">
        <f>IFERROR(__xludf.DUMMYFUNCTION("""COMPUTED_VALUE"""),46.96)</f>
        <v>46.96</v>
      </c>
      <c r="N250" s="3">
        <f>IFERROR(__xludf.DUMMYFUNCTION("""COMPUTED_VALUE"""),44557.66666666667)</f>
        <v>44557.66667</v>
      </c>
      <c r="O250" s="2">
        <f>IFERROR(__xludf.DUMMYFUNCTION("""COMPUTED_VALUE"""),27.14)</f>
        <v>27.14</v>
      </c>
      <c r="Q250" s="3">
        <f>IFERROR(__xludf.DUMMYFUNCTION("""COMPUTED_VALUE"""),44557.66666666667)</f>
        <v>44557.66667</v>
      </c>
      <c r="R250" s="2">
        <f>IFERROR(__xludf.DUMMYFUNCTION("""COMPUTED_VALUE"""),161.97)</f>
        <v>161.97</v>
      </c>
    </row>
    <row r="251">
      <c r="B251" s="3">
        <f>IFERROR(__xludf.DUMMYFUNCTION("""COMPUTED_VALUE"""),44558.66666666667)</f>
        <v>44558.66667</v>
      </c>
      <c r="C251" s="2">
        <f>IFERROR(__xludf.DUMMYFUNCTION("""COMPUTED_VALUE"""),63.53)</f>
        <v>63.53</v>
      </c>
      <c r="E251" s="3">
        <f>IFERROR(__xludf.DUMMYFUNCTION("""COMPUTED_VALUE"""),45861.66666666667)</f>
        <v>45861.66667</v>
      </c>
      <c r="F251" s="2">
        <f>IFERROR(__xludf.DUMMYFUNCTION("""COMPUTED_VALUE"""),1.95)</f>
        <v>1.95</v>
      </c>
      <c r="H251" s="3">
        <f>IFERROR(__xludf.DUMMYFUNCTION("""COMPUTED_VALUE"""),45609.66666666667)</f>
        <v>45609.66667</v>
      </c>
      <c r="I251" s="2">
        <f>IFERROR(__xludf.DUMMYFUNCTION("""COMPUTED_VALUE"""),0.61)</f>
        <v>0.61</v>
      </c>
      <c r="K251" s="3">
        <f>IFERROR(__xludf.DUMMYFUNCTION("""COMPUTED_VALUE"""),44553.6875)</f>
        <v>44553.6875</v>
      </c>
      <c r="L251" s="2">
        <f>IFERROR(__xludf.DUMMYFUNCTION("""COMPUTED_VALUE"""),47.64)</f>
        <v>47.64</v>
      </c>
      <c r="N251" s="3">
        <f>IFERROR(__xludf.DUMMYFUNCTION("""COMPUTED_VALUE"""),44558.66666666667)</f>
        <v>44558.66667</v>
      </c>
      <c r="O251" s="2">
        <f>IFERROR(__xludf.DUMMYFUNCTION("""COMPUTED_VALUE"""),27.07)</f>
        <v>27.07</v>
      </c>
      <c r="Q251" s="3">
        <f>IFERROR(__xludf.DUMMYFUNCTION("""COMPUTED_VALUE"""),44558.66666666667)</f>
        <v>44558.66667</v>
      </c>
      <c r="R251" s="2">
        <f>IFERROR(__xludf.DUMMYFUNCTION("""COMPUTED_VALUE"""),162.84)</f>
        <v>162.84</v>
      </c>
    </row>
    <row r="252">
      <c r="B252" s="3">
        <f>IFERROR(__xludf.DUMMYFUNCTION("""COMPUTED_VALUE"""),44559.66666666667)</f>
        <v>44559.66667</v>
      </c>
      <c r="C252" s="2">
        <f>IFERROR(__xludf.DUMMYFUNCTION("""COMPUTED_VALUE"""),63.96)</f>
        <v>63.96</v>
      </c>
      <c r="E252" s="3">
        <f>IFERROR(__xludf.DUMMYFUNCTION("""COMPUTED_VALUE"""),45862.66666666667)</f>
        <v>45862.66667</v>
      </c>
      <c r="F252" s="2">
        <f>IFERROR(__xludf.DUMMYFUNCTION("""COMPUTED_VALUE"""),2.04)</f>
        <v>2.04</v>
      </c>
      <c r="H252" s="3">
        <f>IFERROR(__xludf.DUMMYFUNCTION("""COMPUTED_VALUE"""),45610.66666666667)</f>
        <v>45610.66667</v>
      </c>
      <c r="I252" s="2">
        <f>IFERROR(__xludf.DUMMYFUNCTION("""COMPUTED_VALUE"""),0.59)</f>
        <v>0.59</v>
      </c>
      <c r="K252" s="3">
        <f>IFERROR(__xludf.DUMMYFUNCTION("""COMPUTED_VALUE"""),44554.52083333333)</f>
        <v>44554.52083</v>
      </c>
      <c r="L252" s="2">
        <f>IFERROR(__xludf.DUMMYFUNCTION("""COMPUTED_VALUE"""),47.44)</f>
        <v>47.44</v>
      </c>
      <c r="N252" s="3">
        <f>IFERROR(__xludf.DUMMYFUNCTION("""COMPUTED_VALUE"""),44559.66666666667)</f>
        <v>44559.66667</v>
      </c>
      <c r="O252" s="2">
        <f>IFERROR(__xludf.DUMMYFUNCTION("""COMPUTED_VALUE"""),26.99)</f>
        <v>26.99</v>
      </c>
      <c r="Q252" s="3">
        <f>IFERROR(__xludf.DUMMYFUNCTION("""COMPUTED_VALUE"""),44559.66666666667)</f>
        <v>44559.66667</v>
      </c>
      <c r="R252" s="2">
        <f>IFERROR(__xludf.DUMMYFUNCTION("""COMPUTED_VALUE"""),164.19)</f>
        <v>164.19</v>
      </c>
    </row>
    <row r="253">
      <c r="B253" s="3">
        <f>IFERROR(__xludf.DUMMYFUNCTION("""COMPUTED_VALUE"""),44560.66666666667)</f>
        <v>44560.66667</v>
      </c>
      <c r="C253" s="2">
        <f>IFERROR(__xludf.DUMMYFUNCTION("""COMPUTED_VALUE"""),63.62)</f>
        <v>63.62</v>
      </c>
      <c r="E253" s="3">
        <f>IFERROR(__xludf.DUMMYFUNCTION("""COMPUTED_VALUE"""),45863.66666666667)</f>
        <v>45863.66667</v>
      </c>
      <c r="F253" s="2">
        <f>IFERROR(__xludf.DUMMYFUNCTION("""COMPUTED_VALUE"""),2.0)</f>
        <v>2</v>
      </c>
      <c r="H253" s="3">
        <f>IFERROR(__xludf.DUMMYFUNCTION("""COMPUTED_VALUE"""),45611.66666666667)</f>
        <v>45611.66667</v>
      </c>
      <c r="I253" s="2">
        <f>IFERROR(__xludf.DUMMYFUNCTION("""COMPUTED_VALUE"""),0.56)</f>
        <v>0.56</v>
      </c>
      <c r="K253" s="3">
        <f>IFERROR(__xludf.DUMMYFUNCTION("""COMPUTED_VALUE"""),44559.6875)</f>
        <v>44559.6875</v>
      </c>
      <c r="L253" s="2">
        <f>IFERROR(__xludf.DUMMYFUNCTION("""COMPUTED_VALUE"""),48.0)</f>
        <v>48</v>
      </c>
      <c r="N253" s="3">
        <f>IFERROR(__xludf.DUMMYFUNCTION("""COMPUTED_VALUE"""),44560.66666666667)</f>
        <v>44560.66667</v>
      </c>
      <c r="O253" s="2">
        <f>IFERROR(__xludf.DUMMYFUNCTION("""COMPUTED_VALUE"""),26.69)</f>
        <v>26.69</v>
      </c>
      <c r="Q253" s="3">
        <f>IFERROR(__xludf.DUMMYFUNCTION("""COMPUTED_VALUE"""),44560.66666666667)</f>
        <v>44560.66667</v>
      </c>
      <c r="R253" s="2">
        <f>IFERROR(__xludf.DUMMYFUNCTION("""COMPUTED_VALUE"""),162.77)</f>
        <v>162.77</v>
      </c>
    </row>
    <row r="254">
      <c r="B254" s="3">
        <f>IFERROR(__xludf.DUMMYFUNCTION("""COMPUTED_VALUE"""),44561.66666666667)</f>
        <v>44561.66667</v>
      </c>
      <c r="C254" s="2">
        <f>IFERROR(__xludf.DUMMYFUNCTION("""COMPUTED_VALUE"""),63.37)</f>
        <v>63.37</v>
      </c>
      <c r="E254" s="3">
        <f>IFERROR(__xludf.DUMMYFUNCTION("""COMPUTED_VALUE"""),45866.66666666667)</f>
        <v>45866.66667</v>
      </c>
      <c r="F254" s="2">
        <f>IFERROR(__xludf.DUMMYFUNCTION("""COMPUTED_VALUE"""),1.98)</f>
        <v>1.98</v>
      </c>
      <c r="H254" s="3">
        <f>IFERROR(__xludf.DUMMYFUNCTION("""COMPUTED_VALUE"""),45614.66666666667)</f>
        <v>45614.66667</v>
      </c>
      <c r="I254" s="2">
        <f>IFERROR(__xludf.DUMMYFUNCTION("""COMPUTED_VALUE"""),0.55)</f>
        <v>0.55</v>
      </c>
      <c r="K254" s="3">
        <f>IFERROR(__xludf.DUMMYFUNCTION("""COMPUTED_VALUE"""),44560.6875)</f>
        <v>44560.6875</v>
      </c>
      <c r="L254" s="2">
        <f>IFERROR(__xludf.DUMMYFUNCTION("""COMPUTED_VALUE"""),48.35)</f>
        <v>48.35</v>
      </c>
      <c r="N254" s="3">
        <f>IFERROR(__xludf.DUMMYFUNCTION("""COMPUTED_VALUE"""),44561.66666666667)</f>
        <v>44561.66667</v>
      </c>
      <c r="O254" s="2">
        <f>IFERROR(__xludf.DUMMYFUNCTION("""COMPUTED_VALUE"""),26.63)</f>
        <v>26.63</v>
      </c>
      <c r="Q254" s="3">
        <f>IFERROR(__xludf.DUMMYFUNCTION("""COMPUTED_VALUE"""),44561.66666666667)</f>
        <v>44561.66667</v>
      </c>
      <c r="R254" s="2">
        <f>IFERROR(__xludf.DUMMYFUNCTION("""COMPUTED_VALUE"""),163.58)</f>
        <v>163.58</v>
      </c>
    </row>
    <row r="255">
      <c r="B255" s="3">
        <f>IFERROR(__xludf.DUMMYFUNCTION("""COMPUTED_VALUE"""),44564.66666666667)</f>
        <v>44564.66667</v>
      </c>
      <c r="C255" s="2">
        <f>IFERROR(__xludf.DUMMYFUNCTION("""COMPUTED_VALUE"""),63.16)</f>
        <v>63.16</v>
      </c>
      <c r="E255" s="3">
        <f>IFERROR(__xludf.DUMMYFUNCTION("""COMPUTED_VALUE"""),45867.66666666667)</f>
        <v>45867.66667</v>
      </c>
      <c r="F255" s="2">
        <f>IFERROR(__xludf.DUMMYFUNCTION("""COMPUTED_VALUE"""),2.18)</f>
        <v>2.18</v>
      </c>
      <c r="H255" s="3">
        <f>IFERROR(__xludf.DUMMYFUNCTION("""COMPUTED_VALUE"""),45615.66666666667)</f>
        <v>45615.66667</v>
      </c>
      <c r="I255" s="2">
        <f>IFERROR(__xludf.DUMMYFUNCTION("""COMPUTED_VALUE"""),0.57)</f>
        <v>0.57</v>
      </c>
      <c r="K255" s="3">
        <f>IFERROR(__xludf.DUMMYFUNCTION("""COMPUTED_VALUE"""),44561.52083333333)</f>
        <v>44561.52083</v>
      </c>
      <c r="L255" s="2">
        <f>IFERROR(__xludf.DUMMYFUNCTION("""COMPUTED_VALUE"""),47.8)</f>
        <v>47.8</v>
      </c>
      <c r="N255" s="3">
        <f>IFERROR(__xludf.DUMMYFUNCTION("""COMPUTED_VALUE"""),44564.66666666667)</f>
        <v>44564.66667</v>
      </c>
      <c r="O255" s="2">
        <f>IFERROR(__xludf.DUMMYFUNCTION("""COMPUTED_VALUE"""),27.37)</f>
        <v>27.37</v>
      </c>
      <c r="Q255" s="3">
        <f>IFERROR(__xludf.DUMMYFUNCTION("""COMPUTED_VALUE"""),44564.66666666667)</f>
        <v>44564.66667</v>
      </c>
      <c r="R255" s="2">
        <f>IFERROR(__xludf.DUMMYFUNCTION("""COMPUTED_VALUE"""),162.9)</f>
        <v>162.9</v>
      </c>
    </row>
    <row r="256">
      <c r="B256" s="3">
        <f>IFERROR(__xludf.DUMMYFUNCTION("""COMPUTED_VALUE"""),44565.66666666667)</f>
        <v>44565.66667</v>
      </c>
      <c r="C256" s="2">
        <f>IFERROR(__xludf.DUMMYFUNCTION("""COMPUTED_VALUE"""),61.25)</f>
        <v>61.25</v>
      </c>
      <c r="E256" s="3">
        <f>IFERROR(__xludf.DUMMYFUNCTION("""COMPUTED_VALUE"""),45868.66666666667)</f>
        <v>45868.66667</v>
      </c>
      <c r="F256" s="2">
        <f>IFERROR(__xludf.DUMMYFUNCTION("""COMPUTED_VALUE"""),2.45)</f>
        <v>2.45</v>
      </c>
      <c r="H256" s="3">
        <f>IFERROR(__xludf.DUMMYFUNCTION("""COMPUTED_VALUE"""),45616.66666666667)</f>
        <v>45616.66667</v>
      </c>
      <c r="I256" s="2">
        <f>IFERROR(__xludf.DUMMYFUNCTION("""COMPUTED_VALUE"""),0.53)</f>
        <v>0.53</v>
      </c>
      <c r="K256" s="3">
        <f>IFERROR(__xludf.DUMMYFUNCTION("""COMPUTED_VALUE"""),44565.6875)</f>
        <v>44565.6875</v>
      </c>
      <c r="L256" s="2">
        <f>IFERROR(__xludf.DUMMYFUNCTION("""COMPUTED_VALUE"""),49.91)</f>
        <v>49.91</v>
      </c>
      <c r="N256" s="3">
        <f>IFERROR(__xludf.DUMMYFUNCTION("""COMPUTED_VALUE"""),44565.66666666667)</f>
        <v>44565.66667</v>
      </c>
      <c r="O256" s="2">
        <f>IFERROR(__xludf.DUMMYFUNCTION("""COMPUTED_VALUE"""),28.55)</f>
        <v>28.55</v>
      </c>
      <c r="Q256" s="3">
        <f>IFERROR(__xludf.DUMMYFUNCTION("""COMPUTED_VALUE"""),44565.66666666667)</f>
        <v>44565.66667</v>
      </c>
      <c r="R256" s="2">
        <f>IFERROR(__xludf.DUMMYFUNCTION("""COMPUTED_VALUE"""),163.47)</f>
        <v>163.47</v>
      </c>
    </row>
    <row r="257">
      <c r="B257" s="3">
        <f>IFERROR(__xludf.DUMMYFUNCTION("""COMPUTED_VALUE"""),44566.66666666667)</f>
        <v>44566.66667</v>
      </c>
      <c r="C257" s="2">
        <f>IFERROR(__xludf.DUMMYFUNCTION("""COMPUTED_VALUE"""),60.28)</f>
        <v>60.28</v>
      </c>
      <c r="E257" s="3">
        <f>IFERROR(__xludf.DUMMYFUNCTION("""COMPUTED_VALUE"""),45869.66666666667)</f>
        <v>45869.66667</v>
      </c>
      <c r="F257" s="2">
        <f>IFERROR(__xludf.DUMMYFUNCTION("""COMPUTED_VALUE"""),2.21)</f>
        <v>2.21</v>
      </c>
      <c r="H257" s="3">
        <f>IFERROR(__xludf.DUMMYFUNCTION("""COMPUTED_VALUE"""),45617.66666666667)</f>
        <v>45617.66667</v>
      </c>
      <c r="I257" s="2">
        <f>IFERROR(__xludf.DUMMYFUNCTION("""COMPUTED_VALUE"""),0.57)</f>
        <v>0.57</v>
      </c>
      <c r="K257" s="3">
        <f>IFERROR(__xludf.DUMMYFUNCTION("""COMPUTED_VALUE"""),44566.6875)</f>
        <v>44566.6875</v>
      </c>
      <c r="L257" s="2">
        <f>IFERROR(__xludf.DUMMYFUNCTION("""COMPUTED_VALUE"""),50.68)</f>
        <v>50.68</v>
      </c>
      <c r="N257" s="3">
        <f>IFERROR(__xludf.DUMMYFUNCTION("""COMPUTED_VALUE"""),44566.66666666667)</f>
        <v>44566.66667</v>
      </c>
      <c r="O257" s="2">
        <f>IFERROR(__xludf.DUMMYFUNCTION("""COMPUTED_VALUE"""),28.37)</f>
        <v>28.37</v>
      </c>
      <c r="Q257" s="3">
        <f>IFERROR(__xludf.DUMMYFUNCTION("""COMPUTED_VALUE"""),44566.66666666667)</f>
        <v>44566.66667</v>
      </c>
      <c r="R257" s="2">
        <f>IFERROR(__xludf.DUMMYFUNCTION("""COMPUTED_VALUE"""),164.21)</f>
        <v>164.21</v>
      </c>
    </row>
    <row r="258">
      <c r="B258" s="3">
        <f>IFERROR(__xludf.DUMMYFUNCTION("""COMPUTED_VALUE"""),44567.66666666667)</f>
        <v>44567.66667</v>
      </c>
      <c r="C258" s="2">
        <f>IFERROR(__xludf.DUMMYFUNCTION("""COMPUTED_VALUE"""),60.92)</f>
        <v>60.92</v>
      </c>
      <c r="E258" s="3">
        <f>IFERROR(__xludf.DUMMYFUNCTION("""COMPUTED_VALUE"""),45870.66666666667)</f>
        <v>45870.66667</v>
      </c>
      <c r="F258" s="2">
        <f>IFERROR(__xludf.DUMMYFUNCTION("""COMPUTED_VALUE"""),2.29)</f>
        <v>2.29</v>
      </c>
      <c r="H258" s="3">
        <f>IFERROR(__xludf.DUMMYFUNCTION("""COMPUTED_VALUE"""),45618.66666666667)</f>
        <v>45618.66667</v>
      </c>
      <c r="I258" s="2">
        <f>IFERROR(__xludf.DUMMYFUNCTION("""COMPUTED_VALUE"""),0.62)</f>
        <v>0.62</v>
      </c>
      <c r="K258" s="3">
        <f>IFERROR(__xludf.DUMMYFUNCTION("""COMPUTED_VALUE"""),44567.6875)</f>
        <v>44567.6875</v>
      </c>
      <c r="L258" s="2">
        <f>IFERROR(__xludf.DUMMYFUNCTION("""COMPUTED_VALUE"""),52.0)</f>
        <v>52</v>
      </c>
      <c r="N258" s="3">
        <f>IFERROR(__xludf.DUMMYFUNCTION("""COMPUTED_VALUE"""),44567.66666666667)</f>
        <v>44567.66667</v>
      </c>
      <c r="O258" s="2">
        <f>IFERROR(__xludf.DUMMYFUNCTION("""COMPUTED_VALUE"""),28.81)</f>
        <v>28.81</v>
      </c>
      <c r="Q258" s="3">
        <f>IFERROR(__xludf.DUMMYFUNCTION("""COMPUTED_VALUE"""),44567.66666666667)</f>
        <v>44567.66667</v>
      </c>
      <c r="R258" s="2">
        <f>IFERROR(__xludf.DUMMYFUNCTION("""COMPUTED_VALUE"""),162.83)</f>
        <v>162.83</v>
      </c>
    </row>
    <row r="259">
      <c r="B259" s="3">
        <f>IFERROR(__xludf.DUMMYFUNCTION("""COMPUTED_VALUE"""),44568.66666666667)</f>
        <v>44568.66667</v>
      </c>
      <c r="C259" s="2">
        <f>IFERROR(__xludf.DUMMYFUNCTION("""COMPUTED_VALUE"""),61.13)</f>
        <v>61.13</v>
      </c>
      <c r="E259" s="3">
        <f>IFERROR(__xludf.DUMMYFUNCTION("""COMPUTED_VALUE"""),45873.66666666667)</f>
        <v>45873.66667</v>
      </c>
      <c r="F259" s="2">
        <f>IFERROR(__xludf.DUMMYFUNCTION("""COMPUTED_VALUE"""),2.39)</f>
        <v>2.39</v>
      </c>
      <c r="H259" s="3">
        <f>IFERROR(__xludf.DUMMYFUNCTION("""COMPUTED_VALUE"""),45621.66666666667)</f>
        <v>45621.66667</v>
      </c>
      <c r="I259" s="2">
        <f>IFERROR(__xludf.DUMMYFUNCTION("""COMPUTED_VALUE"""),0.63)</f>
        <v>0.63</v>
      </c>
      <c r="K259" s="3">
        <f>IFERROR(__xludf.DUMMYFUNCTION("""COMPUTED_VALUE"""),44568.6875)</f>
        <v>44568.6875</v>
      </c>
      <c r="L259" s="2">
        <f>IFERROR(__xludf.DUMMYFUNCTION("""COMPUTED_VALUE"""),52.84)</f>
        <v>52.84</v>
      </c>
      <c r="N259" s="3">
        <f>IFERROR(__xludf.DUMMYFUNCTION("""COMPUTED_VALUE"""),44568.66666666667)</f>
        <v>44568.66667</v>
      </c>
      <c r="O259" s="2">
        <f>IFERROR(__xludf.DUMMYFUNCTION("""COMPUTED_VALUE"""),29.67)</f>
        <v>29.67</v>
      </c>
      <c r="Q259" s="3">
        <f>IFERROR(__xludf.DUMMYFUNCTION("""COMPUTED_VALUE"""),44568.66666666667)</f>
        <v>44568.66667</v>
      </c>
      <c r="R259" s="2">
        <f>IFERROR(__xludf.DUMMYFUNCTION("""COMPUTED_VALUE"""),162.74)</f>
        <v>162.74</v>
      </c>
    </row>
    <row r="260">
      <c r="B260" s="3">
        <f>IFERROR(__xludf.DUMMYFUNCTION("""COMPUTED_VALUE"""),44571.66666666667)</f>
        <v>44571.66667</v>
      </c>
      <c r="C260" s="2">
        <f>IFERROR(__xludf.DUMMYFUNCTION("""COMPUTED_VALUE"""),61.82)</f>
        <v>61.82</v>
      </c>
      <c r="E260" s="3">
        <f>IFERROR(__xludf.DUMMYFUNCTION("""COMPUTED_VALUE"""),45874.66666666667)</f>
        <v>45874.66667</v>
      </c>
      <c r="F260" s="2">
        <f>IFERROR(__xludf.DUMMYFUNCTION("""COMPUTED_VALUE"""),2.44)</f>
        <v>2.44</v>
      </c>
      <c r="H260" s="3">
        <f>IFERROR(__xludf.DUMMYFUNCTION("""COMPUTED_VALUE"""),45622.66666666667)</f>
        <v>45622.66667</v>
      </c>
      <c r="I260" s="2">
        <f>IFERROR(__xludf.DUMMYFUNCTION("""COMPUTED_VALUE"""),0.61)</f>
        <v>0.61</v>
      </c>
      <c r="K260" s="3">
        <f>IFERROR(__xludf.DUMMYFUNCTION("""COMPUTED_VALUE"""),44571.6875)</f>
        <v>44571.6875</v>
      </c>
      <c r="L260" s="2">
        <f>IFERROR(__xludf.DUMMYFUNCTION("""COMPUTED_VALUE"""),52.81)</f>
        <v>52.81</v>
      </c>
      <c r="N260" s="3">
        <f>IFERROR(__xludf.DUMMYFUNCTION("""COMPUTED_VALUE"""),44571.66666666667)</f>
        <v>44571.66667</v>
      </c>
      <c r="O260" s="2">
        <f>IFERROR(__xludf.DUMMYFUNCTION("""COMPUTED_VALUE"""),29.56)</f>
        <v>29.56</v>
      </c>
      <c r="Q260" s="3">
        <f>IFERROR(__xludf.DUMMYFUNCTION("""COMPUTED_VALUE"""),44571.66666666667)</f>
        <v>44571.66667</v>
      </c>
      <c r="R260" s="2">
        <f>IFERROR(__xludf.DUMMYFUNCTION("""COMPUTED_VALUE"""),160.52)</f>
        <v>160.52</v>
      </c>
    </row>
    <row r="261">
      <c r="B261" s="3">
        <f>IFERROR(__xludf.DUMMYFUNCTION("""COMPUTED_VALUE"""),44572.66666666667)</f>
        <v>44572.66667</v>
      </c>
      <c r="C261" s="2">
        <f>IFERROR(__xludf.DUMMYFUNCTION("""COMPUTED_VALUE"""),62.37)</f>
        <v>62.37</v>
      </c>
      <c r="E261" s="3">
        <f>IFERROR(__xludf.DUMMYFUNCTION("""COMPUTED_VALUE"""),45875.66666666667)</f>
        <v>45875.66667</v>
      </c>
      <c r="F261" s="2">
        <f>IFERROR(__xludf.DUMMYFUNCTION("""COMPUTED_VALUE"""),2.57)</f>
        <v>2.57</v>
      </c>
      <c r="H261" s="3">
        <f>IFERROR(__xludf.DUMMYFUNCTION("""COMPUTED_VALUE"""),45623.66666666667)</f>
        <v>45623.66667</v>
      </c>
      <c r="I261" s="2">
        <f>IFERROR(__xludf.DUMMYFUNCTION("""COMPUTED_VALUE"""),0.66)</f>
        <v>0.66</v>
      </c>
      <c r="K261" s="3">
        <f>IFERROR(__xludf.DUMMYFUNCTION("""COMPUTED_VALUE"""),44572.6875)</f>
        <v>44572.6875</v>
      </c>
      <c r="L261" s="2">
        <f>IFERROR(__xludf.DUMMYFUNCTION("""COMPUTED_VALUE"""),52.89)</f>
        <v>52.89</v>
      </c>
      <c r="N261" s="3">
        <f>IFERROR(__xludf.DUMMYFUNCTION("""COMPUTED_VALUE"""),44572.66666666667)</f>
        <v>44572.66667</v>
      </c>
      <c r="O261" s="2">
        <f>IFERROR(__xludf.DUMMYFUNCTION("""COMPUTED_VALUE"""),30.54)</f>
        <v>30.54</v>
      </c>
      <c r="Q261" s="3">
        <f>IFERROR(__xludf.DUMMYFUNCTION("""COMPUTED_VALUE"""),44572.66666666667)</f>
        <v>44572.66667</v>
      </c>
      <c r="R261" s="2">
        <f>IFERROR(__xludf.DUMMYFUNCTION("""COMPUTED_VALUE"""),158.66)</f>
        <v>158.66</v>
      </c>
    </row>
    <row r="262">
      <c r="B262" s="3">
        <f>IFERROR(__xludf.DUMMYFUNCTION("""COMPUTED_VALUE"""),44573.66666666667)</f>
        <v>44573.66667</v>
      </c>
      <c r="C262" s="2">
        <f>IFERROR(__xludf.DUMMYFUNCTION("""COMPUTED_VALUE"""),62.12)</f>
        <v>62.12</v>
      </c>
      <c r="E262" s="3">
        <f>IFERROR(__xludf.DUMMYFUNCTION("""COMPUTED_VALUE"""),45876.66666666667)</f>
        <v>45876.66667</v>
      </c>
      <c r="F262" s="2">
        <f>IFERROR(__xludf.DUMMYFUNCTION("""COMPUTED_VALUE"""),2.47)</f>
        <v>2.47</v>
      </c>
      <c r="H262" s="3">
        <f>IFERROR(__xludf.DUMMYFUNCTION("""COMPUTED_VALUE"""),45625.54513888889)</f>
        <v>45625.54514</v>
      </c>
      <c r="I262" s="2">
        <f>IFERROR(__xludf.DUMMYFUNCTION("""COMPUTED_VALUE"""),0.74)</f>
        <v>0.74</v>
      </c>
      <c r="K262" s="3">
        <f>IFERROR(__xludf.DUMMYFUNCTION("""COMPUTED_VALUE"""),44573.6875)</f>
        <v>44573.6875</v>
      </c>
      <c r="L262" s="2">
        <f>IFERROR(__xludf.DUMMYFUNCTION("""COMPUTED_VALUE"""),53.18)</f>
        <v>53.18</v>
      </c>
      <c r="N262" s="3">
        <f>IFERROR(__xludf.DUMMYFUNCTION("""COMPUTED_VALUE"""),44573.66666666667)</f>
        <v>44573.66667</v>
      </c>
      <c r="O262" s="2">
        <f>IFERROR(__xludf.DUMMYFUNCTION("""COMPUTED_VALUE"""),31.19)</f>
        <v>31.19</v>
      </c>
      <c r="Q262" s="3">
        <f>IFERROR(__xludf.DUMMYFUNCTION("""COMPUTED_VALUE"""),44573.66666666667)</f>
        <v>44573.66667</v>
      </c>
      <c r="R262" s="2">
        <f>IFERROR(__xludf.DUMMYFUNCTION("""COMPUTED_VALUE"""),159.01)</f>
        <v>159.01</v>
      </c>
    </row>
    <row r="263">
      <c r="B263" s="3">
        <f>IFERROR(__xludf.DUMMYFUNCTION("""COMPUTED_VALUE"""),44574.66666666667)</f>
        <v>44574.66667</v>
      </c>
      <c r="C263" s="2">
        <f>IFERROR(__xludf.DUMMYFUNCTION("""COMPUTED_VALUE"""),61.5)</f>
        <v>61.5</v>
      </c>
      <c r="E263" s="3">
        <f>IFERROR(__xludf.DUMMYFUNCTION("""COMPUTED_VALUE"""),45877.66666666667)</f>
        <v>45877.66667</v>
      </c>
      <c r="F263" s="2">
        <f>IFERROR(__xludf.DUMMYFUNCTION("""COMPUTED_VALUE"""),2.59)</f>
        <v>2.59</v>
      </c>
      <c r="H263" s="3">
        <f>IFERROR(__xludf.DUMMYFUNCTION("""COMPUTED_VALUE"""),45628.66666666667)</f>
        <v>45628.66667</v>
      </c>
      <c r="I263" s="2">
        <f>IFERROR(__xludf.DUMMYFUNCTION("""COMPUTED_VALUE"""),0.68)</f>
        <v>0.68</v>
      </c>
      <c r="K263" s="3">
        <f>IFERROR(__xludf.DUMMYFUNCTION("""COMPUTED_VALUE"""),44574.6875)</f>
        <v>44574.6875</v>
      </c>
      <c r="L263" s="2">
        <f>IFERROR(__xludf.DUMMYFUNCTION("""COMPUTED_VALUE"""),53.97)</f>
        <v>53.97</v>
      </c>
      <c r="N263" s="3">
        <f>IFERROR(__xludf.DUMMYFUNCTION("""COMPUTED_VALUE"""),44574.66666666667)</f>
        <v>44574.66667</v>
      </c>
      <c r="O263" s="2">
        <f>IFERROR(__xludf.DUMMYFUNCTION("""COMPUTED_VALUE"""),31.22)</f>
        <v>31.22</v>
      </c>
      <c r="Q263" s="3">
        <f>IFERROR(__xludf.DUMMYFUNCTION("""COMPUTED_VALUE"""),44574.66666666667)</f>
        <v>44574.66667</v>
      </c>
      <c r="R263" s="2">
        <f>IFERROR(__xludf.DUMMYFUNCTION("""COMPUTED_VALUE"""),158.29)</f>
        <v>158.29</v>
      </c>
    </row>
    <row r="264">
      <c r="B264" s="3">
        <f>IFERROR(__xludf.DUMMYFUNCTION("""COMPUTED_VALUE"""),44575.66666666667)</f>
        <v>44575.66667</v>
      </c>
      <c r="C264" s="2">
        <f>IFERROR(__xludf.DUMMYFUNCTION("""COMPUTED_VALUE"""),61.36)</f>
        <v>61.36</v>
      </c>
      <c r="E264" s="3">
        <f>IFERROR(__xludf.DUMMYFUNCTION("""COMPUTED_VALUE"""),45880.66666666667)</f>
        <v>45880.66667</v>
      </c>
      <c r="F264" s="2">
        <f>IFERROR(__xludf.DUMMYFUNCTION("""COMPUTED_VALUE"""),2.5)</f>
        <v>2.5</v>
      </c>
      <c r="H264" s="3">
        <f>IFERROR(__xludf.DUMMYFUNCTION("""COMPUTED_VALUE"""),45629.66666666667)</f>
        <v>45629.66667</v>
      </c>
      <c r="I264" s="2">
        <f>IFERROR(__xludf.DUMMYFUNCTION("""COMPUTED_VALUE"""),0.67)</f>
        <v>0.67</v>
      </c>
      <c r="K264" s="3">
        <f>IFERROR(__xludf.DUMMYFUNCTION("""COMPUTED_VALUE"""),44575.6875)</f>
        <v>44575.6875</v>
      </c>
      <c r="L264" s="2">
        <f>IFERROR(__xludf.DUMMYFUNCTION("""COMPUTED_VALUE"""),54.97)</f>
        <v>54.97</v>
      </c>
      <c r="N264" s="3">
        <f>IFERROR(__xludf.DUMMYFUNCTION("""COMPUTED_VALUE"""),44575.66666666667)</f>
        <v>44575.66667</v>
      </c>
      <c r="O264" s="2">
        <f>IFERROR(__xludf.DUMMYFUNCTION("""COMPUTED_VALUE"""),32.04)</f>
        <v>32.04</v>
      </c>
      <c r="Q264" s="3">
        <f>IFERROR(__xludf.DUMMYFUNCTION("""COMPUTED_VALUE"""),44575.66666666667)</f>
        <v>44575.66667</v>
      </c>
      <c r="R264" s="2">
        <f>IFERROR(__xludf.DUMMYFUNCTION("""COMPUTED_VALUE"""),159.81)</f>
        <v>159.81</v>
      </c>
    </row>
    <row r="265">
      <c r="B265" s="3">
        <f>IFERROR(__xludf.DUMMYFUNCTION("""COMPUTED_VALUE"""),44579.66666666667)</f>
        <v>44579.66667</v>
      </c>
      <c r="C265" s="2">
        <f>IFERROR(__xludf.DUMMYFUNCTION("""COMPUTED_VALUE"""),59.73)</f>
        <v>59.73</v>
      </c>
      <c r="E265" s="3">
        <f>IFERROR(__xludf.DUMMYFUNCTION("""COMPUTED_VALUE"""),45881.66666666667)</f>
        <v>45881.66667</v>
      </c>
      <c r="F265" s="2">
        <f>IFERROR(__xludf.DUMMYFUNCTION("""COMPUTED_VALUE"""),2.43)</f>
        <v>2.43</v>
      </c>
      <c r="H265" s="3">
        <f>IFERROR(__xludf.DUMMYFUNCTION("""COMPUTED_VALUE"""),45630.66666666667)</f>
        <v>45630.66667</v>
      </c>
      <c r="I265" s="2">
        <f>IFERROR(__xludf.DUMMYFUNCTION("""COMPUTED_VALUE"""),0.8)</f>
        <v>0.8</v>
      </c>
      <c r="K265" s="3">
        <f>IFERROR(__xludf.DUMMYFUNCTION("""COMPUTED_VALUE"""),44578.6875)</f>
        <v>44578.6875</v>
      </c>
      <c r="L265" s="2">
        <f>IFERROR(__xludf.DUMMYFUNCTION("""COMPUTED_VALUE"""),55.13)</f>
        <v>55.13</v>
      </c>
      <c r="N265" s="3">
        <f>IFERROR(__xludf.DUMMYFUNCTION("""COMPUTED_VALUE"""),44579.66666666667)</f>
        <v>44579.66667</v>
      </c>
      <c r="O265" s="2">
        <f>IFERROR(__xludf.DUMMYFUNCTION("""COMPUTED_VALUE"""),32.38)</f>
        <v>32.38</v>
      </c>
      <c r="Q265" s="3">
        <f>IFERROR(__xludf.DUMMYFUNCTION("""COMPUTED_VALUE"""),44579.66666666667)</f>
        <v>44579.66667</v>
      </c>
      <c r="R265" s="2">
        <f>IFERROR(__xludf.DUMMYFUNCTION("""COMPUTED_VALUE"""),156.73)</f>
        <v>156.73</v>
      </c>
    </row>
    <row r="266">
      <c r="B266" s="3">
        <f>IFERROR(__xludf.DUMMYFUNCTION("""COMPUTED_VALUE"""),44580.66666666667)</f>
        <v>44580.66667</v>
      </c>
      <c r="C266" s="2">
        <f>IFERROR(__xludf.DUMMYFUNCTION("""COMPUTED_VALUE"""),58.9)</f>
        <v>58.9</v>
      </c>
      <c r="E266" s="3">
        <f>IFERROR(__xludf.DUMMYFUNCTION("""COMPUTED_VALUE"""),45882.66666666667)</f>
        <v>45882.66667</v>
      </c>
      <c r="F266" s="2">
        <f>IFERROR(__xludf.DUMMYFUNCTION("""COMPUTED_VALUE"""),2.31)</f>
        <v>2.31</v>
      </c>
      <c r="H266" s="3">
        <f>IFERROR(__xludf.DUMMYFUNCTION("""COMPUTED_VALUE"""),45631.66666666667)</f>
        <v>45631.66667</v>
      </c>
      <c r="I266" s="2">
        <f>IFERROR(__xludf.DUMMYFUNCTION("""COMPUTED_VALUE"""),0.74)</f>
        <v>0.74</v>
      </c>
      <c r="K266" s="3">
        <f>IFERROR(__xludf.DUMMYFUNCTION("""COMPUTED_VALUE"""),44579.6875)</f>
        <v>44579.6875</v>
      </c>
      <c r="L266" s="2">
        <f>IFERROR(__xludf.DUMMYFUNCTION("""COMPUTED_VALUE"""),54.37)</f>
        <v>54.37</v>
      </c>
      <c r="N266" s="3">
        <f>IFERROR(__xludf.DUMMYFUNCTION("""COMPUTED_VALUE"""),44580.66666666667)</f>
        <v>44580.66667</v>
      </c>
      <c r="O266" s="2">
        <f>IFERROR(__xludf.DUMMYFUNCTION("""COMPUTED_VALUE"""),32.1)</f>
        <v>32.1</v>
      </c>
      <c r="Q266" s="3">
        <f>IFERROR(__xludf.DUMMYFUNCTION("""COMPUTED_VALUE"""),44580.66666666667)</f>
        <v>44580.66667</v>
      </c>
      <c r="R266" s="2">
        <f>IFERROR(__xludf.DUMMYFUNCTION("""COMPUTED_VALUE"""),162.0)</f>
        <v>162</v>
      </c>
    </row>
    <row r="267">
      <c r="B267" s="3">
        <f>IFERROR(__xludf.DUMMYFUNCTION("""COMPUTED_VALUE"""),44581.66666666667)</f>
        <v>44581.66667</v>
      </c>
      <c r="C267" s="2">
        <f>IFERROR(__xludf.DUMMYFUNCTION("""COMPUTED_VALUE"""),58.08)</f>
        <v>58.08</v>
      </c>
      <c r="E267" s="3">
        <f>IFERROR(__xludf.DUMMYFUNCTION("""COMPUTED_VALUE"""),45883.66666666667)</f>
        <v>45883.66667</v>
      </c>
      <c r="F267" s="2">
        <f>IFERROR(__xludf.DUMMYFUNCTION("""COMPUTED_VALUE"""),2.26)</f>
        <v>2.26</v>
      </c>
      <c r="H267" s="3">
        <f>IFERROR(__xludf.DUMMYFUNCTION("""COMPUTED_VALUE"""),45632.66666666667)</f>
        <v>45632.66667</v>
      </c>
      <c r="I267" s="2">
        <f>IFERROR(__xludf.DUMMYFUNCTION("""COMPUTED_VALUE"""),0.81)</f>
        <v>0.81</v>
      </c>
      <c r="K267" s="3">
        <f>IFERROR(__xludf.DUMMYFUNCTION("""COMPUTED_VALUE"""),44580.6875)</f>
        <v>44580.6875</v>
      </c>
      <c r="L267" s="2">
        <f>IFERROR(__xludf.DUMMYFUNCTION("""COMPUTED_VALUE"""),53.88)</f>
        <v>53.88</v>
      </c>
      <c r="N267" s="3">
        <f>IFERROR(__xludf.DUMMYFUNCTION("""COMPUTED_VALUE"""),44581.66666666667)</f>
        <v>44581.66667</v>
      </c>
      <c r="O267" s="2">
        <f>IFERROR(__xludf.DUMMYFUNCTION("""COMPUTED_VALUE"""),31.36)</f>
        <v>31.36</v>
      </c>
      <c r="Q267" s="3">
        <f>IFERROR(__xludf.DUMMYFUNCTION("""COMPUTED_VALUE"""),44581.66666666667)</f>
        <v>44581.66667</v>
      </c>
      <c r="R267" s="2">
        <f>IFERROR(__xludf.DUMMYFUNCTION("""COMPUTED_VALUE"""),162.0)</f>
        <v>162</v>
      </c>
    </row>
    <row r="268">
      <c r="B268" s="3">
        <f>IFERROR(__xludf.DUMMYFUNCTION("""COMPUTED_VALUE"""),44582.66666666667)</f>
        <v>44582.66667</v>
      </c>
      <c r="C268" s="2">
        <f>IFERROR(__xludf.DUMMYFUNCTION("""COMPUTED_VALUE"""),56.68)</f>
        <v>56.68</v>
      </c>
      <c r="E268" s="3">
        <f>IFERROR(__xludf.DUMMYFUNCTION("""COMPUTED_VALUE"""),45884.66666666667)</f>
        <v>45884.66667</v>
      </c>
      <c r="F268" s="2">
        <f>IFERROR(__xludf.DUMMYFUNCTION("""COMPUTED_VALUE"""),2.29)</f>
        <v>2.29</v>
      </c>
      <c r="H268" s="3">
        <f>IFERROR(__xludf.DUMMYFUNCTION("""COMPUTED_VALUE"""),45635.66666666667)</f>
        <v>45635.66667</v>
      </c>
      <c r="I268" s="2">
        <f>IFERROR(__xludf.DUMMYFUNCTION("""COMPUTED_VALUE"""),0.95)</f>
        <v>0.95</v>
      </c>
      <c r="K268" s="3">
        <f>IFERROR(__xludf.DUMMYFUNCTION("""COMPUTED_VALUE"""),44581.6875)</f>
        <v>44581.6875</v>
      </c>
      <c r="L268" s="2">
        <f>IFERROR(__xludf.DUMMYFUNCTION("""COMPUTED_VALUE"""),52.98)</f>
        <v>52.98</v>
      </c>
      <c r="N268" s="3">
        <f>IFERROR(__xludf.DUMMYFUNCTION("""COMPUTED_VALUE"""),44582.66666666667)</f>
        <v>44582.66667</v>
      </c>
      <c r="O268" s="2">
        <f>IFERROR(__xludf.DUMMYFUNCTION("""COMPUTED_VALUE"""),30.71)</f>
        <v>30.71</v>
      </c>
      <c r="Q268" s="3">
        <f>IFERROR(__xludf.DUMMYFUNCTION("""COMPUTED_VALUE"""),44582.66666666667)</f>
        <v>44582.66667</v>
      </c>
      <c r="R268" s="2">
        <f>IFERROR(__xludf.DUMMYFUNCTION("""COMPUTED_VALUE"""),162.62)</f>
        <v>162.62</v>
      </c>
    </row>
    <row r="269">
      <c r="B269" s="3">
        <f>IFERROR(__xludf.DUMMYFUNCTION("""COMPUTED_VALUE"""),44585.66666666667)</f>
        <v>44585.66667</v>
      </c>
      <c r="C269" s="2">
        <f>IFERROR(__xludf.DUMMYFUNCTION("""COMPUTED_VALUE"""),56.9)</f>
        <v>56.9</v>
      </c>
      <c r="E269" s="3">
        <f>IFERROR(__xludf.DUMMYFUNCTION("""COMPUTED_VALUE"""),45887.66666666667)</f>
        <v>45887.66667</v>
      </c>
      <c r="F269" s="2">
        <f>IFERROR(__xludf.DUMMYFUNCTION("""COMPUTED_VALUE"""),2.23)</f>
        <v>2.23</v>
      </c>
      <c r="H269" s="3">
        <f>IFERROR(__xludf.DUMMYFUNCTION("""COMPUTED_VALUE"""),45636.66666666667)</f>
        <v>45636.66667</v>
      </c>
      <c r="I269" s="2">
        <f>IFERROR(__xludf.DUMMYFUNCTION("""COMPUTED_VALUE"""),0.87)</f>
        <v>0.87</v>
      </c>
      <c r="K269" s="3">
        <f>IFERROR(__xludf.DUMMYFUNCTION("""COMPUTED_VALUE"""),44582.6875)</f>
        <v>44582.6875</v>
      </c>
      <c r="L269" s="2">
        <f>IFERROR(__xludf.DUMMYFUNCTION("""COMPUTED_VALUE"""),51.75)</f>
        <v>51.75</v>
      </c>
      <c r="N269" s="3">
        <f>IFERROR(__xludf.DUMMYFUNCTION("""COMPUTED_VALUE"""),44585.66666666667)</f>
        <v>44585.66667</v>
      </c>
      <c r="O269" s="2">
        <f>IFERROR(__xludf.DUMMYFUNCTION("""COMPUTED_VALUE"""),29.98)</f>
        <v>29.98</v>
      </c>
      <c r="Q269" s="3">
        <f>IFERROR(__xludf.DUMMYFUNCTION("""COMPUTED_VALUE"""),44585.66666666667)</f>
        <v>44585.66667</v>
      </c>
      <c r="R269" s="2">
        <f>IFERROR(__xludf.DUMMYFUNCTION("""COMPUTED_VALUE"""),161.3)</f>
        <v>161.3</v>
      </c>
    </row>
    <row r="270">
      <c r="B270" s="3">
        <f>IFERROR(__xludf.DUMMYFUNCTION("""COMPUTED_VALUE"""),44586.66666666667)</f>
        <v>44586.66667</v>
      </c>
      <c r="C270" s="2">
        <f>IFERROR(__xludf.DUMMYFUNCTION("""COMPUTED_VALUE"""),56.11)</f>
        <v>56.11</v>
      </c>
      <c r="E270" s="3">
        <f>IFERROR(__xludf.DUMMYFUNCTION("""COMPUTED_VALUE"""),45888.66666666667)</f>
        <v>45888.66667</v>
      </c>
      <c r="F270" s="2">
        <f>IFERROR(__xludf.DUMMYFUNCTION("""COMPUTED_VALUE"""),2.03)</f>
        <v>2.03</v>
      </c>
      <c r="H270" s="3">
        <f>IFERROR(__xludf.DUMMYFUNCTION("""COMPUTED_VALUE"""),45637.66666666667)</f>
        <v>45637.66667</v>
      </c>
      <c r="I270" s="2">
        <f>IFERROR(__xludf.DUMMYFUNCTION("""COMPUTED_VALUE"""),0.84)</f>
        <v>0.84</v>
      </c>
      <c r="K270" s="3">
        <f>IFERROR(__xludf.DUMMYFUNCTION("""COMPUTED_VALUE"""),44585.6875)</f>
        <v>44585.6875</v>
      </c>
      <c r="L270" s="2">
        <f>IFERROR(__xludf.DUMMYFUNCTION("""COMPUTED_VALUE"""),49.27)</f>
        <v>49.27</v>
      </c>
      <c r="N270" s="3">
        <f>IFERROR(__xludf.DUMMYFUNCTION("""COMPUTED_VALUE"""),44586.66666666667)</f>
        <v>44586.66667</v>
      </c>
      <c r="O270" s="2">
        <f>IFERROR(__xludf.DUMMYFUNCTION("""COMPUTED_VALUE"""),31.4)</f>
        <v>31.4</v>
      </c>
      <c r="Q270" s="3">
        <f>IFERROR(__xludf.DUMMYFUNCTION("""COMPUTED_VALUE"""),44586.66666666667)</f>
        <v>44586.66667</v>
      </c>
      <c r="R270" s="2">
        <f>IFERROR(__xludf.DUMMYFUNCTION("""COMPUTED_VALUE"""),159.54)</f>
        <v>159.54</v>
      </c>
    </row>
    <row r="271">
      <c r="B271" s="3">
        <f>IFERROR(__xludf.DUMMYFUNCTION("""COMPUTED_VALUE"""),44587.66666666667)</f>
        <v>44587.66667</v>
      </c>
      <c r="C271" s="2">
        <f>IFERROR(__xludf.DUMMYFUNCTION("""COMPUTED_VALUE"""),55.33)</f>
        <v>55.33</v>
      </c>
      <c r="E271" s="3">
        <f>IFERROR(__xludf.DUMMYFUNCTION("""COMPUTED_VALUE"""),45889.66666666667)</f>
        <v>45889.66667</v>
      </c>
      <c r="F271" s="2">
        <f>IFERROR(__xludf.DUMMYFUNCTION("""COMPUTED_VALUE"""),1.98)</f>
        <v>1.98</v>
      </c>
      <c r="H271" s="3">
        <f>IFERROR(__xludf.DUMMYFUNCTION("""COMPUTED_VALUE"""),45638.66666666667)</f>
        <v>45638.66667</v>
      </c>
      <c r="I271" s="2">
        <f>IFERROR(__xludf.DUMMYFUNCTION("""COMPUTED_VALUE"""),0.75)</f>
        <v>0.75</v>
      </c>
      <c r="K271" s="3">
        <f>IFERROR(__xludf.DUMMYFUNCTION("""COMPUTED_VALUE"""),44586.6875)</f>
        <v>44586.6875</v>
      </c>
      <c r="L271" s="2">
        <f>IFERROR(__xludf.DUMMYFUNCTION("""COMPUTED_VALUE"""),50.91)</f>
        <v>50.91</v>
      </c>
      <c r="N271" s="3">
        <f>IFERROR(__xludf.DUMMYFUNCTION("""COMPUTED_VALUE"""),44587.66666666667)</f>
        <v>44587.66667</v>
      </c>
      <c r="O271" s="2">
        <f>IFERROR(__xludf.DUMMYFUNCTION("""COMPUTED_VALUE"""),31.5)</f>
        <v>31.5</v>
      </c>
      <c r="Q271" s="3">
        <f>IFERROR(__xludf.DUMMYFUNCTION("""COMPUTED_VALUE"""),44587.66666666667)</f>
        <v>44587.66667</v>
      </c>
      <c r="R271" s="2">
        <f>IFERROR(__xludf.DUMMYFUNCTION("""COMPUTED_VALUE"""),158.15)</f>
        <v>158.15</v>
      </c>
    </row>
    <row r="272">
      <c r="B272" s="3">
        <f>IFERROR(__xludf.DUMMYFUNCTION("""COMPUTED_VALUE"""),44588.66666666667)</f>
        <v>44588.66667</v>
      </c>
      <c r="C272" s="2">
        <f>IFERROR(__xludf.DUMMYFUNCTION("""COMPUTED_VALUE"""),54.62)</f>
        <v>54.62</v>
      </c>
      <c r="E272" s="3">
        <f>IFERROR(__xludf.DUMMYFUNCTION("""COMPUTED_VALUE"""),45890.66666666667)</f>
        <v>45890.66667</v>
      </c>
      <c r="F272" s="2">
        <f>IFERROR(__xludf.DUMMYFUNCTION("""COMPUTED_VALUE"""),2.2)</f>
        <v>2.2</v>
      </c>
      <c r="H272" s="3">
        <f>IFERROR(__xludf.DUMMYFUNCTION("""COMPUTED_VALUE"""),45639.66666666667)</f>
        <v>45639.66667</v>
      </c>
      <c r="I272" s="2">
        <f>IFERROR(__xludf.DUMMYFUNCTION("""COMPUTED_VALUE"""),0.85)</f>
        <v>0.85</v>
      </c>
      <c r="K272" s="3">
        <f>IFERROR(__xludf.DUMMYFUNCTION("""COMPUTED_VALUE"""),44587.6875)</f>
        <v>44587.6875</v>
      </c>
      <c r="L272" s="2">
        <f>IFERROR(__xludf.DUMMYFUNCTION("""COMPUTED_VALUE"""),52.03)</f>
        <v>52.03</v>
      </c>
      <c r="N272" s="3">
        <f>IFERROR(__xludf.DUMMYFUNCTION("""COMPUTED_VALUE"""),44588.66666666667)</f>
        <v>44588.66667</v>
      </c>
      <c r="O272" s="2">
        <f>IFERROR(__xludf.DUMMYFUNCTION("""COMPUTED_VALUE"""),31.53)</f>
        <v>31.53</v>
      </c>
      <c r="Q272" s="3">
        <f>IFERROR(__xludf.DUMMYFUNCTION("""COMPUTED_VALUE"""),44588.66666666667)</f>
        <v>44588.66667</v>
      </c>
      <c r="R272" s="2">
        <f>IFERROR(__xludf.DUMMYFUNCTION("""COMPUTED_VALUE"""),159.13)</f>
        <v>159.13</v>
      </c>
    </row>
    <row r="273">
      <c r="B273" s="3">
        <f>IFERROR(__xludf.DUMMYFUNCTION("""COMPUTED_VALUE"""),44589.66666666667)</f>
        <v>44589.66667</v>
      </c>
      <c r="C273" s="2">
        <f>IFERROR(__xludf.DUMMYFUNCTION("""COMPUTED_VALUE"""),55.61)</f>
        <v>55.61</v>
      </c>
      <c r="E273" s="3">
        <f>IFERROR(__xludf.DUMMYFUNCTION("""COMPUTED_VALUE"""),45891.66666666667)</f>
        <v>45891.66667</v>
      </c>
      <c r="F273" s="2">
        <f>IFERROR(__xludf.DUMMYFUNCTION("""COMPUTED_VALUE"""),2.13)</f>
        <v>2.13</v>
      </c>
      <c r="H273" s="3">
        <f>IFERROR(__xludf.DUMMYFUNCTION("""COMPUTED_VALUE"""),45642.66666666667)</f>
        <v>45642.66667</v>
      </c>
      <c r="I273" s="2">
        <f>IFERROR(__xludf.DUMMYFUNCTION("""COMPUTED_VALUE"""),0.97)</f>
        <v>0.97</v>
      </c>
      <c r="K273" s="3">
        <f>IFERROR(__xludf.DUMMYFUNCTION("""COMPUTED_VALUE"""),44588.6875)</f>
        <v>44588.6875</v>
      </c>
      <c r="L273" s="2">
        <f>IFERROR(__xludf.DUMMYFUNCTION("""COMPUTED_VALUE"""),52.25)</f>
        <v>52.25</v>
      </c>
      <c r="N273" s="3">
        <f>IFERROR(__xludf.DUMMYFUNCTION("""COMPUTED_VALUE"""),44589.66666666667)</f>
        <v>44589.66667</v>
      </c>
      <c r="O273" s="2">
        <f>IFERROR(__xludf.DUMMYFUNCTION("""COMPUTED_VALUE"""),31.07)</f>
        <v>31.07</v>
      </c>
      <c r="Q273" s="3">
        <f>IFERROR(__xludf.DUMMYFUNCTION("""COMPUTED_VALUE"""),44589.66666666667)</f>
        <v>44589.66667</v>
      </c>
      <c r="R273" s="2">
        <f>IFERROR(__xludf.DUMMYFUNCTION("""COMPUTED_VALUE"""),160.5)</f>
        <v>160.5</v>
      </c>
    </row>
    <row r="274">
      <c r="B274" s="3">
        <f>IFERROR(__xludf.DUMMYFUNCTION("""COMPUTED_VALUE"""),44592.66666666667)</f>
        <v>44592.66667</v>
      </c>
      <c r="C274" s="2">
        <f>IFERROR(__xludf.DUMMYFUNCTION("""COMPUTED_VALUE"""),55.67)</f>
        <v>55.67</v>
      </c>
      <c r="E274" s="3">
        <f>IFERROR(__xludf.DUMMYFUNCTION("""COMPUTED_VALUE"""),45894.66666666667)</f>
        <v>45894.66667</v>
      </c>
      <c r="F274" s="2">
        <f>IFERROR(__xludf.DUMMYFUNCTION("""COMPUTED_VALUE"""),2.29)</f>
        <v>2.29</v>
      </c>
      <c r="H274" s="3">
        <f>IFERROR(__xludf.DUMMYFUNCTION("""COMPUTED_VALUE"""),45643.66666666667)</f>
        <v>45643.66667</v>
      </c>
      <c r="I274" s="2">
        <f>IFERROR(__xludf.DUMMYFUNCTION("""COMPUTED_VALUE"""),1.23)</f>
        <v>1.23</v>
      </c>
      <c r="K274" s="3">
        <f>IFERROR(__xludf.DUMMYFUNCTION("""COMPUTED_VALUE"""),44589.6875)</f>
        <v>44589.6875</v>
      </c>
      <c r="L274" s="2">
        <f>IFERROR(__xludf.DUMMYFUNCTION("""COMPUTED_VALUE"""),51.2)</f>
        <v>51.2</v>
      </c>
      <c r="N274" s="3">
        <f>IFERROR(__xludf.DUMMYFUNCTION("""COMPUTED_VALUE"""),44592.66666666667)</f>
        <v>44592.66667</v>
      </c>
      <c r="O274" s="2">
        <f>IFERROR(__xludf.DUMMYFUNCTION("""COMPUTED_VALUE"""),30.92)</f>
        <v>30.92</v>
      </c>
      <c r="Q274" s="3">
        <f>IFERROR(__xludf.DUMMYFUNCTION("""COMPUTED_VALUE"""),44592.66666666667)</f>
        <v>44592.66667</v>
      </c>
      <c r="R274" s="2">
        <f>IFERROR(__xludf.DUMMYFUNCTION("""COMPUTED_VALUE"""),160.45)</f>
        <v>160.45</v>
      </c>
    </row>
    <row r="275">
      <c r="B275" s="3">
        <f>IFERROR(__xludf.DUMMYFUNCTION("""COMPUTED_VALUE"""),44593.66666666667)</f>
        <v>44593.66667</v>
      </c>
      <c r="C275" s="2">
        <f>IFERROR(__xludf.DUMMYFUNCTION("""COMPUTED_VALUE"""),55.37)</f>
        <v>55.37</v>
      </c>
      <c r="E275" s="3">
        <f>IFERROR(__xludf.DUMMYFUNCTION("""COMPUTED_VALUE"""),45895.66666666667)</f>
        <v>45895.66667</v>
      </c>
      <c r="F275" s="2">
        <f>IFERROR(__xludf.DUMMYFUNCTION("""COMPUTED_VALUE"""),2.19)</f>
        <v>2.19</v>
      </c>
      <c r="H275" s="3">
        <f>IFERROR(__xludf.DUMMYFUNCTION("""COMPUTED_VALUE"""),45644.66666666667)</f>
        <v>45644.66667</v>
      </c>
      <c r="I275" s="2">
        <f>IFERROR(__xludf.DUMMYFUNCTION("""COMPUTED_VALUE"""),1.24)</f>
        <v>1.24</v>
      </c>
      <c r="K275" s="3">
        <f>IFERROR(__xludf.DUMMYFUNCTION("""COMPUTED_VALUE"""),44592.6875)</f>
        <v>44592.6875</v>
      </c>
      <c r="L275" s="2">
        <f>IFERROR(__xludf.DUMMYFUNCTION("""COMPUTED_VALUE"""),51.05)</f>
        <v>51.05</v>
      </c>
      <c r="N275" s="3">
        <f>IFERROR(__xludf.DUMMYFUNCTION("""COMPUTED_VALUE"""),44593.66666666667)</f>
        <v>44593.66667</v>
      </c>
      <c r="O275" s="2">
        <f>IFERROR(__xludf.DUMMYFUNCTION("""COMPUTED_VALUE"""),31.76)</f>
        <v>31.76</v>
      </c>
      <c r="Q275" s="3">
        <f>IFERROR(__xludf.DUMMYFUNCTION("""COMPUTED_VALUE"""),44593.66666666667)</f>
        <v>44593.66667</v>
      </c>
      <c r="R275" s="2">
        <f>IFERROR(__xludf.DUMMYFUNCTION("""COMPUTED_VALUE"""),159.74)</f>
        <v>159.74</v>
      </c>
    </row>
    <row r="276">
      <c r="B276" s="3">
        <f>IFERROR(__xludf.DUMMYFUNCTION("""COMPUTED_VALUE"""),44594.66666666667)</f>
        <v>44594.66667</v>
      </c>
      <c r="C276" s="2">
        <f>IFERROR(__xludf.DUMMYFUNCTION("""COMPUTED_VALUE"""),56.17)</f>
        <v>56.17</v>
      </c>
      <c r="E276" s="3">
        <f>IFERROR(__xludf.DUMMYFUNCTION("""COMPUTED_VALUE"""),45896.66666666667)</f>
        <v>45896.66667</v>
      </c>
      <c r="F276" s="2">
        <f>IFERROR(__xludf.DUMMYFUNCTION("""COMPUTED_VALUE"""),2.25)</f>
        <v>2.25</v>
      </c>
      <c r="H276" s="3">
        <f>IFERROR(__xludf.DUMMYFUNCTION("""COMPUTED_VALUE"""),45645.66666666667)</f>
        <v>45645.66667</v>
      </c>
      <c r="I276" s="2">
        <f>IFERROR(__xludf.DUMMYFUNCTION("""COMPUTED_VALUE"""),1.15)</f>
        <v>1.15</v>
      </c>
      <c r="K276" s="3">
        <f>IFERROR(__xludf.DUMMYFUNCTION("""COMPUTED_VALUE"""),44593.6875)</f>
        <v>44593.6875</v>
      </c>
      <c r="L276" s="2">
        <f>IFERROR(__xludf.DUMMYFUNCTION("""COMPUTED_VALUE"""),52.39)</f>
        <v>52.39</v>
      </c>
      <c r="N276" s="3">
        <f>IFERROR(__xludf.DUMMYFUNCTION("""COMPUTED_VALUE"""),44594.66666666667)</f>
        <v>44594.66667</v>
      </c>
      <c r="O276" s="2">
        <f>IFERROR(__xludf.DUMMYFUNCTION("""COMPUTED_VALUE"""),31.96)</f>
        <v>31.96</v>
      </c>
      <c r="Q276" s="3">
        <f>IFERROR(__xludf.DUMMYFUNCTION("""COMPUTED_VALUE"""),44594.66666666667)</f>
        <v>44594.66667</v>
      </c>
      <c r="R276" s="2">
        <f>IFERROR(__xludf.DUMMYFUNCTION("""COMPUTED_VALUE"""),162.6)</f>
        <v>162.6</v>
      </c>
    </row>
    <row r="277">
      <c r="B277" s="3">
        <f>IFERROR(__xludf.DUMMYFUNCTION("""COMPUTED_VALUE"""),44595.66666666667)</f>
        <v>44595.66667</v>
      </c>
      <c r="C277" s="2">
        <f>IFERROR(__xludf.DUMMYFUNCTION("""COMPUTED_VALUE"""),55.2)</f>
        <v>55.2</v>
      </c>
      <c r="E277" s="3">
        <f>IFERROR(__xludf.DUMMYFUNCTION("""COMPUTED_VALUE"""),45897.66666666667)</f>
        <v>45897.66667</v>
      </c>
      <c r="F277" s="2">
        <f>IFERROR(__xludf.DUMMYFUNCTION("""COMPUTED_VALUE"""),2.25)</f>
        <v>2.25</v>
      </c>
      <c r="H277" s="3">
        <f>IFERROR(__xludf.DUMMYFUNCTION("""COMPUTED_VALUE"""),45646.66666666667)</f>
        <v>45646.66667</v>
      </c>
      <c r="I277" s="2">
        <f>IFERROR(__xludf.DUMMYFUNCTION("""COMPUTED_VALUE"""),1.27)</f>
        <v>1.27</v>
      </c>
      <c r="K277" s="3">
        <f>IFERROR(__xludf.DUMMYFUNCTION("""COMPUTED_VALUE"""),44594.6875)</f>
        <v>44594.6875</v>
      </c>
      <c r="L277" s="2">
        <f>IFERROR(__xludf.DUMMYFUNCTION("""COMPUTED_VALUE"""),52.86)</f>
        <v>52.86</v>
      </c>
      <c r="N277" s="3">
        <f>IFERROR(__xludf.DUMMYFUNCTION("""COMPUTED_VALUE"""),44595.66666666667)</f>
        <v>44595.66667</v>
      </c>
      <c r="O277" s="2">
        <f>IFERROR(__xludf.DUMMYFUNCTION("""COMPUTED_VALUE"""),32.15)</f>
        <v>32.15</v>
      </c>
      <c r="Q277" s="3">
        <f>IFERROR(__xludf.DUMMYFUNCTION("""COMPUTED_VALUE"""),44595.66666666667)</f>
        <v>44595.66667</v>
      </c>
      <c r="R277" s="2">
        <f>IFERROR(__xludf.DUMMYFUNCTION("""COMPUTED_VALUE"""),164.14)</f>
        <v>164.14</v>
      </c>
    </row>
    <row r="278">
      <c r="B278" s="3">
        <f>IFERROR(__xludf.DUMMYFUNCTION("""COMPUTED_VALUE"""),44596.66666666667)</f>
        <v>44596.66667</v>
      </c>
      <c r="C278" s="2">
        <f>IFERROR(__xludf.DUMMYFUNCTION("""COMPUTED_VALUE"""),55.15)</f>
        <v>55.15</v>
      </c>
      <c r="E278" s="3">
        <f>IFERROR(__xludf.DUMMYFUNCTION("""COMPUTED_VALUE"""),45898.66666666667)</f>
        <v>45898.66667</v>
      </c>
      <c r="F278" s="2">
        <f>IFERROR(__xludf.DUMMYFUNCTION("""COMPUTED_VALUE"""),2.25)</f>
        <v>2.25</v>
      </c>
      <c r="H278" s="3">
        <f>IFERROR(__xludf.DUMMYFUNCTION("""COMPUTED_VALUE"""),45649.66666666667)</f>
        <v>45649.66667</v>
      </c>
      <c r="I278" s="2">
        <f>IFERROR(__xludf.DUMMYFUNCTION("""COMPUTED_VALUE"""),1.96)</f>
        <v>1.96</v>
      </c>
      <c r="K278" s="3">
        <f>IFERROR(__xludf.DUMMYFUNCTION("""COMPUTED_VALUE"""),44595.6875)</f>
        <v>44595.6875</v>
      </c>
      <c r="L278" s="2">
        <f>IFERROR(__xludf.DUMMYFUNCTION("""COMPUTED_VALUE"""),53.3)</f>
        <v>53.3</v>
      </c>
      <c r="N278" s="3">
        <f>IFERROR(__xludf.DUMMYFUNCTION("""COMPUTED_VALUE"""),44596.66666666667)</f>
        <v>44596.66667</v>
      </c>
      <c r="O278" s="2">
        <f>IFERROR(__xludf.DUMMYFUNCTION("""COMPUTED_VALUE"""),32.88)</f>
        <v>32.88</v>
      </c>
      <c r="Q278" s="3">
        <f>IFERROR(__xludf.DUMMYFUNCTION("""COMPUTED_VALUE"""),44596.66666666667)</f>
        <v>44596.66667</v>
      </c>
      <c r="R278" s="2">
        <f>IFERROR(__xludf.DUMMYFUNCTION("""COMPUTED_VALUE"""),161.53)</f>
        <v>161.53</v>
      </c>
    </row>
    <row r="279">
      <c r="B279" s="3">
        <f>IFERROR(__xludf.DUMMYFUNCTION("""COMPUTED_VALUE"""),44599.66666666667)</f>
        <v>44599.66667</v>
      </c>
      <c r="C279" s="2">
        <f>IFERROR(__xludf.DUMMYFUNCTION("""COMPUTED_VALUE"""),55.17)</f>
        <v>55.17</v>
      </c>
      <c r="E279" s="3">
        <f>IFERROR(__xludf.DUMMYFUNCTION("""COMPUTED_VALUE"""),45902.66666666667)</f>
        <v>45902.66667</v>
      </c>
      <c r="F279" s="2">
        <f>IFERROR(__xludf.DUMMYFUNCTION("""COMPUTED_VALUE"""),2.36)</f>
        <v>2.36</v>
      </c>
      <c r="H279" s="3">
        <f>IFERROR(__xludf.DUMMYFUNCTION("""COMPUTED_VALUE"""),45650.54513888889)</f>
        <v>45650.54514</v>
      </c>
      <c r="I279" s="2">
        <f>IFERROR(__xludf.DUMMYFUNCTION("""COMPUTED_VALUE"""),1.95)</f>
        <v>1.95</v>
      </c>
      <c r="K279" s="3">
        <f>IFERROR(__xludf.DUMMYFUNCTION("""COMPUTED_VALUE"""),44596.6875)</f>
        <v>44596.6875</v>
      </c>
      <c r="L279" s="2">
        <f>IFERROR(__xludf.DUMMYFUNCTION("""COMPUTED_VALUE"""),51.38)</f>
        <v>51.38</v>
      </c>
      <c r="N279" s="3">
        <f>IFERROR(__xludf.DUMMYFUNCTION("""COMPUTED_VALUE"""),44599.66666666667)</f>
        <v>44599.66667</v>
      </c>
      <c r="O279" s="2">
        <f>IFERROR(__xludf.DUMMYFUNCTION("""COMPUTED_VALUE"""),33.34)</f>
        <v>33.34</v>
      </c>
      <c r="Q279" s="3">
        <f>IFERROR(__xludf.DUMMYFUNCTION("""COMPUTED_VALUE"""),44599.66666666667)</f>
        <v>44599.66667</v>
      </c>
      <c r="R279" s="2">
        <f>IFERROR(__xludf.DUMMYFUNCTION("""COMPUTED_VALUE"""),160.32)</f>
        <v>160.32</v>
      </c>
    </row>
    <row r="280">
      <c r="B280" s="3">
        <f>IFERROR(__xludf.DUMMYFUNCTION("""COMPUTED_VALUE"""),44600.66666666667)</f>
        <v>44600.66667</v>
      </c>
      <c r="C280" s="2">
        <f>IFERROR(__xludf.DUMMYFUNCTION("""COMPUTED_VALUE"""),55.34)</f>
        <v>55.34</v>
      </c>
      <c r="E280" s="3">
        <f>IFERROR(__xludf.DUMMYFUNCTION("""COMPUTED_VALUE"""),45903.66666666667)</f>
        <v>45903.66667</v>
      </c>
      <c r="F280" s="2">
        <f>IFERROR(__xludf.DUMMYFUNCTION("""COMPUTED_VALUE"""),2.34)</f>
        <v>2.34</v>
      </c>
      <c r="H280" s="3">
        <f>IFERROR(__xludf.DUMMYFUNCTION("""COMPUTED_VALUE"""),45652.66666666667)</f>
        <v>45652.66667</v>
      </c>
      <c r="I280" s="2">
        <f>IFERROR(__xludf.DUMMYFUNCTION("""COMPUTED_VALUE"""),2.67)</f>
        <v>2.67</v>
      </c>
      <c r="K280" s="3">
        <f>IFERROR(__xludf.DUMMYFUNCTION("""COMPUTED_VALUE"""),44599.6875)</f>
        <v>44599.6875</v>
      </c>
      <c r="L280" s="2">
        <f>IFERROR(__xludf.DUMMYFUNCTION("""COMPUTED_VALUE"""),52.59)</f>
        <v>52.59</v>
      </c>
      <c r="N280" s="3">
        <f>IFERROR(__xludf.DUMMYFUNCTION("""COMPUTED_VALUE"""),44600.66666666667)</f>
        <v>44600.66667</v>
      </c>
      <c r="O280" s="2">
        <f>IFERROR(__xludf.DUMMYFUNCTION("""COMPUTED_VALUE"""),32.81)</f>
        <v>32.81</v>
      </c>
      <c r="Q280" s="3">
        <f>IFERROR(__xludf.DUMMYFUNCTION("""COMPUTED_VALUE"""),44600.66666666667)</f>
        <v>44600.66667</v>
      </c>
      <c r="R280" s="2">
        <f>IFERROR(__xludf.DUMMYFUNCTION("""COMPUTED_VALUE"""),159.96)</f>
        <v>159.96</v>
      </c>
    </row>
    <row r="281">
      <c r="B281" s="3">
        <f>IFERROR(__xludf.DUMMYFUNCTION("""COMPUTED_VALUE"""),44601.66666666667)</f>
        <v>44601.66667</v>
      </c>
      <c r="C281" s="2">
        <f>IFERROR(__xludf.DUMMYFUNCTION("""COMPUTED_VALUE"""),56.29)</f>
        <v>56.29</v>
      </c>
      <c r="E281" s="3">
        <f>IFERROR(__xludf.DUMMYFUNCTION("""COMPUTED_VALUE"""),45904.66666666667)</f>
        <v>45904.66667</v>
      </c>
      <c r="F281" s="2">
        <f>IFERROR(__xludf.DUMMYFUNCTION("""COMPUTED_VALUE"""),2.27)</f>
        <v>2.27</v>
      </c>
      <c r="H281" s="3">
        <f>IFERROR(__xludf.DUMMYFUNCTION("""COMPUTED_VALUE"""),45653.66666666667)</f>
        <v>45653.66667</v>
      </c>
      <c r="I281" s="2">
        <f>IFERROR(__xludf.DUMMYFUNCTION("""COMPUTED_VALUE"""),2.9)</f>
        <v>2.9</v>
      </c>
      <c r="K281" s="3">
        <f>IFERROR(__xludf.DUMMYFUNCTION("""COMPUTED_VALUE"""),44600.6875)</f>
        <v>44600.6875</v>
      </c>
      <c r="L281" s="2">
        <f>IFERROR(__xludf.DUMMYFUNCTION("""COMPUTED_VALUE"""),52.5)</f>
        <v>52.5</v>
      </c>
      <c r="N281" s="3">
        <f>IFERROR(__xludf.DUMMYFUNCTION("""COMPUTED_VALUE"""),44601.66666666667)</f>
        <v>44601.66667</v>
      </c>
      <c r="O281" s="2">
        <f>IFERROR(__xludf.DUMMYFUNCTION("""COMPUTED_VALUE"""),32.99)</f>
        <v>32.99</v>
      </c>
      <c r="Q281" s="3">
        <f>IFERROR(__xludf.DUMMYFUNCTION("""COMPUTED_VALUE"""),44601.66666666667)</f>
        <v>44601.66667</v>
      </c>
      <c r="R281" s="2">
        <f>IFERROR(__xludf.DUMMYFUNCTION("""COMPUTED_VALUE"""),159.6)</f>
        <v>159.6</v>
      </c>
    </row>
    <row r="282">
      <c r="B282" s="3">
        <f>IFERROR(__xludf.DUMMYFUNCTION("""COMPUTED_VALUE"""),44602.66666666667)</f>
        <v>44602.66667</v>
      </c>
      <c r="C282" s="2">
        <f>IFERROR(__xludf.DUMMYFUNCTION("""COMPUTED_VALUE"""),54.87)</f>
        <v>54.87</v>
      </c>
      <c r="E282" s="3">
        <f>IFERROR(__xludf.DUMMYFUNCTION("""COMPUTED_VALUE"""),45905.66666666667)</f>
        <v>45905.66667</v>
      </c>
      <c r="F282" s="2">
        <f>IFERROR(__xludf.DUMMYFUNCTION("""COMPUTED_VALUE"""),2.28)</f>
        <v>2.28</v>
      </c>
      <c r="H282" s="3">
        <f>IFERROR(__xludf.DUMMYFUNCTION("""COMPUTED_VALUE"""),45656.66666666667)</f>
        <v>45656.66667</v>
      </c>
      <c r="I282" s="2">
        <f>IFERROR(__xludf.DUMMYFUNCTION("""COMPUTED_VALUE"""),3.49)</f>
        <v>3.49</v>
      </c>
      <c r="K282" s="3">
        <f>IFERROR(__xludf.DUMMYFUNCTION("""COMPUTED_VALUE"""),44601.6875)</f>
        <v>44601.6875</v>
      </c>
      <c r="L282" s="2">
        <f>IFERROR(__xludf.DUMMYFUNCTION("""COMPUTED_VALUE"""),53.09)</f>
        <v>53.09</v>
      </c>
      <c r="N282" s="3">
        <f>IFERROR(__xludf.DUMMYFUNCTION("""COMPUTED_VALUE"""),44602.66666666667)</f>
        <v>44602.66667</v>
      </c>
      <c r="O282" s="2">
        <f>IFERROR(__xludf.DUMMYFUNCTION("""COMPUTED_VALUE"""),33.06)</f>
        <v>33.06</v>
      </c>
      <c r="Q282" s="3">
        <f>IFERROR(__xludf.DUMMYFUNCTION("""COMPUTED_VALUE"""),44602.66666666667)</f>
        <v>44602.66667</v>
      </c>
      <c r="R282" s="2">
        <f>IFERROR(__xludf.DUMMYFUNCTION("""COMPUTED_VALUE"""),157.17)</f>
        <v>157.17</v>
      </c>
    </row>
    <row r="283">
      <c r="B283" s="3">
        <f>IFERROR(__xludf.DUMMYFUNCTION("""COMPUTED_VALUE"""),44603.66666666667)</f>
        <v>44603.66667</v>
      </c>
      <c r="C283" s="2">
        <f>IFERROR(__xludf.DUMMYFUNCTION("""COMPUTED_VALUE"""),53.9)</f>
        <v>53.9</v>
      </c>
      <c r="E283" s="3">
        <f>IFERROR(__xludf.DUMMYFUNCTION("""COMPUTED_VALUE"""),45908.66666666667)</f>
        <v>45908.66667</v>
      </c>
      <c r="F283" s="2">
        <f>IFERROR(__xludf.DUMMYFUNCTION("""COMPUTED_VALUE"""),2.51)</f>
        <v>2.51</v>
      </c>
      <c r="H283" s="3">
        <f>IFERROR(__xludf.DUMMYFUNCTION("""COMPUTED_VALUE"""),45657.66666666667)</f>
        <v>45657.66667</v>
      </c>
      <c r="I283" s="2">
        <f>IFERROR(__xludf.DUMMYFUNCTION("""COMPUTED_VALUE"""),2.7)</f>
        <v>2.7</v>
      </c>
      <c r="K283" s="3">
        <f>IFERROR(__xludf.DUMMYFUNCTION("""COMPUTED_VALUE"""),44602.6875)</f>
        <v>44602.6875</v>
      </c>
      <c r="L283" s="2">
        <f>IFERROR(__xludf.DUMMYFUNCTION("""COMPUTED_VALUE"""),53.4)</f>
        <v>53.4</v>
      </c>
      <c r="N283" s="3">
        <f>IFERROR(__xludf.DUMMYFUNCTION("""COMPUTED_VALUE"""),44603.66666666667)</f>
        <v>44603.66667</v>
      </c>
      <c r="O283" s="2">
        <f>IFERROR(__xludf.DUMMYFUNCTION("""COMPUTED_VALUE"""),33.23)</f>
        <v>33.23</v>
      </c>
      <c r="Q283" s="3">
        <f>IFERROR(__xludf.DUMMYFUNCTION("""COMPUTED_VALUE"""),44603.66666666667)</f>
        <v>44603.66667</v>
      </c>
      <c r="R283" s="2">
        <f>IFERROR(__xludf.DUMMYFUNCTION("""COMPUTED_VALUE"""),156.29)</f>
        <v>156.29</v>
      </c>
    </row>
    <row r="284">
      <c r="B284" s="3">
        <f>IFERROR(__xludf.DUMMYFUNCTION("""COMPUTED_VALUE"""),44606.66666666667)</f>
        <v>44606.66667</v>
      </c>
      <c r="C284" s="2">
        <f>IFERROR(__xludf.DUMMYFUNCTION("""COMPUTED_VALUE"""),53.18)</f>
        <v>53.18</v>
      </c>
      <c r="E284" s="3">
        <f>IFERROR(__xludf.DUMMYFUNCTION("""COMPUTED_VALUE"""),45909.66666666667)</f>
        <v>45909.66667</v>
      </c>
      <c r="F284" s="2">
        <f>IFERROR(__xludf.DUMMYFUNCTION("""COMPUTED_VALUE"""),2.45)</f>
        <v>2.45</v>
      </c>
      <c r="H284" s="3">
        <f>IFERROR(__xludf.DUMMYFUNCTION("""COMPUTED_VALUE"""),45659.66666666667)</f>
        <v>45659.66667</v>
      </c>
      <c r="I284" s="2">
        <f>IFERROR(__xludf.DUMMYFUNCTION("""COMPUTED_VALUE"""),2.41)</f>
        <v>2.41</v>
      </c>
      <c r="K284" s="3">
        <f>IFERROR(__xludf.DUMMYFUNCTION("""COMPUTED_VALUE"""),44603.6875)</f>
        <v>44603.6875</v>
      </c>
      <c r="L284" s="2">
        <f>IFERROR(__xludf.DUMMYFUNCTION("""COMPUTED_VALUE"""),53.96)</f>
        <v>53.96</v>
      </c>
      <c r="N284" s="3">
        <f>IFERROR(__xludf.DUMMYFUNCTION("""COMPUTED_VALUE"""),44606.66666666667)</f>
        <v>44606.66667</v>
      </c>
      <c r="O284" s="2">
        <f>IFERROR(__xludf.DUMMYFUNCTION("""COMPUTED_VALUE"""),32.45)</f>
        <v>32.45</v>
      </c>
      <c r="Q284" s="3">
        <f>IFERROR(__xludf.DUMMYFUNCTION("""COMPUTED_VALUE"""),44606.66666666667)</f>
        <v>44606.66667</v>
      </c>
      <c r="R284" s="2">
        <f>IFERROR(__xludf.DUMMYFUNCTION("""COMPUTED_VALUE"""),156.74)</f>
        <v>156.74</v>
      </c>
    </row>
    <row r="285">
      <c r="B285" s="3">
        <f>IFERROR(__xludf.DUMMYFUNCTION("""COMPUTED_VALUE"""),44607.66666666667)</f>
        <v>44607.66667</v>
      </c>
      <c r="C285" s="2">
        <f>IFERROR(__xludf.DUMMYFUNCTION("""COMPUTED_VALUE"""),54.27)</f>
        <v>54.27</v>
      </c>
      <c r="E285" s="3">
        <f>IFERROR(__xludf.DUMMYFUNCTION("""COMPUTED_VALUE"""),45910.66666666667)</f>
        <v>45910.66667</v>
      </c>
      <c r="F285" s="2">
        <f>IFERROR(__xludf.DUMMYFUNCTION("""COMPUTED_VALUE"""),2.44)</f>
        <v>2.44</v>
      </c>
      <c r="H285" s="3">
        <f>IFERROR(__xludf.DUMMYFUNCTION("""COMPUTED_VALUE"""),45660.66666666667)</f>
        <v>45660.66667</v>
      </c>
      <c r="I285" s="2">
        <f>IFERROR(__xludf.DUMMYFUNCTION("""COMPUTED_VALUE"""),4.09)</f>
        <v>4.09</v>
      </c>
      <c r="K285" s="3">
        <f>IFERROR(__xludf.DUMMYFUNCTION("""COMPUTED_VALUE"""),44606.6875)</f>
        <v>44606.6875</v>
      </c>
      <c r="L285" s="2">
        <f>IFERROR(__xludf.DUMMYFUNCTION("""COMPUTED_VALUE"""),51.71)</f>
        <v>51.71</v>
      </c>
      <c r="N285" s="3">
        <f>IFERROR(__xludf.DUMMYFUNCTION("""COMPUTED_VALUE"""),44607.66666666667)</f>
        <v>44607.66667</v>
      </c>
      <c r="O285" s="2">
        <f>IFERROR(__xludf.DUMMYFUNCTION("""COMPUTED_VALUE"""),32.16)</f>
        <v>32.16</v>
      </c>
      <c r="Q285" s="3">
        <f>IFERROR(__xludf.DUMMYFUNCTION("""COMPUTED_VALUE"""),44607.66666666667)</f>
        <v>44607.66667</v>
      </c>
      <c r="R285" s="2">
        <f>IFERROR(__xludf.DUMMYFUNCTION("""COMPUTED_VALUE"""),156.82)</f>
        <v>156.82</v>
      </c>
    </row>
    <row r="286">
      <c r="B286" s="3">
        <f>IFERROR(__xludf.DUMMYFUNCTION("""COMPUTED_VALUE"""),44608.66666666667)</f>
        <v>44608.66667</v>
      </c>
      <c r="C286" s="2">
        <f>IFERROR(__xludf.DUMMYFUNCTION("""COMPUTED_VALUE"""),54.25)</f>
        <v>54.25</v>
      </c>
      <c r="E286" s="3">
        <f>IFERROR(__xludf.DUMMYFUNCTION("""COMPUTED_VALUE"""),45911.66666666667)</f>
        <v>45911.66667</v>
      </c>
      <c r="F286" s="2">
        <f>IFERROR(__xludf.DUMMYFUNCTION("""COMPUTED_VALUE"""),2.4)</f>
        <v>2.4</v>
      </c>
      <c r="H286" s="3">
        <f>IFERROR(__xludf.DUMMYFUNCTION("""COMPUTED_VALUE"""),45663.66666666667)</f>
        <v>45663.66667</v>
      </c>
      <c r="I286" s="2">
        <f>IFERROR(__xludf.DUMMYFUNCTION("""COMPUTED_VALUE"""),4.11)</f>
        <v>4.11</v>
      </c>
      <c r="K286" s="3">
        <f>IFERROR(__xludf.DUMMYFUNCTION("""COMPUTED_VALUE"""),44607.6875)</f>
        <v>44607.6875</v>
      </c>
      <c r="L286" s="2">
        <f>IFERROR(__xludf.DUMMYFUNCTION("""COMPUTED_VALUE"""),52.63)</f>
        <v>52.63</v>
      </c>
      <c r="N286" s="3">
        <f>IFERROR(__xludf.DUMMYFUNCTION("""COMPUTED_VALUE"""),44608.66666666667)</f>
        <v>44608.66667</v>
      </c>
      <c r="O286" s="2">
        <f>IFERROR(__xludf.DUMMYFUNCTION("""COMPUTED_VALUE"""),32.48)</f>
        <v>32.48</v>
      </c>
      <c r="Q286" s="3">
        <f>IFERROR(__xludf.DUMMYFUNCTION("""COMPUTED_VALUE"""),44608.66666666667)</f>
        <v>44608.66667</v>
      </c>
      <c r="R286" s="2">
        <f>IFERROR(__xludf.DUMMYFUNCTION("""COMPUTED_VALUE"""),158.01)</f>
        <v>158.01</v>
      </c>
    </row>
    <row r="287">
      <c r="B287" s="3">
        <f>IFERROR(__xludf.DUMMYFUNCTION("""COMPUTED_VALUE"""),44609.66666666667)</f>
        <v>44609.66667</v>
      </c>
      <c r="C287" s="2">
        <f>IFERROR(__xludf.DUMMYFUNCTION("""COMPUTED_VALUE"""),55.77)</f>
        <v>55.77</v>
      </c>
      <c r="E287" s="3">
        <f>IFERROR(__xludf.DUMMYFUNCTION("""COMPUTED_VALUE"""),45912.66666666667)</f>
        <v>45912.66667</v>
      </c>
      <c r="F287" s="2">
        <f>IFERROR(__xludf.DUMMYFUNCTION("""COMPUTED_VALUE"""),2.41)</f>
        <v>2.41</v>
      </c>
      <c r="H287" s="3">
        <f>IFERROR(__xludf.DUMMYFUNCTION("""COMPUTED_VALUE"""),45664.66666666667)</f>
        <v>45664.66667</v>
      </c>
      <c r="I287" s="2">
        <f>IFERROR(__xludf.DUMMYFUNCTION("""COMPUTED_VALUE"""),3.87)</f>
        <v>3.87</v>
      </c>
      <c r="K287" s="3">
        <f>IFERROR(__xludf.DUMMYFUNCTION("""COMPUTED_VALUE"""),44608.6875)</f>
        <v>44608.6875</v>
      </c>
      <c r="L287" s="2">
        <f>IFERROR(__xludf.DUMMYFUNCTION("""COMPUTED_VALUE"""),51.93)</f>
        <v>51.93</v>
      </c>
      <c r="N287" s="3">
        <f>IFERROR(__xludf.DUMMYFUNCTION("""COMPUTED_VALUE"""),44609.66666666667)</f>
        <v>44609.66667</v>
      </c>
      <c r="O287" s="2">
        <f>IFERROR(__xludf.DUMMYFUNCTION("""COMPUTED_VALUE"""),32.29)</f>
        <v>32.29</v>
      </c>
      <c r="Q287" s="3">
        <f>IFERROR(__xludf.DUMMYFUNCTION("""COMPUTED_VALUE"""),44609.66666666667)</f>
        <v>44609.66667</v>
      </c>
      <c r="R287" s="2">
        <f>IFERROR(__xludf.DUMMYFUNCTION("""COMPUTED_VALUE"""),159.82)</f>
        <v>159.82</v>
      </c>
    </row>
    <row r="288">
      <c r="B288" s="3">
        <f>IFERROR(__xludf.DUMMYFUNCTION("""COMPUTED_VALUE"""),44610.66666666667)</f>
        <v>44610.66667</v>
      </c>
      <c r="C288" s="2">
        <f>IFERROR(__xludf.DUMMYFUNCTION("""COMPUTED_VALUE"""),57.21)</f>
        <v>57.21</v>
      </c>
      <c r="E288" s="3">
        <f>IFERROR(__xludf.DUMMYFUNCTION("""COMPUTED_VALUE"""),45915.66666666667)</f>
        <v>45915.66667</v>
      </c>
      <c r="F288" s="2">
        <f>IFERROR(__xludf.DUMMYFUNCTION("""COMPUTED_VALUE"""),2.43)</f>
        <v>2.43</v>
      </c>
      <c r="H288" s="3">
        <f>IFERROR(__xludf.DUMMYFUNCTION("""COMPUTED_VALUE"""),45665.66666666667)</f>
        <v>45665.66667</v>
      </c>
      <c r="I288" s="2">
        <f>IFERROR(__xludf.DUMMYFUNCTION("""COMPUTED_VALUE"""),3.16)</f>
        <v>3.16</v>
      </c>
      <c r="K288" s="3">
        <f>IFERROR(__xludf.DUMMYFUNCTION("""COMPUTED_VALUE"""),44609.6875)</f>
        <v>44609.6875</v>
      </c>
      <c r="L288" s="2">
        <f>IFERROR(__xludf.DUMMYFUNCTION("""COMPUTED_VALUE"""),51.29)</f>
        <v>51.29</v>
      </c>
      <c r="N288" s="3">
        <f>IFERROR(__xludf.DUMMYFUNCTION("""COMPUTED_VALUE"""),44610.66666666667)</f>
        <v>44610.66667</v>
      </c>
      <c r="O288" s="2">
        <f>IFERROR(__xludf.DUMMYFUNCTION("""COMPUTED_VALUE"""),31.77)</f>
        <v>31.77</v>
      </c>
      <c r="Q288" s="3">
        <f>IFERROR(__xludf.DUMMYFUNCTION("""COMPUTED_VALUE"""),44610.66666666667)</f>
        <v>44610.66667</v>
      </c>
      <c r="R288" s="2">
        <f>IFERROR(__xludf.DUMMYFUNCTION("""COMPUTED_VALUE"""),159.9)</f>
        <v>159.9</v>
      </c>
    </row>
    <row r="289">
      <c r="B289" s="3">
        <f>IFERROR(__xludf.DUMMYFUNCTION("""COMPUTED_VALUE"""),44614.66666666667)</f>
        <v>44614.66667</v>
      </c>
      <c r="C289" s="2">
        <f>IFERROR(__xludf.DUMMYFUNCTION("""COMPUTED_VALUE"""),56.3)</f>
        <v>56.3</v>
      </c>
      <c r="E289" s="3">
        <f>IFERROR(__xludf.DUMMYFUNCTION("""COMPUTED_VALUE"""),45916.66666666667)</f>
        <v>45916.66667</v>
      </c>
      <c r="F289" s="2">
        <f>IFERROR(__xludf.DUMMYFUNCTION("""COMPUTED_VALUE"""),2.55)</f>
        <v>2.55</v>
      </c>
      <c r="H289" s="3">
        <f>IFERROR(__xludf.DUMMYFUNCTION("""COMPUTED_VALUE"""),45667.66666666667)</f>
        <v>45667.66667</v>
      </c>
      <c r="I289" s="2">
        <f>IFERROR(__xludf.DUMMYFUNCTION("""COMPUTED_VALUE"""),2.81)</f>
        <v>2.81</v>
      </c>
      <c r="K289" s="3">
        <f>IFERROR(__xludf.DUMMYFUNCTION("""COMPUTED_VALUE"""),44610.6875)</f>
        <v>44610.6875</v>
      </c>
      <c r="L289" s="2">
        <f>IFERROR(__xludf.DUMMYFUNCTION("""COMPUTED_VALUE"""),51.22)</f>
        <v>51.22</v>
      </c>
      <c r="N289" s="3">
        <f>IFERROR(__xludf.DUMMYFUNCTION("""COMPUTED_VALUE"""),44614.66666666667)</f>
        <v>44614.66667</v>
      </c>
      <c r="O289" s="2">
        <f>IFERROR(__xludf.DUMMYFUNCTION("""COMPUTED_VALUE"""),31.06)</f>
        <v>31.06</v>
      </c>
      <c r="Q289" s="3">
        <f>IFERROR(__xludf.DUMMYFUNCTION("""COMPUTED_VALUE"""),44614.66666666667)</f>
        <v>44614.66667</v>
      </c>
      <c r="R289" s="2">
        <f>IFERROR(__xludf.DUMMYFUNCTION("""COMPUTED_VALUE"""),157.93)</f>
        <v>157.93</v>
      </c>
    </row>
    <row r="290">
      <c r="B290" s="3">
        <f>IFERROR(__xludf.DUMMYFUNCTION("""COMPUTED_VALUE"""),44615.66666666667)</f>
        <v>44615.66667</v>
      </c>
      <c r="C290" s="2">
        <f>IFERROR(__xludf.DUMMYFUNCTION("""COMPUTED_VALUE"""),54.44)</f>
        <v>54.44</v>
      </c>
      <c r="E290" s="3">
        <f>IFERROR(__xludf.DUMMYFUNCTION("""COMPUTED_VALUE"""),45917.66666666667)</f>
        <v>45917.66667</v>
      </c>
      <c r="F290" s="2">
        <f>IFERROR(__xludf.DUMMYFUNCTION("""COMPUTED_VALUE"""),2.53)</f>
        <v>2.53</v>
      </c>
      <c r="H290" s="3">
        <f>IFERROR(__xludf.DUMMYFUNCTION("""COMPUTED_VALUE"""),45670.66666666667)</f>
        <v>45670.66667</v>
      </c>
      <c r="I290" s="2">
        <f>IFERROR(__xludf.DUMMYFUNCTION("""COMPUTED_VALUE"""),2.12)</f>
        <v>2.12</v>
      </c>
      <c r="K290" s="3">
        <f>IFERROR(__xludf.DUMMYFUNCTION("""COMPUTED_VALUE"""),44613.6875)</f>
        <v>44613.6875</v>
      </c>
      <c r="L290" s="2">
        <f>IFERROR(__xludf.DUMMYFUNCTION("""COMPUTED_VALUE"""),50.92)</f>
        <v>50.92</v>
      </c>
      <c r="N290" s="3">
        <f>IFERROR(__xludf.DUMMYFUNCTION("""COMPUTED_VALUE"""),44615.66666666667)</f>
        <v>44615.66667</v>
      </c>
      <c r="O290" s="2">
        <f>IFERROR(__xludf.DUMMYFUNCTION("""COMPUTED_VALUE"""),31.13)</f>
        <v>31.13</v>
      </c>
      <c r="Q290" s="3">
        <f>IFERROR(__xludf.DUMMYFUNCTION("""COMPUTED_VALUE"""),44615.66666666667)</f>
        <v>44615.66667</v>
      </c>
      <c r="R290" s="2">
        <f>IFERROR(__xludf.DUMMYFUNCTION("""COMPUTED_VALUE"""),155.96)</f>
        <v>155.96</v>
      </c>
    </row>
    <row r="291">
      <c r="B291" s="3">
        <f>IFERROR(__xludf.DUMMYFUNCTION("""COMPUTED_VALUE"""),44616.66666666667)</f>
        <v>44616.66667</v>
      </c>
      <c r="C291" s="2">
        <f>IFERROR(__xludf.DUMMYFUNCTION("""COMPUTED_VALUE"""),54.73)</f>
        <v>54.73</v>
      </c>
      <c r="E291" s="3">
        <f>IFERROR(__xludf.DUMMYFUNCTION("""COMPUTED_VALUE"""),45918.66666666667)</f>
        <v>45918.66667</v>
      </c>
      <c r="F291" s="2">
        <f>IFERROR(__xludf.DUMMYFUNCTION("""COMPUTED_VALUE"""),2.66)</f>
        <v>2.66</v>
      </c>
      <c r="H291" s="3">
        <f>IFERROR(__xludf.DUMMYFUNCTION("""COMPUTED_VALUE"""),45671.66666666667)</f>
        <v>45671.66667</v>
      </c>
      <c r="I291" s="2">
        <f>IFERROR(__xludf.DUMMYFUNCTION("""COMPUTED_VALUE"""),2.6)</f>
        <v>2.6</v>
      </c>
      <c r="K291" s="3">
        <f>IFERROR(__xludf.DUMMYFUNCTION("""COMPUTED_VALUE"""),44614.6875)</f>
        <v>44614.6875</v>
      </c>
      <c r="L291" s="2">
        <f>IFERROR(__xludf.DUMMYFUNCTION("""COMPUTED_VALUE"""),51.31)</f>
        <v>51.31</v>
      </c>
      <c r="N291" s="3">
        <f>IFERROR(__xludf.DUMMYFUNCTION("""COMPUTED_VALUE"""),44616.66666666667)</f>
        <v>44616.66667</v>
      </c>
      <c r="O291" s="2">
        <f>IFERROR(__xludf.DUMMYFUNCTION("""COMPUTED_VALUE"""),29.17)</f>
        <v>29.17</v>
      </c>
      <c r="Q291" s="3">
        <f>IFERROR(__xludf.DUMMYFUNCTION("""COMPUTED_VALUE"""),44616.66666666667)</f>
        <v>44616.66667</v>
      </c>
      <c r="R291" s="2">
        <f>IFERROR(__xludf.DUMMYFUNCTION("""COMPUTED_VALUE"""),151.76)</f>
        <v>151.76</v>
      </c>
    </row>
    <row r="292">
      <c r="B292" s="3">
        <f>IFERROR(__xludf.DUMMYFUNCTION("""COMPUTED_VALUE"""),44617.66666666667)</f>
        <v>44617.66667</v>
      </c>
      <c r="C292" s="2">
        <f>IFERROR(__xludf.DUMMYFUNCTION("""COMPUTED_VALUE"""),56.04)</f>
        <v>56.04</v>
      </c>
      <c r="E292" s="3">
        <f>IFERROR(__xludf.DUMMYFUNCTION("""COMPUTED_VALUE"""),45919.66666666667)</f>
        <v>45919.66667</v>
      </c>
      <c r="F292" s="2">
        <f>IFERROR(__xludf.DUMMYFUNCTION("""COMPUTED_VALUE"""),2.74)</f>
        <v>2.74</v>
      </c>
      <c r="H292" s="3">
        <f>IFERROR(__xludf.DUMMYFUNCTION("""COMPUTED_VALUE"""),45672.66666666667)</f>
        <v>45672.66667</v>
      </c>
      <c r="I292" s="2">
        <f>IFERROR(__xludf.DUMMYFUNCTION("""COMPUTED_VALUE"""),2.87)</f>
        <v>2.87</v>
      </c>
      <c r="K292" s="3">
        <f>IFERROR(__xludf.DUMMYFUNCTION("""COMPUTED_VALUE"""),44615.6875)</f>
        <v>44615.6875</v>
      </c>
      <c r="L292" s="2">
        <f>IFERROR(__xludf.DUMMYFUNCTION("""COMPUTED_VALUE"""),52.2)</f>
        <v>52.2</v>
      </c>
      <c r="N292" s="3">
        <f>IFERROR(__xludf.DUMMYFUNCTION("""COMPUTED_VALUE"""),44617.66666666667)</f>
        <v>44617.66667</v>
      </c>
      <c r="O292" s="2">
        <f>IFERROR(__xludf.DUMMYFUNCTION("""COMPUTED_VALUE"""),30.73)</f>
        <v>30.73</v>
      </c>
      <c r="Q292" s="3">
        <f>IFERROR(__xludf.DUMMYFUNCTION("""COMPUTED_VALUE"""),44617.66666666667)</f>
        <v>44617.66667</v>
      </c>
      <c r="R292" s="2">
        <f>IFERROR(__xludf.DUMMYFUNCTION("""COMPUTED_VALUE"""),158.24)</f>
        <v>158.24</v>
      </c>
    </row>
    <row r="293">
      <c r="B293" s="3">
        <f>IFERROR(__xludf.DUMMYFUNCTION("""COMPUTED_VALUE"""),44620.66666666667)</f>
        <v>44620.66667</v>
      </c>
      <c r="C293" s="2">
        <f>IFERROR(__xludf.DUMMYFUNCTION("""COMPUTED_VALUE"""),55.77)</f>
        <v>55.77</v>
      </c>
      <c r="E293" s="3">
        <f>IFERROR(__xludf.DUMMYFUNCTION("""COMPUTED_VALUE"""),45922.66666666667)</f>
        <v>45922.66667</v>
      </c>
      <c r="F293" s="2">
        <f>IFERROR(__xludf.DUMMYFUNCTION("""COMPUTED_VALUE"""),2.74)</f>
        <v>2.74</v>
      </c>
      <c r="H293" s="3">
        <f>IFERROR(__xludf.DUMMYFUNCTION("""COMPUTED_VALUE"""),45673.66666666667)</f>
        <v>45673.66667</v>
      </c>
      <c r="I293" s="2">
        <f>IFERROR(__xludf.DUMMYFUNCTION("""COMPUTED_VALUE"""),3.29)</f>
        <v>3.29</v>
      </c>
      <c r="K293" s="3">
        <f>IFERROR(__xludf.DUMMYFUNCTION("""COMPUTED_VALUE"""),44616.6875)</f>
        <v>44616.6875</v>
      </c>
      <c r="L293" s="2">
        <f>IFERROR(__xludf.DUMMYFUNCTION("""COMPUTED_VALUE"""),46.55)</f>
        <v>46.55</v>
      </c>
      <c r="N293" s="3">
        <f>IFERROR(__xludf.DUMMYFUNCTION("""COMPUTED_VALUE"""),44620.66666666667)</f>
        <v>44620.66667</v>
      </c>
      <c r="O293" s="2">
        <f>IFERROR(__xludf.DUMMYFUNCTION("""COMPUTED_VALUE"""),29.21)</f>
        <v>29.21</v>
      </c>
      <c r="Q293" s="3">
        <f>IFERROR(__xludf.DUMMYFUNCTION("""COMPUTED_VALUE"""),44620.66666666667)</f>
        <v>44620.66667</v>
      </c>
      <c r="R293" s="2">
        <f>IFERROR(__xludf.DUMMYFUNCTION("""COMPUTED_VALUE"""),155.89)</f>
        <v>155.89</v>
      </c>
    </row>
    <row r="294">
      <c r="B294" s="3">
        <f>IFERROR(__xludf.DUMMYFUNCTION("""COMPUTED_VALUE"""),44621.66666666667)</f>
        <v>44621.66667</v>
      </c>
      <c r="C294" s="2">
        <f>IFERROR(__xludf.DUMMYFUNCTION("""COMPUTED_VALUE"""),54.62)</f>
        <v>54.62</v>
      </c>
      <c r="E294" s="3">
        <f>IFERROR(__xludf.DUMMYFUNCTION("""COMPUTED_VALUE"""),45923.66666666667)</f>
        <v>45923.66667</v>
      </c>
      <c r="F294" s="2">
        <f>IFERROR(__xludf.DUMMYFUNCTION("""COMPUTED_VALUE"""),3.15)</f>
        <v>3.15</v>
      </c>
      <c r="H294" s="3">
        <f>IFERROR(__xludf.DUMMYFUNCTION("""COMPUTED_VALUE"""),45674.66666666667)</f>
        <v>45674.66667</v>
      </c>
      <c r="I294" s="2">
        <f>IFERROR(__xludf.DUMMYFUNCTION("""COMPUTED_VALUE"""),3.1)</f>
        <v>3.1</v>
      </c>
      <c r="K294" s="3">
        <f>IFERROR(__xludf.DUMMYFUNCTION("""COMPUTED_VALUE"""),44617.6875)</f>
        <v>44617.6875</v>
      </c>
      <c r="L294" s="2">
        <f>IFERROR(__xludf.DUMMYFUNCTION("""COMPUTED_VALUE"""),49.68)</f>
        <v>49.68</v>
      </c>
      <c r="N294" s="3">
        <f>IFERROR(__xludf.DUMMYFUNCTION("""COMPUTED_VALUE"""),44621.66666666667)</f>
        <v>44621.66667</v>
      </c>
      <c r="O294" s="2">
        <f>IFERROR(__xludf.DUMMYFUNCTION("""COMPUTED_VALUE"""),28.49)</f>
        <v>28.49</v>
      </c>
      <c r="Q294" s="3">
        <f>IFERROR(__xludf.DUMMYFUNCTION("""COMPUTED_VALUE"""),44621.66666666667)</f>
        <v>44621.66667</v>
      </c>
      <c r="R294" s="2">
        <f>IFERROR(__xludf.DUMMYFUNCTION("""COMPUTED_VALUE"""),153.31)</f>
        <v>153.31</v>
      </c>
    </row>
    <row r="295">
      <c r="B295" s="3">
        <f>IFERROR(__xludf.DUMMYFUNCTION("""COMPUTED_VALUE"""),44622.66666666667)</f>
        <v>44622.66667</v>
      </c>
      <c r="C295" s="2">
        <f>IFERROR(__xludf.DUMMYFUNCTION("""COMPUTED_VALUE"""),56.15)</f>
        <v>56.15</v>
      </c>
      <c r="E295" s="3">
        <f>IFERROR(__xludf.DUMMYFUNCTION("""COMPUTED_VALUE"""),45924.66666666667)</f>
        <v>45924.66667</v>
      </c>
      <c r="F295" s="2">
        <f>IFERROR(__xludf.DUMMYFUNCTION("""COMPUTED_VALUE"""),3.12)</f>
        <v>3.12</v>
      </c>
      <c r="H295" s="3">
        <f>IFERROR(__xludf.DUMMYFUNCTION("""COMPUTED_VALUE"""),45678.66666666667)</f>
        <v>45678.66667</v>
      </c>
      <c r="I295" s="2">
        <f>IFERROR(__xludf.DUMMYFUNCTION("""COMPUTED_VALUE"""),3.12)</f>
        <v>3.12</v>
      </c>
      <c r="K295" s="3">
        <f>IFERROR(__xludf.DUMMYFUNCTION("""COMPUTED_VALUE"""),44620.6875)</f>
        <v>44620.6875</v>
      </c>
      <c r="L295" s="2">
        <f>IFERROR(__xludf.DUMMYFUNCTION("""COMPUTED_VALUE"""),48.44)</f>
        <v>48.44</v>
      </c>
      <c r="N295" s="3">
        <f>IFERROR(__xludf.DUMMYFUNCTION("""COMPUTED_VALUE"""),44622.66666666667)</f>
        <v>44622.66667</v>
      </c>
      <c r="O295" s="2">
        <f>IFERROR(__xludf.DUMMYFUNCTION("""COMPUTED_VALUE"""),30.11)</f>
        <v>30.11</v>
      </c>
      <c r="Q295" s="3">
        <f>IFERROR(__xludf.DUMMYFUNCTION("""COMPUTED_VALUE"""),44622.66666666667)</f>
        <v>44622.66667</v>
      </c>
      <c r="R295" s="2">
        <f>IFERROR(__xludf.DUMMYFUNCTION("""COMPUTED_VALUE"""),153.79)</f>
        <v>153.79</v>
      </c>
    </row>
    <row r="296">
      <c r="B296" s="3">
        <f>IFERROR(__xludf.DUMMYFUNCTION("""COMPUTED_VALUE"""),44623.66666666667)</f>
        <v>44623.66667</v>
      </c>
      <c r="C296" s="2">
        <f>IFERROR(__xludf.DUMMYFUNCTION("""COMPUTED_VALUE"""),56.07)</f>
        <v>56.07</v>
      </c>
      <c r="E296" s="3">
        <f>IFERROR(__xludf.DUMMYFUNCTION("""COMPUTED_VALUE"""),45925.66666666667)</f>
        <v>45925.66667</v>
      </c>
      <c r="F296" s="2">
        <f>IFERROR(__xludf.DUMMYFUNCTION("""COMPUTED_VALUE"""),3.05)</f>
        <v>3.05</v>
      </c>
      <c r="H296" s="3">
        <f>IFERROR(__xludf.DUMMYFUNCTION("""COMPUTED_VALUE"""),45679.66666666667)</f>
        <v>45679.66667</v>
      </c>
      <c r="I296" s="2">
        <f>IFERROR(__xludf.DUMMYFUNCTION("""COMPUTED_VALUE"""),3.23)</f>
        <v>3.23</v>
      </c>
      <c r="K296" s="3">
        <f>IFERROR(__xludf.DUMMYFUNCTION("""COMPUTED_VALUE"""),44621.6875)</f>
        <v>44621.6875</v>
      </c>
      <c r="L296" s="2">
        <f>IFERROR(__xludf.DUMMYFUNCTION("""COMPUTED_VALUE"""),45.78)</f>
        <v>45.78</v>
      </c>
      <c r="N296" s="3">
        <f>IFERROR(__xludf.DUMMYFUNCTION("""COMPUTED_VALUE"""),44623.66666666667)</f>
        <v>44623.66667</v>
      </c>
      <c r="O296" s="2">
        <f>IFERROR(__xludf.DUMMYFUNCTION("""COMPUTED_VALUE"""),28.74)</f>
        <v>28.74</v>
      </c>
      <c r="Q296" s="3">
        <f>IFERROR(__xludf.DUMMYFUNCTION("""COMPUTED_VALUE"""),44623.66666666667)</f>
        <v>44623.66667</v>
      </c>
      <c r="R296" s="2">
        <f>IFERROR(__xludf.DUMMYFUNCTION("""COMPUTED_VALUE"""),154.36)</f>
        <v>154.36</v>
      </c>
    </row>
    <row r="297">
      <c r="B297" s="3">
        <f>IFERROR(__xludf.DUMMYFUNCTION("""COMPUTED_VALUE"""),44624.66666666667)</f>
        <v>44624.66667</v>
      </c>
      <c r="C297" s="2">
        <f>IFERROR(__xludf.DUMMYFUNCTION("""COMPUTED_VALUE"""),56.51)</f>
        <v>56.51</v>
      </c>
      <c r="E297" s="3">
        <f>IFERROR(__xludf.DUMMYFUNCTION("""COMPUTED_VALUE"""),45926.66666666667)</f>
        <v>45926.66667</v>
      </c>
      <c r="F297" s="2">
        <f>IFERROR(__xludf.DUMMYFUNCTION("""COMPUTED_VALUE"""),3.06)</f>
        <v>3.06</v>
      </c>
      <c r="H297" s="3">
        <f>IFERROR(__xludf.DUMMYFUNCTION("""COMPUTED_VALUE"""),45680.66666666667)</f>
        <v>45680.66667</v>
      </c>
      <c r="I297" s="2">
        <f>IFERROR(__xludf.DUMMYFUNCTION("""COMPUTED_VALUE"""),3.45)</f>
        <v>3.45</v>
      </c>
      <c r="K297" s="3">
        <f>IFERROR(__xludf.DUMMYFUNCTION("""COMPUTED_VALUE"""),44622.6875)</f>
        <v>44622.6875</v>
      </c>
      <c r="L297" s="2">
        <f>IFERROR(__xludf.DUMMYFUNCTION("""COMPUTED_VALUE"""),46.08)</f>
        <v>46.08</v>
      </c>
      <c r="N297" s="3">
        <f>IFERROR(__xludf.DUMMYFUNCTION("""COMPUTED_VALUE"""),44624.66666666667)</f>
        <v>44624.66667</v>
      </c>
      <c r="O297" s="2">
        <f>IFERROR(__xludf.DUMMYFUNCTION("""COMPUTED_VALUE"""),28.01)</f>
        <v>28.01</v>
      </c>
      <c r="Q297" s="3">
        <f>IFERROR(__xludf.DUMMYFUNCTION("""COMPUTED_VALUE"""),44624.66666666667)</f>
        <v>44624.66667</v>
      </c>
      <c r="R297" s="2">
        <f>IFERROR(__xludf.DUMMYFUNCTION("""COMPUTED_VALUE"""),155.14)</f>
        <v>155.14</v>
      </c>
    </row>
    <row r="298">
      <c r="B298" s="3">
        <f>IFERROR(__xludf.DUMMYFUNCTION("""COMPUTED_VALUE"""),44627.66666666667)</f>
        <v>44627.66667</v>
      </c>
      <c r="C298" s="2">
        <f>IFERROR(__xludf.DUMMYFUNCTION("""COMPUTED_VALUE"""),55.59)</f>
        <v>55.59</v>
      </c>
      <c r="E298" s="3">
        <f>IFERROR(__xludf.DUMMYFUNCTION("""COMPUTED_VALUE"""),45929.66666666667)</f>
        <v>45929.66667</v>
      </c>
      <c r="F298" s="2">
        <f>IFERROR(__xludf.DUMMYFUNCTION("""COMPUTED_VALUE"""),3.28)</f>
        <v>3.28</v>
      </c>
      <c r="H298" s="3">
        <f>IFERROR(__xludf.DUMMYFUNCTION("""COMPUTED_VALUE"""),45681.66666666667)</f>
        <v>45681.66667</v>
      </c>
      <c r="I298" s="2">
        <f>IFERROR(__xludf.DUMMYFUNCTION("""COMPUTED_VALUE"""),3.31)</f>
        <v>3.31</v>
      </c>
      <c r="K298" s="3">
        <f>IFERROR(__xludf.DUMMYFUNCTION("""COMPUTED_VALUE"""),44623.6875)</f>
        <v>44623.6875</v>
      </c>
      <c r="L298" s="2">
        <f>IFERROR(__xludf.DUMMYFUNCTION("""COMPUTED_VALUE"""),45.16)</f>
        <v>45.16</v>
      </c>
      <c r="N298" s="3">
        <f>IFERROR(__xludf.DUMMYFUNCTION("""COMPUTED_VALUE"""),44627.66666666667)</f>
        <v>44627.66667</v>
      </c>
      <c r="O298" s="2">
        <f>IFERROR(__xludf.DUMMYFUNCTION("""COMPUTED_VALUE"""),28.5)</f>
        <v>28.5</v>
      </c>
      <c r="Q298" s="3">
        <f>IFERROR(__xludf.DUMMYFUNCTION("""COMPUTED_VALUE"""),44627.66666666667)</f>
        <v>44627.66667</v>
      </c>
      <c r="R298" s="2">
        <f>IFERROR(__xludf.DUMMYFUNCTION("""COMPUTED_VALUE"""),152.84)</f>
        <v>152.84</v>
      </c>
    </row>
    <row r="299">
      <c r="B299" s="3">
        <f>IFERROR(__xludf.DUMMYFUNCTION("""COMPUTED_VALUE"""),44628.66666666667)</f>
        <v>44628.66667</v>
      </c>
      <c r="C299" s="2">
        <f>IFERROR(__xludf.DUMMYFUNCTION("""COMPUTED_VALUE"""),54.4)</f>
        <v>54.4</v>
      </c>
      <c r="E299" s="3">
        <f>IFERROR(__xludf.DUMMYFUNCTION("""COMPUTED_VALUE"""),45930.66666666667)</f>
        <v>45930.66667</v>
      </c>
      <c r="F299" s="2">
        <f>IFERROR(__xludf.DUMMYFUNCTION("""COMPUTED_VALUE"""),3.28)</f>
        <v>3.28</v>
      </c>
      <c r="H299" s="3">
        <f>IFERROR(__xludf.DUMMYFUNCTION("""COMPUTED_VALUE"""),45684.66666666667)</f>
        <v>45684.66667</v>
      </c>
      <c r="I299" s="2">
        <f>IFERROR(__xludf.DUMMYFUNCTION("""COMPUTED_VALUE"""),2.87)</f>
        <v>2.87</v>
      </c>
      <c r="K299" s="3">
        <f>IFERROR(__xludf.DUMMYFUNCTION("""COMPUTED_VALUE"""),44624.6875)</f>
        <v>44624.6875</v>
      </c>
      <c r="L299" s="2">
        <f>IFERROR(__xludf.DUMMYFUNCTION("""COMPUTED_VALUE"""),43.03)</f>
        <v>43.03</v>
      </c>
      <c r="N299" s="3">
        <f>IFERROR(__xludf.DUMMYFUNCTION("""COMPUTED_VALUE"""),44628.66666666667)</f>
        <v>44628.66667</v>
      </c>
      <c r="O299" s="2">
        <f>IFERROR(__xludf.DUMMYFUNCTION("""COMPUTED_VALUE"""),29.75)</f>
        <v>29.75</v>
      </c>
      <c r="Q299" s="3">
        <f>IFERROR(__xludf.DUMMYFUNCTION("""COMPUTED_VALUE"""),44628.66666666667)</f>
        <v>44628.66667</v>
      </c>
      <c r="R299" s="2">
        <f>IFERROR(__xludf.DUMMYFUNCTION("""COMPUTED_VALUE"""),146.79)</f>
        <v>146.79</v>
      </c>
    </row>
    <row r="300">
      <c r="B300" s="3">
        <f>IFERROR(__xludf.DUMMYFUNCTION("""COMPUTED_VALUE"""),44629.66666666667)</f>
        <v>44629.66667</v>
      </c>
      <c r="C300" s="2">
        <f>IFERROR(__xludf.DUMMYFUNCTION("""COMPUTED_VALUE"""),55.92)</f>
        <v>55.92</v>
      </c>
      <c r="E300" s="3">
        <f>IFERROR(__xludf.DUMMYFUNCTION("""COMPUTED_VALUE"""),45931.66666666667)</f>
        <v>45931.66667</v>
      </c>
      <c r="F300" s="2">
        <f>IFERROR(__xludf.DUMMYFUNCTION("""COMPUTED_VALUE"""),3.86)</f>
        <v>3.86</v>
      </c>
      <c r="H300" s="3">
        <f>IFERROR(__xludf.DUMMYFUNCTION("""COMPUTED_VALUE"""),45685.66666666667)</f>
        <v>45685.66667</v>
      </c>
      <c r="I300" s="2">
        <f>IFERROR(__xludf.DUMMYFUNCTION("""COMPUTED_VALUE"""),2.76)</f>
        <v>2.76</v>
      </c>
      <c r="K300" s="3">
        <f>IFERROR(__xludf.DUMMYFUNCTION("""COMPUTED_VALUE"""),44627.6875)</f>
        <v>44627.6875</v>
      </c>
      <c r="L300" s="2">
        <f>IFERROR(__xludf.DUMMYFUNCTION("""COMPUTED_VALUE"""),41.25)</f>
        <v>41.25</v>
      </c>
      <c r="N300" s="3">
        <f>IFERROR(__xludf.DUMMYFUNCTION("""COMPUTED_VALUE"""),44629.66666666667)</f>
        <v>44629.66667</v>
      </c>
      <c r="O300" s="2">
        <f>IFERROR(__xludf.DUMMYFUNCTION("""COMPUTED_VALUE"""),29.03)</f>
        <v>29.03</v>
      </c>
      <c r="Q300" s="3">
        <f>IFERROR(__xludf.DUMMYFUNCTION("""COMPUTED_VALUE"""),44629.66666666667)</f>
        <v>44629.66667</v>
      </c>
      <c r="R300" s="2">
        <f>IFERROR(__xludf.DUMMYFUNCTION("""COMPUTED_VALUE"""),148.77)</f>
        <v>148.77</v>
      </c>
    </row>
    <row r="301">
      <c r="B301" s="3">
        <f>IFERROR(__xludf.DUMMYFUNCTION("""COMPUTED_VALUE"""),44630.66666666667)</f>
        <v>44630.66667</v>
      </c>
      <c r="C301" s="2">
        <f>IFERROR(__xludf.DUMMYFUNCTION("""COMPUTED_VALUE"""),54.71)</f>
        <v>54.71</v>
      </c>
      <c r="E301" s="3">
        <f>IFERROR(__xludf.DUMMYFUNCTION("""COMPUTED_VALUE"""),45932.66666666667)</f>
        <v>45932.66667</v>
      </c>
      <c r="F301" s="2">
        <f>IFERROR(__xludf.DUMMYFUNCTION("""COMPUTED_VALUE"""),4.41)</f>
        <v>4.41</v>
      </c>
      <c r="H301" s="3">
        <f>IFERROR(__xludf.DUMMYFUNCTION("""COMPUTED_VALUE"""),45686.66666666667)</f>
        <v>45686.66667</v>
      </c>
      <c r="I301" s="2">
        <f>IFERROR(__xludf.DUMMYFUNCTION("""COMPUTED_VALUE"""),2.57)</f>
        <v>2.57</v>
      </c>
      <c r="K301" s="3">
        <f>IFERROR(__xludf.DUMMYFUNCTION("""COMPUTED_VALUE"""),44628.6875)</f>
        <v>44628.6875</v>
      </c>
      <c r="L301" s="2">
        <f>IFERROR(__xludf.DUMMYFUNCTION("""COMPUTED_VALUE"""),41.96)</f>
        <v>41.96</v>
      </c>
      <c r="N301" s="3">
        <f>IFERROR(__xludf.DUMMYFUNCTION("""COMPUTED_VALUE"""),44630.66666666667)</f>
        <v>44630.66667</v>
      </c>
      <c r="O301" s="2">
        <f>IFERROR(__xludf.DUMMYFUNCTION("""COMPUTED_VALUE"""),29.03)</f>
        <v>29.03</v>
      </c>
      <c r="Q301" s="3">
        <f>IFERROR(__xludf.DUMMYFUNCTION("""COMPUTED_VALUE"""),44630.66666666667)</f>
        <v>44630.66667</v>
      </c>
      <c r="R301" s="2">
        <f>IFERROR(__xludf.DUMMYFUNCTION("""COMPUTED_VALUE"""),144.94)</f>
        <v>144.94</v>
      </c>
    </row>
    <row r="302">
      <c r="B302" s="3">
        <f>IFERROR(__xludf.DUMMYFUNCTION("""COMPUTED_VALUE"""),44631.66666666667)</f>
        <v>44631.66667</v>
      </c>
      <c r="C302" s="2">
        <f>IFERROR(__xludf.DUMMYFUNCTION("""COMPUTED_VALUE"""),54.69)</f>
        <v>54.69</v>
      </c>
      <c r="E302" s="3">
        <f>IFERROR(__xludf.DUMMYFUNCTION("""COMPUTED_VALUE"""),45933.66666666667)</f>
        <v>45933.66667</v>
      </c>
      <c r="F302" s="2">
        <f>IFERROR(__xludf.DUMMYFUNCTION("""COMPUTED_VALUE"""),4.37)</f>
        <v>4.37</v>
      </c>
      <c r="H302" s="3">
        <f>IFERROR(__xludf.DUMMYFUNCTION("""COMPUTED_VALUE"""),45687.66666666667)</f>
        <v>45687.66667</v>
      </c>
      <c r="I302" s="2">
        <f>IFERROR(__xludf.DUMMYFUNCTION("""COMPUTED_VALUE"""),2.42)</f>
        <v>2.42</v>
      </c>
      <c r="K302" s="3">
        <f>IFERROR(__xludf.DUMMYFUNCTION("""COMPUTED_VALUE"""),44629.6875)</f>
        <v>44629.6875</v>
      </c>
      <c r="L302" s="2">
        <f>IFERROR(__xludf.DUMMYFUNCTION("""COMPUTED_VALUE"""),45.38)</f>
        <v>45.38</v>
      </c>
      <c r="N302" s="3">
        <f>IFERROR(__xludf.DUMMYFUNCTION("""COMPUTED_VALUE"""),44631.66666666667)</f>
        <v>44631.66667</v>
      </c>
      <c r="O302" s="2">
        <f>IFERROR(__xludf.DUMMYFUNCTION("""COMPUTED_VALUE"""),28.27)</f>
        <v>28.27</v>
      </c>
      <c r="Q302" s="3">
        <f>IFERROR(__xludf.DUMMYFUNCTION("""COMPUTED_VALUE"""),44631.66666666667)</f>
        <v>44631.66667</v>
      </c>
      <c r="R302" s="2">
        <f>IFERROR(__xludf.DUMMYFUNCTION("""COMPUTED_VALUE"""),143.22)</f>
        <v>143.22</v>
      </c>
    </row>
    <row r="303">
      <c r="B303" s="3">
        <f>IFERROR(__xludf.DUMMYFUNCTION("""COMPUTED_VALUE"""),44634.66666666667)</f>
        <v>44634.66667</v>
      </c>
      <c r="C303" s="2">
        <f>IFERROR(__xludf.DUMMYFUNCTION("""COMPUTED_VALUE"""),54.3)</f>
        <v>54.3</v>
      </c>
      <c r="E303" s="3">
        <f>IFERROR(__xludf.DUMMYFUNCTION("""COMPUTED_VALUE"""),45936.66666666667)</f>
        <v>45936.66667</v>
      </c>
      <c r="F303" s="2">
        <f>IFERROR(__xludf.DUMMYFUNCTION("""COMPUTED_VALUE"""),4.95)</f>
        <v>4.95</v>
      </c>
      <c r="H303" s="3">
        <f>IFERROR(__xludf.DUMMYFUNCTION("""COMPUTED_VALUE"""),45688.66666666667)</f>
        <v>45688.66667</v>
      </c>
      <c r="I303" s="2">
        <f>IFERROR(__xludf.DUMMYFUNCTION("""COMPUTED_VALUE"""),2.48)</f>
        <v>2.48</v>
      </c>
      <c r="K303" s="3">
        <f>IFERROR(__xludf.DUMMYFUNCTION("""COMPUTED_VALUE"""),44630.6875)</f>
        <v>44630.6875</v>
      </c>
      <c r="L303" s="2">
        <f>IFERROR(__xludf.DUMMYFUNCTION("""COMPUTED_VALUE"""),44.59)</f>
        <v>44.59</v>
      </c>
      <c r="N303" s="3">
        <f>IFERROR(__xludf.DUMMYFUNCTION("""COMPUTED_VALUE"""),44634.66666666667)</f>
        <v>44634.66667</v>
      </c>
      <c r="O303" s="2">
        <f>IFERROR(__xludf.DUMMYFUNCTION("""COMPUTED_VALUE"""),27.86)</f>
        <v>27.86</v>
      </c>
      <c r="Q303" s="3">
        <f>IFERROR(__xludf.DUMMYFUNCTION("""COMPUTED_VALUE"""),44634.66666666667)</f>
        <v>44634.66667</v>
      </c>
      <c r="R303" s="2">
        <f>IFERROR(__xludf.DUMMYFUNCTION("""COMPUTED_VALUE"""),145.05)</f>
        <v>145.05</v>
      </c>
    </row>
    <row r="304">
      <c r="B304" s="3">
        <f>IFERROR(__xludf.DUMMYFUNCTION("""COMPUTED_VALUE"""),44635.66666666667)</f>
        <v>44635.66667</v>
      </c>
      <c r="C304" s="2">
        <f>IFERROR(__xludf.DUMMYFUNCTION("""COMPUTED_VALUE"""),55.6)</f>
        <v>55.6</v>
      </c>
      <c r="E304" s="3">
        <f>IFERROR(__xludf.DUMMYFUNCTION("""COMPUTED_VALUE"""),45937.66666666667)</f>
        <v>45937.66667</v>
      </c>
      <c r="F304" s="2">
        <f>IFERROR(__xludf.DUMMYFUNCTION("""COMPUTED_VALUE"""),4.59)</f>
        <v>4.59</v>
      </c>
      <c r="H304" s="3">
        <f>IFERROR(__xludf.DUMMYFUNCTION("""COMPUTED_VALUE"""),45691.66666666667)</f>
        <v>45691.66667</v>
      </c>
      <c r="I304" s="2">
        <f>IFERROR(__xludf.DUMMYFUNCTION("""COMPUTED_VALUE"""),2.36)</f>
        <v>2.36</v>
      </c>
      <c r="K304" s="3">
        <f>IFERROR(__xludf.DUMMYFUNCTION("""COMPUTED_VALUE"""),44631.6875)</f>
        <v>44631.6875</v>
      </c>
      <c r="L304" s="2">
        <f>IFERROR(__xludf.DUMMYFUNCTION("""COMPUTED_VALUE"""),45.47)</f>
        <v>45.47</v>
      </c>
      <c r="N304" s="3">
        <f>IFERROR(__xludf.DUMMYFUNCTION("""COMPUTED_VALUE"""),44635.66666666667)</f>
        <v>44635.66667</v>
      </c>
      <c r="O304" s="2">
        <f>IFERROR(__xludf.DUMMYFUNCTION("""COMPUTED_VALUE"""),28.05)</f>
        <v>28.05</v>
      </c>
      <c r="Q304" s="3">
        <f>IFERROR(__xludf.DUMMYFUNCTION("""COMPUTED_VALUE"""),44635.66666666667)</f>
        <v>44635.66667</v>
      </c>
      <c r="R304" s="2">
        <f>IFERROR(__xludf.DUMMYFUNCTION("""COMPUTED_VALUE"""),150.27)</f>
        <v>150.27</v>
      </c>
    </row>
    <row r="305">
      <c r="B305" s="3">
        <f>IFERROR(__xludf.DUMMYFUNCTION("""COMPUTED_VALUE"""),44636.66666666667)</f>
        <v>44636.66667</v>
      </c>
      <c r="C305" s="2">
        <f>IFERROR(__xludf.DUMMYFUNCTION("""COMPUTED_VALUE"""),55.81)</f>
        <v>55.81</v>
      </c>
      <c r="E305" s="3">
        <f>IFERROR(__xludf.DUMMYFUNCTION("""COMPUTED_VALUE"""),45938.66666666667)</f>
        <v>45938.66667</v>
      </c>
      <c r="F305" s="2">
        <f>IFERROR(__xludf.DUMMYFUNCTION("""COMPUTED_VALUE"""),4.71)</f>
        <v>4.71</v>
      </c>
      <c r="H305" s="3">
        <f>IFERROR(__xludf.DUMMYFUNCTION("""COMPUTED_VALUE"""),45692.66666666667)</f>
        <v>45692.66667</v>
      </c>
      <c r="I305" s="2">
        <f>IFERROR(__xludf.DUMMYFUNCTION("""COMPUTED_VALUE"""),2.46)</f>
        <v>2.46</v>
      </c>
      <c r="K305" s="3">
        <f>IFERROR(__xludf.DUMMYFUNCTION("""COMPUTED_VALUE"""),44634.6875)</f>
        <v>44634.6875</v>
      </c>
      <c r="L305" s="2">
        <f>IFERROR(__xludf.DUMMYFUNCTION("""COMPUTED_VALUE"""),47.74)</f>
        <v>47.74</v>
      </c>
      <c r="N305" s="3">
        <f>IFERROR(__xludf.DUMMYFUNCTION("""COMPUTED_VALUE"""),44636.66666666667)</f>
        <v>44636.66667</v>
      </c>
      <c r="O305" s="2">
        <f>IFERROR(__xludf.DUMMYFUNCTION("""COMPUTED_VALUE"""),28.61)</f>
        <v>28.61</v>
      </c>
      <c r="Q305" s="3">
        <f>IFERROR(__xludf.DUMMYFUNCTION("""COMPUTED_VALUE"""),44636.66666666667)</f>
        <v>44636.66667</v>
      </c>
      <c r="R305" s="2">
        <f>IFERROR(__xludf.DUMMYFUNCTION("""COMPUTED_VALUE"""),149.76)</f>
        <v>149.76</v>
      </c>
    </row>
    <row r="306">
      <c r="B306" s="3">
        <f>IFERROR(__xludf.DUMMYFUNCTION("""COMPUTED_VALUE"""),44637.66666666667)</f>
        <v>44637.66667</v>
      </c>
      <c r="C306" s="2">
        <f>IFERROR(__xludf.DUMMYFUNCTION("""COMPUTED_VALUE"""),56.17)</f>
        <v>56.17</v>
      </c>
      <c r="E306" s="3">
        <f>IFERROR(__xludf.DUMMYFUNCTION("""COMPUTED_VALUE"""),45939.66666666667)</f>
        <v>45939.66667</v>
      </c>
      <c r="F306" s="2">
        <f>IFERROR(__xludf.DUMMYFUNCTION("""COMPUTED_VALUE"""),4.42)</f>
        <v>4.42</v>
      </c>
      <c r="H306" s="3">
        <f>IFERROR(__xludf.DUMMYFUNCTION("""COMPUTED_VALUE"""),45693.66666666667)</f>
        <v>45693.66667</v>
      </c>
      <c r="I306" s="2">
        <f>IFERROR(__xludf.DUMMYFUNCTION("""COMPUTED_VALUE"""),2.36)</f>
        <v>2.36</v>
      </c>
      <c r="K306" s="3">
        <f>IFERROR(__xludf.DUMMYFUNCTION("""COMPUTED_VALUE"""),44635.6875)</f>
        <v>44635.6875</v>
      </c>
      <c r="L306" s="2">
        <f>IFERROR(__xludf.DUMMYFUNCTION("""COMPUTED_VALUE"""),47.4)</f>
        <v>47.4</v>
      </c>
      <c r="N306" s="3">
        <f>IFERROR(__xludf.DUMMYFUNCTION("""COMPUTED_VALUE"""),44637.66666666667)</f>
        <v>44637.66667</v>
      </c>
      <c r="O306" s="2">
        <f>IFERROR(__xludf.DUMMYFUNCTION("""COMPUTED_VALUE"""),29.04)</f>
        <v>29.04</v>
      </c>
      <c r="Q306" s="3">
        <f>IFERROR(__xludf.DUMMYFUNCTION("""COMPUTED_VALUE"""),44637.66666666667)</f>
        <v>44637.66667</v>
      </c>
      <c r="R306" s="2">
        <f>IFERROR(__xludf.DUMMYFUNCTION("""COMPUTED_VALUE"""),150.23)</f>
        <v>150.23</v>
      </c>
    </row>
    <row r="307">
      <c r="B307" s="3">
        <f>IFERROR(__xludf.DUMMYFUNCTION("""COMPUTED_VALUE"""),44638.66666666667)</f>
        <v>44638.66667</v>
      </c>
      <c r="C307" s="2">
        <f>IFERROR(__xludf.DUMMYFUNCTION("""COMPUTED_VALUE"""),55.97)</f>
        <v>55.97</v>
      </c>
      <c r="E307" s="3">
        <f>IFERROR(__xludf.DUMMYFUNCTION("""COMPUTED_VALUE"""),45940.66666666667)</f>
        <v>45940.66667</v>
      </c>
      <c r="F307" s="2">
        <f>IFERROR(__xludf.DUMMYFUNCTION("""COMPUTED_VALUE"""),5.38)</f>
        <v>5.38</v>
      </c>
      <c r="H307" s="3">
        <f>IFERROR(__xludf.DUMMYFUNCTION("""COMPUTED_VALUE"""),45694.66666666667)</f>
        <v>45694.66667</v>
      </c>
      <c r="I307" s="2">
        <f>IFERROR(__xludf.DUMMYFUNCTION("""COMPUTED_VALUE"""),2.85)</f>
        <v>2.85</v>
      </c>
      <c r="K307" s="3">
        <f>IFERROR(__xludf.DUMMYFUNCTION("""COMPUTED_VALUE"""),44636.6875)</f>
        <v>44636.6875</v>
      </c>
      <c r="L307" s="2">
        <f>IFERROR(__xludf.DUMMYFUNCTION("""COMPUTED_VALUE"""),48.61)</f>
        <v>48.61</v>
      </c>
      <c r="N307" s="3">
        <f>IFERROR(__xludf.DUMMYFUNCTION("""COMPUTED_VALUE"""),44638.66666666667)</f>
        <v>44638.66667</v>
      </c>
      <c r="O307" s="2">
        <f>IFERROR(__xludf.DUMMYFUNCTION("""COMPUTED_VALUE"""),28.74)</f>
        <v>28.74</v>
      </c>
      <c r="Q307" s="3">
        <f>IFERROR(__xludf.DUMMYFUNCTION("""COMPUTED_VALUE"""),44638.66666666667)</f>
        <v>44638.66667</v>
      </c>
      <c r="R307" s="2">
        <f>IFERROR(__xludf.DUMMYFUNCTION("""COMPUTED_VALUE"""),150.15)</f>
        <v>150.15</v>
      </c>
    </row>
    <row r="308">
      <c r="B308" s="3">
        <f>IFERROR(__xludf.DUMMYFUNCTION("""COMPUTED_VALUE"""),44641.66666666667)</f>
        <v>44641.66667</v>
      </c>
      <c r="C308" s="2">
        <f>IFERROR(__xludf.DUMMYFUNCTION("""COMPUTED_VALUE"""),56.0)</f>
        <v>56</v>
      </c>
      <c r="E308" s="3">
        <f>IFERROR(__xludf.DUMMYFUNCTION("""COMPUTED_VALUE"""),45943.66666666667)</f>
        <v>45943.66667</v>
      </c>
      <c r="F308" s="2">
        <f>IFERROR(__xludf.DUMMYFUNCTION("""COMPUTED_VALUE"""),6.83)</f>
        <v>6.83</v>
      </c>
      <c r="H308" s="3">
        <f>IFERROR(__xludf.DUMMYFUNCTION("""COMPUTED_VALUE"""),45695.66666666667)</f>
        <v>45695.66667</v>
      </c>
      <c r="I308" s="2">
        <f>IFERROR(__xludf.DUMMYFUNCTION("""COMPUTED_VALUE"""),3.14)</f>
        <v>3.14</v>
      </c>
      <c r="K308" s="3">
        <f>IFERROR(__xludf.DUMMYFUNCTION("""COMPUTED_VALUE"""),44637.6875)</f>
        <v>44637.6875</v>
      </c>
      <c r="L308" s="2">
        <f>IFERROR(__xludf.DUMMYFUNCTION("""COMPUTED_VALUE"""),48.0)</f>
        <v>48</v>
      </c>
      <c r="N308" s="3">
        <f>IFERROR(__xludf.DUMMYFUNCTION("""COMPUTED_VALUE"""),44641.66666666667)</f>
        <v>44641.66667</v>
      </c>
      <c r="O308" s="2">
        <f>IFERROR(__xludf.DUMMYFUNCTION("""COMPUTED_VALUE"""),29.8)</f>
        <v>29.8</v>
      </c>
      <c r="Q308" s="3">
        <f>IFERROR(__xludf.DUMMYFUNCTION("""COMPUTED_VALUE"""),44641.66666666667)</f>
        <v>44641.66667</v>
      </c>
      <c r="R308" s="2">
        <f>IFERROR(__xludf.DUMMYFUNCTION("""COMPUTED_VALUE"""),150.72)</f>
        <v>150.72</v>
      </c>
    </row>
    <row r="309">
      <c r="B309" s="3">
        <f>IFERROR(__xludf.DUMMYFUNCTION("""COMPUTED_VALUE"""),44642.66666666667)</f>
        <v>44642.66667</v>
      </c>
      <c r="C309" s="2">
        <f>IFERROR(__xludf.DUMMYFUNCTION("""COMPUTED_VALUE"""),56.17)</f>
        <v>56.17</v>
      </c>
      <c r="E309" s="3">
        <f>IFERROR(__xludf.DUMMYFUNCTION("""COMPUTED_VALUE"""),45944.66666666667)</f>
        <v>45944.66667</v>
      </c>
      <c r="F309" s="2">
        <f>IFERROR(__xludf.DUMMYFUNCTION("""COMPUTED_VALUE"""),14.37)</f>
        <v>14.37</v>
      </c>
      <c r="H309" s="3">
        <f>IFERROR(__xludf.DUMMYFUNCTION("""COMPUTED_VALUE"""),45698.66666666667)</f>
        <v>45698.66667</v>
      </c>
      <c r="I309" s="2">
        <f>IFERROR(__xludf.DUMMYFUNCTION("""COMPUTED_VALUE"""),3.01)</f>
        <v>3.01</v>
      </c>
      <c r="K309" s="3">
        <f>IFERROR(__xludf.DUMMYFUNCTION("""COMPUTED_VALUE"""),44638.6875)</f>
        <v>44638.6875</v>
      </c>
      <c r="L309" s="2">
        <f>IFERROR(__xludf.DUMMYFUNCTION("""COMPUTED_VALUE"""),49.14)</f>
        <v>49.14</v>
      </c>
      <c r="N309" s="3">
        <f>IFERROR(__xludf.DUMMYFUNCTION("""COMPUTED_VALUE"""),44642.66666666667)</f>
        <v>44642.66667</v>
      </c>
      <c r="O309" s="2">
        <f>IFERROR(__xludf.DUMMYFUNCTION("""COMPUTED_VALUE"""),29.67)</f>
        <v>29.67</v>
      </c>
      <c r="Q309" s="3">
        <f>IFERROR(__xludf.DUMMYFUNCTION("""COMPUTED_VALUE"""),44642.66666666667)</f>
        <v>44642.66667</v>
      </c>
      <c r="R309" s="2">
        <f>IFERROR(__xludf.DUMMYFUNCTION("""COMPUTED_VALUE"""),151.88)</f>
        <v>151.88</v>
      </c>
    </row>
    <row r="310">
      <c r="B310" s="3">
        <f>IFERROR(__xludf.DUMMYFUNCTION("""COMPUTED_VALUE"""),44643.66666666667)</f>
        <v>44643.66667</v>
      </c>
      <c r="C310" s="2">
        <f>IFERROR(__xludf.DUMMYFUNCTION("""COMPUTED_VALUE"""),54.48)</f>
        <v>54.48</v>
      </c>
      <c r="E310" s="3">
        <f>IFERROR(__xludf.DUMMYFUNCTION("""COMPUTED_VALUE"""),45945.66666666667)</f>
        <v>45945.66667</v>
      </c>
      <c r="F310" s="2">
        <f>IFERROR(__xludf.DUMMYFUNCTION("""COMPUTED_VALUE"""),10.92)</f>
        <v>10.92</v>
      </c>
      <c r="H310" s="3">
        <f>IFERROR(__xludf.DUMMYFUNCTION("""COMPUTED_VALUE"""),45699.66666666667)</f>
        <v>45699.66667</v>
      </c>
      <c r="I310" s="2">
        <f>IFERROR(__xludf.DUMMYFUNCTION("""COMPUTED_VALUE"""),2.71)</f>
        <v>2.71</v>
      </c>
      <c r="K310" s="3">
        <f>IFERROR(__xludf.DUMMYFUNCTION("""COMPUTED_VALUE"""),44641.6875)</f>
        <v>44641.6875</v>
      </c>
      <c r="L310" s="2">
        <f>IFERROR(__xludf.DUMMYFUNCTION("""COMPUTED_VALUE"""),48.63)</f>
        <v>48.63</v>
      </c>
      <c r="N310" s="3">
        <f>IFERROR(__xludf.DUMMYFUNCTION("""COMPUTED_VALUE"""),44643.66666666667)</f>
        <v>44643.66667</v>
      </c>
      <c r="O310" s="2">
        <f>IFERROR(__xludf.DUMMYFUNCTION("""COMPUTED_VALUE"""),30.76)</f>
        <v>30.76</v>
      </c>
      <c r="Q310" s="3">
        <f>IFERROR(__xludf.DUMMYFUNCTION("""COMPUTED_VALUE"""),44643.66666666667)</f>
        <v>44643.66667</v>
      </c>
      <c r="R310" s="2">
        <f>IFERROR(__xludf.DUMMYFUNCTION("""COMPUTED_VALUE"""),150.82)</f>
        <v>150.82</v>
      </c>
    </row>
    <row r="311">
      <c r="B311" s="3">
        <f>IFERROR(__xludf.DUMMYFUNCTION("""COMPUTED_VALUE"""),44644.66666666667)</f>
        <v>44644.66667</v>
      </c>
      <c r="C311" s="2">
        <f>IFERROR(__xludf.DUMMYFUNCTION("""COMPUTED_VALUE"""),54.5)</f>
        <v>54.5</v>
      </c>
      <c r="E311" s="3">
        <f>IFERROR(__xludf.DUMMYFUNCTION("""COMPUTED_VALUE"""),45946.66666666667)</f>
        <v>45946.66667</v>
      </c>
      <c r="F311" s="2">
        <f>IFERROR(__xludf.DUMMYFUNCTION("""COMPUTED_VALUE"""),12.6)</f>
        <v>12.6</v>
      </c>
      <c r="H311" s="3">
        <f>IFERROR(__xludf.DUMMYFUNCTION("""COMPUTED_VALUE"""),45700.66666666667)</f>
        <v>45700.66667</v>
      </c>
      <c r="I311" s="2">
        <f>IFERROR(__xludf.DUMMYFUNCTION("""COMPUTED_VALUE"""),2.64)</f>
        <v>2.64</v>
      </c>
      <c r="K311" s="3">
        <f>IFERROR(__xludf.DUMMYFUNCTION("""COMPUTED_VALUE"""),44642.6875)</f>
        <v>44642.6875</v>
      </c>
      <c r="L311" s="2">
        <f>IFERROR(__xludf.DUMMYFUNCTION("""COMPUTED_VALUE"""),50.24)</f>
        <v>50.24</v>
      </c>
      <c r="N311" s="3">
        <f>IFERROR(__xludf.DUMMYFUNCTION("""COMPUTED_VALUE"""),44644.66666666667)</f>
        <v>44644.66667</v>
      </c>
      <c r="O311" s="2">
        <f>IFERROR(__xludf.DUMMYFUNCTION("""COMPUTED_VALUE"""),30.74)</f>
        <v>30.74</v>
      </c>
      <c r="Q311" s="3">
        <f>IFERROR(__xludf.DUMMYFUNCTION("""COMPUTED_VALUE"""),44644.66666666667)</f>
        <v>44644.66667</v>
      </c>
      <c r="R311" s="2">
        <f>IFERROR(__xludf.DUMMYFUNCTION("""COMPUTED_VALUE"""),151.08)</f>
        <v>151.08</v>
      </c>
    </row>
    <row r="312">
      <c r="B312" s="3">
        <f>IFERROR(__xludf.DUMMYFUNCTION("""COMPUTED_VALUE"""),44645.66666666667)</f>
        <v>44645.66667</v>
      </c>
      <c r="C312" s="2">
        <f>IFERROR(__xludf.DUMMYFUNCTION("""COMPUTED_VALUE"""),54.97)</f>
        <v>54.97</v>
      </c>
      <c r="E312" s="3">
        <f>IFERROR(__xludf.DUMMYFUNCTION("""COMPUTED_VALUE"""),45947.66666666667)</f>
        <v>45947.66667</v>
      </c>
      <c r="F312" s="2">
        <f>IFERROR(__xludf.DUMMYFUNCTION("""COMPUTED_VALUE"""),11.6)</f>
        <v>11.6</v>
      </c>
      <c r="H312" s="3">
        <f>IFERROR(__xludf.DUMMYFUNCTION("""COMPUTED_VALUE"""),45701.66666666667)</f>
        <v>45701.66667</v>
      </c>
      <c r="I312" s="2">
        <f>IFERROR(__xludf.DUMMYFUNCTION("""COMPUTED_VALUE"""),3.04)</f>
        <v>3.04</v>
      </c>
      <c r="K312" s="3">
        <f>IFERROR(__xludf.DUMMYFUNCTION("""COMPUTED_VALUE"""),44643.6875)</f>
        <v>44643.6875</v>
      </c>
      <c r="L312" s="2">
        <f>IFERROR(__xludf.DUMMYFUNCTION("""COMPUTED_VALUE"""),49.51)</f>
        <v>49.51</v>
      </c>
      <c r="N312" s="3">
        <f>IFERROR(__xludf.DUMMYFUNCTION("""COMPUTED_VALUE"""),44645.66666666667)</f>
        <v>44645.66667</v>
      </c>
      <c r="O312" s="2">
        <f>IFERROR(__xludf.DUMMYFUNCTION("""COMPUTED_VALUE"""),31.05)</f>
        <v>31.05</v>
      </c>
      <c r="Q312" s="3">
        <f>IFERROR(__xludf.DUMMYFUNCTION("""COMPUTED_VALUE"""),44645.66666666667)</f>
        <v>44645.66667</v>
      </c>
      <c r="R312" s="2">
        <f>IFERROR(__xludf.DUMMYFUNCTION("""COMPUTED_VALUE"""),152.83)</f>
        <v>152.83</v>
      </c>
    </row>
    <row r="313">
      <c r="B313" s="3">
        <f>IFERROR(__xludf.DUMMYFUNCTION("""COMPUTED_VALUE"""),44648.66666666667)</f>
        <v>44648.66667</v>
      </c>
      <c r="C313" s="2">
        <f>IFERROR(__xludf.DUMMYFUNCTION("""COMPUTED_VALUE"""),55.14)</f>
        <v>55.14</v>
      </c>
      <c r="E313" s="3">
        <f>IFERROR(__xludf.DUMMYFUNCTION("""COMPUTED_VALUE"""),45950.66666666667)</f>
        <v>45950.66667</v>
      </c>
      <c r="F313" s="2">
        <f>IFERROR(__xludf.DUMMYFUNCTION("""COMPUTED_VALUE"""),9.5)</f>
        <v>9.5</v>
      </c>
      <c r="H313" s="3">
        <f>IFERROR(__xludf.DUMMYFUNCTION("""COMPUTED_VALUE"""),45702.66666666667)</f>
        <v>45702.66667</v>
      </c>
      <c r="I313" s="2">
        <f>IFERROR(__xludf.DUMMYFUNCTION("""COMPUTED_VALUE"""),2.75)</f>
        <v>2.75</v>
      </c>
      <c r="K313" s="3">
        <f>IFERROR(__xludf.DUMMYFUNCTION("""COMPUTED_VALUE"""),44644.6875)</f>
        <v>44644.6875</v>
      </c>
      <c r="L313" s="2">
        <f>IFERROR(__xludf.DUMMYFUNCTION("""COMPUTED_VALUE"""),49.5)</f>
        <v>49.5</v>
      </c>
      <c r="N313" s="3">
        <f>IFERROR(__xludf.DUMMYFUNCTION("""COMPUTED_VALUE"""),44648.66666666667)</f>
        <v>44648.66667</v>
      </c>
      <c r="O313" s="2">
        <f>IFERROR(__xludf.DUMMYFUNCTION("""COMPUTED_VALUE"""),29.93)</f>
        <v>29.93</v>
      </c>
      <c r="Q313" s="3">
        <f>IFERROR(__xludf.DUMMYFUNCTION("""COMPUTED_VALUE"""),44648.66666666667)</f>
        <v>44648.66667</v>
      </c>
      <c r="R313" s="2">
        <f>IFERROR(__xludf.DUMMYFUNCTION("""COMPUTED_VALUE"""),153.88)</f>
        <v>153.88</v>
      </c>
    </row>
    <row r="314">
      <c r="B314" s="3">
        <f>IFERROR(__xludf.DUMMYFUNCTION("""COMPUTED_VALUE"""),44649.66666666667)</f>
        <v>44649.66667</v>
      </c>
      <c r="C314" s="2">
        <f>IFERROR(__xludf.DUMMYFUNCTION("""COMPUTED_VALUE"""),55.67)</f>
        <v>55.67</v>
      </c>
      <c r="E314" s="3">
        <f>IFERROR(__xludf.DUMMYFUNCTION("""COMPUTED_VALUE"""),45951.66666666667)</f>
        <v>45951.66667</v>
      </c>
      <c r="F314" s="2">
        <f>IFERROR(__xludf.DUMMYFUNCTION("""COMPUTED_VALUE"""),6.86)</f>
        <v>6.86</v>
      </c>
      <c r="H314" s="3">
        <f>IFERROR(__xludf.DUMMYFUNCTION("""COMPUTED_VALUE"""),45706.66666666667)</f>
        <v>45706.66667</v>
      </c>
      <c r="I314" s="2">
        <f>IFERROR(__xludf.DUMMYFUNCTION("""COMPUTED_VALUE"""),2.56)</f>
        <v>2.56</v>
      </c>
      <c r="K314" s="3">
        <f>IFERROR(__xludf.DUMMYFUNCTION("""COMPUTED_VALUE"""),44645.6875)</f>
        <v>44645.6875</v>
      </c>
      <c r="L314" s="2">
        <f>IFERROR(__xludf.DUMMYFUNCTION("""COMPUTED_VALUE"""),48.75)</f>
        <v>48.75</v>
      </c>
      <c r="N314" s="3">
        <f>IFERROR(__xludf.DUMMYFUNCTION("""COMPUTED_VALUE"""),44649.66666666667)</f>
        <v>44649.66667</v>
      </c>
      <c r="O314" s="2">
        <f>IFERROR(__xludf.DUMMYFUNCTION("""COMPUTED_VALUE"""),29.61)</f>
        <v>29.61</v>
      </c>
      <c r="Q314" s="3">
        <f>IFERROR(__xludf.DUMMYFUNCTION("""COMPUTED_VALUE"""),44649.66666666667)</f>
        <v>44649.66667</v>
      </c>
      <c r="R314" s="2">
        <f>IFERROR(__xludf.DUMMYFUNCTION("""COMPUTED_VALUE"""),155.46)</f>
        <v>155.46</v>
      </c>
    </row>
    <row r="315">
      <c r="B315" s="3">
        <f>IFERROR(__xludf.DUMMYFUNCTION("""COMPUTED_VALUE"""),44650.66666666667)</f>
        <v>44650.66667</v>
      </c>
      <c r="C315" s="2">
        <f>IFERROR(__xludf.DUMMYFUNCTION("""COMPUTED_VALUE"""),56.05)</f>
        <v>56.05</v>
      </c>
      <c r="E315" s="3">
        <f>IFERROR(__xludf.DUMMYFUNCTION("""COMPUTED_VALUE"""),45952.66666666667)</f>
        <v>45952.66667</v>
      </c>
      <c r="F315" s="2">
        <f>IFERROR(__xludf.DUMMYFUNCTION("""COMPUTED_VALUE"""),6.3)</f>
        <v>6.3</v>
      </c>
      <c r="H315" s="3">
        <f>IFERROR(__xludf.DUMMYFUNCTION("""COMPUTED_VALUE"""),45707.66666666667)</f>
        <v>45707.66667</v>
      </c>
      <c r="I315" s="2">
        <f>IFERROR(__xludf.DUMMYFUNCTION("""COMPUTED_VALUE"""),2.55)</f>
        <v>2.55</v>
      </c>
      <c r="K315" s="3">
        <f>IFERROR(__xludf.DUMMYFUNCTION("""COMPUTED_VALUE"""),44648.6875)</f>
        <v>44648.6875</v>
      </c>
      <c r="L315" s="2">
        <f>IFERROR(__xludf.DUMMYFUNCTION("""COMPUTED_VALUE"""),48.78)</f>
        <v>48.78</v>
      </c>
      <c r="N315" s="3">
        <f>IFERROR(__xludf.DUMMYFUNCTION("""COMPUTED_VALUE"""),44650.66666666667)</f>
        <v>44650.66667</v>
      </c>
      <c r="O315" s="2">
        <f>IFERROR(__xludf.DUMMYFUNCTION("""COMPUTED_VALUE"""),30.07)</f>
        <v>30.07</v>
      </c>
      <c r="Q315" s="3">
        <f>IFERROR(__xludf.DUMMYFUNCTION("""COMPUTED_VALUE"""),44650.66666666667)</f>
        <v>44650.66667</v>
      </c>
      <c r="R315" s="2">
        <f>IFERROR(__xludf.DUMMYFUNCTION("""COMPUTED_VALUE"""),154.39)</f>
        <v>154.39</v>
      </c>
    </row>
    <row r="316">
      <c r="B316" s="3">
        <f>IFERROR(__xludf.DUMMYFUNCTION("""COMPUTED_VALUE"""),44651.66666666667)</f>
        <v>44651.66667</v>
      </c>
      <c r="C316" s="2">
        <f>IFERROR(__xludf.DUMMYFUNCTION("""COMPUTED_VALUE"""),55.76)</f>
        <v>55.76</v>
      </c>
      <c r="E316" s="3">
        <f>IFERROR(__xludf.DUMMYFUNCTION("""COMPUTED_VALUE"""),45953.66666666667)</f>
        <v>45953.66667</v>
      </c>
      <c r="F316" s="2">
        <f>IFERROR(__xludf.DUMMYFUNCTION("""COMPUTED_VALUE"""),6.82)</f>
        <v>6.82</v>
      </c>
      <c r="H316" s="3">
        <f>IFERROR(__xludf.DUMMYFUNCTION("""COMPUTED_VALUE"""),45708.66666666667)</f>
        <v>45708.66667</v>
      </c>
      <c r="I316" s="2">
        <f>IFERROR(__xludf.DUMMYFUNCTION("""COMPUTED_VALUE"""),2.47)</f>
        <v>2.47</v>
      </c>
      <c r="K316" s="3">
        <f>IFERROR(__xludf.DUMMYFUNCTION("""COMPUTED_VALUE"""),44649.6875)</f>
        <v>44649.6875</v>
      </c>
      <c r="L316" s="2">
        <f>IFERROR(__xludf.DUMMYFUNCTION("""COMPUTED_VALUE"""),50.0)</f>
        <v>50</v>
      </c>
      <c r="N316" s="3">
        <f>IFERROR(__xludf.DUMMYFUNCTION("""COMPUTED_VALUE"""),44651.66666666667)</f>
        <v>44651.66667</v>
      </c>
      <c r="O316" s="2">
        <f>IFERROR(__xludf.DUMMYFUNCTION("""COMPUTED_VALUE"""),29.4)</f>
        <v>29.4</v>
      </c>
      <c r="Q316" s="3">
        <f>IFERROR(__xludf.DUMMYFUNCTION("""COMPUTED_VALUE"""),44651.66666666667)</f>
        <v>44651.66667</v>
      </c>
      <c r="R316" s="2">
        <f>IFERROR(__xludf.DUMMYFUNCTION("""COMPUTED_VALUE"""),152.8)</f>
        <v>152.8</v>
      </c>
    </row>
    <row r="317">
      <c r="B317" s="3">
        <f>IFERROR(__xludf.DUMMYFUNCTION("""COMPUTED_VALUE"""),44652.66666666667)</f>
        <v>44652.66667</v>
      </c>
      <c r="C317" s="2">
        <f>IFERROR(__xludf.DUMMYFUNCTION("""COMPUTED_VALUE"""),55.66)</f>
        <v>55.66</v>
      </c>
      <c r="E317" s="3">
        <f>IFERROR(__xludf.DUMMYFUNCTION("""COMPUTED_VALUE"""),45954.66666666667)</f>
        <v>45954.66667</v>
      </c>
      <c r="F317" s="2">
        <f>IFERROR(__xludf.DUMMYFUNCTION("""COMPUTED_VALUE"""),6.39)</f>
        <v>6.39</v>
      </c>
      <c r="H317" s="3">
        <f>IFERROR(__xludf.DUMMYFUNCTION("""COMPUTED_VALUE"""),45709.66666666667)</f>
        <v>45709.66667</v>
      </c>
      <c r="I317" s="2">
        <f>IFERROR(__xludf.DUMMYFUNCTION("""COMPUTED_VALUE"""),2.22)</f>
        <v>2.22</v>
      </c>
      <c r="K317" s="3">
        <f>IFERROR(__xludf.DUMMYFUNCTION("""COMPUTED_VALUE"""),44650.6875)</f>
        <v>44650.6875</v>
      </c>
      <c r="L317" s="2">
        <f>IFERROR(__xludf.DUMMYFUNCTION("""COMPUTED_VALUE"""),48.12)</f>
        <v>48.12</v>
      </c>
      <c r="N317" s="3">
        <f>IFERROR(__xludf.DUMMYFUNCTION("""COMPUTED_VALUE"""),44652.66666666667)</f>
        <v>44652.66667</v>
      </c>
      <c r="O317" s="2">
        <f>IFERROR(__xludf.DUMMYFUNCTION("""COMPUTED_VALUE"""),29.84)</f>
        <v>29.84</v>
      </c>
      <c r="Q317" s="3">
        <f>IFERROR(__xludf.DUMMYFUNCTION("""COMPUTED_VALUE"""),44652.66666666667)</f>
        <v>44652.66667</v>
      </c>
      <c r="R317" s="2">
        <f>IFERROR(__xludf.DUMMYFUNCTION("""COMPUTED_VALUE"""),155.09)</f>
        <v>155.09</v>
      </c>
    </row>
    <row r="318">
      <c r="B318" s="3">
        <f>IFERROR(__xludf.DUMMYFUNCTION("""COMPUTED_VALUE"""),44655.66666666667)</f>
        <v>44655.66667</v>
      </c>
      <c r="C318" s="2">
        <f>IFERROR(__xludf.DUMMYFUNCTION("""COMPUTED_VALUE"""),55.87)</f>
        <v>55.87</v>
      </c>
      <c r="E318" s="3">
        <f>IFERROR(__xludf.DUMMYFUNCTION("""COMPUTED_VALUE"""),45957.66666666667)</f>
        <v>45957.66667</v>
      </c>
      <c r="F318" s="2">
        <f>IFERROR(__xludf.DUMMYFUNCTION("""COMPUTED_VALUE"""),6.08)</f>
        <v>6.08</v>
      </c>
      <c r="H318" s="3">
        <f>IFERROR(__xludf.DUMMYFUNCTION("""COMPUTED_VALUE"""),45712.66666666667)</f>
        <v>45712.66667</v>
      </c>
      <c r="I318" s="2">
        <f>IFERROR(__xludf.DUMMYFUNCTION("""COMPUTED_VALUE"""),1.88)</f>
        <v>1.88</v>
      </c>
      <c r="K318" s="3">
        <f>IFERROR(__xludf.DUMMYFUNCTION("""COMPUTED_VALUE"""),44651.6875)</f>
        <v>44651.6875</v>
      </c>
      <c r="L318" s="2">
        <f>IFERROR(__xludf.DUMMYFUNCTION("""COMPUTED_VALUE"""),47.06)</f>
        <v>47.06</v>
      </c>
      <c r="N318" s="3">
        <f>IFERROR(__xludf.DUMMYFUNCTION("""COMPUTED_VALUE"""),44655.66666666667)</f>
        <v>44655.66667</v>
      </c>
      <c r="O318" s="2">
        <f>IFERROR(__xludf.DUMMYFUNCTION("""COMPUTED_VALUE"""),29.79)</f>
        <v>29.79</v>
      </c>
      <c r="Q318" s="3">
        <f>IFERROR(__xludf.DUMMYFUNCTION("""COMPUTED_VALUE"""),44655.66666666667)</f>
        <v>44655.66667</v>
      </c>
      <c r="R318" s="2">
        <f>IFERROR(__xludf.DUMMYFUNCTION("""COMPUTED_VALUE"""),154.08)</f>
        <v>154.08</v>
      </c>
    </row>
    <row r="319">
      <c r="B319" s="3">
        <f>IFERROR(__xludf.DUMMYFUNCTION("""COMPUTED_VALUE"""),44656.66666666667)</f>
        <v>44656.66667</v>
      </c>
      <c r="C319" s="2">
        <f>IFERROR(__xludf.DUMMYFUNCTION("""COMPUTED_VALUE"""),54.92)</f>
        <v>54.92</v>
      </c>
      <c r="E319" s="3">
        <f>IFERROR(__xludf.DUMMYFUNCTION("""COMPUTED_VALUE"""),45958.66666666667)</f>
        <v>45958.66667</v>
      </c>
      <c r="F319" s="2">
        <f>IFERROR(__xludf.DUMMYFUNCTION("""COMPUTED_VALUE"""),6.11)</f>
        <v>6.11</v>
      </c>
      <c r="H319" s="3">
        <f>IFERROR(__xludf.DUMMYFUNCTION("""COMPUTED_VALUE"""),45713.66666666667)</f>
        <v>45713.66667</v>
      </c>
      <c r="I319" s="2">
        <f>IFERROR(__xludf.DUMMYFUNCTION("""COMPUTED_VALUE"""),1.72)</f>
        <v>1.72</v>
      </c>
      <c r="K319" s="3">
        <f>IFERROR(__xludf.DUMMYFUNCTION("""COMPUTED_VALUE"""),44652.6875)</f>
        <v>44652.6875</v>
      </c>
      <c r="L319" s="2">
        <f>IFERROR(__xludf.DUMMYFUNCTION("""COMPUTED_VALUE"""),47.39)</f>
        <v>47.39</v>
      </c>
      <c r="N319" s="3">
        <f>IFERROR(__xludf.DUMMYFUNCTION("""COMPUTED_VALUE"""),44656.66666666667)</f>
        <v>44656.66667</v>
      </c>
      <c r="O319" s="2">
        <f>IFERROR(__xludf.DUMMYFUNCTION("""COMPUTED_VALUE"""),29.7)</f>
        <v>29.7</v>
      </c>
      <c r="Q319" s="3">
        <f>IFERROR(__xludf.DUMMYFUNCTION("""COMPUTED_VALUE"""),44656.66666666667)</f>
        <v>44656.66667</v>
      </c>
      <c r="R319" s="2">
        <f>IFERROR(__xludf.DUMMYFUNCTION("""COMPUTED_VALUE"""),154.62)</f>
        <v>154.62</v>
      </c>
    </row>
    <row r="320">
      <c r="B320" s="3">
        <f>IFERROR(__xludf.DUMMYFUNCTION("""COMPUTED_VALUE"""),44657.66666666667)</f>
        <v>44657.66667</v>
      </c>
      <c r="C320" s="2">
        <f>IFERROR(__xludf.DUMMYFUNCTION("""COMPUTED_VALUE"""),54.37)</f>
        <v>54.37</v>
      </c>
      <c r="E320" s="3">
        <f>IFERROR(__xludf.DUMMYFUNCTION("""COMPUTED_VALUE"""),45959.66666666667)</f>
        <v>45959.66667</v>
      </c>
      <c r="F320" s="2">
        <f>IFERROR(__xludf.DUMMYFUNCTION("""COMPUTED_VALUE"""),6.64)</f>
        <v>6.64</v>
      </c>
      <c r="H320" s="3">
        <f>IFERROR(__xludf.DUMMYFUNCTION("""COMPUTED_VALUE"""),45714.66666666667)</f>
        <v>45714.66667</v>
      </c>
      <c r="I320" s="2">
        <f>IFERROR(__xludf.DUMMYFUNCTION("""COMPUTED_VALUE"""),2.03)</f>
        <v>2.03</v>
      </c>
      <c r="K320" s="3">
        <f>IFERROR(__xludf.DUMMYFUNCTION("""COMPUTED_VALUE"""),44655.6875)</f>
        <v>44655.6875</v>
      </c>
      <c r="L320" s="2">
        <f>IFERROR(__xludf.DUMMYFUNCTION("""COMPUTED_VALUE"""),46.89)</f>
        <v>46.89</v>
      </c>
      <c r="N320" s="3">
        <f>IFERROR(__xludf.DUMMYFUNCTION("""COMPUTED_VALUE"""),44657.66666666667)</f>
        <v>44657.66667</v>
      </c>
      <c r="O320" s="2">
        <f>IFERROR(__xludf.DUMMYFUNCTION("""COMPUTED_VALUE"""),29.59)</f>
        <v>29.59</v>
      </c>
      <c r="Q320" s="3">
        <f>IFERROR(__xludf.DUMMYFUNCTION("""COMPUTED_VALUE"""),44657.66666666667)</f>
        <v>44657.66667</v>
      </c>
      <c r="R320" s="2">
        <f>IFERROR(__xludf.DUMMYFUNCTION("""COMPUTED_VALUE"""),156.83)</f>
        <v>156.83</v>
      </c>
    </row>
    <row r="321">
      <c r="B321" s="3">
        <f>IFERROR(__xludf.DUMMYFUNCTION("""COMPUTED_VALUE"""),44658.66666666667)</f>
        <v>44658.66667</v>
      </c>
      <c r="C321" s="2">
        <f>IFERROR(__xludf.DUMMYFUNCTION("""COMPUTED_VALUE"""),54.63)</f>
        <v>54.63</v>
      </c>
      <c r="E321" s="3">
        <f>IFERROR(__xludf.DUMMYFUNCTION("""COMPUTED_VALUE"""),45960.66666666667)</f>
        <v>45960.66667</v>
      </c>
      <c r="F321" s="2">
        <f>IFERROR(__xludf.DUMMYFUNCTION("""COMPUTED_VALUE"""),7.37)</f>
        <v>7.37</v>
      </c>
      <c r="H321" s="3">
        <f>IFERROR(__xludf.DUMMYFUNCTION("""COMPUTED_VALUE"""),45715.66666666667)</f>
        <v>45715.66667</v>
      </c>
      <c r="I321" s="2">
        <f>IFERROR(__xludf.DUMMYFUNCTION("""COMPUTED_VALUE"""),1.9)</f>
        <v>1.9</v>
      </c>
      <c r="K321" s="3">
        <f>IFERROR(__xludf.DUMMYFUNCTION("""COMPUTED_VALUE"""),44656.6875)</f>
        <v>44656.6875</v>
      </c>
      <c r="L321" s="2">
        <f>IFERROR(__xludf.DUMMYFUNCTION("""COMPUTED_VALUE"""),46.31)</f>
        <v>46.31</v>
      </c>
      <c r="N321" s="3">
        <f>IFERROR(__xludf.DUMMYFUNCTION("""COMPUTED_VALUE"""),44658.66666666667)</f>
        <v>44658.66667</v>
      </c>
      <c r="O321" s="2">
        <f>IFERROR(__xludf.DUMMYFUNCTION("""COMPUTED_VALUE"""),29.86)</f>
        <v>29.86</v>
      </c>
      <c r="Q321" s="3">
        <f>IFERROR(__xludf.DUMMYFUNCTION("""COMPUTED_VALUE"""),44658.66666666667)</f>
        <v>44658.66667</v>
      </c>
      <c r="R321" s="2">
        <f>IFERROR(__xludf.DUMMYFUNCTION("""COMPUTED_VALUE"""),158.86)</f>
        <v>158.86</v>
      </c>
    </row>
    <row r="322">
      <c r="B322" s="3">
        <f>IFERROR(__xludf.DUMMYFUNCTION("""COMPUTED_VALUE"""),44659.66666666667)</f>
        <v>44659.66667</v>
      </c>
      <c r="C322" s="2">
        <f>IFERROR(__xludf.DUMMYFUNCTION("""COMPUTED_VALUE"""),54.28)</f>
        <v>54.28</v>
      </c>
      <c r="E322" s="3">
        <f>IFERROR(__xludf.DUMMYFUNCTION("""COMPUTED_VALUE"""),45961.66666666667)</f>
        <v>45961.66667</v>
      </c>
      <c r="F322" s="2">
        <f>IFERROR(__xludf.DUMMYFUNCTION("""COMPUTED_VALUE"""),8.93)</f>
        <v>8.93</v>
      </c>
      <c r="H322" s="3">
        <f>IFERROR(__xludf.DUMMYFUNCTION("""COMPUTED_VALUE"""),45716.66666666667)</f>
        <v>45716.66667</v>
      </c>
      <c r="I322" s="2">
        <f>IFERROR(__xludf.DUMMYFUNCTION("""COMPUTED_VALUE"""),1.88)</f>
        <v>1.88</v>
      </c>
      <c r="K322" s="3">
        <f>IFERROR(__xludf.DUMMYFUNCTION("""COMPUTED_VALUE"""),44657.6875)</f>
        <v>44657.6875</v>
      </c>
      <c r="L322" s="2">
        <f>IFERROR(__xludf.DUMMYFUNCTION("""COMPUTED_VALUE"""),45.19)</f>
        <v>45.19</v>
      </c>
      <c r="N322" s="3">
        <f>IFERROR(__xludf.DUMMYFUNCTION("""COMPUTED_VALUE"""),44659.66666666667)</f>
        <v>44659.66667</v>
      </c>
      <c r="O322" s="2">
        <f>IFERROR(__xludf.DUMMYFUNCTION("""COMPUTED_VALUE"""),30.47)</f>
        <v>30.47</v>
      </c>
      <c r="Q322" s="3">
        <f>IFERROR(__xludf.DUMMYFUNCTION("""COMPUTED_VALUE"""),44659.66666666667)</f>
        <v>44659.66667</v>
      </c>
      <c r="R322" s="2">
        <f>IFERROR(__xludf.DUMMYFUNCTION("""COMPUTED_VALUE"""),160.1)</f>
        <v>160.1</v>
      </c>
    </row>
    <row r="323">
      <c r="B323" s="3">
        <f>IFERROR(__xludf.DUMMYFUNCTION("""COMPUTED_VALUE"""),44662.66666666667)</f>
        <v>44662.66667</v>
      </c>
      <c r="C323" s="2">
        <f>IFERROR(__xludf.DUMMYFUNCTION("""COMPUTED_VALUE"""),52.88)</f>
        <v>52.88</v>
      </c>
      <c r="E323" s="3">
        <f>IFERROR(__xludf.DUMMYFUNCTION("""COMPUTED_VALUE"""),45964.66666666667)</f>
        <v>45964.66667</v>
      </c>
      <c r="F323" s="2">
        <f>IFERROR(__xludf.DUMMYFUNCTION("""COMPUTED_VALUE"""),6.88)</f>
        <v>6.88</v>
      </c>
      <c r="H323" s="3">
        <f>IFERROR(__xludf.DUMMYFUNCTION("""COMPUTED_VALUE"""),45719.66666666667)</f>
        <v>45719.66667</v>
      </c>
      <c r="I323" s="2">
        <f>IFERROR(__xludf.DUMMYFUNCTION("""COMPUTED_VALUE"""),1.71)</f>
        <v>1.71</v>
      </c>
      <c r="K323" s="3">
        <f>IFERROR(__xludf.DUMMYFUNCTION("""COMPUTED_VALUE"""),44658.6875)</f>
        <v>44658.6875</v>
      </c>
      <c r="L323" s="2">
        <f>IFERROR(__xludf.DUMMYFUNCTION("""COMPUTED_VALUE"""),44.34)</f>
        <v>44.34</v>
      </c>
      <c r="N323" s="3">
        <f>IFERROR(__xludf.DUMMYFUNCTION("""COMPUTED_VALUE"""),44662.66666666667)</f>
        <v>44662.66667</v>
      </c>
      <c r="O323" s="2">
        <f>IFERROR(__xludf.DUMMYFUNCTION("""COMPUTED_VALUE"""),29.97)</f>
        <v>29.97</v>
      </c>
      <c r="Q323" s="3">
        <f>IFERROR(__xludf.DUMMYFUNCTION("""COMPUTED_VALUE"""),44662.66666666667)</f>
        <v>44662.66667</v>
      </c>
      <c r="R323" s="2">
        <f>IFERROR(__xludf.DUMMYFUNCTION("""COMPUTED_VALUE"""),159.49)</f>
        <v>159.49</v>
      </c>
    </row>
    <row r="324">
      <c r="B324" s="3">
        <f>IFERROR(__xludf.DUMMYFUNCTION("""COMPUTED_VALUE"""),44663.66666666667)</f>
        <v>44663.66667</v>
      </c>
      <c r="C324" s="2">
        <f>IFERROR(__xludf.DUMMYFUNCTION("""COMPUTED_VALUE"""),51.82)</f>
        <v>51.82</v>
      </c>
      <c r="E324" s="3">
        <f>IFERROR(__xludf.DUMMYFUNCTION("""COMPUTED_VALUE"""),45965.66666666667)</f>
        <v>45965.66667</v>
      </c>
      <c r="F324" s="2">
        <f>IFERROR(__xludf.DUMMYFUNCTION("""COMPUTED_VALUE"""),6.32)</f>
        <v>6.32</v>
      </c>
      <c r="H324" s="3">
        <f>IFERROR(__xludf.DUMMYFUNCTION("""COMPUTED_VALUE"""),45720.66666666667)</f>
        <v>45720.66667</v>
      </c>
      <c r="I324" s="2">
        <f>IFERROR(__xludf.DUMMYFUNCTION("""COMPUTED_VALUE"""),1.64)</f>
        <v>1.64</v>
      </c>
      <c r="K324" s="3">
        <f>IFERROR(__xludf.DUMMYFUNCTION("""COMPUTED_VALUE"""),44659.6875)</f>
        <v>44659.6875</v>
      </c>
      <c r="L324" s="2">
        <f>IFERROR(__xludf.DUMMYFUNCTION("""COMPUTED_VALUE"""),44.59)</f>
        <v>44.59</v>
      </c>
      <c r="N324" s="3">
        <f>IFERROR(__xludf.DUMMYFUNCTION("""COMPUTED_VALUE"""),44663.66666666667)</f>
        <v>44663.66667</v>
      </c>
      <c r="O324" s="2">
        <f>IFERROR(__xludf.DUMMYFUNCTION("""COMPUTED_VALUE"""),30.54)</f>
        <v>30.54</v>
      </c>
      <c r="Q324" s="3">
        <f>IFERROR(__xludf.DUMMYFUNCTION("""COMPUTED_VALUE"""),44663.66666666667)</f>
        <v>44663.66667</v>
      </c>
      <c r="R324" s="2">
        <f>IFERROR(__xludf.DUMMYFUNCTION("""COMPUTED_VALUE"""),159.01)</f>
        <v>159.01</v>
      </c>
    </row>
    <row r="325">
      <c r="B325" s="3">
        <f>IFERROR(__xludf.DUMMYFUNCTION("""COMPUTED_VALUE"""),44664.66666666667)</f>
        <v>44664.66667</v>
      </c>
      <c r="C325" s="2">
        <f>IFERROR(__xludf.DUMMYFUNCTION("""COMPUTED_VALUE"""),52.15)</f>
        <v>52.15</v>
      </c>
      <c r="E325" s="3">
        <f>IFERROR(__xludf.DUMMYFUNCTION("""COMPUTED_VALUE"""),45966.66666666667)</f>
        <v>45966.66667</v>
      </c>
      <c r="F325" s="2">
        <f>IFERROR(__xludf.DUMMYFUNCTION("""COMPUTED_VALUE"""),6.63)</f>
        <v>6.63</v>
      </c>
      <c r="H325" s="3">
        <f>IFERROR(__xludf.DUMMYFUNCTION("""COMPUTED_VALUE"""),45721.66666666667)</f>
        <v>45721.66667</v>
      </c>
      <c r="I325" s="2">
        <f>IFERROR(__xludf.DUMMYFUNCTION("""COMPUTED_VALUE"""),1.69)</f>
        <v>1.69</v>
      </c>
      <c r="K325" s="3">
        <f>IFERROR(__xludf.DUMMYFUNCTION("""COMPUTED_VALUE"""),44662.6875)</f>
        <v>44662.6875</v>
      </c>
      <c r="L325" s="2">
        <f>IFERROR(__xludf.DUMMYFUNCTION("""COMPUTED_VALUE"""),45.08)</f>
        <v>45.08</v>
      </c>
      <c r="N325" s="3">
        <f>IFERROR(__xludf.DUMMYFUNCTION("""COMPUTED_VALUE"""),44664.66666666667)</f>
        <v>44664.66667</v>
      </c>
      <c r="O325" s="2">
        <f>IFERROR(__xludf.DUMMYFUNCTION("""COMPUTED_VALUE"""),31.21)</f>
        <v>31.21</v>
      </c>
      <c r="Q325" s="3">
        <f>IFERROR(__xludf.DUMMYFUNCTION("""COMPUTED_VALUE"""),44664.66666666667)</f>
        <v>44664.66667</v>
      </c>
      <c r="R325" s="2">
        <f>IFERROR(__xludf.DUMMYFUNCTION("""COMPUTED_VALUE"""),159.46)</f>
        <v>159.46</v>
      </c>
    </row>
    <row r="326">
      <c r="B326" s="3">
        <f>IFERROR(__xludf.DUMMYFUNCTION("""COMPUTED_VALUE"""),44665.66666666667)</f>
        <v>44665.66667</v>
      </c>
      <c r="C326" s="2">
        <f>IFERROR(__xludf.DUMMYFUNCTION("""COMPUTED_VALUE"""),51.17)</f>
        <v>51.17</v>
      </c>
      <c r="E326" s="3">
        <f>IFERROR(__xludf.DUMMYFUNCTION("""COMPUTED_VALUE"""),45967.66666666667)</f>
        <v>45967.66667</v>
      </c>
      <c r="F326" s="2">
        <f>IFERROR(__xludf.DUMMYFUNCTION("""COMPUTED_VALUE"""),6.84)</f>
        <v>6.84</v>
      </c>
      <c r="H326" s="3">
        <f>IFERROR(__xludf.DUMMYFUNCTION("""COMPUTED_VALUE"""),45722.66666666667)</f>
        <v>45722.66667</v>
      </c>
      <c r="I326" s="2">
        <f>IFERROR(__xludf.DUMMYFUNCTION("""COMPUTED_VALUE"""),1.56)</f>
        <v>1.56</v>
      </c>
      <c r="K326" s="3">
        <f>IFERROR(__xludf.DUMMYFUNCTION("""COMPUTED_VALUE"""),44663.6875)</f>
        <v>44663.6875</v>
      </c>
      <c r="L326" s="2">
        <f>IFERROR(__xludf.DUMMYFUNCTION("""COMPUTED_VALUE"""),44.12)</f>
        <v>44.12</v>
      </c>
      <c r="N326" s="3">
        <f>IFERROR(__xludf.DUMMYFUNCTION("""COMPUTED_VALUE"""),44665.66666666667)</f>
        <v>44665.66667</v>
      </c>
      <c r="O326" s="2">
        <f>IFERROR(__xludf.DUMMYFUNCTION("""COMPUTED_VALUE"""),31.29)</f>
        <v>31.29</v>
      </c>
      <c r="Q326" s="3">
        <f>IFERROR(__xludf.DUMMYFUNCTION("""COMPUTED_VALUE"""),44665.66666666667)</f>
        <v>44665.66667</v>
      </c>
      <c r="R326" s="2">
        <f>IFERROR(__xludf.DUMMYFUNCTION("""COMPUTED_VALUE"""),158.57)</f>
        <v>158.57</v>
      </c>
    </row>
    <row r="327">
      <c r="B327" s="3">
        <f>IFERROR(__xludf.DUMMYFUNCTION("""COMPUTED_VALUE"""),44669.66666666667)</f>
        <v>44669.66667</v>
      </c>
      <c r="C327" s="2">
        <f>IFERROR(__xludf.DUMMYFUNCTION("""COMPUTED_VALUE"""),51.11)</f>
        <v>51.11</v>
      </c>
      <c r="E327" s="3">
        <f>IFERROR(__xludf.DUMMYFUNCTION("""COMPUTED_VALUE"""),45968.66666666667)</f>
        <v>45968.66667</v>
      </c>
      <c r="F327" s="2">
        <f>IFERROR(__xludf.DUMMYFUNCTION("""COMPUTED_VALUE"""),8.87)</f>
        <v>8.87</v>
      </c>
      <c r="H327" s="3">
        <f>IFERROR(__xludf.DUMMYFUNCTION("""COMPUTED_VALUE"""),45723.66666666667)</f>
        <v>45723.66667</v>
      </c>
      <c r="I327" s="2">
        <f>IFERROR(__xludf.DUMMYFUNCTION("""COMPUTED_VALUE"""),1.56)</f>
        <v>1.56</v>
      </c>
      <c r="K327" s="3">
        <f>IFERROR(__xludf.DUMMYFUNCTION("""COMPUTED_VALUE"""),44664.6875)</f>
        <v>44664.6875</v>
      </c>
      <c r="L327" s="2">
        <f>IFERROR(__xludf.DUMMYFUNCTION("""COMPUTED_VALUE"""),44.14)</f>
        <v>44.14</v>
      </c>
      <c r="N327" s="3">
        <f>IFERROR(__xludf.DUMMYFUNCTION("""COMPUTED_VALUE"""),44669.66666666667)</f>
        <v>44669.66667</v>
      </c>
      <c r="O327" s="2">
        <f>IFERROR(__xludf.DUMMYFUNCTION("""COMPUTED_VALUE"""),31.25)</f>
        <v>31.25</v>
      </c>
      <c r="Q327" s="3">
        <f>IFERROR(__xludf.DUMMYFUNCTION("""COMPUTED_VALUE"""),44669.66666666667)</f>
        <v>44669.66667</v>
      </c>
      <c r="R327" s="2">
        <f>IFERROR(__xludf.DUMMYFUNCTION("""COMPUTED_VALUE"""),157.06)</f>
        <v>157.06</v>
      </c>
    </row>
    <row r="328">
      <c r="B328" s="3">
        <f>IFERROR(__xludf.DUMMYFUNCTION("""COMPUTED_VALUE"""),44670.66666666667)</f>
        <v>44670.66667</v>
      </c>
      <c r="C328" s="2">
        <f>IFERROR(__xludf.DUMMYFUNCTION("""COMPUTED_VALUE"""),51.83)</f>
        <v>51.83</v>
      </c>
      <c r="E328" s="3">
        <f>IFERROR(__xludf.DUMMYFUNCTION("""COMPUTED_VALUE"""),45971.66666666667)</f>
        <v>45971.66667</v>
      </c>
      <c r="F328" s="2">
        <f>IFERROR(__xludf.DUMMYFUNCTION("""COMPUTED_VALUE"""),9.87)</f>
        <v>9.87</v>
      </c>
      <c r="H328" s="3">
        <f>IFERROR(__xludf.DUMMYFUNCTION("""COMPUTED_VALUE"""),45726.66666666667)</f>
        <v>45726.66667</v>
      </c>
      <c r="I328" s="2">
        <f>IFERROR(__xludf.DUMMYFUNCTION("""COMPUTED_VALUE"""),1.43)</f>
        <v>1.43</v>
      </c>
      <c r="K328" s="3">
        <f>IFERROR(__xludf.DUMMYFUNCTION("""COMPUTED_VALUE"""),44665.6875)</f>
        <v>44665.6875</v>
      </c>
      <c r="L328" s="2">
        <f>IFERROR(__xludf.DUMMYFUNCTION("""COMPUTED_VALUE"""),44.98)</f>
        <v>44.98</v>
      </c>
      <c r="N328" s="3">
        <f>IFERROR(__xludf.DUMMYFUNCTION("""COMPUTED_VALUE"""),44670.66666666667)</f>
        <v>44670.66667</v>
      </c>
      <c r="O328" s="2">
        <f>IFERROR(__xludf.DUMMYFUNCTION("""COMPUTED_VALUE"""),31.41)</f>
        <v>31.41</v>
      </c>
      <c r="Q328" s="3">
        <f>IFERROR(__xludf.DUMMYFUNCTION("""COMPUTED_VALUE"""),44670.66666666667)</f>
        <v>44670.66667</v>
      </c>
      <c r="R328" s="2">
        <f>IFERROR(__xludf.DUMMYFUNCTION("""COMPUTED_VALUE"""),159.41)</f>
        <v>159.41</v>
      </c>
    </row>
    <row r="329">
      <c r="B329" s="3">
        <f>IFERROR(__xludf.DUMMYFUNCTION("""COMPUTED_VALUE"""),44671.66666666667)</f>
        <v>44671.66667</v>
      </c>
      <c r="C329" s="2">
        <f>IFERROR(__xludf.DUMMYFUNCTION("""COMPUTED_VALUE"""),53.02)</f>
        <v>53.02</v>
      </c>
      <c r="E329" s="3">
        <f>IFERROR(__xludf.DUMMYFUNCTION("""COMPUTED_VALUE"""),45972.66666666667)</f>
        <v>45972.66667</v>
      </c>
      <c r="F329" s="2">
        <f>IFERROR(__xludf.DUMMYFUNCTION("""COMPUTED_VALUE"""),9.97)</f>
        <v>9.97</v>
      </c>
      <c r="H329" s="3">
        <f>IFERROR(__xludf.DUMMYFUNCTION("""COMPUTED_VALUE"""),45727.66666666667)</f>
        <v>45727.66667</v>
      </c>
      <c r="I329" s="2">
        <f>IFERROR(__xludf.DUMMYFUNCTION("""COMPUTED_VALUE"""),1.65)</f>
        <v>1.65</v>
      </c>
      <c r="K329" s="3">
        <f>IFERROR(__xludf.DUMMYFUNCTION("""COMPUTED_VALUE"""),44670.6875)</f>
        <v>44670.6875</v>
      </c>
      <c r="L329" s="2">
        <f>IFERROR(__xludf.DUMMYFUNCTION("""COMPUTED_VALUE"""),45.37)</f>
        <v>45.37</v>
      </c>
      <c r="N329" s="3">
        <f>IFERROR(__xludf.DUMMYFUNCTION("""COMPUTED_VALUE"""),44671.66666666667)</f>
        <v>44671.66667</v>
      </c>
      <c r="O329" s="2">
        <f>IFERROR(__xludf.DUMMYFUNCTION("""COMPUTED_VALUE"""),31.4)</f>
        <v>31.4</v>
      </c>
      <c r="Q329" s="3">
        <f>IFERROR(__xludf.DUMMYFUNCTION("""COMPUTED_VALUE"""),44671.66666666667)</f>
        <v>44671.66667</v>
      </c>
      <c r="R329" s="2">
        <f>IFERROR(__xludf.DUMMYFUNCTION("""COMPUTED_VALUE"""),163.65)</f>
        <v>163.65</v>
      </c>
    </row>
    <row r="330">
      <c r="B330" s="3">
        <f>IFERROR(__xludf.DUMMYFUNCTION("""COMPUTED_VALUE"""),44672.66666666667)</f>
        <v>44672.66667</v>
      </c>
      <c r="C330" s="2">
        <f>IFERROR(__xludf.DUMMYFUNCTION("""COMPUTED_VALUE"""),52.78)</f>
        <v>52.78</v>
      </c>
      <c r="E330" s="3">
        <f>IFERROR(__xludf.DUMMYFUNCTION("""COMPUTED_VALUE"""),45973.66666666667)</f>
        <v>45973.66667</v>
      </c>
      <c r="F330" s="2">
        <f>IFERROR(__xludf.DUMMYFUNCTION("""COMPUTED_VALUE"""),11.13)</f>
        <v>11.13</v>
      </c>
      <c r="H330" s="3">
        <f>IFERROR(__xludf.DUMMYFUNCTION("""COMPUTED_VALUE"""),45728.66666666667)</f>
        <v>45728.66667</v>
      </c>
      <c r="I330" s="2">
        <f>IFERROR(__xludf.DUMMYFUNCTION("""COMPUTED_VALUE"""),1.63)</f>
        <v>1.63</v>
      </c>
      <c r="K330" s="3">
        <f>IFERROR(__xludf.DUMMYFUNCTION("""COMPUTED_VALUE"""),44671.6875)</f>
        <v>44671.6875</v>
      </c>
      <c r="L330" s="2">
        <f>IFERROR(__xludf.DUMMYFUNCTION("""COMPUTED_VALUE"""),46.33)</f>
        <v>46.33</v>
      </c>
      <c r="N330" s="3">
        <f>IFERROR(__xludf.DUMMYFUNCTION("""COMPUTED_VALUE"""),44672.66666666667)</f>
        <v>44672.66667</v>
      </c>
      <c r="O330" s="2">
        <f>IFERROR(__xludf.DUMMYFUNCTION("""COMPUTED_VALUE"""),30.81)</f>
        <v>30.81</v>
      </c>
      <c r="Q330" s="3">
        <f>IFERROR(__xludf.DUMMYFUNCTION("""COMPUTED_VALUE"""),44672.66666666667)</f>
        <v>44672.66667</v>
      </c>
      <c r="R330" s="2">
        <f>IFERROR(__xludf.DUMMYFUNCTION("""COMPUTED_VALUE"""),162.61)</f>
        <v>162.61</v>
      </c>
    </row>
    <row r="331">
      <c r="B331" s="3">
        <f>IFERROR(__xludf.DUMMYFUNCTION("""COMPUTED_VALUE"""),44673.66666666667)</f>
        <v>44673.66667</v>
      </c>
      <c r="C331" s="2">
        <f>IFERROR(__xludf.DUMMYFUNCTION("""COMPUTED_VALUE"""),51.36)</f>
        <v>51.36</v>
      </c>
      <c r="E331" s="3">
        <f>IFERROR(__xludf.DUMMYFUNCTION("""COMPUTED_VALUE"""),45974.66666666667)</f>
        <v>45974.66667</v>
      </c>
      <c r="F331" s="2">
        <f>IFERROR(__xludf.DUMMYFUNCTION("""COMPUTED_VALUE"""),9.52)</f>
        <v>9.52</v>
      </c>
      <c r="H331" s="3">
        <f>IFERROR(__xludf.DUMMYFUNCTION("""COMPUTED_VALUE"""),45729.66666666667)</f>
        <v>45729.66667</v>
      </c>
      <c r="I331" s="2">
        <f>IFERROR(__xludf.DUMMYFUNCTION("""COMPUTED_VALUE"""),1.72)</f>
        <v>1.72</v>
      </c>
      <c r="K331" s="3">
        <f>IFERROR(__xludf.DUMMYFUNCTION("""COMPUTED_VALUE"""),44672.6875)</f>
        <v>44672.6875</v>
      </c>
      <c r="L331" s="2">
        <f>IFERROR(__xludf.DUMMYFUNCTION("""COMPUTED_VALUE"""),46.93)</f>
        <v>46.93</v>
      </c>
      <c r="N331" s="3">
        <f>IFERROR(__xludf.DUMMYFUNCTION("""COMPUTED_VALUE"""),44673.66666666667)</f>
        <v>44673.66667</v>
      </c>
      <c r="O331" s="2">
        <f>IFERROR(__xludf.DUMMYFUNCTION("""COMPUTED_VALUE"""),29.88)</f>
        <v>29.88</v>
      </c>
      <c r="Q331" s="3">
        <f>IFERROR(__xludf.DUMMYFUNCTION("""COMPUTED_VALUE"""),44673.66666666667)</f>
        <v>44673.66667</v>
      </c>
      <c r="R331" s="2">
        <f>IFERROR(__xludf.DUMMYFUNCTION("""COMPUTED_VALUE"""),161.25)</f>
        <v>161.25</v>
      </c>
    </row>
    <row r="332">
      <c r="B332" s="3">
        <f>IFERROR(__xludf.DUMMYFUNCTION("""COMPUTED_VALUE"""),44676.66666666667)</f>
        <v>44676.66667</v>
      </c>
      <c r="C332" s="2">
        <f>IFERROR(__xludf.DUMMYFUNCTION("""COMPUTED_VALUE"""),51.94)</f>
        <v>51.94</v>
      </c>
      <c r="E332" s="3">
        <f>IFERROR(__xludf.DUMMYFUNCTION("""COMPUTED_VALUE"""),45975.66666666667)</f>
        <v>45975.66667</v>
      </c>
      <c r="F332" s="2">
        <f>IFERROR(__xludf.DUMMYFUNCTION("""COMPUTED_VALUE"""),9.83)</f>
        <v>9.83</v>
      </c>
      <c r="H332" s="3">
        <f>IFERROR(__xludf.DUMMYFUNCTION("""COMPUTED_VALUE"""),45730.66666666667)</f>
        <v>45730.66667</v>
      </c>
      <c r="I332" s="2">
        <f>IFERROR(__xludf.DUMMYFUNCTION("""COMPUTED_VALUE"""),1.69)</f>
        <v>1.69</v>
      </c>
      <c r="K332" s="3">
        <f>IFERROR(__xludf.DUMMYFUNCTION("""COMPUTED_VALUE"""),44673.6875)</f>
        <v>44673.6875</v>
      </c>
      <c r="L332" s="2">
        <f>IFERROR(__xludf.DUMMYFUNCTION("""COMPUTED_VALUE"""),46.11)</f>
        <v>46.11</v>
      </c>
      <c r="N332" s="3">
        <f>IFERROR(__xludf.DUMMYFUNCTION("""COMPUTED_VALUE"""),44676.66666666667)</f>
        <v>44676.66667</v>
      </c>
      <c r="O332" s="2">
        <f>IFERROR(__xludf.DUMMYFUNCTION("""COMPUTED_VALUE"""),28.73)</f>
        <v>28.73</v>
      </c>
      <c r="Q332" s="3">
        <f>IFERROR(__xludf.DUMMYFUNCTION("""COMPUTED_VALUE"""),44676.66666666667)</f>
        <v>44676.66667</v>
      </c>
      <c r="R332" s="2">
        <f>IFERROR(__xludf.DUMMYFUNCTION("""COMPUTED_VALUE"""),162.55)</f>
        <v>162.55</v>
      </c>
    </row>
    <row r="333">
      <c r="B333" s="3">
        <f>IFERROR(__xludf.DUMMYFUNCTION("""COMPUTED_VALUE"""),44677.66666666667)</f>
        <v>44677.66667</v>
      </c>
      <c r="C333" s="2">
        <f>IFERROR(__xludf.DUMMYFUNCTION("""COMPUTED_VALUE"""),50.9)</f>
        <v>50.9</v>
      </c>
      <c r="E333" s="3">
        <f>IFERROR(__xludf.DUMMYFUNCTION("""COMPUTED_VALUE"""),45978.66666666667)</f>
        <v>45978.66667</v>
      </c>
      <c r="F333" s="2">
        <f>IFERROR(__xludf.DUMMYFUNCTION("""COMPUTED_VALUE"""),8.85)</f>
        <v>8.85</v>
      </c>
      <c r="H333" s="3">
        <f>IFERROR(__xludf.DUMMYFUNCTION("""COMPUTED_VALUE"""),45733.66666666667)</f>
        <v>45733.66667</v>
      </c>
      <c r="I333" s="2">
        <f>IFERROR(__xludf.DUMMYFUNCTION("""COMPUTED_VALUE"""),2.24)</f>
        <v>2.24</v>
      </c>
      <c r="K333" s="3">
        <f>IFERROR(__xludf.DUMMYFUNCTION("""COMPUTED_VALUE"""),44676.6875)</f>
        <v>44676.6875</v>
      </c>
      <c r="L333" s="2">
        <f>IFERROR(__xludf.DUMMYFUNCTION("""COMPUTED_VALUE"""),45.4)</f>
        <v>45.4</v>
      </c>
      <c r="N333" s="3">
        <f>IFERROR(__xludf.DUMMYFUNCTION("""COMPUTED_VALUE"""),44677.66666666667)</f>
        <v>44677.66667</v>
      </c>
      <c r="O333" s="2">
        <f>IFERROR(__xludf.DUMMYFUNCTION("""COMPUTED_VALUE"""),28.35)</f>
        <v>28.35</v>
      </c>
      <c r="Q333" s="3">
        <f>IFERROR(__xludf.DUMMYFUNCTION("""COMPUTED_VALUE"""),44677.66666666667)</f>
        <v>44677.66667</v>
      </c>
      <c r="R333" s="2">
        <f>IFERROR(__xludf.DUMMYFUNCTION("""COMPUTED_VALUE"""),159.79)</f>
        <v>159.79</v>
      </c>
    </row>
    <row r="334">
      <c r="B334" s="3">
        <f>IFERROR(__xludf.DUMMYFUNCTION("""COMPUTED_VALUE"""),44678.66666666667)</f>
        <v>44678.66667</v>
      </c>
      <c r="C334" s="2">
        <f>IFERROR(__xludf.DUMMYFUNCTION("""COMPUTED_VALUE"""),49.31)</f>
        <v>49.31</v>
      </c>
      <c r="E334" s="3">
        <f>IFERROR(__xludf.DUMMYFUNCTION("""COMPUTED_VALUE"""),45979.66666666667)</f>
        <v>45979.66667</v>
      </c>
      <c r="F334" s="2">
        <f>IFERROR(__xludf.DUMMYFUNCTION("""COMPUTED_VALUE"""),8.97)</f>
        <v>8.97</v>
      </c>
      <c r="H334" s="3">
        <f>IFERROR(__xludf.DUMMYFUNCTION("""COMPUTED_VALUE"""),45734.66666666667)</f>
        <v>45734.66667</v>
      </c>
      <c r="I334" s="2">
        <f>IFERROR(__xludf.DUMMYFUNCTION("""COMPUTED_VALUE"""),1.91)</f>
        <v>1.91</v>
      </c>
      <c r="K334" s="3">
        <f>IFERROR(__xludf.DUMMYFUNCTION("""COMPUTED_VALUE"""),44677.6875)</f>
        <v>44677.6875</v>
      </c>
      <c r="L334" s="2">
        <f>IFERROR(__xludf.DUMMYFUNCTION("""COMPUTED_VALUE"""),45.89)</f>
        <v>45.89</v>
      </c>
      <c r="N334" s="3">
        <f>IFERROR(__xludf.DUMMYFUNCTION("""COMPUTED_VALUE"""),44678.66666666667)</f>
        <v>44678.66667</v>
      </c>
      <c r="O334" s="2">
        <f>IFERROR(__xludf.DUMMYFUNCTION("""COMPUTED_VALUE"""),28.6)</f>
        <v>28.6</v>
      </c>
      <c r="Q334" s="3">
        <f>IFERROR(__xludf.DUMMYFUNCTION("""COMPUTED_VALUE"""),44678.66666666667)</f>
        <v>44678.66667</v>
      </c>
      <c r="R334" s="2">
        <f>IFERROR(__xludf.DUMMYFUNCTION("""COMPUTED_VALUE"""),159.36)</f>
        <v>159.36</v>
      </c>
    </row>
    <row r="335">
      <c r="B335" s="3">
        <f>IFERROR(__xludf.DUMMYFUNCTION("""COMPUTED_VALUE"""),44679.66666666667)</f>
        <v>44679.66667</v>
      </c>
      <c r="C335" s="2">
        <f>IFERROR(__xludf.DUMMYFUNCTION("""COMPUTED_VALUE"""),50.63)</f>
        <v>50.63</v>
      </c>
      <c r="E335" s="3">
        <f>IFERROR(__xludf.DUMMYFUNCTION("""COMPUTED_VALUE"""),45980.66666666667)</f>
        <v>45980.66667</v>
      </c>
      <c r="F335" s="2">
        <f>IFERROR(__xludf.DUMMYFUNCTION("""COMPUTED_VALUE"""),8.97)</f>
        <v>8.97</v>
      </c>
      <c r="H335" s="3">
        <f>IFERROR(__xludf.DUMMYFUNCTION("""COMPUTED_VALUE"""),45735.66666666667)</f>
        <v>45735.66667</v>
      </c>
      <c r="I335" s="2">
        <f>IFERROR(__xludf.DUMMYFUNCTION("""COMPUTED_VALUE"""),2.13)</f>
        <v>2.13</v>
      </c>
      <c r="K335" s="3">
        <f>IFERROR(__xludf.DUMMYFUNCTION("""COMPUTED_VALUE"""),44678.6875)</f>
        <v>44678.6875</v>
      </c>
      <c r="L335" s="2">
        <f>IFERROR(__xludf.DUMMYFUNCTION("""COMPUTED_VALUE"""),45.77)</f>
        <v>45.77</v>
      </c>
      <c r="N335" s="3">
        <f>IFERROR(__xludf.DUMMYFUNCTION("""COMPUTED_VALUE"""),44679.66666666667)</f>
        <v>44679.66667</v>
      </c>
      <c r="O335" s="2">
        <f>IFERROR(__xludf.DUMMYFUNCTION("""COMPUTED_VALUE"""),29.35)</f>
        <v>29.35</v>
      </c>
      <c r="Q335" s="3">
        <f>IFERROR(__xludf.DUMMYFUNCTION("""COMPUTED_VALUE"""),44679.66666666667)</f>
        <v>44679.66667</v>
      </c>
      <c r="R335" s="2">
        <f>IFERROR(__xludf.DUMMYFUNCTION("""COMPUTED_VALUE"""),163.41)</f>
        <v>163.41</v>
      </c>
    </row>
    <row r="336">
      <c r="B336" s="3">
        <f>IFERROR(__xludf.DUMMYFUNCTION("""COMPUTED_VALUE"""),44680.66666666667)</f>
        <v>44680.66667</v>
      </c>
      <c r="C336" s="2">
        <f>IFERROR(__xludf.DUMMYFUNCTION("""COMPUTED_VALUE"""),48.98)</f>
        <v>48.98</v>
      </c>
      <c r="E336" s="3">
        <f>IFERROR(__xludf.DUMMYFUNCTION("""COMPUTED_VALUE"""),45981.66666666667)</f>
        <v>45981.66667</v>
      </c>
      <c r="F336" s="2">
        <f>IFERROR(__xludf.DUMMYFUNCTION("""COMPUTED_VALUE"""),7.77)</f>
        <v>7.77</v>
      </c>
      <c r="H336" s="3">
        <f>IFERROR(__xludf.DUMMYFUNCTION("""COMPUTED_VALUE"""),45736.66666666667)</f>
        <v>45736.66667</v>
      </c>
      <c r="I336" s="2">
        <f>IFERROR(__xludf.DUMMYFUNCTION("""COMPUTED_VALUE"""),2.14)</f>
        <v>2.14</v>
      </c>
      <c r="K336" s="3">
        <f>IFERROR(__xludf.DUMMYFUNCTION("""COMPUTED_VALUE"""),44679.6875)</f>
        <v>44679.6875</v>
      </c>
      <c r="L336" s="2">
        <f>IFERROR(__xludf.DUMMYFUNCTION("""COMPUTED_VALUE"""),46.31)</f>
        <v>46.31</v>
      </c>
      <c r="N336" s="3">
        <f>IFERROR(__xludf.DUMMYFUNCTION("""COMPUTED_VALUE"""),44680.66666666667)</f>
        <v>44680.66667</v>
      </c>
      <c r="O336" s="2">
        <f>IFERROR(__xludf.DUMMYFUNCTION("""COMPUTED_VALUE"""),28.72)</f>
        <v>28.72</v>
      </c>
      <c r="Q336" s="3">
        <f>IFERROR(__xludf.DUMMYFUNCTION("""COMPUTED_VALUE"""),44680.66666666667)</f>
        <v>44680.66667</v>
      </c>
      <c r="R336" s="2">
        <f>IFERROR(__xludf.DUMMYFUNCTION("""COMPUTED_VALUE"""),160.55)</f>
        <v>160.55</v>
      </c>
    </row>
    <row r="337">
      <c r="B337" s="3">
        <f>IFERROR(__xludf.DUMMYFUNCTION("""COMPUTED_VALUE"""),44683.66666666667)</f>
        <v>44683.66667</v>
      </c>
      <c r="C337" s="2">
        <f>IFERROR(__xludf.DUMMYFUNCTION("""COMPUTED_VALUE"""),49.86)</f>
        <v>49.86</v>
      </c>
      <c r="E337" s="3">
        <f>IFERROR(__xludf.DUMMYFUNCTION("""COMPUTED_VALUE"""),45982.66666666667)</f>
        <v>45982.66667</v>
      </c>
      <c r="F337" s="2">
        <f>IFERROR(__xludf.DUMMYFUNCTION("""COMPUTED_VALUE"""),7.97)</f>
        <v>7.97</v>
      </c>
      <c r="H337" s="3">
        <f>IFERROR(__xludf.DUMMYFUNCTION("""COMPUTED_VALUE"""),45737.66666666667)</f>
        <v>45737.66667</v>
      </c>
      <c r="I337" s="2">
        <f>IFERROR(__xludf.DUMMYFUNCTION("""COMPUTED_VALUE"""),2.26)</f>
        <v>2.26</v>
      </c>
      <c r="K337" s="3">
        <f>IFERROR(__xludf.DUMMYFUNCTION("""COMPUTED_VALUE"""),44680.6875)</f>
        <v>44680.6875</v>
      </c>
      <c r="L337" s="2">
        <f>IFERROR(__xludf.DUMMYFUNCTION("""COMPUTED_VALUE"""),45.88)</f>
        <v>45.88</v>
      </c>
      <c r="N337" s="3">
        <f>IFERROR(__xludf.DUMMYFUNCTION("""COMPUTED_VALUE"""),44683.66666666667)</f>
        <v>44683.66667</v>
      </c>
      <c r="O337" s="2">
        <f>IFERROR(__xludf.DUMMYFUNCTION("""COMPUTED_VALUE"""),28.86)</f>
        <v>28.86</v>
      </c>
      <c r="Q337" s="3">
        <f>IFERROR(__xludf.DUMMYFUNCTION("""COMPUTED_VALUE"""),44683.66666666667)</f>
        <v>44683.66667</v>
      </c>
      <c r="R337" s="2">
        <f>IFERROR(__xludf.DUMMYFUNCTION("""COMPUTED_VALUE"""),158.38)</f>
        <v>158.38</v>
      </c>
    </row>
    <row r="338">
      <c r="B338" s="3">
        <f>IFERROR(__xludf.DUMMYFUNCTION("""COMPUTED_VALUE"""),44684.66666666667)</f>
        <v>44684.66667</v>
      </c>
      <c r="C338" s="2">
        <f>IFERROR(__xludf.DUMMYFUNCTION("""COMPUTED_VALUE"""),49.92)</f>
        <v>49.92</v>
      </c>
      <c r="E338" s="3">
        <f>IFERROR(__xludf.DUMMYFUNCTION("""COMPUTED_VALUE"""),45985.66666666667)</f>
        <v>45985.66667</v>
      </c>
      <c r="F338" s="2">
        <f>IFERROR(__xludf.DUMMYFUNCTION("""COMPUTED_VALUE"""),8.23)</f>
        <v>8.23</v>
      </c>
      <c r="H338" s="3">
        <f>IFERROR(__xludf.DUMMYFUNCTION("""COMPUTED_VALUE"""),45740.66666666667)</f>
        <v>45740.66667</v>
      </c>
      <c r="I338" s="2">
        <f>IFERROR(__xludf.DUMMYFUNCTION("""COMPUTED_VALUE"""),2.6)</f>
        <v>2.6</v>
      </c>
      <c r="K338" s="3">
        <f>IFERROR(__xludf.DUMMYFUNCTION("""COMPUTED_VALUE"""),44684.6875)</f>
        <v>44684.6875</v>
      </c>
      <c r="L338" s="2">
        <f>IFERROR(__xludf.DUMMYFUNCTION("""COMPUTED_VALUE"""),46.18)</f>
        <v>46.18</v>
      </c>
      <c r="N338" s="3">
        <f>IFERROR(__xludf.DUMMYFUNCTION("""COMPUTED_VALUE"""),44684.66666666667)</f>
        <v>44684.66667</v>
      </c>
      <c r="O338" s="2">
        <f>IFERROR(__xludf.DUMMYFUNCTION("""COMPUTED_VALUE"""),31.18)</f>
        <v>31.18</v>
      </c>
      <c r="Q338" s="3">
        <f>IFERROR(__xludf.DUMMYFUNCTION("""COMPUTED_VALUE"""),44684.66666666667)</f>
        <v>44684.66667</v>
      </c>
      <c r="R338" s="2">
        <f>IFERROR(__xludf.DUMMYFUNCTION("""COMPUTED_VALUE"""),156.21)</f>
        <v>156.21</v>
      </c>
    </row>
    <row r="339">
      <c r="B339" s="3">
        <f>IFERROR(__xludf.DUMMYFUNCTION("""COMPUTED_VALUE"""),44685.66666666667)</f>
        <v>44685.66667</v>
      </c>
      <c r="C339" s="2">
        <f>IFERROR(__xludf.DUMMYFUNCTION("""COMPUTED_VALUE"""),51.58)</f>
        <v>51.58</v>
      </c>
      <c r="E339" s="3">
        <f>IFERROR(__xludf.DUMMYFUNCTION("""COMPUTED_VALUE"""),45986.66666666667)</f>
        <v>45986.66667</v>
      </c>
      <c r="F339" s="2">
        <f>IFERROR(__xludf.DUMMYFUNCTION("""COMPUTED_VALUE"""),8.27)</f>
        <v>8.27</v>
      </c>
      <c r="H339" s="3">
        <f>IFERROR(__xludf.DUMMYFUNCTION("""COMPUTED_VALUE"""),45741.66666666667)</f>
        <v>45741.66667</v>
      </c>
      <c r="I339" s="2">
        <f>IFERROR(__xludf.DUMMYFUNCTION("""COMPUTED_VALUE"""),2.5)</f>
        <v>2.5</v>
      </c>
      <c r="K339" s="3">
        <f>IFERROR(__xludf.DUMMYFUNCTION("""COMPUTED_VALUE"""),44685.6875)</f>
        <v>44685.6875</v>
      </c>
      <c r="L339" s="2">
        <f>IFERROR(__xludf.DUMMYFUNCTION("""COMPUTED_VALUE"""),45.65)</f>
        <v>45.65</v>
      </c>
      <c r="N339" s="3">
        <f>IFERROR(__xludf.DUMMYFUNCTION("""COMPUTED_VALUE"""),44685.66666666667)</f>
        <v>44685.66667</v>
      </c>
      <c r="O339" s="2">
        <f>IFERROR(__xludf.DUMMYFUNCTION("""COMPUTED_VALUE"""),31.85)</f>
        <v>31.85</v>
      </c>
      <c r="Q339" s="3">
        <f>IFERROR(__xludf.DUMMYFUNCTION("""COMPUTED_VALUE"""),44685.66666666667)</f>
        <v>44685.66667</v>
      </c>
      <c r="R339" s="2">
        <f>IFERROR(__xludf.DUMMYFUNCTION("""COMPUTED_VALUE"""),157.36)</f>
        <v>157.36</v>
      </c>
    </row>
    <row r="340">
      <c r="B340" s="3">
        <f>IFERROR(__xludf.DUMMYFUNCTION("""COMPUTED_VALUE"""),44686.66666666667)</f>
        <v>44686.66667</v>
      </c>
      <c r="C340" s="2">
        <f>IFERROR(__xludf.DUMMYFUNCTION("""COMPUTED_VALUE"""),49.61)</f>
        <v>49.61</v>
      </c>
      <c r="E340" s="3">
        <f>IFERROR(__xludf.DUMMYFUNCTION("""COMPUTED_VALUE"""),45987.66666666667)</f>
        <v>45987.66667</v>
      </c>
      <c r="F340" s="2">
        <f>IFERROR(__xludf.DUMMYFUNCTION("""COMPUTED_VALUE"""),8.9)</f>
        <v>8.9</v>
      </c>
      <c r="H340" s="3">
        <f>IFERROR(__xludf.DUMMYFUNCTION("""COMPUTED_VALUE"""),45742.66666666667)</f>
        <v>45742.66667</v>
      </c>
      <c r="I340" s="2">
        <f>IFERROR(__xludf.DUMMYFUNCTION("""COMPUTED_VALUE"""),2.32)</f>
        <v>2.32</v>
      </c>
      <c r="K340" s="3">
        <f>IFERROR(__xludf.DUMMYFUNCTION("""COMPUTED_VALUE"""),44686.6875)</f>
        <v>44686.6875</v>
      </c>
      <c r="L340" s="2">
        <f>IFERROR(__xludf.DUMMYFUNCTION("""COMPUTED_VALUE"""),44.03)</f>
        <v>44.03</v>
      </c>
      <c r="N340" s="3">
        <f>IFERROR(__xludf.DUMMYFUNCTION("""COMPUTED_VALUE"""),44686.66666666667)</f>
        <v>44686.66667</v>
      </c>
      <c r="O340" s="2">
        <f>IFERROR(__xludf.DUMMYFUNCTION("""COMPUTED_VALUE"""),31.22)</f>
        <v>31.22</v>
      </c>
      <c r="Q340" s="3">
        <f>IFERROR(__xludf.DUMMYFUNCTION("""COMPUTED_VALUE"""),44686.66666666667)</f>
        <v>44686.66667</v>
      </c>
      <c r="R340" s="2">
        <f>IFERROR(__xludf.DUMMYFUNCTION("""COMPUTED_VALUE"""),154.46)</f>
        <v>154.46</v>
      </c>
    </row>
    <row r="341">
      <c r="B341" s="3">
        <f>IFERROR(__xludf.DUMMYFUNCTION("""COMPUTED_VALUE"""),44687.66666666667)</f>
        <v>44687.66667</v>
      </c>
      <c r="C341" s="2">
        <f>IFERROR(__xludf.DUMMYFUNCTION("""COMPUTED_VALUE"""),49.33)</f>
        <v>49.33</v>
      </c>
      <c r="E341" s="3">
        <f>IFERROR(__xludf.DUMMYFUNCTION("""COMPUTED_VALUE"""),45989.54513888889)</f>
        <v>45989.54514</v>
      </c>
      <c r="F341" s="2">
        <f>IFERROR(__xludf.DUMMYFUNCTION("""COMPUTED_VALUE"""),9.55)</f>
        <v>9.55</v>
      </c>
      <c r="H341" s="3">
        <f>IFERROR(__xludf.DUMMYFUNCTION("""COMPUTED_VALUE"""),45743.66666666667)</f>
        <v>45743.66667</v>
      </c>
      <c r="I341" s="2">
        <f>IFERROR(__xludf.DUMMYFUNCTION("""COMPUTED_VALUE"""),2.19)</f>
        <v>2.19</v>
      </c>
      <c r="K341" s="3">
        <f>IFERROR(__xludf.DUMMYFUNCTION("""COMPUTED_VALUE"""),44687.6875)</f>
        <v>44687.6875</v>
      </c>
      <c r="L341" s="2">
        <f>IFERROR(__xludf.DUMMYFUNCTION("""COMPUTED_VALUE"""),43.37)</f>
        <v>43.37</v>
      </c>
      <c r="N341" s="3">
        <f>IFERROR(__xludf.DUMMYFUNCTION("""COMPUTED_VALUE"""),44687.66666666667)</f>
        <v>44687.66667</v>
      </c>
      <c r="O341" s="2">
        <f>IFERROR(__xludf.DUMMYFUNCTION("""COMPUTED_VALUE"""),31.86)</f>
        <v>31.86</v>
      </c>
      <c r="Q341" s="3">
        <f>IFERROR(__xludf.DUMMYFUNCTION("""COMPUTED_VALUE"""),44687.66666666667)</f>
        <v>44687.66667</v>
      </c>
      <c r="R341" s="2">
        <f>IFERROR(__xludf.DUMMYFUNCTION("""COMPUTED_VALUE"""),156.0)</f>
        <v>156</v>
      </c>
    </row>
    <row r="342">
      <c r="B342" s="3">
        <f>IFERROR(__xludf.DUMMYFUNCTION("""COMPUTED_VALUE"""),44690.66666666667)</f>
        <v>44690.66667</v>
      </c>
      <c r="C342" s="2">
        <f>IFERROR(__xludf.DUMMYFUNCTION("""COMPUTED_VALUE"""),48.96)</f>
        <v>48.96</v>
      </c>
      <c r="E342" s="3">
        <f>IFERROR(__xludf.DUMMYFUNCTION("""COMPUTED_VALUE"""),45992.66666666667)</f>
        <v>45992.66667</v>
      </c>
      <c r="F342" s="2">
        <f>IFERROR(__xludf.DUMMYFUNCTION("""COMPUTED_VALUE"""),8.89)</f>
        <v>8.89</v>
      </c>
      <c r="H342" s="3">
        <f>IFERROR(__xludf.DUMMYFUNCTION("""COMPUTED_VALUE"""),45744.66666666667)</f>
        <v>45744.66667</v>
      </c>
      <c r="I342" s="2">
        <f>IFERROR(__xludf.DUMMYFUNCTION("""COMPUTED_VALUE"""),1.9)</f>
        <v>1.9</v>
      </c>
      <c r="K342" s="3">
        <f>IFERROR(__xludf.DUMMYFUNCTION("""COMPUTED_VALUE"""),44690.6875)</f>
        <v>44690.6875</v>
      </c>
      <c r="L342" s="2">
        <f>IFERROR(__xludf.DUMMYFUNCTION("""COMPUTED_VALUE"""),42.35)</f>
        <v>42.35</v>
      </c>
      <c r="N342" s="3">
        <f>IFERROR(__xludf.DUMMYFUNCTION("""COMPUTED_VALUE"""),44690.66666666667)</f>
        <v>44690.66667</v>
      </c>
      <c r="O342" s="2">
        <f>IFERROR(__xludf.DUMMYFUNCTION("""COMPUTED_VALUE"""),29.68)</f>
        <v>29.68</v>
      </c>
      <c r="Q342" s="3">
        <f>IFERROR(__xludf.DUMMYFUNCTION("""COMPUTED_VALUE"""),44690.66666666667)</f>
        <v>44690.66667</v>
      </c>
      <c r="R342" s="2">
        <f>IFERROR(__xludf.DUMMYFUNCTION("""COMPUTED_VALUE"""),155.61)</f>
        <v>155.61</v>
      </c>
    </row>
    <row r="343">
      <c r="B343" s="3">
        <f>IFERROR(__xludf.DUMMYFUNCTION("""COMPUTED_VALUE"""),44691.66666666667)</f>
        <v>44691.66667</v>
      </c>
      <c r="C343" s="2">
        <f>IFERROR(__xludf.DUMMYFUNCTION("""COMPUTED_VALUE"""),49.55)</f>
        <v>49.55</v>
      </c>
      <c r="E343" s="3">
        <f>IFERROR(__xludf.DUMMYFUNCTION("""COMPUTED_VALUE"""),45993.66666666667)</f>
        <v>45993.66667</v>
      </c>
      <c r="F343" s="2">
        <f>IFERROR(__xludf.DUMMYFUNCTION("""COMPUTED_VALUE"""),8.7)</f>
        <v>8.7</v>
      </c>
      <c r="H343" s="3">
        <f>IFERROR(__xludf.DUMMYFUNCTION("""COMPUTED_VALUE"""),45747.66666666667)</f>
        <v>45747.66667</v>
      </c>
      <c r="I343" s="2">
        <f>IFERROR(__xludf.DUMMYFUNCTION("""COMPUTED_VALUE"""),1.98)</f>
        <v>1.98</v>
      </c>
      <c r="K343" s="3">
        <f>IFERROR(__xludf.DUMMYFUNCTION("""COMPUTED_VALUE"""),44691.6875)</f>
        <v>44691.6875</v>
      </c>
      <c r="L343" s="2">
        <f>IFERROR(__xludf.DUMMYFUNCTION("""COMPUTED_VALUE"""),42.59)</f>
        <v>42.59</v>
      </c>
      <c r="N343" s="3">
        <f>IFERROR(__xludf.DUMMYFUNCTION("""COMPUTED_VALUE"""),44691.66666666667)</f>
        <v>44691.66667</v>
      </c>
      <c r="O343" s="2">
        <f>IFERROR(__xludf.DUMMYFUNCTION("""COMPUTED_VALUE"""),29.89)</f>
        <v>29.89</v>
      </c>
      <c r="Q343" s="3">
        <f>IFERROR(__xludf.DUMMYFUNCTION("""COMPUTED_VALUE"""),44691.66666666667)</f>
        <v>44691.66667</v>
      </c>
      <c r="R343" s="2">
        <f>IFERROR(__xludf.DUMMYFUNCTION("""COMPUTED_VALUE"""),154.79)</f>
        <v>154.79</v>
      </c>
    </row>
    <row r="344">
      <c r="B344" s="3">
        <f>IFERROR(__xludf.DUMMYFUNCTION("""COMPUTED_VALUE"""),44692.66666666667)</f>
        <v>44692.66667</v>
      </c>
      <c r="C344" s="2">
        <f>IFERROR(__xludf.DUMMYFUNCTION("""COMPUTED_VALUE"""),48.65)</f>
        <v>48.65</v>
      </c>
      <c r="E344" s="3">
        <f>IFERROR(__xludf.DUMMYFUNCTION("""COMPUTED_VALUE"""),45994.66666666667)</f>
        <v>45994.66667</v>
      </c>
      <c r="F344" s="2">
        <f>IFERROR(__xludf.DUMMYFUNCTION("""COMPUTED_VALUE"""),9.27)</f>
        <v>9.27</v>
      </c>
      <c r="H344" s="3">
        <f>IFERROR(__xludf.DUMMYFUNCTION("""COMPUTED_VALUE"""),45748.66666666667)</f>
        <v>45748.66667</v>
      </c>
      <c r="I344" s="2">
        <f>IFERROR(__xludf.DUMMYFUNCTION("""COMPUTED_VALUE"""),2.03)</f>
        <v>2.03</v>
      </c>
      <c r="K344" s="3">
        <f>IFERROR(__xludf.DUMMYFUNCTION("""COMPUTED_VALUE"""),44692.6875)</f>
        <v>44692.6875</v>
      </c>
      <c r="L344" s="2">
        <f>IFERROR(__xludf.DUMMYFUNCTION("""COMPUTED_VALUE"""),43.12)</f>
        <v>43.12</v>
      </c>
      <c r="N344" s="3">
        <f>IFERROR(__xludf.DUMMYFUNCTION("""COMPUTED_VALUE"""),44692.66666666667)</f>
        <v>44692.66667</v>
      </c>
      <c r="O344" s="2">
        <f>IFERROR(__xludf.DUMMYFUNCTION("""COMPUTED_VALUE"""),30.22)</f>
        <v>30.22</v>
      </c>
      <c r="Q344" s="3">
        <f>IFERROR(__xludf.DUMMYFUNCTION("""COMPUTED_VALUE"""),44692.66666666667)</f>
        <v>44692.66667</v>
      </c>
      <c r="R344" s="2">
        <f>IFERROR(__xludf.DUMMYFUNCTION("""COMPUTED_VALUE"""),152.61)</f>
        <v>152.61</v>
      </c>
    </row>
    <row r="345">
      <c r="B345" s="3">
        <f>IFERROR(__xludf.DUMMYFUNCTION("""COMPUTED_VALUE"""),44693.66666666667)</f>
        <v>44693.66667</v>
      </c>
      <c r="C345" s="2">
        <f>IFERROR(__xludf.DUMMYFUNCTION("""COMPUTED_VALUE"""),48.29)</f>
        <v>48.29</v>
      </c>
      <c r="E345" s="3">
        <f>IFERROR(__xludf.DUMMYFUNCTION("""COMPUTED_VALUE"""),45995.66666666667)</f>
        <v>45995.66667</v>
      </c>
      <c r="F345" s="2">
        <f>IFERROR(__xludf.DUMMYFUNCTION("""COMPUTED_VALUE"""),10.38)</f>
        <v>10.38</v>
      </c>
      <c r="H345" s="3">
        <f>IFERROR(__xludf.DUMMYFUNCTION("""COMPUTED_VALUE"""),45749.66666666667)</f>
        <v>45749.66667</v>
      </c>
      <c r="I345" s="2">
        <f>IFERROR(__xludf.DUMMYFUNCTION("""COMPUTED_VALUE"""),1.89)</f>
        <v>1.89</v>
      </c>
      <c r="K345" s="3">
        <f>IFERROR(__xludf.DUMMYFUNCTION("""COMPUTED_VALUE"""),44693.6875)</f>
        <v>44693.6875</v>
      </c>
      <c r="L345" s="2">
        <f>IFERROR(__xludf.DUMMYFUNCTION("""COMPUTED_VALUE"""),42.96)</f>
        <v>42.96</v>
      </c>
      <c r="N345" s="3">
        <f>IFERROR(__xludf.DUMMYFUNCTION("""COMPUTED_VALUE"""),44693.66666666667)</f>
        <v>44693.66667</v>
      </c>
      <c r="O345" s="2">
        <f>IFERROR(__xludf.DUMMYFUNCTION("""COMPUTED_VALUE"""),29.61)</f>
        <v>29.61</v>
      </c>
      <c r="Q345" s="3">
        <f>IFERROR(__xludf.DUMMYFUNCTION("""COMPUTED_VALUE"""),44693.66666666667)</f>
        <v>44693.66667</v>
      </c>
      <c r="R345" s="2">
        <f>IFERROR(__xludf.DUMMYFUNCTION("""COMPUTED_VALUE"""),151.99)</f>
        <v>151.99</v>
      </c>
    </row>
    <row r="346">
      <c r="B346" s="3">
        <f>IFERROR(__xludf.DUMMYFUNCTION("""COMPUTED_VALUE"""),44694.66666666667)</f>
        <v>44694.66667</v>
      </c>
      <c r="C346" s="2">
        <f>IFERROR(__xludf.DUMMYFUNCTION("""COMPUTED_VALUE"""),49.56)</f>
        <v>49.56</v>
      </c>
      <c r="E346" s="3">
        <f>IFERROR(__xludf.DUMMYFUNCTION("""COMPUTED_VALUE"""),45996.66666666667)</f>
        <v>45996.66667</v>
      </c>
      <c r="F346" s="2">
        <f>IFERROR(__xludf.DUMMYFUNCTION("""COMPUTED_VALUE"""),9.21)</f>
        <v>9.21</v>
      </c>
      <c r="H346" s="3">
        <f>IFERROR(__xludf.DUMMYFUNCTION("""COMPUTED_VALUE"""),45750.66666666667)</f>
        <v>45750.66667</v>
      </c>
      <c r="I346" s="2">
        <f>IFERROR(__xludf.DUMMYFUNCTION("""COMPUTED_VALUE"""),1.98)</f>
        <v>1.98</v>
      </c>
      <c r="K346" s="3">
        <f>IFERROR(__xludf.DUMMYFUNCTION("""COMPUTED_VALUE"""),44694.6875)</f>
        <v>44694.6875</v>
      </c>
      <c r="L346" s="2">
        <f>IFERROR(__xludf.DUMMYFUNCTION("""COMPUTED_VALUE"""),43.88)</f>
        <v>43.88</v>
      </c>
      <c r="N346" s="3">
        <f>IFERROR(__xludf.DUMMYFUNCTION("""COMPUTED_VALUE"""),44694.66666666667)</f>
        <v>44694.66667</v>
      </c>
      <c r="O346" s="2">
        <f>IFERROR(__xludf.DUMMYFUNCTION("""COMPUTED_VALUE"""),30.49)</f>
        <v>30.49</v>
      </c>
      <c r="Q346" s="3">
        <f>IFERROR(__xludf.DUMMYFUNCTION("""COMPUTED_VALUE"""),44694.66666666667)</f>
        <v>44694.66667</v>
      </c>
      <c r="R346" s="2">
        <f>IFERROR(__xludf.DUMMYFUNCTION("""COMPUTED_VALUE"""),153.62)</f>
        <v>153.62</v>
      </c>
    </row>
    <row r="347">
      <c r="B347" s="3">
        <f>IFERROR(__xludf.DUMMYFUNCTION("""COMPUTED_VALUE"""),44697.66666666667)</f>
        <v>44697.66667</v>
      </c>
      <c r="C347" s="2">
        <f>IFERROR(__xludf.DUMMYFUNCTION("""COMPUTED_VALUE"""),49.0)</f>
        <v>49</v>
      </c>
      <c r="E347" s="3">
        <f>IFERROR(__xludf.DUMMYFUNCTION("""COMPUTED_VALUE"""),45999.66666666667)</f>
        <v>45999.66667</v>
      </c>
      <c r="F347" s="2">
        <f>IFERROR(__xludf.DUMMYFUNCTION("""COMPUTED_VALUE"""),8.1)</f>
        <v>8.1</v>
      </c>
      <c r="H347" s="3">
        <f>IFERROR(__xludf.DUMMYFUNCTION("""COMPUTED_VALUE"""),45751.66666666667)</f>
        <v>45751.66667</v>
      </c>
      <c r="I347" s="2">
        <f>IFERROR(__xludf.DUMMYFUNCTION("""COMPUTED_VALUE"""),1.89)</f>
        <v>1.89</v>
      </c>
      <c r="K347" s="3">
        <f>IFERROR(__xludf.DUMMYFUNCTION("""COMPUTED_VALUE"""),44697.6875)</f>
        <v>44697.6875</v>
      </c>
      <c r="L347" s="2">
        <f>IFERROR(__xludf.DUMMYFUNCTION("""COMPUTED_VALUE"""),43.67)</f>
        <v>43.67</v>
      </c>
      <c r="N347" s="3">
        <f>IFERROR(__xludf.DUMMYFUNCTION("""COMPUTED_VALUE"""),44697.66666666667)</f>
        <v>44697.66667</v>
      </c>
      <c r="O347" s="2">
        <f>IFERROR(__xludf.DUMMYFUNCTION("""COMPUTED_VALUE"""),31.02)</f>
        <v>31.02</v>
      </c>
      <c r="Q347" s="3">
        <f>IFERROR(__xludf.DUMMYFUNCTION("""COMPUTED_VALUE"""),44697.66666666667)</f>
        <v>44697.66667</v>
      </c>
      <c r="R347" s="2">
        <f>IFERROR(__xludf.DUMMYFUNCTION("""COMPUTED_VALUE"""),155.12)</f>
        <v>155.12</v>
      </c>
    </row>
    <row r="348">
      <c r="B348" s="3">
        <f>IFERROR(__xludf.DUMMYFUNCTION("""COMPUTED_VALUE"""),44698.66666666667)</f>
        <v>44698.66667</v>
      </c>
      <c r="C348" s="2">
        <f>IFERROR(__xludf.DUMMYFUNCTION("""COMPUTED_VALUE"""),50.6)</f>
        <v>50.6</v>
      </c>
      <c r="E348" s="3">
        <f>IFERROR(__xludf.DUMMYFUNCTION("""COMPUTED_VALUE"""),46000.66666666667)</f>
        <v>46000.66667</v>
      </c>
      <c r="F348" s="2">
        <f>IFERROR(__xludf.DUMMYFUNCTION("""COMPUTED_VALUE"""),8.11)</f>
        <v>8.11</v>
      </c>
      <c r="H348" s="3">
        <f>IFERROR(__xludf.DUMMYFUNCTION("""COMPUTED_VALUE"""),45754.66666666667)</f>
        <v>45754.66667</v>
      </c>
      <c r="I348" s="2">
        <f>IFERROR(__xludf.DUMMYFUNCTION("""COMPUTED_VALUE"""),1.92)</f>
        <v>1.92</v>
      </c>
      <c r="K348" s="3">
        <f>IFERROR(__xludf.DUMMYFUNCTION("""COMPUTED_VALUE"""),44698.6875)</f>
        <v>44698.6875</v>
      </c>
      <c r="L348" s="2">
        <f>IFERROR(__xludf.DUMMYFUNCTION("""COMPUTED_VALUE"""),43.8)</f>
        <v>43.8</v>
      </c>
      <c r="N348" s="3">
        <f>IFERROR(__xludf.DUMMYFUNCTION("""COMPUTED_VALUE"""),44698.66666666667)</f>
        <v>44698.66667</v>
      </c>
      <c r="O348" s="2">
        <f>IFERROR(__xludf.DUMMYFUNCTION("""COMPUTED_VALUE"""),31.48)</f>
        <v>31.48</v>
      </c>
      <c r="Q348" s="3">
        <f>IFERROR(__xludf.DUMMYFUNCTION("""COMPUTED_VALUE"""),44698.66666666667)</f>
        <v>44698.66667</v>
      </c>
      <c r="R348" s="2">
        <f>IFERROR(__xludf.DUMMYFUNCTION("""COMPUTED_VALUE"""),154.68)</f>
        <v>154.68</v>
      </c>
    </row>
    <row r="349">
      <c r="B349" s="3">
        <f>IFERROR(__xludf.DUMMYFUNCTION("""COMPUTED_VALUE"""),44699.66666666667)</f>
        <v>44699.66667</v>
      </c>
      <c r="C349" s="2">
        <f>IFERROR(__xludf.DUMMYFUNCTION("""COMPUTED_VALUE"""),48.36)</f>
        <v>48.36</v>
      </c>
      <c r="E349" s="3">
        <f>IFERROR(__xludf.DUMMYFUNCTION("""COMPUTED_VALUE"""),46001.66666666667)</f>
        <v>46001.66667</v>
      </c>
      <c r="F349" s="2">
        <f>IFERROR(__xludf.DUMMYFUNCTION("""COMPUTED_VALUE"""),8.14)</f>
        <v>8.14</v>
      </c>
      <c r="H349" s="3">
        <f>IFERROR(__xludf.DUMMYFUNCTION("""COMPUTED_VALUE"""),45755.66666666667)</f>
        <v>45755.66667</v>
      </c>
      <c r="I349" s="2">
        <f>IFERROR(__xludf.DUMMYFUNCTION("""COMPUTED_VALUE"""),1.74)</f>
        <v>1.74</v>
      </c>
      <c r="K349" s="3">
        <f>IFERROR(__xludf.DUMMYFUNCTION("""COMPUTED_VALUE"""),44699.6875)</f>
        <v>44699.6875</v>
      </c>
      <c r="L349" s="2">
        <f>IFERROR(__xludf.DUMMYFUNCTION("""COMPUTED_VALUE"""),43.8)</f>
        <v>43.8</v>
      </c>
      <c r="N349" s="3">
        <f>IFERROR(__xludf.DUMMYFUNCTION("""COMPUTED_VALUE"""),44699.66666666667)</f>
        <v>44699.66667</v>
      </c>
      <c r="O349" s="2">
        <f>IFERROR(__xludf.DUMMYFUNCTION("""COMPUTED_VALUE"""),31.11)</f>
        <v>31.11</v>
      </c>
      <c r="Q349" s="3">
        <f>IFERROR(__xludf.DUMMYFUNCTION("""COMPUTED_VALUE"""),44699.66666666667)</f>
        <v>44699.66667</v>
      </c>
      <c r="R349" s="2">
        <f>IFERROR(__xludf.DUMMYFUNCTION("""COMPUTED_VALUE"""),145.04)</f>
        <v>145.04</v>
      </c>
    </row>
    <row r="350">
      <c r="B350" s="3">
        <f>IFERROR(__xludf.DUMMYFUNCTION("""COMPUTED_VALUE"""),44700.66666666667)</f>
        <v>44700.66667</v>
      </c>
      <c r="C350" s="2">
        <f>IFERROR(__xludf.DUMMYFUNCTION("""COMPUTED_VALUE"""),41.72)</f>
        <v>41.72</v>
      </c>
      <c r="E350" s="3">
        <f>IFERROR(__xludf.DUMMYFUNCTION("""COMPUTED_VALUE"""),46010.66666666667)</f>
        <v>46010.66667</v>
      </c>
      <c r="F350" s="2">
        <f>IFERROR(__xludf.DUMMYFUNCTION("""COMPUTED_VALUE"""),6.7)</f>
        <v>6.7</v>
      </c>
      <c r="H350" s="3">
        <f>IFERROR(__xludf.DUMMYFUNCTION("""COMPUTED_VALUE"""),45756.66666666667)</f>
        <v>45756.66667</v>
      </c>
      <c r="I350" s="2">
        <f>IFERROR(__xludf.DUMMYFUNCTION("""COMPUTED_VALUE"""),1.91)</f>
        <v>1.91</v>
      </c>
      <c r="K350" s="3">
        <f>IFERROR(__xludf.DUMMYFUNCTION("""COMPUTED_VALUE"""),44700.6875)</f>
        <v>44700.6875</v>
      </c>
      <c r="L350" s="2">
        <f>IFERROR(__xludf.DUMMYFUNCTION("""COMPUTED_VALUE"""),43.43)</f>
        <v>43.43</v>
      </c>
      <c r="N350" s="3">
        <f>IFERROR(__xludf.DUMMYFUNCTION("""COMPUTED_VALUE"""),44700.66666666667)</f>
        <v>44700.66667</v>
      </c>
      <c r="O350" s="2">
        <f>IFERROR(__xludf.DUMMYFUNCTION("""COMPUTED_VALUE"""),31.03)</f>
        <v>31.03</v>
      </c>
      <c r="Q350" s="3">
        <f>IFERROR(__xludf.DUMMYFUNCTION("""COMPUTED_VALUE"""),44700.66666666667)</f>
        <v>44700.66667</v>
      </c>
      <c r="R350" s="2">
        <f>IFERROR(__xludf.DUMMYFUNCTION("""COMPUTED_VALUE"""),141.7)</f>
        <v>141.7</v>
      </c>
    </row>
    <row r="351">
      <c r="B351" s="3">
        <f>IFERROR(__xludf.DUMMYFUNCTION("""COMPUTED_VALUE"""),44701.66666666667)</f>
        <v>44701.66667</v>
      </c>
      <c r="C351" s="2">
        <f>IFERROR(__xludf.DUMMYFUNCTION("""COMPUTED_VALUE"""),42.94)</f>
        <v>42.94</v>
      </c>
      <c r="E351" s="3">
        <f>IFERROR(__xludf.DUMMYFUNCTION("""COMPUTED_VALUE"""),46013.66666666667)</f>
        <v>46013.66667</v>
      </c>
      <c r="F351" s="2">
        <f>IFERROR(__xludf.DUMMYFUNCTION("""COMPUTED_VALUE"""),7.11)</f>
        <v>7.11</v>
      </c>
      <c r="H351" s="3">
        <f>IFERROR(__xludf.DUMMYFUNCTION("""COMPUTED_VALUE"""),45757.66666666667)</f>
        <v>45757.66667</v>
      </c>
      <c r="I351" s="2">
        <f>IFERROR(__xludf.DUMMYFUNCTION("""COMPUTED_VALUE"""),1.79)</f>
        <v>1.79</v>
      </c>
      <c r="K351" s="3">
        <f>IFERROR(__xludf.DUMMYFUNCTION("""COMPUTED_VALUE"""),44701.6875)</f>
        <v>44701.6875</v>
      </c>
      <c r="L351" s="2">
        <f>IFERROR(__xludf.DUMMYFUNCTION("""COMPUTED_VALUE"""),43.6)</f>
        <v>43.6</v>
      </c>
      <c r="N351" s="3">
        <f>IFERROR(__xludf.DUMMYFUNCTION("""COMPUTED_VALUE"""),44701.66666666667)</f>
        <v>44701.66667</v>
      </c>
      <c r="O351" s="2">
        <f>IFERROR(__xludf.DUMMYFUNCTION("""COMPUTED_VALUE"""),31.28)</f>
        <v>31.28</v>
      </c>
      <c r="Q351" s="3">
        <f>IFERROR(__xludf.DUMMYFUNCTION("""COMPUTED_VALUE"""),44701.66666666667)</f>
        <v>44701.66667</v>
      </c>
      <c r="R351" s="2">
        <f>IFERROR(__xludf.DUMMYFUNCTION("""COMPUTED_VALUE"""),141.79)</f>
        <v>141.79</v>
      </c>
    </row>
    <row r="352">
      <c r="B352" s="3">
        <f>IFERROR(__xludf.DUMMYFUNCTION("""COMPUTED_VALUE"""),44704.66666666667)</f>
        <v>44704.66667</v>
      </c>
      <c r="C352" s="2">
        <f>IFERROR(__xludf.DUMMYFUNCTION("""COMPUTED_VALUE"""),43.35)</f>
        <v>43.35</v>
      </c>
      <c r="E352" s="3">
        <f>IFERROR(__xludf.DUMMYFUNCTION("""COMPUTED_VALUE"""),46014.66666666667)</f>
        <v>46014.66667</v>
      </c>
      <c r="F352" s="2">
        <f>IFERROR(__xludf.DUMMYFUNCTION("""COMPUTED_VALUE"""),6.95)</f>
        <v>6.95</v>
      </c>
      <c r="H352" s="3">
        <f>IFERROR(__xludf.DUMMYFUNCTION("""COMPUTED_VALUE"""),45758.66666666667)</f>
        <v>45758.66667</v>
      </c>
      <c r="I352" s="2">
        <f>IFERROR(__xludf.DUMMYFUNCTION("""COMPUTED_VALUE"""),1.96)</f>
        <v>1.96</v>
      </c>
      <c r="K352" s="3">
        <f>IFERROR(__xludf.DUMMYFUNCTION("""COMPUTED_VALUE"""),44704.6875)</f>
        <v>44704.6875</v>
      </c>
      <c r="L352" s="2">
        <f>IFERROR(__xludf.DUMMYFUNCTION("""COMPUTED_VALUE"""),44.51)</f>
        <v>44.51</v>
      </c>
      <c r="N352" s="3">
        <f>IFERROR(__xludf.DUMMYFUNCTION("""COMPUTED_VALUE"""),44704.66666666667)</f>
        <v>44704.66667</v>
      </c>
      <c r="O352" s="2">
        <f>IFERROR(__xludf.DUMMYFUNCTION("""COMPUTED_VALUE"""),32.11)</f>
        <v>32.11</v>
      </c>
      <c r="Q352" s="3">
        <f>IFERROR(__xludf.DUMMYFUNCTION("""COMPUTED_VALUE"""),44704.66666666667)</f>
        <v>44704.66667</v>
      </c>
      <c r="R352" s="2">
        <f>IFERROR(__xludf.DUMMYFUNCTION("""COMPUTED_VALUE"""),145.05)</f>
        <v>145.05</v>
      </c>
    </row>
    <row r="353">
      <c r="B353" s="3">
        <f>IFERROR(__xludf.DUMMYFUNCTION("""COMPUTED_VALUE"""),44705.66666666667)</f>
        <v>44705.66667</v>
      </c>
      <c r="C353" s="2">
        <f>IFERROR(__xludf.DUMMYFUNCTION("""COMPUTED_VALUE"""),43.77)</f>
        <v>43.77</v>
      </c>
      <c r="E353" s="3">
        <f>IFERROR(__xludf.DUMMYFUNCTION("""COMPUTED_VALUE"""),46015.54513888889)</f>
        <v>46015.54514</v>
      </c>
      <c r="F353" s="2">
        <f>IFERROR(__xludf.DUMMYFUNCTION("""COMPUTED_VALUE"""),7.2)</f>
        <v>7.2</v>
      </c>
      <c r="H353" s="3">
        <f>IFERROR(__xludf.DUMMYFUNCTION("""COMPUTED_VALUE"""),45761.66666666667)</f>
        <v>45761.66667</v>
      </c>
      <c r="I353" s="2">
        <f>IFERROR(__xludf.DUMMYFUNCTION("""COMPUTED_VALUE"""),2.0)</f>
        <v>2</v>
      </c>
      <c r="K353" s="3">
        <f>IFERROR(__xludf.DUMMYFUNCTION("""COMPUTED_VALUE"""),44705.6875)</f>
        <v>44705.6875</v>
      </c>
      <c r="L353" s="2">
        <f>IFERROR(__xludf.DUMMYFUNCTION("""COMPUTED_VALUE"""),44.01)</f>
        <v>44.01</v>
      </c>
      <c r="N353" s="3">
        <f>IFERROR(__xludf.DUMMYFUNCTION("""COMPUTED_VALUE"""),44705.66666666667)</f>
        <v>44705.66667</v>
      </c>
      <c r="O353" s="2">
        <f>IFERROR(__xludf.DUMMYFUNCTION("""COMPUTED_VALUE"""),32.08)</f>
        <v>32.08</v>
      </c>
      <c r="Q353" s="3">
        <f>IFERROR(__xludf.DUMMYFUNCTION("""COMPUTED_VALUE"""),44705.66666666667)</f>
        <v>44705.66667</v>
      </c>
      <c r="R353" s="2">
        <f>IFERROR(__xludf.DUMMYFUNCTION("""COMPUTED_VALUE"""),147.63)</f>
        <v>147.63</v>
      </c>
    </row>
    <row r="354">
      <c r="B354" s="3">
        <f>IFERROR(__xludf.DUMMYFUNCTION("""COMPUTED_VALUE"""),44706.66666666667)</f>
        <v>44706.66667</v>
      </c>
      <c r="C354" s="2">
        <f>IFERROR(__xludf.DUMMYFUNCTION("""COMPUTED_VALUE"""),44.0)</f>
        <v>44</v>
      </c>
      <c r="E354" s="3">
        <f>IFERROR(__xludf.DUMMYFUNCTION("""COMPUTED_VALUE"""),46017.66666666667)</f>
        <v>46017.66667</v>
      </c>
      <c r="F354" s="2">
        <f>IFERROR(__xludf.DUMMYFUNCTION("""COMPUTED_VALUE"""),7.23)</f>
        <v>7.23</v>
      </c>
      <c r="H354" s="3">
        <f>IFERROR(__xludf.DUMMYFUNCTION("""COMPUTED_VALUE"""),45762.66666666667)</f>
        <v>45762.66667</v>
      </c>
      <c r="I354" s="2">
        <f>IFERROR(__xludf.DUMMYFUNCTION("""COMPUTED_VALUE"""),2.0)</f>
        <v>2</v>
      </c>
      <c r="K354" s="3">
        <f>IFERROR(__xludf.DUMMYFUNCTION("""COMPUTED_VALUE"""),44706.6875)</f>
        <v>44706.6875</v>
      </c>
      <c r="L354" s="2">
        <f>IFERROR(__xludf.DUMMYFUNCTION("""COMPUTED_VALUE"""),44.29)</f>
        <v>44.29</v>
      </c>
      <c r="N354" s="3">
        <f>IFERROR(__xludf.DUMMYFUNCTION("""COMPUTED_VALUE"""),44706.66666666667)</f>
        <v>44706.66667</v>
      </c>
      <c r="O354" s="2">
        <f>IFERROR(__xludf.DUMMYFUNCTION("""COMPUTED_VALUE"""),32.37)</f>
        <v>32.37</v>
      </c>
      <c r="Q354" s="3">
        <f>IFERROR(__xludf.DUMMYFUNCTION("""COMPUTED_VALUE"""),44706.66666666667)</f>
        <v>44706.66667</v>
      </c>
      <c r="R354" s="2">
        <f>IFERROR(__xludf.DUMMYFUNCTION("""COMPUTED_VALUE"""),145.21)</f>
        <v>145.21</v>
      </c>
    </row>
    <row r="355">
      <c r="B355" s="3">
        <f>IFERROR(__xludf.DUMMYFUNCTION("""COMPUTED_VALUE"""),44707.66666666667)</f>
        <v>44707.66667</v>
      </c>
      <c r="C355" s="2">
        <f>IFERROR(__xludf.DUMMYFUNCTION("""COMPUTED_VALUE"""),44.99)</f>
        <v>44.99</v>
      </c>
      <c r="E355" s="3">
        <f>IFERROR(__xludf.DUMMYFUNCTION("""COMPUTED_VALUE"""),46020.66666666667)</f>
        <v>46020.66667</v>
      </c>
      <c r="F355" s="2">
        <f>IFERROR(__xludf.DUMMYFUNCTION("""COMPUTED_VALUE"""),6.62)</f>
        <v>6.62</v>
      </c>
      <c r="H355" s="3">
        <f>IFERROR(__xludf.DUMMYFUNCTION("""COMPUTED_VALUE"""),45763.66666666667)</f>
        <v>45763.66667</v>
      </c>
      <c r="I355" s="2">
        <f>IFERROR(__xludf.DUMMYFUNCTION("""COMPUTED_VALUE"""),1.89)</f>
        <v>1.89</v>
      </c>
      <c r="K355" s="3">
        <f>IFERROR(__xludf.DUMMYFUNCTION("""COMPUTED_VALUE"""),44707.6875)</f>
        <v>44707.6875</v>
      </c>
      <c r="L355" s="2">
        <f>IFERROR(__xludf.DUMMYFUNCTION("""COMPUTED_VALUE"""),45.34)</f>
        <v>45.34</v>
      </c>
      <c r="N355" s="3">
        <f>IFERROR(__xludf.DUMMYFUNCTION("""COMPUTED_VALUE"""),44707.66666666667)</f>
        <v>44707.66667</v>
      </c>
      <c r="O355" s="2">
        <f>IFERROR(__xludf.DUMMYFUNCTION("""COMPUTED_VALUE"""),32.67)</f>
        <v>32.67</v>
      </c>
      <c r="Q355" s="3">
        <f>IFERROR(__xludf.DUMMYFUNCTION("""COMPUTED_VALUE"""),44707.66666666667)</f>
        <v>44707.66667</v>
      </c>
      <c r="R355" s="2">
        <f>IFERROR(__xludf.DUMMYFUNCTION("""COMPUTED_VALUE"""),146.48)</f>
        <v>146.48</v>
      </c>
    </row>
    <row r="356">
      <c r="B356" s="3">
        <f>IFERROR(__xludf.DUMMYFUNCTION("""COMPUTED_VALUE"""),44708.66666666667)</f>
        <v>44708.66667</v>
      </c>
      <c r="C356" s="2">
        <f>IFERROR(__xludf.DUMMYFUNCTION("""COMPUTED_VALUE"""),45.62)</f>
        <v>45.62</v>
      </c>
      <c r="E356" s="3">
        <f>IFERROR(__xludf.DUMMYFUNCTION("""COMPUTED_VALUE"""),46021.66666666667)</f>
        <v>46021.66667</v>
      </c>
      <c r="F356" s="2">
        <f>IFERROR(__xludf.DUMMYFUNCTION("""COMPUTED_VALUE"""),6.26)</f>
        <v>6.26</v>
      </c>
      <c r="H356" s="3">
        <f>IFERROR(__xludf.DUMMYFUNCTION("""COMPUTED_VALUE"""),45764.66666666667)</f>
        <v>45764.66667</v>
      </c>
      <c r="I356" s="2">
        <f>IFERROR(__xludf.DUMMYFUNCTION("""COMPUTED_VALUE"""),1.92)</f>
        <v>1.92</v>
      </c>
      <c r="K356" s="3">
        <f>IFERROR(__xludf.DUMMYFUNCTION("""COMPUTED_VALUE"""),44708.6875)</f>
        <v>44708.6875</v>
      </c>
      <c r="L356" s="2">
        <f>IFERROR(__xludf.DUMMYFUNCTION("""COMPUTED_VALUE"""),45.24)</f>
        <v>45.24</v>
      </c>
      <c r="N356" s="3">
        <f>IFERROR(__xludf.DUMMYFUNCTION("""COMPUTED_VALUE"""),44708.66666666667)</f>
        <v>44708.66667</v>
      </c>
      <c r="O356" s="2">
        <f>IFERROR(__xludf.DUMMYFUNCTION("""COMPUTED_VALUE"""),32.56)</f>
        <v>32.56</v>
      </c>
      <c r="Q356" s="3">
        <f>IFERROR(__xludf.DUMMYFUNCTION("""COMPUTED_VALUE"""),44708.66666666667)</f>
        <v>44708.66667</v>
      </c>
      <c r="R356" s="2">
        <f>IFERROR(__xludf.DUMMYFUNCTION("""COMPUTED_VALUE"""),148.72)</f>
        <v>148.72</v>
      </c>
    </row>
    <row r="357">
      <c r="B357" s="3">
        <f>IFERROR(__xludf.DUMMYFUNCTION("""COMPUTED_VALUE"""),44712.66666666667)</f>
        <v>44712.66667</v>
      </c>
      <c r="C357" s="2">
        <f>IFERROR(__xludf.DUMMYFUNCTION("""COMPUTED_VALUE"""),45.05)</f>
        <v>45.05</v>
      </c>
      <c r="E357" s="3">
        <f>IFERROR(__xludf.DUMMYFUNCTION("""COMPUTED_VALUE"""),46022.66666666667)</f>
        <v>46022.66667</v>
      </c>
      <c r="F357" s="2">
        <f>IFERROR(__xludf.DUMMYFUNCTION("""COMPUTED_VALUE"""),6.11)</f>
        <v>6.11</v>
      </c>
      <c r="H357" s="3">
        <f>IFERROR(__xludf.DUMMYFUNCTION("""COMPUTED_VALUE"""),45768.66666666667)</f>
        <v>45768.66667</v>
      </c>
      <c r="I357" s="2">
        <f>IFERROR(__xludf.DUMMYFUNCTION("""COMPUTED_VALUE"""),1.82)</f>
        <v>1.82</v>
      </c>
      <c r="K357" s="3">
        <f>IFERROR(__xludf.DUMMYFUNCTION("""COMPUTED_VALUE"""),44711.6875)</f>
        <v>44711.6875</v>
      </c>
      <c r="L357" s="2">
        <f>IFERROR(__xludf.DUMMYFUNCTION("""COMPUTED_VALUE"""),45.14)</f>
        <v>45.14</v>
      </c>
      <c r="N357" s="3">
        <f>IFERROR(__xludf.DUMMYFUNCTION("""COMPUTED_VALUE"""),44712.66666666667)</f>
        <v>44712.66667</v>
      </c>
      <c r="O357" s="2">
        <f>IFERROR(__xludf.DUMMYFUNCTION("""COMPUTED_VALUE"""),32.37)</f>
        <v>32.37</v>
      </c>
      <c r="Q357" s="3">
        <f>IFERROR(__xludf.DUMMYFUNCTION("""COMPUTED_VALUE"""),44712.66666666667)</f>
        <v>44712.66667</v>
      </c>
      <c r="R357" s="2">
        <f>IFERROR(__xludf.DUMMYFUNCTION("""COMPUTED_VALUE"""),147.88)</f>
        <v>147.88</v>
      </c>
    </row>
    <row r="358">
      <c r="B358" s="3">
        <f>IFERROR(__xludf.DUMMYFUNCTION("""COMPUTED_VALUE"""),44713.66666666667)</f>
        <v>44713.66667</v>
      </c>
      <c r="C358" s="2">
        <f>IFERROR(__xludf.DUMMYFUNCTION("""COMPUTED_VALUE"""),45.23)</f>
        <v>45.23</v>
      </c>
      <c r="E358" s="3">
        <f>IFERROR(__xludf.DUMMYFUNCTION("""COMPUTED_VALUE"""),46024.66666666667)</f>
        <v>46024.66667</v>
      </c>
      <c r="F358" s="2">
        <f>IFERROR(__xludf.DUMMYFUNCTION("""COMPUTED_VALUE"""),6.4)</f>
        <v>6.4</v>
      </c>
      <c r="H358" s="3">
        <f>IFERROR(__xludf.DUMMYFUNCTION("""COMPUTED_VALUE"""),45769.66666666667)</f>
        <v>45769.66667</v>
      </c>
      <c r="I358" s="2">
        <f>IFERROR(__xludf.DUMMYFUNCTION("""COMPUTED_VALUE"""),1.81)</f>
        <v>1.81</v>
      </c>
      <c r="K358" s="3">
        <f>IFERROR(__xludf.DUMMYFUNCTION("""COMPUTED_VALUE"""),44712.6875)</f>
        <v>44712.6875</v>
      </c>
      <c r="L358" s="2">
        <f>IFERROR(__xludf.DUMMYFUNCTION("""COMPUTED_VALUE"""),44.89)</f>
        <v>44.89</v>
      </c>
      <c r="N358" s="3">
        <f>IFERROR(__xludf.DUMMYFUNCTION("""COMPUTED_VALUE"""),44713.66666666667)</f>
        <v>44713.66667</v>
      </c>
      <c r="O358" s="2">
        <f>IFERROR(__xludf.DUMMYFUNCTION("""COMPUTED_VALUE"""),32.69)</f>
        <v>32.69</v>
      </c>
      <c r="Q358" s="3">
        <f>IFERROR(__xludf.DUMMYFUNCTION("""COMPUTED_VALUE"""),44713.66666666667)</f>
        <v>44713.66667</v>
      </c>
      <c r="R358" s="2">
        <f>IFERROR(__xludf.DUMMYFUNCTION("""COMPUTED_VALUE"""),145.64)</f>
        <v>145.64</v>
      </c>
    </row>
    <row r="359">
      <c r="B359" s="3">
        <f>IFERROR(__xludf.DUMMYFUNCTION("""COMPUTED_VALUE"""),44714.66666666667)</f>
        <v>44714.66667</v>
      </c>
      <c r="C359" s="2">
        <f>IFERROR(__xludf.DUMMYFUNCTION("""COMPUTED_VALUE"""),45.79)</f>
        <v>45.79</v>
      </c>
      <c r="E359" s="3">
        <f>IFERROR(__xludf.DUMMYFUNCTION("""COMPUTED_VALUE"""),46027.66666666667)</f>
        <v>46027.66667</v>
      </c>
      <c r="F359" s="2">
        <f>IFERROR(__xludf.DUMMYFUNCTION("""COMPUTED_VALUE"""),6.92)</f>
        <v>6.92</v>
      </c>
      <c r="H359" s="3">
        <f>IFERROR(__xludf.DUMMYFUNCTION("""COMPUTED_VALUE"""),45770.66666666667)</f>
        <v>45770.66667</v>
      </c>
      <c r="I359" s="2">
        <f>IFERROR(__xludf.DUMMYFUNCTION("""COMPUTED_VALUE"""),2.0)</f>
        <v>2</v>
      </c>
      <c r="K359" s="3">
        <f>IFERROR(__xludf.DUMMYFUNCTION("""COMPUTED_VALUE"""),44713.6875)</f>
        <v>44713.6875</v>
      </c>
      <c r="L359" s="2">
        <f>IFERROR(__xludf.DUMMYFUNCTION("""COMPUTED_VALUE"""),45.13)</f>
        <v>45.13</v>
      </c>
      <c r="N359" s="3">
        <f>IFERROR(__xludf.DUMMYFUNCTION("""COMPUTED_VALUE"""),44714.66666666667)</f>
        <v>44714.66667</v>
      </c>
      <c r="O359" s="2">
        <f>IFERROR(__xludf.DUMMYFUNCTION("""COMPUTED_VALUE"""),32.82)</f>
        <v>32.82</v>
      </c>
      <c r="Q359" s="3">
        <f>IFERROR(__xludf.DUMMYFUNCTION("""COMPUTED_VALUE"""),44714.66666666667)</f>
        <v>44714.66667</v>
      </c>
      <c r="R359" s="2">
        <f>IFERROR(__xludf.DUMMYFUNCTION("""COMPUTED_VALUE"""),147.21)</f>
        <v>147.21</v>
      </c>
    </row>
    <row r="360">
      <c r="B360" s="3">
        <f>IFERROR(__xludf.DUMMYFUNCTION("""COMPUTED_VALUE"""),44715.66666666667)</f>
        <v>44715.66667</v>
      </c>
      <c r="C360" s="2">
        <f>IFERROR(__xludf.DUMMYFUNCTION("""COMPUTED_VALUE"""),45.25)</f>
        <v>45.25</v>
      </c>
      <c r="E360" s="3">
        <f>IFERROR(__xludf.DUMMYFUNCTION("""COMPUTED_VALUE"""),46028.66666666667)</f>
        <v>46028.66667</v>
      </c>
      <c r="F360" s="2">
        <f>IFERROR(__xludf.DUMMYFUNCTION("""COMPUTED_VALUE"""),7.11)</f>
        <v>7.11</v>
      </c>
      <c r="H360" s="3">
        <f>IFERROR(__xludf.DUMMYFUNCTION("""COMPUTED_VALUE"""),45771.66666666667)</f>
        <v>45771.66667</v>
      </c>
      <c r="I360" s="2">
        <f>IFERROR(__xludf.DUMMYFUNCTION("""COMPUTED_VALUE"""),2.2)</f>
        <v>2.2</v>
      </c>
      <c r="K360" s="3">
        <f>IFERROR(__xludf.DUMMYFUNCTION("""COMPUTED_VALUE"""),44718.6875)</f>
        <v>44718.6875</v>
      </c>
      <c r="L360" s="2">
        <f>IFERROR(__xludf.DUMMYFUNCTION("""COMPUTED_VALUE"""),45.6)</f>
        <v>45.6</v>
      </c>
      <c r="N360" s="3">
        <f>IFERROR(__xludf.DUMMYFUNCTION("""COMPUTED_VALUE"""),44715.66666666667)</f>
        <v>44715.66667</v>
      </c>
      <c r="O360" s="2">
        <f>IFERROR(__xludf.DUMMYFUNCTION("""COMPUTED_VALUE"""),32.98)</f>
        <v>32.98</v>
      </c>
      <c r="Q360" s="3">
        <f>IFERROR(__xludf.DUMMYFUNCTION("""COMPUTED_VALUE"""),44715.66666666667)</f>
        <v>44715.66667</v>
      </c>
      <c r="R360" s="2">
        <f>IFERROR(__xludf.DUMMYFUNCTION("""COMPUTED_VALUE"""),145.89)</f>
        <v>145.89</v>
      </c>
    </row>
    <row r="361">
      <c r="B361" s="3">
        <f>IFERROR(__xludf.DUMMYFUNCTION("""COMPUTED_VALUE"""),44718.66666666667)</f>
        <v>44718.66667</v>
      </c>
      <c r="C361" s="2">
        <f>IFERROR(__xludf.DUMMYFUNCTION("""COMPUTED_VALUE"""),45.33)</f>
        <v>45.33</v>
      </c>
      <c r="E361" s="3">
        <f>IFERROR(__xludf.DUMMYFUNCTION("""COMPUTED_VALUE"""),46029.66666666667)</f>
        <v>46029.66667</v>
      </c>
      <c r="F361" s="2">
        <f>IFERROR(__xludf.DUMMYFUNCTION("""COMPUTED_VALUE"""),7.16)</f>
        <v>7.16</v>
      </c>
      <c r="H361" s="3">
        <f>IFERROR(__xludf.DUMMYFUNCTION("""COMPUTED_VALUE"""),45772.66666666667)</f>
        <v>45772.66667</v>
      </c>
      <c r="I361" s="2">
        <f>IFERROR(__xludf.DUMMYFUNCTION("""COMPUTED_VALUE"""),2.24)</f>
        <v>2.24</v>
      </c>
      <c r="K361" s="3">
        <f>IFERROR(__xludf.DUMMYFUNCTION("""COMPUTED_VALUE"""),44719.6875)</f>
        <v>44719.6875</v>
      </c>
      <c r="L361" s="2">
        <f>IFERROR(__xludf.DUMMYFUNCTION("""COMPUTED_VALUE"""),45.59)</f>
        <v>45.59</v>
      </c>
      <c r="N361" s="3">
        <f>IFERROR(__xludf.DUMMYFUNCTION("""COMPUTED_VALUE"""),44718.66666666667)</f>
        <v>44718.66667</v>
      </c>
      <c r="O361" s="2">
        <f>IFERROR(__xludf.DUMMYFUNCTION("""COMPUTED_VALUE"""),33.1)</f>
        <v>33.1</v>
      </c>
      <c r="Q361" s="3">
        <f>IFERROR(__xludf.DUMMYFUNCTION("""COMPUTED_VALUE"""),44718.66666666667)</f>
        <v>44718.66667</v>
      </c>
      <c r="R361" s="2">
        <f>IFERROR(__xludf.DUMMYFUNCTION("""COMPUTED_VALUE"""),145.32)</f>
        <v>145.32</v>
      </c>
    </row>
    <row r="362">
      <c r="B362" s="3">
        <f>IFERROR(__xludf.DUMMYFUNCTION("""COMPUTED_VALUE"""),44719.66666666667)</f>
        <v>44719.66667</v>
      </c>
      <c r="C362" s="2">
        <f>IFERROR(__xludf.DUMMYFUNCTION("""COMPUTED_VALUE"""),45.57)</f>
        <v>45.57</v>
      </c>
      <c r="E362" s="3">
        <f>IFERROR(__xludf.DUMMYFUNCTION("""COMPUTED_VALUE"""),46030.66666666667)</f>
        <v>46030.66667</v>
      </c>
      <c r="F362" s="2">
        <f>IFERROR(__xludf.DUMMYFUNCTION("""COMPUTED_VALUE"""),7.19)</f>
        <v>7.19</v>
      </c>
      <c r="H362" s="3">
        <f>IFERROR(__xludf.DUMMYFUNCTION("""COMPUTED_VALUE"""),45775.66666666667)</f>
        <v>45775.66667</v>
      </c>
      <c r="I362" s="2">
        <f>IFERROR(__xludf.DUMMYFUNCTION("""COMPUTED_VALUE"""),2.19)</f>
        <v>2.19</v>
      </c>
      <c r="K362" s="3">
        <f>IFERROR(__xludf.DUMMYFUNCTION("""COMPUTED_VALUE"""),44720.6875)</f>
        <v>44720.6875</v>
      </c>
      <c r="L362" s="2">
        <f>IFERROR(__xludf.DUMMYFUNCTION("""COMPUTED_VALUE"""),45.94)</f>
        <v>45.94</v>
      </c>
      <c r="N362" s="3">
        <f>IFERROR(__xludf.DUMMYFUNCTION("""COMPUTED_VALUE"""),44719.66666666667)</f>
        <v>44719.66667</v>
      </c>
      <c r="O362" s="2">
        <f>IFERROR(__xludf.DUMMYFUNCTION("""COMPUTED_VALUE"""),34.19)</f>
        <v>34.19</v>
      </c>
      <c r="Q362" s="3">
        <f>IFERROR(__xludf.DUMMYFUNCTION("""COMPUTED_VALUE"""),44719.66666666667)</f>
        <v>44719.66667</v>
      </c>
      <c r="R362" s="2">
        <f>IFERROR(__xludf.DUMMYFUNCTION("""COMPUTED_VALUE"""),146.94)</f>
        <v>146.94</v>
      </c>
    </row>
    <row r="363">
      <c r="B363" s="3">
        <f>IFERROR(__xludf.DUMMYFUNCTION("""COMPUTED_VALUE"""),44720.66666666667)</f>
        <v>44720.66667</v>
      </c>
      <c r="C363" s="2">
        <f>IFERROR(__xludf.DUMMYFUNCTION("""COMPUTED_VALUE"""),44.92)</f>
        <v>44.92</v>
      </c>
      <c r="E363" s="3">
        <f>IFERROR(__xludf.DUMMYFUNCTION("""COMPUTED_VALUE"""),46031.66666666667)</f>
        <v>46031.66667</v>
      </c>
      <c r="F363" s="2">
        <f>IFERROR(__xludf.DUMMYFUNCTION("""COMPUTED_VALUE"""),8.24)</f>
        <v>8.24</v>
      </c>
      <c r="H363" s="3">
        <f>IFERROR(__xludf.DUMMYFUNCTION("""COMPUTED_VALUE"""),45776.66666666667)</f>
        <v>45776.66667</v>
      </c>
      <c r="I363" s="2">
        <f>IFERROR(__xludf.DUMMYFUNCTION("""COMPUTED_VALUE"""),2.07)</f>
        <v>2.07</v>
      </c>
      <c r="K363" s="3">
        <f>IFERROR(__xludf.DUMMYFUNCTION("""COMPUTED_VALUE"""),44721.6875)</f>
        <v>44721.6875</v>
      </c>
      <c r="L363" s="2">
        <f>IFERROR(__xludf.DUMMYFUNCTION("""COMPUTED_VALUE"""),44.79)</f>
        <v>44.79</v>
      </c>
      <c r="N363" s="3">
        <f>IFERROR(__xludf.DUMMYFUNCTION("""COMPUTED_VALUE"""),44720.66666666667)</f>
        <v>44720.66667</v>
      </c>
      <c r="O363" s="2">
        <f>IFERROR(__xludf.DUMMYFUNCTION("""COMPUTED_VALUE"""),34.12)</f>
        <v>34.12</v>
      </c>
      <c r="Q363" s="3">
        <f>IFERROR(__xludf.DUMMYFUNCTION("""COMPUTED_VALUE"""),44720.66666666667)</f>
        <v>44720.66667</v>
      </c>
      <c r="R363" s="2">
        <f>IFERROR(__xludf.DUMMYFUNCTION("""COMPUTED_VALUE"""),145.11)</f>
        <v>145.11</v>
      </c>
    </row>
    <row r="364">
      <c r="B364" s="3">
        <f>IFERROR(__xludf.DUMMYFUNCTION("""COMPUTED_VALUE"""),44721.66666666667)</f>
        <v>44721.66667</v>
      </c>
      <c r="C364" s="2">
        <f>IFERROR(__xludf.DUMMYFUNCTION("""COMPUTED_VALUE"""),44.26)</f>
        <v>44.26</v>
      </c>
      <c r="E364" s="3">
        <f>IFERROR(__xludf.DUMMYFUNCTION("""COMPUTED_VALUE"""),46034.66666666667)</f>
        <v>46034.66667</v>
      </c>
      <c r="F364" s="2">
        <f>IFERROR(__xludf.DUMMYFUNCTION("""COMPUTED_VALUE"""),8.2)</f>
        <v>8.2</v>
      </c>
      <c r="H364" s="3">
        <f>IFERROR(__xludf.DUMMYFUNCTION("""COMPUTED_VALUE"""),45777.66666666667)</f>
        <v>45777.66667</v>
      </c>
      <c r="I364" s="2">
        <f>IFERROR(__xludf.DUMMYFUNCTION("""COMPUTED_VALUE"""),1.97)</f>
        <v>1.97</v>
      </c>
      <c r="K364" s="3">
        <f>IFERROR(__xludf.DUMMYFUNCTION("""COMPUTED_VALUE"""),44722.6875)</f>
        <v>44722.6875</v>
      </c>
      <c r="L364" s="2">
        <f>IFERROR(__xludf.DUMMYFUNCTION("""COMPUTED_VALUE"""),43.7)</f>
        <v>43.7</v>
      </c>
      <c r="N364" s="3">
        <f>IFERROR(__xludf.DUMMYFUNCTION("""COMPUTED_VALUE"""),44721.66666666667)</f>
        <v>44721.66667</v>
      </c>
      <c r="O364" s="2">
        <f>IFERROR(__xludf.DUMMYFUNCTION("""COMPUTED_VALUE"""),33.52)</f>
        <v>33.52</v>
      </c>
      <c r="Q364" s="3">
        <f>IFERROR(__xludf.DUMMYFUNCTION("""COMPUTED_VALUE"""),44721.66666666667)</f>
        <v>44721.66667</v>
      </c>
      <c r="R364" s="2">
        <f>IFERROR(__xludf.DUMMYFUNCTION("""COMPUTED_VALUE"""),142.49)</f>
        <v>142.49</v>
      </c>
    </row>
    <row r="365">
      <c r="B365" s="3">
        <f>IFERROR(__xludf.DUMMYFUNCTION("""COMPUTED_VALUE"""),44722.66666666667)</f>
        <v>44722.66667</v>
      </c>
      <c r="C365" s="2">
        <f>IFERROR(__xludf.DUMMYFUNCTION("""COMPUTED_VALUE"""),43.49)</f>
        <v>43.49</v>
      </c>
      <c r="E365" s="3">
        <f>IFERROR(__xludf.DUMMYFUNCTION("""COMPUTED_VALUE"""),46035.66666666667)</f>
        <v>46035.66667</v>
      </c>
      <c r="F365" s="2">
        <f>IFERROR(__xludf.DUMMYFUNCTION("""COMPUTED_VALUE"""),8.71)</f>
        <v>8.71</v>
      </c>
      <c r="H365" s="3">
        <f>IFERROR(__xludf.DUMMYFUNCTION("""COMPUTED_VALUE"""),45778.66666666667)</f>
        <v>45778.66667</v>
      </c>
      <c r="I365" s="2">
        <f>IFERROR(__xludf.DUMMYFUNCTION("""COMPUTED_VALUE"""),2.0)</f>
        <v>2</v>
      </c>
      <c r="K365" s="3">
        <f>IFERROR(__xludf.DUMMYFUNCTION("""COMPUTED_VALUE"""),44725.6875)</f>
        <v>44725.6875</v>
      </c>
      <c r="L365" s="2">
        <f>IFERROR(__xludf.DUMMYFUNCTION("""COMPUTED_VALUE"""),42.83)</f>
        <v>42.83</v>
      </c>
      <c r="N365" s="3">
        <f>IFERROR(__xludf.DUMMYFUNCTION("""COMPUTED_VALUE"""),44722.66666666667)</f>
        <v>44722.66667</v>
      </c>
      <c r="O365" s="2">
        <f>IFERROR(__xludf.DUMMYFUNCTION("""COMPUTED_VALUE"""),32.46)</f>
        <v>32.46</v>
      </c>
      <c r="Q365" s="3">
        <f>IFERROR(__xludf.DUMMYFUNCTION("""COMPUTED_VALUE"""),44722.66666666667)</f>
        <v>44722.66667</v>
      </c>
      <c r="R365" s="2">
        <f>IFERROR(__xludf.DUMMYFUNCTION("""COMPUTED_VALUE"""),141.95)</f>
        <v>141.95</v>
      </c>
    </row>
    <row r="366">
      <c r="B366" s="3">
        <f>IFERROR(__xludf.DUMMYFUNCTION("""COMPUTED_VALUE"""),44725.66666666667)</f>
        <v>44725.66667</v>
      </c>
      <c r="C366" s="2">
        <f>IFERROR(__xludf.DUMMYFUNCTION("""COMPUTED_VALUE"""),43.24)</f>
        <v>43.24</v>
      </c>
      <c r="E366" s="3">
        <f>IFERROR(__xludf.DUMMYFUNCTION("""COMPUTED_VALUE"""),46036.66666666667)</f>
        <v>46036.66667</v>
      </c>
      <c r="F366" s="2">
        <f>IFERROR(__xludf.DUMMYFUNCTION("""COMPUTED_VALUE"""),9.24)</f>
        <v>9.24</v>
      </c>
      <c r="H366" s="3">
        <f>IFERROR(__xludf.DUMMYFUNCTION("""COMPUTED_VALUE"""),45779.66666666667)</f>
        <v>45779.66667</v>
      </c>
      <c r="I366" s="2">
        <f>IFERROR(__xludf.DUMMYFUNCTION("""COMPUTED_VALUE"""),2.18)</f>
        <v>2.18</v>
      </c>
      <c r="K366" s="3">
        <f>IFERROR(__xludf.DUMMYFUNCTION("""COMPUTED_VALUE"""),44726.6875)</f>
        <v>44726.6875</v>
      </c>
      <c r="L366" s="2">
        <f>IFERROR(__xludf.DUMMYFUNCTION("""COMPUTED_VALUE"""),43.37)</f>
        <v>43.37</v>
      </c>
      <c r="N366" s="3">
        <f>IFERROR(__xludf.DUMMYFUNCTION("""COMPUTED_VALUE"""),44725.66666666667)</f>
        <v>44725.66667</v>
      </c>
      <c r="O366" s="2">
        <f>IFERROR(__xludf.DUMMYFUNCTION("""COMPUTED_VALUE"""),31.22)</f>
        <v>31.22</v>
      </c>
      <c r="Q366" s="3">
        <f>IFERROR(__xludf.DUMMYFUNCTION("""COMPUTED_VALUE"""),44725.66666666667)</f>
        <v>44725.66667</v>
      </c>
      <c r="R366" s="2">
        <f>IFERROR(__xludf.DUMMYFUNCTION("""COMPUTED_VALUE"""),138.15)</f>
        <v>138.15</v>
      </c>
    </row>
    <row r="367">
      <c r="B367" s="3">
        <f>IFERROR(__xludf.DUMMYFUNCTION("""COMPUTED_VALUE"""),44726.66666666667)</f>
        <v>44726.66667</v>
      </c>
      <c r="C367" s="2">
        <f>IFERROR(__xludf.DUMMYFUNCTION("""COMPUTED_VALUE"""),42.91)</f>
        <v>42.91</v>
      </c>
      <c r="E367" s="3">
        <f>IFERROR(__xludf.DUMMYFUNCTION("""COMPUTED_VALUE"""),46037.66666666667)</f>
        <v>46037.66667</v>
      </c>
      <c r="F367" s="2">
        <f>IFERROR(__xludf.DUMMYFUNCTION("""COMPUTED_VALUE"""),9.14)</f>
        <v>9.14</v>
      </c>
      <c r="H367" s="3">
        <f>IFERROR(__xludf.DUMMYFUNCTION("""COMPUTED_VALUE"""),45782.66666666667)</f>
        <v>45782.66667</v>
      </c>
      <c r="I367" s="2">
        <f>IFERROR(__xludf.DUMMYFUNCTION("""COMPUTED_VALUE"""),2.07)</f>
        <v>2.07</v>
      </c>
      <c r="K367" s="3">
        <f>IFERROR(__xludf.DUMMYFUNCTION("""COMPUTED_VALUE"""),44727.6875)</f>
        <v>44727.6875</v>
      </c>
      <c r="L367" s="2">
        <f>IFERROR(__xludf.DUMMYFUNCTION("""COMPUTED_VALUE"""),44.07)</f>
        <v>44.07</v>
      </c>
      <c r="N367" s="3">
        <f>IFERROR(__xludf.DUMMYFUNCTION("""COMPUTED_VALUE"""),44726.66666666667)</f>
        <v>44726.66667</v>
      </c>
      <c r="O367" s="2">
        <f>IFERROR(__xludf.DUMMYFUNCTION("""COMPUTED_VALUE"""),30.86)</f>
        <v>30.86</v>
      </c>
      <c r="Q367" s="3">
        <f>IFERROR(__xludf.DUMMYFUNCTION("""COMPUTED_VALUE"""),44726.66666666667)</f>
        <v>44726.66667</v>
      </c>
      <c r="R367" s="2">
        <f>IFERROR(__xludf.DUMMYFUNCTION("""COMPUTED_VALUE"""),133.84)</f>
        <v>133.84</v>
      </c>
    </row>
    <row r="368">
      <c r="B368" s="3">
        <f>IFERROR(__xludf.DUMMYFUNCTION("""COMPUTED_VALUE"""),44727.66666666667)</f>
        <v>44727.66667</v>
      </c>
      <c r="C368" s="2">
        <f>IFERROR(__xludf.DUMMYFUNCTION("""COMPUTED_VALUE"""),43.8)</f>
        <v>43.8</v>
      </c>
      <c r="E368" s="3">
        <f>IFERROR(__xludf.DUMMYFUNCTION("""COMPUTED_VALUE"""),46038.66666666667)</f>
        <v>46038.66667</v>
      </c>
      <c r="F368" s="2">
        <f>IFERROR(__xludf.DUMMYFUNCTION("""COMPUTED_VALUE"""),9.14)</f>
        <v>9.14</v>
      </c>
      <c r="H368" s="3">
        <f>IFERROR(__xludf.DUMMYFUNCTION("""COMPUTED_VALUE"""),45783.66666666667)</f>
        <v>45783.66667</v>
      </c>
      <c r="I368" s="2">
        <f>IFERROR(__xludf.DUMMYFUNCTION("""COMPUTED_VALUE"""),2.11)</f>
        <v>2.11</v>
      </c>
      <c r="K368" s="3">
        <f>IFERROR(__xludf.DUMMYFUNCTION("""COMPUTED_VALUE"""),44728.6875)</f>
        <v>44728.6875</v>
      </c>
      <c r="L368" s="2">
        <f>IFERROR(__xludf.DUMMYFUNCTION("""COMPUTED_VALUE"""),42.24)</f>
        <v>42.24</v>
      </c>
      <c r="N368" s="3">
        <f>IFERROR(__xludf.DUMMYFUNCTION("""COMPUTED_VALUE"""),44727.66666666667)</f>
        <v>44727.66667</v>
      </c>
      <c r="O368" s="2">
        <f>IFERROR(__xludf.DUMMYFUNCTION("""COMPUTED_VALUE"""),31.02)</f>
        <v>31.02</v>
      </c>
      <c r="Q368" s="3">
        <f>IFERROR(__xludf.DUMMYFUNCTION("""COMPUTED_VALUE"""),44727.66666666667)</f>
        <v>44727.66667</v>
      </c>
      <c r="R368" s="2">
        <f>IFERROR(__xludf.DUMMYFUNCTION("""COMPUTED_VALUE"""),132.51)</f>
        <v>132.51</v>
      </c>
    </row>
    <row r="369">
      <c r="B369" s="3">
        <f>IFERROR(__xludf.DUMMYFUNCTION("""COMPUTED_VALUE"""),44728.66666666667)</f>
        <v>44728.66667</v>
      </c>
      <c r="C369" s="2">
        <f>IFERROR(__xludf.DUMMYFUNCTION("""COMPUTED_VALUE"""),43.32)</f>
        <v>43.32</v>
      </c>
      <c r="E369" s="3">
        <f>IFERROR(__xludf.DUMMYFUNCTION("""COMPUTED_VALUE"""),46042.66666666667)</f>
        <v>46042.66667</v>
      </c>
      <c r="F369" s="2">
        <f>IFERROR(__xludf.DUMMYFUNCTION("""COMPUTED_VALUE"""),9.26)</f>
        <v>9.26</v>
      </c>
      <c r="H369" s="3">
        <f>IFERROR(__xludf.DUMMYFUNCTION("""COMPUTED_VALUE"""),45784.66666666667)</f>
        <v>45784.66667</v>
      </c>
      <c r="I369" s="2">
        <f>IFERROR(__xludf.DUMMYFUNCTION("""COMPUTED_VALUE"""),2.07)</f>
        <v>2.07</v>
      </c>
      <c r="K369" s="3">
        <f>IFERROR(__xludf.DUMMYFUNCTION("""COMPUTED_VALUE"""),44729.6875)</f>
        <v>44729.6875</v>
      </c>
      <c r="L369" s="2">
        <f>IFERROR(__xludf.DUMMYFUNCTION("""COMPUTED_VALUE"""),42.26)</f>
        <v>42.26</v>
      </c>
      <c r="N369" s="3">
        <f>IFERROR(__xludf.DUMMYFUNCTION("""COMPUTED_VALUE"""),44728.66666666667)</f>
        <v>44728.66667</v>
      </c>
      <c r="O369" s="2">
        <f>IFERROR(__xludf.DUMMYFUNCTION("""COMPUTED_VALUE"""),29.58)</f>
        <v>29.58</v>
      </c>
      <c r="Q369" s="3">
        <f>IFERROR(__xludf.DUMMYFUNCTION("""COMPUTED_VALUE"""),44728.66666666667)</f>
        <v>44728.66667</v>
      </c>
      <c r="R369" s="2">
        <f>IFERROR(__xludf.DUMMYFUNCTION("""COMPUTED_VALUE"""),133.32)</f>
        <v>133.32</v>
      </c>
    </row>
    <row r="370">
      <c r="B370" s="3">
        <f>IFERROR(__xludf.DUMMYFUNCTION("""COMPUTED_VALUE"""),44729.66666666667)</f>
        <v>44729.66667</v>
      </c>
      <c r="C370" s="2">
        <f>IFERROR(__xludf.DUMMYFUNCTION("""COMPUTED_VALUE"""),43.39)</f>
        <v>43.39</v>
      </c>
      <c r="E370" s="3">
        <f>IFERROR(__xludf.DUMMYFUNCTION("""COMPUTED_VALUE"""),46043.66666666667)</f>
        <v>46043.66667</v>
      </c>
      <c r="F370" s="2">
        <f>IFERROR(__xludf.DUMMYFUNCTION("""COMPUTED_VALUE"""),9.74)</f>
        <v>9.74</v>
      </c>
      <c r="H370" s="3">
        <f>IFERROR(__xludf.DUMMYFUNCTION("""COMPUTED_VALUE"""),45785.66666666667)</f>
        <v>45785.66667</v>
      </c>
      <c r="I370" s="2">
        <f>IFERROR(__xludf.DUMMYFUNCTION("""COMPUTED_VALUE"""),2.05)</f>
        <v>2.05</v>
      </c>
      <c r="K370" s="3">
        <f>IFERROR(__xludf.DUMMYFUNCTION("""COMPUTED_VALUE"""),44732.6875)</f>
        <v>44732.6875</v>
      </c>
      <c r="L370" s="2">
        <f>IFERROR(__xludf.DUMMYFUNCTION("""COMPUTED_VALUE"""),43.75)</f>
        <v>43.75</v>
      </c>
      <c r="N370" s="3">
        <f>IFERROR(__xludf.DUMMYFUNCTION("""COMPUTED_VALUE"""),44729.66666666667)</f>
        <v>44729.66667</v>
      </c>
      <c r="O370" s="2">
        <f>IFERROR(__xludf.DUMMYFUNCTION("""COMPUTED_VALUE"""),27.76)</f>
        <v>27.76</v>
      </c>
      <c r="Q370" s="3">
        <f>IFERROR(__xludf.DUMMYFUNCTION("""COMPUTED_VALUE"""),44729.66666666667)</f>
        <v>44729.66667</v>
      </c>
      <c r="R370" s="2">
        <f>IFERROR(__xludf.DUMMYFUNCTION("""COMPUTED_VALUE"""),132.36)</f>
        <v>132.36</v>
      </c>
    </row>
    <row r="371">
      <c r="B371" s="3">
        <f>IFERROR(__xludf.DUMMYFUNCTION("""COMPUTED_VALUE"""),44733.66666666667)</f>
        <v>44733.66667</v>
      </c>
      <c r="C371" s="2">
        <f>IFERROR(__xludf.DUMMYFUNCTION("""COMPUTED_VALUE"""),44.14)</f>
        <v>44.14</v>
      </c>
      <c r="E371" s="3">
        <f>IFERROR(__xludf.DUMMYFUNCTION("""COMPUTED_VALUE"""),46044.66666666667)</f>
        <v>46044.66667</v>
      </c>
      <c r="F371" s="2">
        <f>IFERROR(__xludf.DUMMYFUNCTION("""COMPUTED_VALUE"""),10.59)</f>
        <v>10.59</v>
      </c>
      <c r="H371" s="3">
        <f>IFERROR(__xludf.DUMMYFUNCTION("""COMPUTED_VALUE"""),45786.66666666667)</f>
        <v>45786.66667</v>
      </c>
      <c r="I371" s="2">
        <f>IFERROR(__xludf.DUMMYFUNCTION("""COMPUTED_VALUE"""),1.97)</f>
        <v>1.97</v>
      </c>
      <c r="K371" s="3">
        <f>IFERROR(__xludf.DUMMYFUNCTION("""COMPUTED_VALUE"""),44733.6875)</f>
        <v>44733.6875</v>
      </c>
      <c r="L371" s="2">
        <f>IFERROR(__xludf.DUMMYFUNCTION("""COMPUTED_VALUE"""),43.45)</f>
        <v>43.45</v>
      </c>
      <c r="N371" s="3">
        <f>IFERROR(__xludf.DUMMYFUNCTION("""COMPUTED_VALUE"""),44733.66666666667)</f>
        <v>44733.66667</v>
      </c>
      <c r="O371" s="2">
        <f>IFERROR(__xludf.DUMMYFUNCTION("""COMPUTED_VALUE"""),29.12)</f>
        <v>29.12</v>
      </c>
      <c r="Q371" s="3">
        <f>IFERROR(__xludf.DUMMYFUNCTION("""COMPUTED_VALUE"""),44733.66666666667)</f>
        <v>44733.66667</v>
      </c>
      <c r="R371" s="2">
        <f>IFERROR(__xludf.DUMMYFUNCTION("""COMPUTED_VALUE"""),136.37)</f>
        <v>136.37</v>
      </c>
    </row>
    <row r="372">
      <c r="B372" s="3">
        <f>IFERROR(__xludf.DUMMYFUNCTION("""COMPUTED_VALUE"""),44734.66666666667)</f>
        <v>44734.66667</v>
      </c>
      <c r="C372" s="2">
        <f>IFERROR(__xludf.DUMMYFUNCTION("""COMPUTED_VALUE"""),43.57)</f>
        <v>43.57</v>
      </c>
      <c r="E372" s="3">
        <f>IFERROR(__xludf.DUMMYFUNCTION("""COMPUTED_VALUE"""),46045.66666666667)</f>
        <v>46045.66667</v>
      </c>
      <c r="F372" s="2">
        <f>IFERROR(__xludf.DUMMYFUNCTION("""COMPUTED_VALUE"""),10.95)</f>
        <v>10.95</v>
      </c>
      <c r="H372" s="3">
        <f>IFERROR(__xludf.DUMMYFUNCTION("""COMPUTED_VALUE"""),45789.66666666667)</f>
        <v>45789.66667</v>
      </c>
      <c r="I372" s="2">
        <f>IFERROR(__xludf.DUMMYFUNCTION("""COMPUTED_VALUE"""),2.09)</f>
        <v>2.09</v>
      </c>
      <c r="K372" s="3">
        <f>IFERROR(__xludf.DUMMYFUNCTION("""COMPUTED_VALUE"""),44734.6875)</f>
        <v>44734.6875</v>
      </c>
      <c r="L372" s="2">
        <f>IFERROR(__xludf.DUMMYFUNCTION("""COMPUTED_VALUE"""),43.84)</f>
        <v>43.84</v>
      </c>
      <c r="N372" s="3">
        <f>IFERROR(__xludf.DUMMYFUNCTION("""COMPUTED_VALUE"""),44734.66666666667)</f>
        <v>44734.66667</v>
      </c>
      <c r="O372" s="2">
        <f>IFERROR(__xludf.DUMMYFUNCTION("""COMPUTED_VALUE"""),28.09)</f>
        <v>28.09</v>
      </c>
      <c r="Q372" s="3">
        <f>IFERROR(__xludf.DUMMYFUNCTION("""COMPUTED_VALUE"""),44734.66666666667)</f>
        <v>44734.66667</v>
      </c>
      <c r="R372" s="2">
        <f>IFERROR(__xludf.DUMMYFUNCTION("""COMPUTED_VALUE"""),138.5)</f>
        <v>138.5</v>
      </c>
    </row>
    <row r="373">
      <c r="B373" s="3">
        <f>IFERROR(__xludf.DUMMYFUNCTION("""COMPUTED_VALUE"""),44735.66666666667)</f>
        <v>44735.66667</v>
      </c>
      <c r="C373" s="2">
        <f>IFERROR(__xludf.DUMMYFUNCTION("""COMPUTED_VALUE"""),42.93)</f>
        <v>42.93</v>
      </c>
      <c r="E373" s="3">
        <f>IFERROR(__xludf.DUMMYFUNCTION("""COMPUTED_VALUE"""),46048.66666666667)</f>
        <v>46048.66667</v>
      </c>
      <c r="F373" s="2">
        <f>IFERROR(__xludf.DUMMYFUNCTION("""COMPUTED_VALUE"""),9.9)</f>
        <v>9.9</v>
      </c>
      <c r="H373" s="3">
        <f>IFERROR(__xludf.DUMMYFUNCTION("""COMPUTED_VALUE"""),45790.66666666667)</f>
        <v>45790.66667</v>
      </c>
      <c r="I373" s="2">
        <f>IFERROR(__xludf.DUMMYFUNCTION("""COMPUTED_VALUE"""),2.27)</f>
        <v>2.27</v>
      </c>
      <c r="K373" s="3">
        <f>IFERROR(__xludf.DUMMYFUNCTION("""COMPUTED_VALUE"""),44735.6875)</f>
        <v>44735.6875</v>
      </c>
      <c r="L373" s="2">
        <f>IFERROR(__xludf.DUMMYFUNCTION("""COMPUTED_VALUE"""),42.31)</f>
        <v>42.31</v>
      </c>
      <c r="N373" s="3">
        <f>IFERROR(__xludf.DUMMYFUNCTION("""COMPUTED_VALUE"""),44735.66666666667)</f>
        <v>44735.66667</v>
      </c>
      <c r="O373" s="2">
        <f>IFERROR(__xludf.DUMMYFUNCTION("""COMPUTED_VALUE"""),27.36)</f>
        <v>27.36</v>
      </c>
      <c r="Q373" s="3">
        <f>IFERROR(__xludf.DUMMYFUNCTION("""COMPUTED_VALUE"""),44735.66666666667)</f>
        <v>44735.66667</v>
      </c>
      <c r="R373" s="2">
        <f>IFERROR(__xludf.DUMMYFUNCTION("""COMPUTED_VALUE"""),142.3)</f>
        <v>142.3</v>
      </c>
    </row>
    <row r="374">
      <c r="B374" s="3">
        <f>IFERROR(__xludf.DUMMYFUNCTION("""COMPUTED_VALUE"""),44736.66666666667)</f>
        <v>44736.66667</v>
      </c>
      <c r="C374" s="2">
        <f>IFERROR(__xludf.DUMMYFUNCTION("""COMPUTED_VALUE"""),44.1)</f>
        <v>44.1</v>
      </c>
      <c r="E374" s="3">
        <f>IFERROR(__xludf.DUMMYFUNCTION("""COMPUTED_VALUE"""),46049.66666666667)</f>
        <v>46049.66667</v>
      </c>
      <c r="F374" s="2">
        <f>IFERROR(__xludf.DUMMYFUNCTION("""COMPUTED_VALUE"""),10.5)</f>
        <v>10.5</v>
      </c>
      <c r="H374" s="3">
        <f>IFERROR(__xludf.DUMMYFUNCTION("""COMPUTED_VALUE"""),45791.66666666667)</f>
        <v>45791.66667</v>
      </c>
      <c r="I374" s="2">
        <f>IFERROR(__xludf.DUMMYFUNCTION("""COMPUTED_VALUE"""),2.41)</f>
        <v>2.41</v>
      </c>
      <c r="K374" s="3">
        <f>IFERROR(__xludf.DUMMYFUNCTION("""COMPUTED_VALUE"""),44736.6875)</f>
        <v>44736.6875</v>
      </c>
      <c r="L374" s="2">
        <f>IFERROR(__xludf.DUMMYFUNCTION("""COMPUTED_VALUE"""),43.4)</f>
        <v>43.4</v>
      </c>
      <c r="N374" s="3">
        <f>IFERROR(__xludf.DUMMYFUNCTION("""COMPUTED_VALUE"""),44736.66666666667)</f>
        <v>44736.66667</v>
      </c>
      <c r="O374" s="2">
        <f>IFERROR(__xludf.DUMMYFUNCTION("""COMPUTED_VALUE"""),28.23)</f>
        <v>28.23</v>
      </c>
      <c r="Q374" s="3">
        <f>IFERROR(__xludf.DUMMYFUNCTION("""COMPUTED_VALUE"""),44736.66666666667)</f>
        <v>44736.66667</v>
      </c>
      <c r="R374" s="2">
        <f>IFERROR(__xludf.DUMMYFUNCTION("""COMPUTED_VALUE"""),144.35)</f>
        <v>144.35</v>
      </c>
    </row>
    <row r="375">
      <c r="B375" s="3">
        <f>IFERROR(__xludf.DUMMYFUNCTION("""COMPUTED_VALUE"""),44739.66666666667)</f>
        <v>44739.66667</v>
      </c>
      <c r="C375" s="2">
        <f>IFERROR(__xludf.DUMMYFUNCTION("""COMPUTED_VALUE"""),43.77)</f>
        <v>43.77</v>
      </c>
      <c r="E375" s="3">
        <f>IFERROR(__xludf.DUMMYFUNCTION("""COMPUTED_VALUE"""),46050.66666666667)</f>
        <v>46050.66667</v>
      </c>
      <c r="F375" s="2">
        <f>IFERROR(__xludf.DUMMYFUNCTION("""COMPUTED_VALUE"""),10.92)</f>
        <v>10.92</v>
      </c>
      <c r="H375" s="3">
        <f>IFERROR(__xludf.DUMMYFUNCTION("""COMPUTED_VALUE"""),45792.66666666667)</f>
        <v>45792.66667</v>
      </c>
      <c r="I375" s="2">
        <f>IFERROR(__xludf.DUMMYFUNCTION("""COMPUTED_VALUE"""),2.19)</f>
        <v>2.19</v>
      </c>
      <c r="K375" s="3">
        <f>IFERROR(__xludf.DUMMYFUNCTION("""COMPUTED_VALUE"""),44739.6875)</f>
        <v>44739.6875</v>
      </c>
      <c r="L375" s="2">
        <f>IFERROR(__xludf.DUMMYFUNCTION("""COMPUTED_VALUE"""),43.31)</f>
        <v>43.31</v>
      </c>
      <c r="N375" s="3">
        <f>IFERROR(__xludf.DUMMYFUNCTION("""COMPUTED_VALUE"""),44739.66666666667)</f>
        <v>44739.66667</v>
      </c>
      <c r="O375" s="2">
        <f>IFERROR(__xludf.DUMMYFUNCTION("""COMPUTED_VALUE"""),28.7)</f>
        <v>28.7</v>
      </c>
      <c r="Q375" s="3">
        <f>IFERROR(__xludf.DUMMYFUNCTION("""COMPUTED_VALUE"""),44739.66666666667)</f>
        <v>44739.66667</v>
      </c>
      <c r="R375" s="2">
        <f>IFERROR(__xludf.DUMMYFUNCTION("""COMPUTED_VALUE"""),143.25)</f>
        <v>143.25</v>
      </c>
    </row>
    <row r="376">
      <c r="B376" s="3">
        <f>IFERROR(__xludf.DUMMYFUNCTION("""COMPUTED_VALUE"""),44740.66666666667)</f>
        <v>44740.66667</v>
      </c>
      <c r="C376" s="2">
        <f>IFERROR(__xludf.DUMMYFUNCTION("""COMPUTED_VALUE"""),43.06)</f>
        <v>43.06</v>
      </c>
      <c r="E376" s="3">
        <f>IFERROR(__xludf.DUMMYFUNCTION("""COMPUTED_VALUE"""),46051.66666666667)</f>
        <v>46051.66667</v>
      </c>
      <c r="F376" s="2">
        <f>IFERROR(__xludf.DUMMYFUNCTION("""COMPUTED_VALUE"""),9.59)</f>
        <v>9.59</v>
      </c>
      <c r="H376" s="3">
        <f>IFERROR(__xludf.DUMMYFUNCTION("""COMPUTED_VALUE"""),45793.66666666667)</f>
        <v>45793.66667</v>
      </c>
      <c r="I376" s="2">
        <f>IFERROR(__xludf.DUMMYFUNCTION("""COMPUTED_VALUE"""),2.58)</f>
        <v>2.58</v>
      </c>
      <c r="K376" s="3">
        <f>IFERROR(__xludf.DUMMYFUNCTION("""COMPUTED_VALUE"""),44740.6875)</f>
        <v>44740.6875</v>
      </c>
      <c r="L376" s="2">
        <f>IFERROR(__xludf.DUMMYFUNCTION("""COMPUTED_VALUE"""),43.44)</f>
        <v>43.44</v>
      </c>
      <c r="N376" s="3">
        <f>IFERROR(__xludf.DUMMYFUNCTION("""COMPUTED_VALUE"""),44740.66666666667)</f>
        <v>44740.66667</v>
      </c>
      <c r="O376" s="2">
        <f>IFERROR(__xludf.DUMMYFUNCTION("""COMPUTED_VALUE"""),29.07)</f>
        <v>29.07</v>
      </c>
      <c r="Q376" s="3">
        <f>IFERROR(__xludf.DUMMYFUNCTION("""COMPUTED_VALUE"""),44740.66666666667)</f>
        <v>44740.66667</v>
      </c>
      <c r="R376" s="2">
        <f>IFERROR(__xludf.DUMMYFUNCTION("""COMPUTED_VALUE"""),140.92)</f>
        <v>140.92</v>
      </c>
    </row>
    <row r="377">
      <c r="B377" s="3">
        <f>IFERROR(__xludf.DUMMYFUNCTION("""COMPUTED_VALUE"""),44741.66666666667)</f>
        <v>44741.66667</v>
      </c>
      <c r="C377" s="2">
        <f>IFERROR(__xludf.DUMMYFUNCTION("""COMPUTED_VALUE"""),42.88)</f>
        <v>42.88</v>
      </c>
      <c r="E377" s="3">
        <f>IFERROR(__xludf.DUMMYFUNCTION("""COMPUTED_VALUE"""),46052.66666666667)</f>
        <v>46052.66667</v>
      </c>
      <c r="F377" s="2">
        <f>IFERROR(__xludf.DUMMYFUNCTION("""COMPUTED_VALUE"""),8.42)</f>
        <v>8.42</v>
      </c>
      <c r="H377" s="3">
        <f>IFERROR(__xludf.DUMMYFUNCTION("""COMPUTED_VALUE"""),45796.66666666667)</f>
        <v>45796.66667</v>
      </c>
      <c r="I377" s="2">
        <f>IFERROR(__xludf.DUMMYFUNCTION("""COMPUTED_VALUE"""),2.32)</f>
        <v>2.32</v>
      </c>
      <c r="K377" s="3">
        <f>IFERROR(__xludf.DUMMYFUNCTION("""COMPUTED_VALUE"""),44741.6875)</f>
        <v>44741.6875</v>
      </c>
      <c r="L377" s="2">
        <f>IFERROR(__xludf.DUMMYFUNCTION("""COMPUTED_VALUE"""),43.01)</f>
        <v>43.01</v>
      </c>
      <c r="N377" s="3">
        <f>IFERROR(__xludf.DUMMYFUNCTION("""COMPUTED_VALUE"""),44741.66666666667)</f>
        <v>44741.66667</v>
      </c>
      <c r="O377" s="2">
        <f>IFERROR(__xludf.DUMMYFUNCTION("""COMPUTED_VALUE"""),28.77)</f>
        <v>28.77</v>
      </c>
      <c r="Q377" s="3">
        <f>IFERROR(__xludf.DUMMYFUNCTION("""COMPUTED_VALUE"""),44741.66666666667)</f>
        <v>44741.66667</v>
      </c>
      <c r="R377" s="2">
        <f>IFERROR(__xludf.DUMMYFUNCTION("""COMPUTED_VALUE"""),142.2)</f>
        <v>142.2</v>
      </c>
    </row>
    <row r="378">
      <c r="B378" s="3">
        <f>IFERROR(__xludf.DUMMYFUNCTION("""COMPUTED_VALUE"""),44742.66666666667)</f>
        <v>44742.66667</v>
      </c>
      <c r="C378" s="2">
        <f>IFERROR(__xludf.DUMMYFUNCTION("""COMPUTED_VALUE"""),42.64)</f>
        <v>42.64</v>
      </c>
      <c r="E378" s="3">
        <f>IFERROR(__xludf.DUMMYFUNCTION("""COMPUTED_VALUE"""),46055.66666666667)</f>
        <v>46055.66667</v>
      </c>
      <c r="F378" s="2">
        <f>IFERROR(__xludf.DUMMYFUNCTION("""COMPUTED_VALUE"""),8.22)</f>
        <v>8.22</v>
      </c>
      <c r="H378" s="3">
        <f>IFERROR(__xludf.DUMMYFUNCTION("""COMPUTED_VALUE"""),45797.66666666667)</f>
        <v>45797.66667</v>
      </c>
      <c r="I378" s="2">
        <f>IFERROR(__xludf.DUMMYFUNCTION("""COMPUTED_VALUE"""),2.34)</f>
        <v>2.34</v>
      </c>
      <c r="K378" s="3">
        <f>IFERROR(__xludf.DUMMYFUNCTION("""COMPUTED_VALUE"""),44742.6875)</f>
        <v>44742.6875</v>
      </c>
      <c r="L378" s="2">
        <f>IFERROR(__xludf.DUMMYFUNCTION("""COMPUTED_VALUE"""),42.31)</f>
        <v>42.31</v>
      </c>
      <c r="N378" s="3">
        <f>IFERROR(__xludf.DUMMYFUNCTION("""COMPUTED_VALUE"""),44742.66666666667)</f>
        <v>44742.66667</v>
      </c>
      <c r="O378" s="2">
        <f>IFERROR(__xludf.DUMMYFUNCTION("""COMPUTED_VALUE"""),28.35)</f>
        <v>28.35</v>
      </c>
      <c r="Q378" s="3">
        <f>IFERROR(__xludf.DUMMYFUNCTION("""COMPUTED_VALUE"""),44742.66666666667)</f>
        <v>44742.66667</v>
      </c>
      <c r="R378" s="2">
        <f>IFERROR(__xludf.DUMMYFUNCTION("""COMPUTED_VALUE"""),143.79)</f>
        <v>143.79</v>
      </c>
    </row>
    <row r="379">
      <c r="B379" s="3">
        <f>IFERROR(__xludf.DUMMYFUNCTION("""COMPUTED_VALUE"""),44743.66666666667)</f>
        <v>44743.66667</v>
      </c>
      <c r="C379" s="2">
        <f>IFERROR(__xludf.DUMMYFUNCTION("""COMPUTED_VALUE"""),42.6)</f>
        <v>42.6</v>
      </c>
      <c r="E379" s="3">
        <f>IFERROR(__xludf.DUMMYFUNCTION("""COMPUTED_VALUE"""),46056.66666666667)</f>
        <v>46056.66667</v>
      </c>
      <c r="F379" s="2">
        <f>IFERROR(__xludf.DUMMYFUNCTION("""COMPUTED_VALUE"""),8.88)</f>
        <v>8.88</v>
      </c>
      <c r="H379" s="3">
        <f>IFERROR(__xludf.DUMMYFUNCTION("""COMPUTED_VALUE"""),45798.66666666667)</f>
        <v>45798.66667</v>
      </c>
      <c r="I379" s="2">
        <f>IFERROR(__xludf.DUMMYFUNCTION("""COMPUTED_VALUE"""),2.15)</f>
        <v>2.15</v>
      </c>
      <c r="K379" s="3">
        <f>IFERROR(__xludf.DUMMYFUNCTION("""COMPUTED_VALUE"""),44743.6875)</f>
        <v>44743.6875</v>
      </c>
      <c r="L379" s="2">
        <f>IFERROR(__xludf.DUMMYFUNCTION("""COMPUTED_VALUE"""),42.41)</f>
        <v>42.41</v>
      </c>
      <c r="N379" s="3">
        <f>IFERROR(__xludf.DUMMYFUNCTION("""COMPUTED_VALUE"""),44743.66666666667)</f>
        <v>44743.66667</v>
      </c>
      <c r="O379" s="2">
        <f>IFERROR(__xludf.DUMMYFUNCTION("""COMPUTED_VALUE"""),28.28)</f>
        <v>28.28</v>
      </c>
      <c r="Q379" s="3">
        <f>IFERROR(__xludf.DUMMYFUNCTION("""COMPUTED_VALUE"""),44743.66666666667)</f>
        <v>44743.66667</v>
      </c>
      <c r="R379" s="2">
        <f>IFERROR(__xludf.DUMMYFUNCTION("""COMPUTED_VALUE"""),146.11)</f>
        <v>146.11</v>
      </c>
    </row>
    <row r="380">
      <c r="B380" s="3">
        <f>IFERROR(__xludf.DUMMYFUNCTION("""COMPUTED_VALUE"""),44747.66666666667)</f>
        <v>44747.66667</v>
      </c>
      <c r="C380" s="2">
        <f>IFERROR(__xludf.DUMMYFUNCTION("""COMPUTED_VALUE"""),41.96)</f>
        <v>41.96</v>
      </c>
      <c r="E380" s="3">
        <f>IFERROR(__xludf.DUMMYFUNCTION("""COMPUTED_VALUE"""),46057.66666666667)</f>
        <v>46057.66667</v>
      </c>
      <c r="F380" s="2">
        <f>IFERROR(__xludf.DUMMYFUNCTION("""COMPUTED_VALUE"""),8.55)</f>
        <v>8.55</v>
      </c>
      <c r="H380" s="3">
        <f>IFERROR(__xludf.DUMMYFUNCTION("""COMPUTED_VALUE"""),45799.66666666667)</f>
        <v>45799.66667</v>
      </c>
      <c r="I380" s="2">
        <f>IFERROR(__xludf.DUMMYFUNCTION("""COMPUTED_VALUE"""),2.15)</f>
        <v>2.15</v>
      </c>
      <c r="K380" s="3">
        <f>IFERROR(__xludf.DUMMYFUNCTION("""COMPUTED_VALUE"""),44746.6875)</f>
        <v>44746.6875</v>
      </c>
      <c r="L380" s="2">
        <f>IFERROR(__xludf.DUMMYFUNCTION("""COMPUTED_VALUE"""),42.67)</f>
        <v>42.67</v>
      </c>
      <c r="N380" s="3">
        <f>IFERROR(__xludf.DUMMYFUNCTION("""COMPUTED_VALUE"""),44747.66666666667)</f>
        <v>44747.66667</v>
      </c>
      <c r="O380" s="2">
        <f>IFERROR(__xludf.DUMMYFUNCTION("""COMPUTED_VALUE"""),27.15)</f>
        <v>27.15</v>
      </c>
      <c r="Q380" s="3">
        <f>IFERROR(__xludf.DUMMYFUNCTION("""COMPUTED_VALUE"""),44747.66666666667)</f>
        <v>44747.66667</v>
      </c>
      <c r="R380" s="2">
        <f>IFERROR(__xludf.DUMMYFUNCTION("""COMPUTED_VALUE"""),144.7)</f>
        <v>144.7</v>
      </c>
    </row>
    <row r="381">
      <c r="B381" s="3">
        <f>IFERROR(__xludf.DUMMYFUNCTION("""COMPUTED_VALUE"""),44748.66666666667)</f>
        <v>44748.66667</v>
      </c>
      <c r="C381" s="2">
        <f>IFERROR(__xludf.DUMMYFUNCTION("""COMPUTED_VALUE"""),42.69)</f>
        <v>42.69</v>
      </c>
      <c r="E381" s="3">
        <f>IFERROR(__xludf.DUMMYFUNCTION("""COMPUTED_VALUE"""),46058.66666666667)</f>
        <v>46058.66667</v>
      </c>
      <c r="F381" s="2">
        <f>IFERROR(__xludf.DUMMYFUNCTION("""COMPUTED_VALUE"""),7.51)</f>
        <v>7.51</v>
      </c>
      <c r="H381" s="3">
        <f>IFERROR(__xludf.DUMMYFUNCTION("""COMPUTED_VALUE"""),45800.66666666667)</f>
        <v>45800.66667</v>
      </c>
      <c r="I381" s="2">
        <f>IFERROR(__xludf.DUMMYFUNCTION("""COMPUTED_VALUE"""),2.2)</f>
        <v>2.2</v>
      </c>
      <c r="K381" s="3">
        <f>IFERROR(__xludf.DUMMYFUNCTION("""COMPUTED_VALUE"""),44747.6875)</f>
        <v>44747.6875</v>
      </c>
      <c r="L381" s="2">
        <f>IFERROR(__xludf.DUMMYFUNCTION("""COMPUTED_VALUE"""),41.36)</f>
        <v>41.36</v>
      </c>
      <c r="N381" s="3">
        <f>IFERROR(__xludf.DUMMYFUNCTION("""COMPUTED_VALUE"""),44748.66666666667)</f>
        <v>44748.66667</v>
      </c>
      <c r="O381" s="2">
        <f>IFERROR(__xludf.DUMMYFUNCTION("""COMPUTED_VALUE"""),26.72)</f>
        <v>26.72</v>
      </c>
      <c r="Q381" s="3">
        <f>IFERROR(__xludf.DUMMYFUNCTION("""COMPUTED_VALUE"""),44748.66666666667)</f>
        <v>44748.66667</v>
      </c>
      <c r="R381" s="2">
        <f>IFERROR(__xludf.DUMMYFUNCTION("""COMPUTED_VALUE"""),146.05)</f>
        <v>146.05</v>
      </c>
    </row>
    <row r="382">
      <c r="B382" s="3">
        <f>IFERROR(__xludf.DUMMYFUNCTION("""COMPUTED_VALUE"""),44749.66666666667)</f>
        <v>44749.66667</v>
      </c>
      <c r="C382" s="2">
        <f>IFERROR(__xludf.DUMMYFUNCTION("""COMPUTED_VALUE"""),43.22)</f>
        <v>43.22</v>
      </c>
      <c r="E382" s="3">
        <f>IFERROR(__xludf.DUMMYFUNCTION("""COMPUTED_VALUE"""),46059.66666666667)</f>
        <v>46059.66667</v>
      </c>
      <c r="F382" s="2">
        <f>IFERROR(__xludf.DUMMYFUNCTION("""COMPUTED_VALUE"""),7.76)</f>
        <v>7.76</v>
      </c>
      <c r="H382" s="3">
        <f>IFERROR(__xludf.DUMMYFUNCTION("""COMPUTED_VALUE"""),45804.66666666667)</f>
        <v>45804.66667</v>
      </c>
      <c r="I382" s="2">
        <f>IFERROR(__xludf.DUMMYFUNCTION("""COMPUTED_VALUE"""),2.85)</f>
        <v>2.85</v>
      </c>
      <c r="K382" s="3">
        <f>IFERROR(__xludf.DUMMYFUNCTION("""COMPUTED_VALUE"""),44748.6875)</f>
        <v>44748.6875</v>
      </c>
      <c r="L382" s="2">
        <f>IFERROR(__xludf.DUMMYFUNCTION("""COMPUTED_VALUE"""),41.3)</f>
        <v>41.3</v>
      </c>
      <c r="N382" s="3">
        <f>IFERROR(__xludf.DUMMYFUNCTION("""COMPUTED_VALUE"""),44749.66666666667)</f>
        <v>44749.66667</v>
      </c>
      <c r="O382" s="2">
        <f>IFERROR(__xludf.DUMMYFUNCTION("""COMPUTED_VALUE"""),27.78)</f>
        <v>27.78</v>
      </c>
      <c r="Q382" s="3">
        <f>IFERROR(__xludf.DUMMYFUNCTION("""COMPUTED_VALUE"""),44749.66666666667)</f>
        <v>44749.66667</v>
      </c>
      <c r="R382" s="2">
        <f>IFERROR(__xludf.DUMMYFUNCTION("""COMPUTED_VALUE"""),146.0)</f>
        <v>146</v>
      </c>
    </row>
    <row r="383">
      <c r="B383" s="3">
        <f>IFERROR(__xludf.DUMMYFUNCTION("""COMPUTED_VALUE"""),44750.66666666667)</f>
        <v>44750.66667</v>
      </c>
      <c r="C383" s="2">
        <f>IFERROR(__xludf.DUMMYFUNCTION("""COMPUTED_VALUE"""),43.39)</f>
        <v>43.39</v>
      </c>
      <c r="E383" s="3">
        <f>IFERROR(__xludf.DUMMYFUNCTION("""COMPUTED_VALUE"""),46062.66666666667)</f>
        <v>46062.66667</v>
      </c>
      <c r="F383" s="2">
        <f>IFERROR(__xludf.DUMMYFUNCTION("""COMPUTED_VALUE"""),7.9)</f>
        <v>7.9</v>
      </c>
      <c r="H383" s="3">
        <f>IFERROR(__xludf.DUMMYFUNCTION("""COMPUTED_VALUE"""),45805.66666666667)</f>
        <v>45805.66667</v>
      </c>
      <c r="I383" s="2">
        <f>IFERROR(__xludf.DUMMYFUNCTION("""COMPUTED_VALUE"""),2.53)</f>
        <v>2.53</v>
      </c>
      <c r="K383" s="3">
        <f>IFERROR(__xludf.DUMMYFUNCTION("""COMPUTED_VALUE"""),44749.6875)</f>
        <v>44749.6875</v>
      </c>
      <c r="L383" s="2">
        <f>IFERROR(__xludf.DUMMYFUNCTION("""COMPUTED_VALUE"""),42.3)</f>
        <v>42.3</v>
      </c>
      <c r="N383" s="3">
        <f>IFERROR(__xludf.DUMMYFUNCTION("""COMPUTED_VALUE"""),44750.66666666667)</f>
        <v>44750.66667</v>
      </c>
      <c r="O383" s="2">
        <f>IFERROR(__xludf.DUMMYFUNCTION("""COMPUTED_VALUE"""),27.84)</f>
        <v>27.84</v>
      </c>
      <c r="Q383" s="3">
        <f>IFERROR(__xludf.DUMMYFUNCTION("""COMPUTED_VALUE"""),44750.66666666667)</f>
        <v>44750.66667</v>
      </c>
      <c r="R383" s="2">
        <f>IFERROR(__xludf.DUMMYFUNCTION("""COMPUTED_VALUE"""),145.02)</f>
        <v>145.02</v>
      </c>
    </row>
    <row r="384">
      <c r="B384" s="3">
        <f>IFERROR(__xludf.DUMMYFUNCTION("""COMPUTED_VALUE"""),44753.66666666667)</f>
        <v>44753.66667</v>
      </c>
      <c r="C384" s="2">
        <f>IFERROR(__xludf.DUMMYFUNCTION("""COMPUTED_VALUE"""),43.25)</f>
        <v>43.25</v>
      </c>
      <c r="E384" s="3">
        <f>IFERROR(__xludf.DUMMYFUNCTION("""COMPUTED_VALUE"""),46063.66666666667)</f>
        <v>46063.66667</v>
      </c>
      <c r="F384" s="2">
        <f>IFERROR(__xludf.DUMMYFUNCTION("""COMPUTED_VALUE"""),7.71)</f>
        <v>7.71</v>
      </c>
      <c r="H384" s="3">
        <f>IFERROR(__xludf.DUMMYFUNCTION("""COMPUTED_VALUE"""),45806.66666666667)</f>
        <v>45806.66667</v>
      </c>
      <c r="I384" s="2">
        <f>IFERROR(__xludf.DUMMYFUNCTION("""COMPUTED_VALUE"""),2.54)</f>
        <v>2.54</v>
      </c>
      <c r="K384" s="3">
        <f>IFERROR(__xludf.DUMMYFUNCTION("""COMPUTED_VALUE"""),44750.6875)</f>
        <v>44750.6875</v>
      </c>
      <c r="L384" s="2">
        <f>IFERROR(__xludf.DUMMYFUNCTION("""COMPUTED_VALUE"""),42.2)</f>
        <v>42.2</v>
      </c>
      <c r="N384" s="3">
        <f>IFERROR(__xludf.DUMMYFUNCTION("""COMPUTED_VALUE"""),44753.66666666667)</f>
        <v>44753.66667</v>
      </c>
      <c r="O384" s="2">
        <f>IFERROR(__xludf.DUMMYFUNCTION("""COMPUTED_VALUE"""),27.46)</f>
        <v>27.46</v>
      </c>
      <c r="Q384" s="3">
        <f>IFERROR(__xludf.DUMMYFUNCTION("""COMPUTED_VALUE"""),44753.66666666667)</f>
        <v>44753.66667</v>
      </c>
      <c r="R384" s="2">
        <f>IFERROR(__xludf.DUMMYFUNCTION("""COMPUTED_VALUE"""),146.04)</f>
        <v>146.04</v>
      </c>
    </row>
    <row r="385">
      <c r="B385" s="3">
        <f>IFERROR(__xludf.DUMMYFUNCTION("""COMPUTED_VALUE"""),44754.66666666667)</f>
        <v>44754.66667</v>
      </c>
      <c r="C385" s="2">
        <f>IFERROR(__xludf.DUMMYFUNCTION("""COMPUTED_VALUE"""),42.86)</f>
        <v>42.86</v>
      </c>
      <c r="E385" s="3">
        <f>IFERROR(__xludf.DUMMYFUNCTION("""COMPUTED_VALUE"""),46064.66666666667)</f>
        <v>46064.66667</v>
      </c>
      <c r="F385" s="2">
        <f>IFERROR(__xludf.DUMMYFUNCTION("""COMPUTED_VALUE"""),7.84)</f>
        <v>7.84</v>
      </c>
      <c r="H385" s="3">
        <f>IFERROR(__xludf.DUMMYFUNCTION("""COMPUTED_VALUE"""),45807.66666666667)</f>
        <v>45807.66667</v>
      </c>
      <c r="I385" s="2">
        <f>IFERROR(__xludf.DUMMYFUNCTION("""COMPUTED_VALUE"""),2.31)</f>
        <v>2.31</v>
      </c>
      <c r="K385" s="3">
        <f>IFERROR(__xludf.DUMMYFUNCTION("""COMPUTED_VALUE"""),44753.6875)</f>
        <v>44753.6875</v>
      </c>
      <c r="L385" s="2">
        <f>IFERROR(__xludf.DUMMYFUNCTION("""COMPUTED_VALUE"""),42.02)</f>
        <v>42.02</v>
      </c>
      <c r="N385" s="3">
        <f>IFERROR(__xludf.DUMMYFUNCTION("""COMPUTED_VALUE"""),44754.66666666667)</f>
        <v>44754.66667</v>
      </c>
      <c r="O385" s="2">
        <f>IFERROR(__xludf.DUMMYFUNCTION("""COMPUTED_VALUE"""),26.88)</f>
        <v>26.88</v>
      </c>
      <c r="Q385" s="3">
        <f>IFERROR(__xludf.DUMMYFUNCTION("""COMPUTED_VALUE"""),44754.66666666667)</f>
        <v>44754.66667</v>
      </c>
      <c r="R385" s="2">
        <f>IFERROR(__xludf.DUMMYFUNCTION("""COMPUTED_VALUE"""),144.75)</f>
        <v>144.75</v>
      </c>
    </row>
    <row r="386">
      <c r="B386" s="3">
        <f>IFERROR(__xludf.DUMMYFUNCTION("""COMPUTED_VALUE"""),44755.66666666667)</f>
        <v>44755.66667</v>
      </c>
      <c r="C386" s="2">
        <f>IFERROR(__xludf.DUMMYFUNCTION("""COMPUTED_VALUE"""),42.7)</f>
        <v>42.7</v>
      </c>
      <c r="E386" s="3">
        <f>IFERROR(__xludf.DUMMYFUNCTION("""COMPUTED_VALUE"""),46065.66666666667)</f>
        <v>46065.66667</v>
      </c>
      <c r="F386" s="2">
        <f>IFERROR(__xludf.DUMMYFUNCTION("""COMPUTED_VALUE"""),7.06)</f>
        <v>7.06</v>
      </c>
      <c r="H386" s="3">
        <f>IFERROR(__xludf.DUMMYFUNCTION("""COMPUTED_VALUE"""),45810.66666666667)</f>
        <v>45810.66667</v>
      </c>
      <c r="I386" s="2">
        <f>IFERROR(__xludf.DUMMYFUNCTION("""COMPUTED_VALUE"""),2.4)</f>
        <v>2.4</v>
      </c>
      <c r="K386" s="3">
        <f>IFERROR(__xludf.DUMMYFUNCTION("""COMPUTED_VALUE"""),44754.6875)</f>
        <v>44754.6875</v>
      </c>
      <c r="L386" s="2">
        <f>IFERROR(__xludf.DUMMYFUNCTION("""COMPUTED_VALUE"""),42.42)</f>
        <v>42.42</v>
      </c>
      <c r="N386" s="3">
        <f>IFERROR(__xludf.DUMMYFUNCTION("""COMPUTED_VALUE"""),44755.66666666667)</f>
        <v>44755.66667</v>
      </c>
      <c r="O386" s="2">
        <f>IFERROR(__xludf.DUMMYFUNCTION("""COMPUTED_VALUE"""),27.01)</f>
        <v>27.01</v>
      </c>
      <c r="Q386" s="3">
        <f>IFERROR(__xludf.DUMMYFUNCTION("""COMPUTED_VALUE"""),44755.66666666667)</f>
        <v>44755.66667</v>
      </c>
      <c r="R386" s="2">
        <f>IFERROR(__xludf.DUMMYFUNCTION("""COMPUTED_VALUE"""),145.7)</f>
        <v>145.7</v>
      </c>
    </row>
    <row r="387">
      <c r="B387" s="3">
        <f>IFERROR(__xludf.DUMMYFUNCTION("""COMPUTED_VALUE"""),44756.66666666667)</f>
        <v>44756.66667</v>
      </c>
      <c r="C387" s="2">
        <f>IFERROR(__xludf.DUMMYFUNCTION("""COMPUTED_VALUE"""),42.33)</f>
        <v>42.33</v>
      </c>
      <c r="E387" s="3">
        <f>IFERROR(__xludf.DUMMYFUNCTION("""COMPUTED_VALUE"""),46066.66666666667)</f>
        <v>46066.66667</v>
      </c>
      <c r="F387" s="2">
        <f>IFERROR(__xludf.DUMMYFUNCTION("""COMPUTED_VALUE"""),7.06)</f>
        <v>7.06</v>
      </c>
      <c r="H387" s="3">
        <f>IFERROR(__xludf.DUMMYFUNCTION("""COMPUTED_VALUE"""),45811.66666666667)</f>
        <v>45811.66667</v>
      </c>
      <c r="I387" s="2">
        <f>IFERROR(__xludf.DUMMYFUNCTION("""COMPUTED_VALUE"""),2.31)</f>
        <v>2.31</v>
      </c>
      <c r="K387" s="3">
        <f>IFERROR(__xludf.DUMMYFUNCTION("""COMPUTED_VALUE"""),44755.6875)</f>
        <v>44755.6875</v>
      </c>
      <c r="L387" s="2">
        <f>IFERROR(__xludf.DUMMYFUNCTION("""COMPUTED_VALUE"""),41.92)</f>
        <v>41.92</v>
      </c>
      <c r="N387" s="3">
        <f>IFERROR(__xludf.DUMMYFUNCTION("""COMPUTED_VALUE"""),44756.66666666667)</f>
        <v>44756.66667</v>
      </c>
      <c r="O387" s="2">
        <f>IFERROR(__xludf.DUMMYFUNCTION("""COMPUTED_VALUE"""),26.02)</f>
        <v>26.02</v>
      </c>
      <c r="Q387" s="3">
        <f>IFERROR(__xludf.DUMMYFUNCTION("""COMPUTED_VALUE"""),44756.66666666667)</f>
        <v>44756.66667</v>
      </c>
      <c r="R387" s="2">
        <f>IFERROR(__xludf.DUMMYFUNCTION("""COMPUTED_VALUE"""),145.27)</f>
        <v>145.27</v>
      </c>
    </row>
    <row r="388">
      <c r="B388" s="3">
        <f>IFERROR(__xludf.DUMMYFUNCTION("""COMPUTED_VALUE"""),44757.66666666667)</f>
        <v>44757.66667</v>
      </c>
      <c r="C388" s="2">
        <f>IFERROR(__xludf.DUMMYFUNCTION("""COMPUTED_VALUE"""),43.07)</f>
        <v>43.07</v>
      </c>
      <c r="E388" s="3">
        <f>IFERROR(__xludf.DUMMYFUNCTION("""COMPUTED_VALUE"""),46070.66666666667)</f>
        <v>46070.66667</v>
      </c>
      <c r="F388" s="2">
        <f>IFERROR(__xludf.DUMMYFUNCTION("""COMPUTED_VALUE"""),6.54)</f>
        <v>6.54</v>
      </c>
      <c r="H388" s="3">
        <f>IFERROR(__xludf.DUMMYFUNCTION("""COMPUTED_VALUE"""),45812.66666666667)</f>
        <v>45812.66667</v>
      </c>
      <c r="I388" s="2">
        <f>IFERROR(__xludf.DUMMYFUNCTION("""COMPUTED_VALUE"""),2.42)</f>
        <v>2.42</v>
      </c>
      <c r="K388" s="3">
        <f>IFERROR(__xludf.DUMMYFUNCTION("""COMPUTED_VALUE"""),44756.6875)</f>
        <v>44756.6875</v>
      </c>
      <c r="L388" s="2">
        <f>IFERROR(__xludf.DUMMYFUNCTION("""COMPUTED_VALUE"""),41.02)</f>
        <v>41.02</v>
      </c>
      <c r="N388" s="3">
        <f>IFERROR(__xludf.DUMMYFUNCTION("""COMPUTED_VALUE"""),44757.66666666667)</f>
        <v>44757.66667</v>
      </c>
      <c r="O388" s="2">
        <f>IFERROR(__xludf.DUMMYFUNCTION("""COMPUTED_VALUE"""),26.66)</f>
        <v>26.66</v>
      </c>
      <c r="Q388" s="3">
        <f>IFERROR(__xludf.DUMMYFUNCTION("""COMPUTED_VALUE"""),44757.66666666667)</f>
        <v>44757.66667</v>
      </c>
      <c r="R388" s="2">
        <f>IFERROR(__xludf.DUMMYFUNCTION("""COMPUTED_VALUE"""),145.07)</f>
        <v>145.07</v>
      </c>
    </row>
    <row r="389">
      <c r="B389" s="3">
        <f>IFERROR(__xludf.DUMMYFUNCTION("""COMPUTED_VALUE"""),44760.66666666667)</f>
        <v>44760.66667</v>
      </c>
      <c r="C389" s="2">
        <f>IFERROR(__xludf.DUMMYFUNCTION("""COMPUTED_VALUE"""),42.6)</f>
        <v>42.6</v>
      </c>
      <c r="E389" s="3">
        <f>IFERROR(__xludf.DUMMYFUNCTION("""COMPUTED_VALUE"""),46071.66666666667)</f>
        <v>46071.66667</v>
      </c>
      <c r="F389" s="2">
        <f>IFERROR(__xludf.DUMMYFUNCTION("""COMPUTED_VALUE"""),6.5)</f>
        <v>6.5</v>
      </c>
      <c r="H389" s="3">
        <f>IFERROR(__xludf.DUMMYFUNCTION("""COMPUTED_VALUE"""),45813.66666666667)</f>
        <v>45813.66667</v>
      </c>
      <c r="I389" s="2">
        <f>IFERROR(__xludf.DUMMYFUNCTION("""COMPUTED_VALUE"""),2.34)</f>
        <v>2.34</v>
      </c>
      <c r="K389" s="3">
        <f>IFERROR(__xludf.DUMMYFUNCTION("""COMPUTED_VALUE"""),44757.6875)</f>
        <v>44757.6875</v>
      </c>
      <c r="L389" s="2">
        <f>IFERROR(__xludf.DUMMYFUNCTION("""COMPUTED_VALUE"""),41.9)</f>
        <v>41.9</v>
      </c>
      <c r="N389" s="3">
        <f>IFERROR(__xludf.DUMMYFUNCTION("""COMPUTED_VALUE"""),44760.66666666667)</f>
        <v>44760.66667</v>
      </c>
      <c r="O389" s="2">
        <f>IFERROR(__xludf.DUMMYFUNCTION("""COMPUTED_VALUE"""),27.33)</f>
        <v>27.33</v>
      </c>
      <c r="Q389" s="3">
        <f>IFERROR(__xludf.DUMMYFUNCTION("""COMPUTED_VALUE"""),44760.66666666667)</f>
        <v>44760.66667</v>
      </c>
      <c r="R389" s="2">
        <f>IFERROR(__xludf.DUMMYFUNCTION("""COMPUTED_VALUE"""),143.31)</f>
        <v>143.31</v>
      </c>
    </row>
    <row r="390">
      <c r="B390" s="3">
        <f>IFERROR(__xludf.DUMMYFUNCTION("""COMPUTED_VALUE"""),44761.66666666667)</f>
        <v>44761.66667</v>
      </c>
      <c r="C390" s="2">
        <f>IFERROR(__xludf.DUMMYFUNCTION("""COMPUTED_VALUE"""),44.03)</f>
        <v>44.03</v>
      </c>
      <c r="E390" s="3">
        <f>IFERROR(__xludf.DUMMYFUNCTION("""COMPUTED_VALUE"""),46072.66666666667)</f>
        <v>46072.66667</v>
      </c>
      <c r="F390" s="2">
        <f>IFERROR(__xludf.DUMMYFUNCTION("""COMPUTED_VALUE"""),6.29)</f>
        <v>6.29</v>
      </c>
      <c r="H390" s="3">
        <f>IFERROR(__xludf.DUMMYFUNCTION("""COMPUTED_VALUE"""),45814.66666666667)</f>
        <v>45814.66667</v>
      </c>
      <c r="I390" s="2">
        <f>IFERROR(__xludf.DUMMYFUNCTION("""COMPUTED_VALUE"""),2.36)</f>
        <v>2.36</v>
      </c>
      <c r="K390" s="3">
        <f>IFERROR(__xludf.DUMMYFUNCTION("""COMPUTED_VALUE"""),44760.6875)</f>
        <v>44760.6875</v>
      </c>
      <c r="L390" s="2">
        <f>IFERROR(__xludf.DUMMYFUNCTION("""COMPUTED_VALUE"""),42.78)</f>
        <v>42.78</v>
      </c>
      <c r="N390" s="3">
        <f>IFERROR(__xludf.DUMMYFUNCTION("""COMPUTED_VALUE"""),44761.66666666667)</f>
        <v>44761.66667</v>
      </c>
      <c r="O390" s="2">
        <f>IFERROR(__xludf.DUMMYFUNCTION("""COMPUTED_VALUE"""),28.06)</f>
        <v>28.06</v>
      </c>
      <c r="Q390" s="3">
        <f>IFERROR(__xludf.DUMMYFUNCTION("""COMPUTED_VALUE"""),44761.66666666667)</f>
        <v>44761.66667</v>
      </c>
      <c r="R390" s="2">
        <f>IFERROR(__xludf.DUMMYFUNCTION("""COMPUTED_VALUE"""),144.04)</f>
        <v>144.04</v>
      </c>
    </row>
    <row r="391">
      <c r="B391" s="3">
        <f>IFERROR(__xludf.DUMMYFUNCTION("""COMPUTED_VALUE"""),44762.66666666667)</f>
        <v>44762.66667</v>
      </c>
      <c r="C391" s="2">
        <f>IFERROR(__xludf.DUMMYFUNCTION("""COMPUTED_VALUE"""),44.13)</f>
        <v>44.13</v>
      </c>
      <c r="E391" s="3">
        <f>IFERROR(__xludf.DUMMYFUNCTION("""COMPUTED_VALUE"""),46073.66666666667)</f>
        <v>46073.66667</v>
      </c>
      <c r="F391" s="2">
        <f>IFERROR(__xludf.DUMMYFUNCTION("""COMPUTED_VALUE"""),6.45)</f>
        <v>6.45</v>
      </c>
      <c r="H391" s="3">
        <f>IFERROR(__xludf.DUMMYFUNCTION("""COMPUTED_VALUE"""),45817.66666666667)</f>
        <v>45817.66667</v>
      </c>
      <c r="I391" s="2">
        <f>IFERROR(__xludf.DUMMYFUNCTION("""COMPUTED_VALUE"""),2.38)</f>
        <v>2.38</v>
      </c>
      <c r="K391" s="3">
        <f>IFERROR(__xludf.DUMMYFUNCTION("""COMPUTED_VALUE"""),44761.6875)</f>
        <v>44761.6875</v>
      </c>
      <c r="L391" s="2">
        <f>IFERROR(__xludf.DUMMYFUNCTION("""COMPUTED_VALUE"""),44.07)</f>
        <v>44.07</v>
      </c>
      <c r="N391" s="3">
        <f>IFERROR(__xludf.DUMMYFUNCTION("""COMPUTED_VALUE"""),44762.66666666667)</f>
        <v>44762.66667</v>
      </c>
      <c r="O391" s="2">
        <f>IFERROR(__xludf.DUMMYFUNCTION("""COMPUTED_VALUE"""),28.14)</f>
        <v>28.14</v>
      </c>
      <c r="Q391" s="3">
        <f>IFERROR(__xludf.DUMMYFUNCTION("""COMPUTED_VALUE"""),44762.66666666667)</f>
        <v>44762.66667</v>
      </c>
      <c r="R391" s="2">
        <f>IFERROR(__xludf.DUMMYFUNCTION("""COMPUTED_VALUE"""),141.55)</f>
        <v>141.55</v>
      </c>
    </row>
    <row r="392">
      <c r="B392" s="3">
        <f>IFERROR(__xludf.DUMMYFUNCTION("""COMPUTED_VALUE"""),44763.66666666667)</f>
        <v>44763.66667</v>
      </c>
      <c r="C392" s="2">
        <f>IFERROR(__xludf.DUMMYFUNCTION("""COMPUTED_VALUE"""),44.58)</f>
        <v>44.58</v>
      </c>
      <c r="E392" s="3">
        <f>IFERROR(__xludf.DUMMYFUNCTION("""COMPUTED_VALUE"""),46076.66666666667)</f>
        <v>46076.66667</v>
      </c>
      <c r="F392" s="2">
        <f>IFERROR(__xludf.DUMMYFUNCTION("""COMPUTED_VALUE"""),7.03)</f>
        <v>7.03</v>
      </c>
      <c r="H392" s="3">
        <f>IFERROR(__xludf.DUMMYFUNCTION("""COMPUTED_VALUE"""),45818.66666666667)</f>
        <v>45818.66667</v>
      </c>
      <c r="I392" s="2">
        <f>IFERROR(__xludf.DUMMYFUNCTION("""COMPUTED_VALUE"""),2.2)</f>
        <v>2.2</v>
      </c>
      <c r="K392" s="3">
        <f>IFERROR(__xludf.DUMMYFUNCTION("""COMPUTED_VALUE"""),44762.6875)</f>
        <v>44762.6875</v>
      </c>
      <c r="L392" s="2">
        <f>IFERROR(__xludf.DUMMYFUNCTION("""COMPUTED_VALUE"""),43.45)</f>
        <v>43.45</v>
      </c>
      <c r="N392" s="3">
        <f>IFERROR(__xludf.DUMMYFUNCTION("""COMPUTED_VALUE"""),44763.66666666667)</f>
        <v>44763.66667</v>
      </c>
      <c r="O392" s="2">
        <f>IFERROR(__xludf.DUMMYFUNCTION("""COMPUTED_VALUE"""),27.78)</f>
        <v>27.78</v>
      </c>
      <c r="Q392" s="3">
        <f>IFERROR(__xludf.DUMMYFUNCTION("""COMPUTED_VALUE"""),44763.66666666667)</f>
        <v>44763.66667</v>
      </c>
      <c r="R392" s="2">
        <f>IFERROR(__xludf.DUMMYFUNCTION("""COMPUTED_VALUE"""),140.77)</f>
        <v>140.77</v>
      </c>
    </row>
    <row r="393">
      <c r="B393" s="3">
        <f>IFERROR(__xludf.DUMMYFUNCTION("""COMPUTED_VALUE"""),44764.66666666667)</f>
        <v>44764.66667</v>
      </c>
      <c r="C393" s="2">
        <f>IFERROR(__xludf.DUMMYFUNCTION("""COMPUTED_VALUE"""),44.46)</f>
        <v>44.46</v>
      </c>
      <c r="E393" s="3">
        <f>IFERROR(__xludf.DUMMYFUNCTION("""COMPUTED_VALUE"""),46077.66666666667)</f>
        <v>46077.66667</v>
      </c>
      <c r="F393" s="2">
        <f>IFERROR(__xludf.DUMMYFUNCTION("""COMPUTED_VALUE"""),7.27)</f>
        <v>7.27</v>
      </c>
      <c r="H393" s="3">
        <f>IFERROR(__xludf.DUMMYFUNCTION("""COMPUTED_VALUE"""),45819.66666666667)</f>
        <v>45819.66667</v>
      </c>
      <c r="I393" s="2">
        <f>IFERROR(__xludf.DUMMYFUNCTION("""COMPUTED_VALUE"""),2.03)</f>
        <v>2.03</v>
      </c>
      <c r="K393" s="3">
        <f>IFERROR(__xludf.DUMMYFUNCTION("""COMPUTED_VALUE"""),44763.6875)</f>
        <v>44763.6875</v>
      </c>
      <c r="L393" s="2">
        <f>IFERROR(__xludf.DUMMYFUNCTION("""COMPUTED_VALUE"""),43.33)</f>
        <v>43.33</v>
      </c>
      <c r="N393" s="3">
        <f>IFERROR(__xludf.DUMMYFUNCTION("""COMPUTED_VALUE"""),44764.66666666667)</f>
        <v>44764.66667</v>
      </c>
      <c r="O393" s="2">
        <f>IFERROR(__xludf.DUMMYFUNCTION("""COMPUTED_VALUE"""),27.55)</f>
        <v>27.55</v>
      </c>
      <c r="Q393" s="3">
        <f>IFERROR(__xludf.DUMMYFUNCTION("""COMPUTED_VALUE"""),44764.66666666667)</f>
        <v>44764.66667</v>
      </c>
      <c r="R393" s="2">
        <f>IFERROR(__xludf.DUMMYFUNCTION("""COMPUTED_VALUE"""),143.02)</f>
        <v>143.02</v>
      </c>
    </row>
    <row r="394">
      <c r="B394" s="3">
        <f>IFERROR(__xludf.DUMMYFUNCTION("""COMPUTED_VALUE"""),44767.66666666667)</f>
        <v>44767.66667</v>
      </c>
      <c r="C394" s="2">
        <f>IFERROR(__xludf.DUMMYFUNCTION("""COMPUTED_VALUE"""),44.34)</f>
        <v>44.34</v>
      </c>
      <c r="E394" s="3">
        <f>IFERROR(__xludf.DUMMYFUNCTION("""COMPUTED_VALUE"""),46078.66666666667)</f>
        <v>46078.66667</v>
      </c>
      <c r="F394" s="2">
        <f>IFERROR(__xludf.DUMMYFUNCTION("""COMPUTED_VALUE"""),7.41)</f>
        <v>7.41</v>
      </c>
      <c r="H394" s="3">
        <f>IFERROR(__xludf.DUMMYFUNCTION("""COMPUTED_VALUE"""),45820.66666666667)</f>
        <v>45820.66667</v>
      </c>
      <c r="I394" s="2">
        <f>IFERROR(__xludf.DUMMYFUNCTION("""COMPUTED_VALUE"""),1.99)</f>
        <v>1.99</v>
      </c>
      <c r="K394" s="3">
        <f>IFERROR(__xludf.DUMMYFUNCTION("""COMPUTED_VALUE"""),44764.6875)</f>
        <v>44764.6875</v>
      </c>
      <c r="L394" s="2">
        <f>IFERROR(__xludf.DUMMYFUNCTION("""COMPUTED_VALUE"""),43.23)</f>
        <v>43.23</v>
      </c>
      <c r="N394" s="3">
        <f>IFERROR(__xludf.DUMMYFUNCTION("""COMPUTED_VALUE"""),44767.66666666667)</f>
        <v>44767.66667</v>
      </c>
      <c r="O394" s="2">
        <f>IFERROR(__xludf.DUMMYFUNCTION("""COMPUTED_VALUE"""),28.12)</f>
        <v>28.12</v>
      </c>
      <c r="Q394" s="3">
        <f>IFERROR(__xludf.DUMMYFUNCTION("""COMPUTED_VALUE"""),44767.66666666667)</f>
        <v>44767.66667</v>
      </c>
      <c r="R394" s="2">
        <f>IFERROR(__xludf.DUMMYFUNCTION("""COMPUTED_VALUE"""),143.99)</f>
        <v>143.99</v>
      </c>
    </row>
    <row r="395">
      <c r="B395" s="3">
        <f>IFERROR(__xludf.DUMMYFUNCTION("""COMPUTED_VALUE"""),44768.66666666667)</f>
        <v>44768.66667</v>
      </c>
      <c r="C395" s="2">
        <f>IFERROR(__xludf.DUMMYFUNCTION("""COMPUTED_VALUE"""),43.83)</f>
        <v>43.83</v>
      </c>
      <c r="E395" s="3">
        <f>IFERROR(__xludf.DUMMYFUNCTION("""COMPUTED_VALUE"""),46079.66666666667)</f>
        <v>46079.66667</v>
      </c>
      <c r="F395" s="2">
        <f>IFERROR(__xludf.DUMMYFUNCTION("""COMPUTED_VALUE"""),7.46)</f>
        <v>7.46</v>
      </c>
      <c r="H395" s="3">
        <f>IFERROR(__xludf.DUMMYFUNCTION("""COMPUTED_VALUE"""),45821.66666666667)</f>
        <v>45821.66667</v>
      </c>
      <c r="I395" s="2">
        <f>IFERROR(__xludf.DUMMYFUNCTION("""COMPUTED_VALUE"""),1.88)</f>
        <v>1.88</v>
      </c>
      <c r="K395" s="3">
        <f>IFERROR(__xludf.DUMMYFUNCTION("""COMPUTED_VALUE"""),44767.6875)</f>
        <v>44767.6875</v>
      </c>
      <c r="L395" s="2">
        <f>IFERROR(__xludf.DUMMYFUNCTION("""COMPUTED_VALUE"""),43.81)</f>
        <v>43.81</v>
      </c>
      <c r="N395" s="3">
        <f>IFERROR(__xludf.DUMMYFUNCTION("""COMPUTED_VALUE"""),44768.66666666667)</f>
        <v>44768.66667</v>
      </c>
      <c r="O395" s="2">
        <f>IFERROR(__xludf.DUMMYFUNCTION("""COMPUTED_VALUE"""),28.07)</f>
        <v>28.07</v>
      </c>
      <c r="Q395" s="3">
        <f>IFERROR(__xludf.DUMMYFUNCTION("""COMPUTED_VALUE"""),44768.66666666667)</f>
        <v>44768.66667</v>
      </c>
      <c r="R395" s="2">
        <f>IFERROR(__xludf.DUMMYFUNCTION("""COMPUTED_VALUE"""),144.27)</f>
        <v>144.27</v>
      </c>
    </row>
    <row r="396">
      <c r="B396" s="3">
        <f>IFERROR(__xludf.DUMMYFUNCTION("""COMPUTED_VALUE"""),44769.66666666667)</f>
        <v>44769.66667</v>
      </c>
      <c r="C396" s="2">
        <f>IFERROR(__xludf.DUMMYFUNCTION("""COMPUTED_VALUE"""),44.64)</f>
        <v>44.64</v>
      </c>
      <c r="E396" s="3">
        <f>IFERROR(__xludf.DUMMYFUNCTION("""COMPUTED_VALUE"""),46080.66666666667)</f>
        <v>46080.66667</v>
      </c>
      <c r="F396" s="2">
        <f>IFERROR(__xludf.DUMMYFUNCTION("""COMPUTED_VALUE"""),7.69)</f>
        <v>7.69</v>
      </c>
      <c r="H396" s="3">
        <f>IFERROR(__xludf.DUMMYFUNCTION("""COMPUTED_VALUE"""),45824.66666666667)</f>
        <v>45824.66667</v>
      </c>
      <c r="I396" s="2">
        <f>IFERROR(__xludf.DUMMYFUNCTION("""COMPUTED_VALUE"""),2.03)</f>
        <v>2.03</v>
      </c>
      <c r="K396" s="3">
        <f>IFERROR(__xludf.DUMMYFUNCTION("""COMPUTED_VALUE"""),44768.6875)</f>
        <v>44768.6875</v>
      </c>
      <c r="L396" s="2">
        <f>IFERROR(__xludf.DUMMYFUNCTION("""COMPUTED_VALUE"""),43.53)</f>
        <v>43.53</v>
      </c>
      <c r="N396" s="3">
        <f>IFERROR(__xludf.DUMMYFUNCTION("""COMPUTED_VALUE"""),44769.66666666667)</f>
        <v>44769.66667</v>
      </c>
      <c r="O396" s="2">
        <f>IFERROR(__xludf.DUMMYFUNCTION("""COMPUTED_VALUE"""),28.76)</f>
        <v>28.76</v>
      </c>
      <c r="Q396" s="3">
        <f>IFERROR(__xludf.DUMMYFUNCTION("""COMPUTED_VALUE"""),44769.66666666667)</f>
        <v>44769.66667</v>
      </c>
      <c r="R396" s="2">
        <f>IFERROR(__xludf.DUMMYFUNCTION("""COMPUTED_VALUE"""),145.64)</f>
        <v>145.64</v>
      </c>
    </row>
    <row r="397">
      <c r="B397" s="3">
        <f>IFERROR(__xludf.DUMMYFUNCTION("""COMPUTED_VALUE"""),44770.66666666667)</f>
        <v>44770.66667</v>
      </c>
      <c r="C397" s="2">
        <f>IFERROR(__xludf.DUMMYFUNCTION("""COMPUTED_VALUE"""),45.62)</f>
        <v>45.62</v>
      </c>
      <c r="E397" s="3">
        <f>IFERROR(__xludf.DUMMYFUNCTION("""COMPUTED_VALUE"""),46083.66666666667)</f>
        <v>46083.66667</v>
      </c>
      <c r="F397" s="2">
        <f>IFERROR(__xludf.DUMMYFUNCTION("""COMPUTED_VALUE"""),8.58)</f>
        <v>8.58</v>
      </c>
      <c r="H397" s="3">
        <f>IFERROR(__xludf.DUMMYFUNCTION("""COMPUTED_VALUE"""),45825.66666666667)</f>
        <v>45825.66667</v>
      </c>
      <c r="I397" s="2">
        <f>IFERROR(__xludf.DUMMYFUNCTION("""COMPUTED_VALUE"""),1.9)</f>
        <v>1.9</v>
      </c>
      <c r="K397" s="3">
        <f>IFERROR(__xludf.DUMMYFUNCTION("""COMPUTED_VALUE"""),44769.6875)</f>
        <v>44769.6875</v>
      </c>
      <c r="L397" s="2">
        <f>IFERROR(__xludf.DUMMYFUNCTION("""COMPUTED_VALUE"""),45.32)</f>
        <v>45.32</v>
      </c>
      <c r="N397" s="3">
        <f>IFERROR(__xludf.DUMMYFUNCTION("""COMPUTED_VALUE"""),44770.66666666667)</f>
        <v>44770.66667</v>
      </c>
      <c r="O397" s="2">
        <f>IFERROR(__xludf.DUMMYFUNCTION("""COMPUTED_VALUE"""),28.47)</f>
        <v>28.47</v>
      </c>
      <c r="Q397" s="3">
        <f>IFERROR(__xludf.DUMMYFUNCTION("""COMPUTED_VALUE"""),44770.66666666667)</f>
        <v>44770.66667</v>
      </c>
      <c r="R397" s="2">
        <f>IFERROR(__xludf.DUMMYFUNCTION("""COMPUTED_VALUE"""),148.06)</f>
        <v>148.06</v>
      </c>
    </row>
    <row r="398">
      <c r="B398" s="3">
        <f>IFERROR(__xludf.DUMMYFUNCTION("""COMPUTED_VALUE"""),44771.66666666667)</f>
        <v>44771.66667</v>
      </c>
      <c r="C398" s="2">
        <f>IFERROR(__xludf.DUMMYFUNCTION("""COMPUTED_VALUE"""),45.37)</f>
        <v>45.37</v>
      </c>
      <c r="E398" s="3">
        <f>IFERROR(__xludf.DUMMYFUNCTION("""COMPUTED_VALUE"""),46084.66666666667)</f>
        <v>46084.66667</v>
      </c>
      <c r="F398" s="2">
        <f>IFERROR(__xludf.DUMMYFUNCTION("""COMPUTED_VALUE"""),7.42)</f>
        <v>7.42</v>
      </c>
      <c r="H398" s="3">
        <f>IFERROR(__xludf.DUMMYFUNCTION("""COMPUTED_VALUE"""),45826.66666666667)</f>
        <v>45826.66667</v>
      </c>
      <c r="I398" s="2">
        <f>IFERROR(__xludf.DUMMYFUNCTION("""COMPUTED_VALUE"""),1.87)</f>
        <v>1.87</v>
      </c>
      <c r="K398" s="3">
        <f>IFERROR(__xludf.DUMMYFUNCTION("""COMPUTED_VALUE"""),44770.6875)</f>
        <v>44770.6875</v>
      </c>
      <c r="L398" s="2">
        <f>IFERROR(__xludf.DUMMYFUNCTION("""COMPUTED_VALUE"""),44.43)</f>
        <v>44.43</v>
      </c>
      <c r="N398" s="3">
        <f>IFERROR(__xludf.DUMMYFUNCTION("""COMPUTED_VALUE"""),44771.66666666667)</f>
        <v>44771.66667</v>
      </c>
      <c r="O398" s="2">
        <f>IFERROR(__xludf.DUMMYFUNCTION("""COMPUTED_VALUE"""),29.38)</f>
        <v>29.38</v>
      </c>
      <c r="Q398" s="3">
        <f>IFERROR(__xludf.DUMMYFUNCTION("""COMPUTED_VALUE"""),44771.66666666667)</f>
        <v>44771.66667</v>
      </c>
      <c r="R398" s="2">
        <f>IFERROR(__xludf.DUMMYFUNCTION("""COMPUTED_VALUE"""),138.91)</f>
        <v>138.91</v>
      </c>
    </row>
    <row r="399">
      <c r="B399" s="3">
        <f>IFERROR(__xludf.DUMMYFUNCTION("""COMPUTED_VALUE"""),44774.66666666667)</f>
        <v>44774.66667</v>
      </c>
      <c r="C399" s="2">
        <f>IFERROR(__xludf.DUMMYFUNCTION("""COMPUTED_VALUE"""),45.28)</f>
        <v>45.28</v>
      </c>
      <c r="H399" s="3">
        <f>IFERROR(__xludf.DUMMYFUNCTION("""COMPUTED_VALUE"""),45828.66666666667)</f>
        <v>45828.66667</v>
      </c>
      <c r="I399" s="2">
        <f>IFERROR(__xludf.DUMMYFUNCTION("""COMPUTED_VALUE"""),1.79)</f>
        <v>1.79</v>
      </c>
      <c r="K399" s="3">
        <f>IFERROR(__xludf.DUMMYFUNCTION("""COMPUTED_VALUE"""),44771.6875)</f>
        <v>44771.6875</v>
      </c>
      <c r="L399" s="2">
        <f>IFERROR(__xludf.DUMMYFUNCTION("""COMPUTED_VALUE"""),45.25)</f>
        <v>45.25</v>
      </c>
      <c r="N399" s="3">
        <f>IFERROR(__xludf.DUMMYFUNCTION("""COMPUTED_VALUE"""),44774.66666666667)</f>
        <v>44774.66667</v>
      </c>
      <c r="O399" s="2">
        <f>IFERROR(__xludf.DUMMYFUNCTION("""COMPUTED_VALUE"""),29.05)</f>
        <v>29.05</v>
      </c>
      <c r="Q399" s="3">
        <f>IFERROR(__xludf.DUMMYFUNCTION("""COMPUTED_VALUE"""),44774.66666666667)</f>
        <v>44774.66667</v>
      </c>
      <c r="R399" s="2">
        <f>IFERROR(__xludf.DUMMYFUNCTION("""COMPUTED_VALUE"""),142.9)</f>
        <v>142.9</v>
      </c>
    </row>
    <row r="400">
      <c r="B400" s="3">
        <f>IFERROR(__xludf.DUMMYFUNCTION("""COMPUTED_VALUE"""),44775.66666666667)</f>
        <v>44775.66667</v>
      </c>
      <c r="C400" s="2">
        <f>IFERROR(__xludf.DUMMYFUNCTION("""COMPUTED_VALUE"""),44.92)</f>
        <v>44.92</v>
      </c>
      <c r="H400" s="3">
        <f>IFERROR(__xludf.DUMMYFUNCTION("""COMPUTED_VALUE"""),45831.66666666667)</f>
        <v>45831.66667</v>
      </c>
      <c r="I400" s="2">
        <f>IFERROR(__xludf.DUMMYFUNCTION("""COMPUTED_VALUE"""),1.78)</f>
        <v>1.78</v>
      </c>
      <c r="K400" s="3">
        <f>IFERROR(__xludf.DUMMYFUNCTION("""COMPUTED_VALUE"""),44774.6875)</f>
        <v>44774.6875</v>
      </c>
      <c r="L400" s="2">
        <f>IFERROR(__xludf.DUMMYFUNCTION("""COMPUTED_VALUE"""),45.06)</f>
        <v>45.06</v>
      </c>
      <c r="N400" s="3">
        <f>IFERROR(__xludf.DUMMYFUNCTION("""COMPUTED_VALUE"""),44775.66666666667)</f>
        <v>44775.66667</v>
      </c>
      <c r="O400" s="2">
        <f>IFERROR(__xludf.DUMMYFUNCTION("""COMPUTED_VALUE"""),29.36)</f>
        <v>29.36</v>
      </c>
      <c r="Q400" s="3">
        <f>IFERROR(__xludf.DUMMYFUNCTION("""COMPUTED_VALUE"""),44775.66666666667)</f>
        <v>44775.66667</v>
      </c>
      <c r="R400" s="2">
        <f>IFERROR(__xludf.DUMMYFUNCTION("""COMPUTED_VALUE"""),141.95)</f>
        <v>141.95</v>
      </c>
    </row>
    <row r="401">
      <c r="B401" s="3">
        <f>IFERROR(__xludf.DUMMYFUNCTION("""COMPUTED_VALUE"""),44776.66666666667)</f>
        <v>44776.66667</v>
      </c>
      <c r="C401" s="2">
        <f>IFERROR(__xludf.DUMMYFUNCTION("""COMPUTED_VALUE"""),45.71)</f>
        <v>45.71</v>
      </c>
      <c r="H401" s="3">
        <f>IFERROR(__xludf.DUMMYFUNCTION("""COMPUTED_VALUE"""),45832.66666666667)</f>
        <v>45832.66667</v>
      </c>
      <c r="I401" s="2">
        <f>IFERROR(__xludf.DUMMYFUNCTION("""COMPUTED_VALUE"""),1.94)</f>
        <v>1.94</v>
      </c>
      <c r="K401" s="3">
        <f>IFERROR(__xludf.DUMMYFUNCTION("""COMPUTED_VALUE"""),44775.6875)</f>
        <v>44775.6875</v>
      </c>
      <c r="L401" s="2">
        <f>IFERROR(__xludf.DUMMYFUNCTION("""COMPUTED_VALUE"""),45.4)</f>
        <v>45.4</v>
      </c>
      <c r="N401" s="3">
        <f>IFERROR(__xludf.DUMMYFUNCTION("""COMPUTED_VALUE"""),44776.66666666667)</f>
        <v>44776.66667</v>
      </c>
      <c r="O401" s="2">
        <f>IFERROR(__xludf.DUMMYFUNCTION("""COMPUTED_VALUE"""),29.69)</f>
        <v>29.69</v>
      </c>
      <c r="Q401" s="3">
        <f>IFERROR(__xludf.DUMMYFUNCTION("""COMPUTED_VALUE"""),44776.66666666667)</f>
        <v>44776.66667</v>
      </c>
      <c r="R401" s="2">
        <f>IFERROR(__xludf.DUMMYFUNCTION("""COMPUTED_VALUE"""),144.88)</f>
        <v>144.88</v>
      </c>
    </row>
    <row r="402">
      <c r="B402" s="3">
        <f>IFERROR(__xludf.DUMMYFUNCTION("""COMPUTED_VALUE"""),44777.66666666667)</f>
        <v>44777.66667</v>
      </c>
      <c r="C402" s="2">
        <f>IFERROR(__xludf.DUMMYFUNCTION("""COMPUTED_VALUE"""),45.38)</f>
        <v>45.38</v>
      </c>
      <c r="H402" s="3">
        <f>IFERROR(__xludf.DUMMYFUNCTION("""COMPUTED_VALUE"""),45833.66666666667)</f>
        <v>45833.66667</v>
      </c>
      <c r="I402" s="2">
        <f>IFERROR(__xludf.DUMMYFUNCTION("""COMPUTED_VALUE"""),1.9)</f>
        <v>1.9</v>
      </c>
      <c r="K402" s="3">
        <f>IFERROR(__xludf.DUMMYFUNCTION("""COMPUTED_VALUE"""),44776.6875)</f>
        <v>44776.6875</v>
      </c>
      <c r="L402" s="2">
        <f>IFERROR(__xludf.DUMMYFUNCTION("""COMPUTED_VALUE"""),45.83)</f>
        <v>45.83</v>
      </c>
      <c r="N402" s="3">
        <f>IFERROR(__xludf.DUMMYFUNCTION("""COMPUTED_VALUE"""),44777.66666666667)</f>
        <v>44777.66667</v>
      </c>
      <c r="O402" s="2">
        <f>IFERROR(__xludf.DUMMYFUNCTION("""COMPUTED_VALUE"""),29.35)</f>
        <v>29.35</v>
      </c>
      <c r="Q402" s="3">
        <f>IFERROR(__xludf.DUMMYFUNCTION("""COMPUTED_VALUE"""),44777.66666666667)</f>
        <v>44777.66667</v>
      </c>
      <c r="R402" s="2">
        <f>IFERROR(__xludf.DUMMYFUNCTION("""COMPUTED_VALUE"""),144.65)</f>
        <v>144.65</v>
      </c>
    </row>
    <row r="403">
      <c r="B403" s="3">
        <f>IFERROR(__xludf.DUMMYFUNCTION("""COMPUTED_VALUE"""),44778.66666666667)</f>
        <v>44778.66667</v>
      </c>
      <c r="C403" s="2">
        <f>IFERROR(__xludf.DUMMYFUNCTION("""COMPUTED_VALUE"""),45.01)</f>
        <v>45.01</v>
      </c>
      <c r="H403" s="3">
        <f>IFERROR(__xludf.DUMMYFUNCTION("""COMPUTED_VALUE"""),45834.66666666667)</f>
        <v>45834.66667</v>
      </c>
      <c r="I403" s="2">
        <f>IFERROR(__xludf.DUMMYFUNCTION("""COMPUTED_VALUE"""),2.06)</f>
        <v>2.06</v>
      </c>
      <c r="K403" s="3">
        <f>IFERROR(__xludf.DUMMYFUNCTION("""COMPUTED_VALUE"""),44777.6875)</f>
        <v>44777.6875</v>
      </c>
      <c r="L403" s="2">
        <f>IFERROR(__xludf.DUMMYFUNCTION("""COMPUTED_VALUE"""),45.1)</f>
        <v>45.1</v>
      </c>
      <c r="N403" s="3">
        <f>IFERROR(__xludf.DUMMYFUNCTION("""COMPUTED_VALUE"""),44778.66666666667)</f>
        <v>44778.66667</v>
      </c>
      <c r="O403" s="2">
        <f>IFERROR(__xludf.DUMMYFUNCTION("""COMPUTED_VALUE"""),29.66)</f>
        <v>29.66</v>
      </c>
      <c r="Q403" s="3">
        <f>IFERROR(__xludf.DUMMYFUNCTION("""COMPUTED_VALUE"""),44778.66666666667)</f>
        <v>44778.66667</v>
      </c>
      <c r="R403" s="2">
        <f>IFERROR(__xludf.DUMMYFUNCTION("""COMPUTED_VALUE"""),144.72)</f>
        <v>144.72</v>
      </c>
    </row>
    <row r="404">
      <c r="B404" s="3">
        <f>IFERROR(__xludf.DUMMYFUNCTION("""COMPUTED_VALUE"""),44781.66666666667)</f>
        <v>44781.66667</v>
      </c>
      <c r="C404" s="2">
        <f>IFERROR(__xludf.DUMMYFUNCTION("""COMPUTED_VALUE"""),45.02)</f>
        <v>45.02</v>
      </c>
      <c r="H404" s="3">
        <f>IFERROR(__xludf.DUMMYFUNCTION("""COMPUTED_VALUE"""),45835.66666666667)</f>
        <v>45835.66667</v>
      </c>
      <c r="I404" s="2">
        <f>IFERROR(__xludf.DUMMYFUNCTION("""COMPUTED_VALUE"""),1.94)</f>
        <v>1.94</v>
      </c>
      <c r="K404" s="3">
        <f>IFERROR(__xludf.DUMMYFUNCTION("""COMPUTED_VALUE"""),44778.6875)</f>
        <v>44778.6875</v>
      </c>
      <c r="L404" s="2">
        <f>IFERROR(__xludf.DUMMYFUNCTION("""COMPUTED_VALUE"""),44.91)</f>
        <v>44.91</v>
      </c>
      <c r="N404" s="3">
        <f>IFERROR(__xludf.DUMMYFUNCTION("""COMPUTED_VALUE"""),44781.66666666667)</f>
        <v>44781.66667</v>
      </c>
      <c r="O404" s="2">
        <f>IFERROR(__xludf.DUMMYFUNCTION("""COMPUTED_VALUE"""),30.16)</f>
        <v>30.16</v>
      </c>
      <c r="Q404" s="3">
        <f>IFERROR(__xludf.DUMMYFUNCTION("""COMPUTED_VALUE"""),44781.66666666667)</f>
        <v>44781.66667</v>
      </c>
      <c r="R404" s="2">
        <f>IFERROR(__xludf.DUMMYFUNCTION("""COMPUTED_VALUE"""),145.27)</f>
        <v>145.27</v>
      </c>
    </row>
    <row r="405">
      <c r="B405" s="3">
        <f>IFERROR(__xludf.DUMMYFUNCTION("""COMPUTED_VALUE"""),44782.66666666667)</f>
        <v>44782.66667</v>
      </c>
      <c r="C405" s="2">
        <f>IFERROR(__xludf.DUMMYFUNCTION("""COMPUTED_VALUE"""),44.92)</f>
        <v>44.92</v>
      </c>
      <c r="H405" s="3">
        <f>IFERROR(__xludf.DUMMYFUNCTION("""COMPUTED_VALUE"""),45838.66666666667)</f>
        <v>45838.66667</v>
      </c>
      <c r="I405" s="2">
        <f>IFERROR(__xludf.DUMMYFUNCTION("""COMPUTED_VALUE"""),1.95)</f>
        <v>1.95</v>
      </c>
      <c r="K405" s="3">
        <f>IFERROR(__xludf.DUMMYFUNCTION("""COMPUTED_VALUE"""),44781.6875)</f>
        <v>44781.6875</v>
      </c>
      <c r="L405" s="2">
        <f>IFERROR(__xludf.DUMMYFUNCTION("""COMPUTED_VALUE"""),45.24)</f>
        <v>45.24</v>
      </c>
      <c r="N405" s="3">
        <f>IFERROR(__xludf.DUMMYFUNCTION("""COMPUTED_VALUE"""),44782.66666666667)</f>
        <v>44782.66667</v>
      </c>
      <c r="O405" s="2">
        <f>IFERROR(__xludf.DUMMYFUNCTION("""COMPUTED_VALUE"""),30.57)</f>
        <v>30.57</v>
      </c>
      <c r="Q405" s="3">
        <f>IFERROR(__xludf.DUMMYFUNCTION("""COMPUTED_VALUE"""),44782.66666666667)</f>
        <v>44782.66667</v>
      </c>
      <c r="R405" s="2">
        <f>IFERROR(__xludf.DUMMYFUNCTION("""COMPUTED_VALUE"""),144.93)</f>
        <v>144.93</v>
      </c>
    </row>
    <row r="406">
      <c r="B406" s="3">
        <f>IFERROR(__xludf.DUMMYFUNCTION("""COMPUTED_VALUE"""),44783.66666666667)</f>
        <v>44783.66667</v>
      </c>
      <c r="C406" s="2">
        <f>IFERROR(__xludf.DUMMYFUNCTION("""COMPUTED_VALUE"""),46.02)</f>
        <v>46.02</v>
      </c>
      <c r="H406" s="3">
        <f>IFERROR(__xludf.DUMMYFUNCTION("""COMPUTED_VALUE"""),45839.66666666667)</f>
        <v>45839.66667</v>
      </c>
      <c r="I406" s="2">
        <f>IFERROR(__xludf.DUMMYFUNCTION("""COMPUTED_VALUE"""),1.95)</f>
        <v>1.95</v>
      </c>
      <c r="K406" s="3">
        <f>IFERROR(__xludf.DUMMYFUNCTION("""COMPUTED_VALUE"""),44782.6875)</f>
        <v>44782.6875</v>
      </c>
      <c r="L406" s="2">
        <f>IFERROR(__xludf.DUMMYFUNCTION("""COMPUTED_VALUE"""),45.0)</f>
        <v>45</v>
      </c>
      <c r="N406" s="3">
        <f>IFERROR(__xludf.DUMMYFUNCTION("""COMPUTED_VALUE"""),44783.66666666667)</f>
        <v>44783.66667</v>
      </c>
      <c r="O406" s="2">
        <f>IFERROR(__xludf.DUMMYFUNCTION("""COMPUTED_VALUE"""),30.8)</f>
        <v>30.8</v>
      </c>
      <c r="Q406" s="3">
        <f>IFERROR(__xludf.DUMMYFUNCTION("""COMPUTED_VALUE"""),44783.66666666667)</f>
        <v>44783.66667</v>
      </c>
      <c r="R406" s="2">
        <f>IFERROR(__xludf.DUMMYFUNCTION("""COMPUTED_VALUE"""),146.3)</f>
        <v>146.3</v>
      </c>
    </row>
    <row r="407">
      <c r="B407" s="3">
        <f>IFERROR(__xludf.DUMMYFUNCTION("""COMPUTED_VALUE"""),44784.66666666667)</f>
        <v>44784.66667</v>
      </c>
      <c r="C407" s="2">
        <f>IFERROR(__xludf.DUMMYFUNCTION("""COMPUTED_VALUE"""),45.9)</f>
        <v>45.9</v>
      </c>
      <c r="H407" s="3">
        <f>IFERROR(__xludf.DUMMYFUNCTION("""COMPUTED_VALUE"""),45840.66666666667)</f>
        <v>45840.66667</v>
      </c>
      <c r="I407" s="2">
        <f>IFERROR(__xludf.DUMMYFUNCTION("""COMPUTED_VALUE"""),2.01)</f>
        <v>2.01</v>
      </c>
      <c r="K407" s="3">
        <f>IFERROR(__xludf.DUMMYFUNCTION("""COMPUTED_VALUE"""),44783.6875)</f>
        <v>44783.6875</v>
      </c>
      <c r="L407" s="2">
        <f>IFERROR(__xludf.DUMMYFUNCTION("""COMPUTED_VALUE"""),45.47)</f>
        <v>45.47</v>
      </c>
      <c r="N407" s="3">
        <f>IFERROR(__xludf.DUMMYFUNCTION("""COMPUTED_VALUE"""),44784.66666666667)</f>
        <v>44784.66667</v>
      </c>
      <c r="O407" s="2">
        <f>IFERROR(__xludf.DUMMYFUNCTION("""COMPUTED_VALUE"""),31.42)</f>
        <v>31.42</v>
      </c>
      <c r="Q407" s="3">
        <f>IFERROR(__xludf.DUMMYFUNCTION("""COMPUTED_VALUE"""),44784.66666666667)</f>
        <v>44784.66667</v>
      </c>
      <c r="R407" s="2">
        <f>IFERROR(__xludf.DUMMYFUNCTION("""COMPUTED_VALUE"""),145.26)</f>
        <v>145.26</v>
      </c>
    </row>
    <row r="408">
      <c r="B408" s="3">
        <f>IFERROR(__xludf.DUMMYFUNCTION("""COMPUTED_VALUE"""),44785.66666666667)</f>
        <v>44785.66667</v>
      </c>
      <c r="C408" s="2">
        <f>IFERROR(__xludf.DUMMYFUNCTION("""COMPUTED_VALUE"""),46.61)</f>
        <v>46.61</v>
      </c>
      <c r="H408" s="3">
        <f>IFERROR(__xludf.DUMMYFUNCTION("""COMPUTED_VALUE"""),45841.54513888889)</f>
        <v>45841.54514</v>
      </c>
      <c r="I408" s="2">
        <f>IFERROR(__xludf.DUMMYFUNCTION("""COMPUTED_VALUE"""),1.96)</f>
        <v>1.96</v>
      </c>
      <c r="K408" s="3">
        <f>IFERROR(__xludf.DUMMYFUNCTION("""COMPUTED_VALUE"""),44784.6875)</f>
        <v>44784.6875</v>
      </c>
      <c r="L408" s="2">
        <f>IFERROR(__xludf.DUMMYFUNCTION("""COMPUTED_VALUE"""),45.61)</f>
        <v>45.61</v>
      </c>
      <c r="N408" s="3">
        <f>IFERROR(__xludf.DUMMYFUNCTION("""COMPUTED_VALUE"""),44785.66666666667)</f>
        <v>44785.66667</v>
      </c>
      <c r="O408" s="2">
        <f>IFERROR(__xludf.DUMMYFUNCTION("""COMPUTED_VALUE"""),31.67)</f>
        <v>31.67</v>
      </c>
      <c r="Q408" s="3">
        <f>IFERROR(__xludf.DUMMYFUNCTION("""COMPUTED_VALUE"""),44785.66666666667)</f>
        <v>44785.66667</v>
      </c>
      <c r="R408" s="2">
        <f>IFERROR(__xludf.DUMMYFUNCTION("""COMPUTED_VALUE"""),146.67)</f>
        <v>146.67</v>
      </c>
    </row>
    <row r="409">
      <c r="B409" s="3">
        <f>IFERROR(__xludf.DUMMYFUNCTION("""COMPUTED_VALUE"""),44788.66666666667)</f>
        <v>44788.66667</v>
      </c>
      <c r="C409" s="2">
        <f>IFERROR(__xludf.DUMMYFUNCTION("""COMPUTED_VALUE"""),46.59)</f>
        <v>46.59</v>
      </c>
      <c r="H409" s="3">
        <f>IFERROR(__xludf.DUMMYFUNCTION("""COMPUTED_VALUE"""),45845.66666666667)</f>
        <v>45845.66667</v>
      </c>
      <c r="I409" s="2">
        <f>IFERROR(__xludf.DUMMYFUNCTION("""COMPUTED_VALUE"""),1.86)</f>
        <v>1.86</v>
      </c>
      <c r="K409" s="3">
        <f>IFERROR(__xludf.DUMMYFUNCTION("""COMPUTED_VALUE"""),44785.6875)</f>
        <v>44785.6875</v>
      </c>
      <c r="L409" s="2">
        <f>IFERROR(__xludf.DUMMYFUNCTION("""COMPUTED_VALUE"""),45.66)</f>
        <v>45.66</v>
      </c>
      <c r="N409" s="3">
        <f>IFERROR(__xludf.DUMMYFUNCTION("""COMPUTED_VALUE"""),44788.66666666667)</f>
        <v>44788.66667</v>
      </c>
      <c r="O409" s="2">
        <f>IFERROR(__xludf.DUMMYFUNCTION("""COMPUTED_VALUE"""),30.96)</f>
        <v>30.96</v>
      </c>
      <c r="Q409" s="3">
        <f>IFERROR(__xludf.DUMMYFUNCTION("""COMPUTED_VALUE"""),44788.66666666667)</f>
        <v>44788.66667</v>
      </c>
      <c r="R409" s="2">
        <f>IFERROR(__xludf.DUMMYFUNCTION("""COMPUTED_VALUE"""),148.56)</f>
        <v>148.56</v>
      </c>
    </row>
    <row r="410">
      <c r="B410" s="3">
        <f>IFERROR(__xludf.DUMMYFUNCTION("""COMPUTED_VALUE"""),44789.66666666667)</f>
        <v>44789.66667</v>
      </c>
      <c r="C410" s="2">
        <f>IFERROR(__xludf.DUMMYFUNCTION("""COMPUTED_VALUE"""),46.77)</f>
        <v>46.77</v>
      </c>
      <c r="H410" s="3">
        <f>IFERROR(__xludf.DUMMYFUNCTION("""COMPUTED_VALUE"""),45846.66666666667)</f>
        <v>45846.66667</v>
      </c>
      <c r="I410" s="2">
        <f>IFERROR(__xludf.DUMMYFUNCTION("""COMPUTED_VALUE"""),1.91)</f>
        <v>1.91</v>
      </c>
      <c r="K410" s="3">
        <f>IFERROR(__xludf.DUMMYFUNCTION("""COMPUTED_VALUE"""),44788.6875)</f>
        <v>44788.6875</v>
      </c>
      <c r="L410" s="2">
        <f>IFERROR(__xludf.DUMMYFUNCTION("""COMPUTED_VALUE"""),45.87)</f>
        <v>45.87</v>
      </c>
      <c r="N410" s="3">
        <f>IFERROR(__xludf.DUMMYFUNCTION("""COMPUTED_VALUE"""),44789.66666666667)</f>
        <v>44789.66667</v>
      </c>
      <c r="O410" s="2">
        <f>IFERROR(__xludf.DUMMYFUNCTION("""COMPUTED_VALUE"""),30.93)</f>
        <v>30.93</v>
      </c>
      <c r="Q410" s="3">
        <f>IFERROR(__xludf.DUMMYFUNCTION("""COMPUTED_VALUE"""),44789.66666666667)</f>
        <v>44789.66667</v>
      </c>
      <c r="R410" s="2">
        <f>IFERROR(__xludf.DUMMYFUNCTION("""COMPUTED_VALUE"""),149.93)</f>
        <v>149.93</v>
      </c>
    </row>
    <row r="411">
      <c r="B411" s="3">
        <f>IFERROR(__xludf.DUMMYFUNCTION("""COMPUTED_VALUE"""),44790.66666666667)</f>
        <v>44790.66667</v>
      </c>
      <c r="C411" s="2">
        <f>IFERROR(__xludf.DUMMYFUNCTION("""COMPUTED_VALUE"""),46.66)</f>
        <v>46.66</v>
      </c>
      <c r="H411" s="3">
        <f>IFERROR(__xludf.DUMMYFUNCTION("""COMPUTED_VALUE"""),45847.66666666667)</f>
        <v>45847.66667</v>
      </c>
      <c r="I411" s="2">
        <f>IFERROR(__xludf.DUMMYFUNCTION("""COMPUTED_VALUE"""),1.9)</f>
        <v>1.9</v>
      </c>
      <c r="K411" s="3">
        <f>IFERROR(__xludf.DUMMYFUNCTION("""COMPUTED_VALUE"""),44789.6875)</f>
        <v>44789.6875</v>
      </c>
      <c r="L411" s="2">
        <f>IFERROR(__xludf.DUMMYFUNCTION("""COMPUTED_VALUE"""),45.73)</f>
        <v>45.73</v>
      </c>
      <c r="N411" s="3">
        <f>IFERROR(__xludf.DUMMYFUNCTION("""COMPUTED_VALUE"""),44790.66666666667)</f>
        <v>44790.66667</v>
      </c>
      <c r="O411" s="2">
        <f>IFERROR(__xludf.DUMMYFUNCTION("""COMPUTED_VALUE"""),31.29)</f>
        <v>31.29</v>
      </c>
      <c r="Q411" s="3">
        <f>IFERROR(__xludf.DUMMYFUNCTION("""COMPUTED_VALUE"""),44790.66666666667)</f>
        <v>44790.66667</v>
      </c>
      <c r="R411" s="2">
        <f>IFERROR(__xludf.DUMMYFUNCTION("""COMPUTED_VALUE"""),149.24)</f>
        <v>149.24</v>
      </c>
    </row>
    <row r="412">
      <c r="B412" s="3">
        <f>IFERROR(__xludf.DUMMYFUNCTION("""COMPUTED_VALUE"""),44791.66666666667)</f>
        <v>44791.66667</v>
      </c>
      <c r="C412" s="2">
        <f>IFERROR(__xludf.DUMMYFUNCTION("""COMPUTED_VALUE"""),49.37)</f>
        <v>49.37</v>
      </c>
      <c r="H412" s="3">
        <f>IFERROR(__xludf.DUMMYFUNCTION("""COMPUTED_VALUE"""),45848.66666666667)</f>
        <v>45848.66667</v>
      </c>
      <c r="I412" s="2">
        <f>IFERROR(__xludf.DUMMYFUNCTION("""COMPUTED_VALUE"""),1.87)</f>
        <v>1.87</v>
      </c>
      <c r="K412" s="3">
        <f>IFERROR(__xludf.DUMMYFUNCTION("""COMPUTED_VALUE"""),44790.6875)</f>
        <v>44790.6875</v>
      </c>
      <c r="L412" s="2">
        <f>IFERROR(__xludf.DUMMYFUNCTION("""COMPUTED_VALUE"""),45.79)</f>
        <v>45.79</v>
      </c>
      <c r="N412" s="3">
        <f>IFERROR(__xludf.DUMMYFUNCTION("""COMPUTED_VALUE"""),44791.66666666667)</f>
        <v>44791.66667</v>
      </c>
      <c r="O412" s="2">
        <f>IFERROR(__xludf.DUMMYFUNCTION("""COMPUTED_VALUE"""),31.92)</f>
        <v>31.92</v>
      </c>
      <c r="Q412" s="3">
        <f>IFERROR(__xludf.DUMMYFUNCTION("""COMPUTED_VALUE"""),44791.66666666667)</f>
        <v>44791.66667</v>
      </c>
      <c r="R412" s="2">
        <f>IFERROR(__xludf.DUMMYFUNCTION("""COMPUTED_VALUE"""),149.77)</f>
        <v>149.77</v>
      </c>
    </row>
    <row r="413">
      <c r="B413" s="3">
        <f>IFERROR(__xludf.DUMMYFUNCTION("""COMPUTED_VALUE"""),44792.66666666667)</f>
        <v>44792.66667</v>
      </c>
      <c r="C413" s="2">
        <f>IFERROR(__xludf.DUMMYFUNCTION("""COMPUTED_VALUE"""),48.7)</f>
        <v>48.7</v>
      </c>
      <c r="H413" s="3">
        <f>IFERROR(__xludf.DUMMYFUNCTION("""COMPUTED_VALUE"""),45849.66666666667)</f>
        <v>45849.66667</v>
      </c>
      <c r="I413" s="2">
        <f>IFERROR(__xludf.DUMMYFUNCTION("""COMPUTED_VALUE"""),1.82)</f>
        <v>1.82</v>
      </c>
      <c r="K413" s="3">
        <f>IFERROR(__xludf.DUMMYFUNCTION("""COMPUTED_VALUE"""),44791.6875)</f>
        <v>44791.6875</v>
      </c>
      <c r="L413" s="2">
        <f>IFERROR(__xludf.DUMMYFUNCTION("""COMPUTED_VALUE"""),45.72)</f>
        <v>45.72</v>
      </c>
      <c r="N413" s="3">
        <f>IFERROR(__xludf.DUMMYFUNCTION("""COMPUTED_VALUE"""),44792.66666666667)</f>
        <v>44792.66667</v>
      </c>
      <c r="O413" s="2">
        <f>IFERROR(__xludf.DUMMYFUNCTION("""COMPUTED_VALUE"""),31.51)</f>
        <v>31.51</v>
      </c>
      <c r="Q413" s="3">
        <f>IFERROR(__xludf.DUMMYFUNCTION("""COMPUTED_VALUE"""),44792.66666666667)</f>
        <v>44792.66667</v>
      </c>
      <c r="R413" s="2">
        <f>IFERROR(__xludf.DUMMYFUNCTION("""COMPUTED_VALUE"""),149.73)</f>
        <v>149.73</v>
      </c>
    </row>
    <row r="414">
      <c r="B414" s="3">
        <f>IFERROR(__xludf.DUMMYFUNCTION("""COMPUTED_VALUE"""),44795.66666666667)</f>
        <v>44795.66667</v>
      </c>
      <c r="C414" s="2">
        <f>IFERROR(__xludf.DUMMYFUNCTION("""COMPUTED_VALUE"""),47.71)</f>
        <v>47.71</v>
      </c>
      <c r="H414" s="3">
        <f>IFERROR(__xludf.DUMMYFUNCTION("""COMPUTED_VALUE"""),45852.66666666667)</f>
        <v>45852.66667</v>
      </c>
      <c r="I414" s="2">
        <f>IFERROR(__xludf.DUMMYFUNCTION("""COMPUTED_VALUE"""),1.83)</f>
        <v>1.83</v>
      </c>
      <c r="K414" s="3">
        <f>IFERROR(__xludf.DUMMYFUNCTION("""COMPUTED_VALUE"""),44792.6875)</f>
        <v>44792.6875</v>
      </c>
      <c r="L414" s="2">
        <f>IFERROR(__xludf.DUMMYFUNCTION("""COMPUTED_VALUE"""),44.82)</f>
        <v>44.82</v>
      </c>
      <c r="N414" s="3">
        <f>IFERROR(__xludf.DUMMYFUNCTION("""COMPUTED_VALUE"""),44795.66666666667)</f>
        <v>44795.66667</v>
      </c>
      <c r="O414" s="2">
        <f>IFERROR(__xludf.DUMMYFUNCTION("""COMPUTED_VALUE"""),31.71)</f>
        <v>31.71</v>
      </c>
      <c r="Q414" s="3">
        <f>IFERROR(__xludf.DUMMYFUNCTION("""COMPUTED_VALUE"""),44795.66666666667)</f>
        <v>44795.66667</v>
      </c>
      <c r="R414" s="2">
        <f>IFERROR(__xludf.DUMMYFUNCTION("""COMPUTED_VALUE"""),149.33)</f>
        <v>149.33</v>
      </c>
    </row>
    <row r="415">
      <c r="B415" s="3">
        <f>IFERROR(__xludf.DUMMYFUNCTION("""COMPUTED_VALUE"""),44796.66666666667)</f>
        <v>44796.66667</v>
      </c>
      <c r="C415" s="2">
        <f>IFERROR(__xludf.DUMMYFUNCTION("""COMPUTED_VALUE"""),47.41)</f>
        <v>47.41</v>
      </c>
      <c r="H415" s="3">
        <f>IFERROR(__xludf.DUMMYFUNCTION("""COMPUTED_VALUE"""),45853.66666666667)</f>
        <v>45853.66667</v>
      </c>
      <c r="I415" s="2">
        <f>IFERROR(__xludf.DUMMYFUNCTION("""COMPUTED_VALUE"""),1.73)</f>
        <v>1.73</v>
      </c>
      <c r="K415" s="3">
        <f>IFERROR(__xludf.DUMMYFUNCTION("""COMPUTED_VALUE"""),44795.6875)</f>
        <v>44795.6875</v>
      </c>
      <c r="L415" s="2">
        <f>IFERROR(__xludf.DUMMYFUNCTION("""COMPUTED_VALUE"""),44.52)</f>
        <v>44.52</v>
      </c>
      <c r="N415" s="3">
        <f>IFERROR(__xludf.DUMMYFUNCTION("""COMPUTED_VALUE"""),44796.66666666667)</f>
        <v>44796.66667</v>
      </c>
      <c r="O415" s="2">
        <f>IFERROR(__xludf.DUMMYFUNCTION("""COMPUTED_VALUE"""),32.55)</f>
        <v>32.55</v>
      </c>
      <c r="Q415" s="3">
        <f>IFERROR(__xludf.DUMMYFUNCTION("""COMPUTED_VALUE"""),44796.66666666667)</f>
        <v>44796.66667</v>
      </c>
      <c r="R415" s="2">
        <f>IFERROR(__xludf.DUMMYFUNCTION("""COMPUTED_VALUE"""),146.45)</f>
        <v>146.45</v>
      </c>
    </row>
    <row r="416">
      <c r="B416" s="3">
        <f>IFERROR(__xludf.DUMMYFUNCTION("""COMPUTED_VALUE"""),44797.66666666667)</f>
        <v>44797.66667</v>
      </c>
      <c r="C416" s="2">
        <f>IFERROR(__xludf.DUMMYFUNCTION("""COMPUTED_VALUE"""),47.07)</f>
        <v>47.07</v>
      </c>
      <c r="H416" s="3">
        <f>IFERROR(__xludf.DUMMYFUNCTION("""COMPUTED_VALUE"""),45854.66666666667)</f>
        <v>45854.66667</v>
      </c>
      <c r="I416" s="2">
        <f>IFERROR(__xludf.DUMMYFUNCTION("""COMPUTED_VALUE"""),1.91)</f>
        <v>1.91</v>
      </c>
      <c r="K416" s="3">
        <f>IFERROR(__xludf.DUMMYFUNCTION("""COMPUTED_VALUE"""),44796.6875)</f>
        <v>44796.6875</v>
      </c>
      <c r="L416" s="2">
        <f>IFERROR(__xludf.DUMMYFUNCTION("""COMPUTED_VALUE"""),44.37)</f>
        <v>44.37</v>
      </c>
      <c r="N416" s="3">
        <f>IFERROR(__xludf.DUMMYFUNCTION("""COMPUTED_VALUE"""),44797.66666666667)</f>
        <v>44797.66667</v>
      </c>
      <c r="O416" s="2">
        <f>IFERROR(__xludf.DUMMYFUNCTION("""COMPUTED_VALUE"""),32.29)</f>
        <v>32.29</v>
      </c>
      <c r="Q416" s="3">
        <f>IFERROR(__xludf.DUMMYFUNCTION("""COMPUTED_VALUE"""),44797.66666666667)</f>
        <v>44797.66667</v>
      </c>
      <c r="R416" s="2">
        <f>IFERROR(__xludf.DUMMYFUNCTION("""COMPUTED_VALUE"""),145.82)</f>
        <v>145.82</v>
      </c>
    </row>
    <row r="417">
      <c r="B417" s="3">
        <f>IFERROR(__xludf.DUMMYFUNCTION("""COMPUTED_VALUE"""),44798.66666666667)</f>
        <v>44798.66667</v>
      </c>
      <c r="C417" s="2">
        <f>IFERROR(__xludf.DUMMYFUNCTION("""COMPUTED_VALUE"""),47.27)</f>
        <v>47.27</v>
      </c>
      <c r="H417" s="3">
        <f>IFERROR(__xludf.DUMMYFUNCTION("""COMPUTED_VALUE"""),45855.66666666667)</f>
        <v>45855.66667</v>
      </c>
      <c r="I417" s="2">
        <f>IFERROR(__xludf.DUMMYFUNCTION("""COMPUTED_VALUE"""),2.01)</f>
        <v>2.01</v>
      </c>
      <c r="K417" s="3">
        <f>IFERROR(__xludf.DUMMYFUNCTION("""COMPUTED_VALUE"""),44797.6875)</f>
        <v>44797.6875</v>
      </c>
      <c r="L417" s="2">
        <f>IFERROR(__xludf.DUMMYFUNCTION("""COMPUTED_VALUE"""),44.12)</f>
        <v>44.12</v>
      </c>
      <c r="N417" s="3">
        <f>IFERROR(__xludf.DUMMYFUNCTION("""COMPUTED_VALUE"""),44798.66666666667)</f>
        <v>44798.66667</v>
      </c>
      <c r="O417" s="2">
        <f>IFERROR(__xludf.DUMMYFUNCTION("""COMPUTED_VALUE"""),32.67)</f>
        <v>32.67</v>
      </c>
      <c r="Q417" s="3">
        <f>IFERROR(__xludf.DUMMYFUNCTION("""COMPUTED_VALUE"""),44798.66666666667)</f>
        <v>44798.66667</v>
      </c>
      <c r="R417" s="2">
        <f>IFERROR(__xludf.DUMMYFUNCTION("""COMPUTED_VALUE"""),145.7)</f>
        <v>145.7</v>
      </c>
    </row>
    <row r="418">
      <c r="B418" s="3">
        <f>IFERROR(__xludf.DUMMYFUNCTION("""COMPUTED_VALUE"""),44799.66666666667)</f>
        <v>44799.66667</v>
      </c>
      <c r="C418" s="2">
        <f>IFERROR(__xludf.DUMMYFUNCTION("""COMPUTED_VALUE"""),45.89)</f>
        <v>45.89</v>
      </c>
      <c r="H418" s="3">
        <f>IFERROR(__xludf.DUMMYFUNCTION("""COMPUTED_VALUE"""),45856.66666666667)</f>
        <v>45856.66667</v>
      </c>
      <c r="I418" s="2">
        <f>IFERROR(__xludf.DUMMYFUNCTION("""COMPUTED_VALUE"""),1.99)</f>
        <v>1.99</v>
      </c>
      <c r="K418" s="3">
        <f>IFERROR(__xludf.DUMMYFUNCTION("""COMPUTED_VALUE"""),44798.6875)</f>
        <v>44798.6875</v>
      </c>
      <c r="L418" s="2">
        <f>IFERROR(__xludf.DUMMYFUNCTION("""COMPUTED_VALUE"""),44.32)</f>
        <v>44.32</v>
      </c>
      <c r="N418" s="3">
        <f>IFERROR(__xludf.DUMMYFUNCTION("""COMPUTED_VALUE"""),44799.66666666667)</f>
        <v>44799.66667</v>
      </c>
      <c r="O418" s="2">
        <f>IFERROR(__xludf.DUMMYFUNCTION("""COMPUTED_VALUE"""),32.33)</f>
        <v>32.33</v>
      </c>
      <c r="Q418" s="3">
        <f>IFERROR(__xludf.DUMMYFUNCTION("""COMPUTED_VALUE"""),44799.66666666667)</f>
        <v>44799.66667</v>
      </c>
      <c r="R418" s="2">
        <f>IFERROR(__xludf.DUMMYFUNCTION("""COMPUTED_VALUE"""),142.29)</f>
        <v>142.29</v>
      </c>
    </row>
    <row r="419">
      <c r="B419" s="3">
        <f>IFERROR(__xludf.DUMMYFUNCTION("""COMPUTED_VALUE"""),44802.66666666667)</f>
        <v>44802.66667</v>
      </c>
      <c r="C419" s="2">
        <f>IFERROR(__xludf.DUMMYFUNCTION("""COMPUTED_VALUE"""),45.71)</f>
        <v>45.71</v>
      </c>
      <c r="H419" s="3">
        <f>IFERROR(__xludf.DUMMYFUNCTION("""COMPUTED_VALUE"""),45859.66666666667)</f>
        <v>45859.66667</v>
      </c>
      <c r="I419" s="2">
        <f>IFERROR(__xludf.DUMMYFUNCTION("""COMPUTED_VALUE"""),2.09)</f>
        <v>2.09</v>
      </c>
      <c r="K419" s="3">
        <f>IFERROR(__xludf.DUMMYFUNCTION("""COMPUTED_VALUE"""),44799.6875)</f>
        <v>44799.6875</v>
      </c>
      <c r="L419" s="2">
        <f>IFERROR(__xludf.DUMMYFUNCTION("""COMPUTED_VALUE"""),43.67)</f>
        <v>43.67</v>
      </c>
      <c r="N419" s="3">
        <f>IFERROR(__xludf.DUMMYFUNCTION("""COMPUTED_VALUE"""),44802.66666666667)</f>
        <v>44802.66667</v>
      </c>
      <c r="O419" s="2">
        <f>IFERROR(__xludf.DUMMYFUNCTION("""COMPUTED_VALUE"""),32.47)</f>
        <v>32.47</v>
      </c>
      <c r="Q419" s="3">
        <f>IFERROR(__xludf.DUMMYFUNCTION("""COMPUTED_VALUE"""),44802.66666666667)</f>
        <v>44802.66667</v>
      </c>
      <c r="R419" s="2">
        <f>IFERROR(__xludf.DUMMYFUNCTION("""COMPUTED_VALUE"""),141.69)</f>
        <v>141.69</v>
      </c>
    </row>
    <row r="420">
      <c r="B420" s="3">
        <f>IFERROR(__xludf.DUMMYFUNCTION("""COMPUTED_VALUE"""),44803.66666666667)</f>
        <v>44803.66667</v>
      </c>
      <c r="C420" s="2">
        <f>IFERROR(__xludf.DUMMYFUNCTION("""COMPUTED_VALUE"""),45.24)</f>
        <v>45.24</v>
      </c>
      <c r="H420" s="3">
        <f>IFERROR(__xludf.DUMMYFUNCTION("""COMPUTED_VALUE"""),45860.66666666667)</f>
        <v>45860.66667</v>
      </c>
      <c r="I420" s="2">
        <f>IFERROR(__xludf.DUMMYFUNCTION("""COMPUTED_VALUE"""),2.04)</f>
        <v>2.04</v>
      </c>
      <c r="K420" s="3">
        <f>IFERROR(__xludf.DUMMYFUNCTION("""COMPUTED_VALUE"""),44803.6875)</f>
        <v>44803.6875</v>
      </c>
      <c r="L420" s="2">
        <f>IFERROR(__xludf.DUMMYFUNCTION("""COMPUTED_VALUE"""),43.75)</f>
        <v>43.75</v>
      </c>
      <c r="N420" s="3">
        <f>IFERROR(__xludf.DUMMYFUNCTION("""COMPUTED_VALUE"""),44803.66666666667)</f>
        <v>44803.66667</v>
      </c>
      <c r="O420" s="2">
        <f>IFERROR(__xludf.DUMMYFUNCTION("""COMPUTED_VALUE"""),31.42)</f>
        <v>31.42</v>
      </c>
      <c r="Q420" s="3">
        <f>IFERROR(__xludf.DUMMYFUNCTION("""COMPUTED_VALUE"""),44803.66666666667)</f>
        <v>44803.66667</v>
      </c>
      <c r="R420" s="2">
        <f>IFERROR(__xludf.DUMMYFUNCTION("""COMPUTED_VALUE"""),140.18)</f>
        <v>140.18</v>
      </c>
    </row>
    <row r="421">
      <c r="B421" s="3">
        <f>IFERROR(__xludf.DUMMYFUNCTION("""COMPUTED_VALUE"""),44804.66666666667)</f>
        <v>44804.66667</v>
      </c>
      <c r="C421" s="2">
        <f>IFERROR(__xludf.DUMMYFUNCTION("""COMPUTED_VALUE"""),44.72)</f>
        <v>44.72</v>
      </c>
      <c r="H421" s="3">
        <f>IFERROR(__xludf.DUMMYFUNCTION("""COMPUTED_VALUE"""),45861.66666666667)</f>
        <v>45861.66667</v>
      </c>
      <c r="I421" s="2">
        <f>IFERROR(__xludf.DUMMYFUNCTION("""COMPUTED_VALUE"""),2.16)</f>
        <v>2.16</v>
      </c>
      <c r="K421" s="3">
        <f>IFERROR(__xludf.DUMMYFUNCTION("""COMPUTED_VALUE"""),44804.6875)</f>
        <v>44804.6875</v>
      </c>
      <c r="L421" s="2">
        <f>IFERROR(__xludf.DUMMYFUNCTION("""COMPUTED_VALUE"""),43.88)</f>
        <v>43.88</v>
      </c>
      <c r="N421" s="3">
        <f>IFERROR(__xludf.DUMMYFUNCTION("""COMPUTED_VALUE"""),44804.66666666667)</f>
        <v>44804.66667</v>
      </c>
      <c r="O421" s="2">
        <f>IFERROR(__xludf.DUMMYFUNCTION("""COMPUTED_VALUE"""),30.84)</f>
        <v>30.84</v>
      </c>
      <c r="Q421" s="3">
        <f>IFERROR(__xludf.DUMMYFUNCTION("""COMPUTED_VALUE"""),44804.66666666667)</f>
        <v>44804.66667</v>
      </c>
      <c r="R421" s="2">
        <f>IFERROR(__xludf.DUMMYFUNCTION("""COMPUTED_VALUE"""),137.94)</f>
        <v>137.94</v>
      </c>
    </row>
    <row r="422">
      <c r="B422" s="3">
        <f>IFERROR(__xludf.DUMMYFUNCTION("""COMPUTED_VALUE"""),44805.66666666667)</f>
        <v>44805.66667</v>
      </c>
      <c r="C422" s="2">
        <f>IFERROR(__xludf.DUMMYFUNCTION("""COMPUTED_VALUE"""),45.29)</f>
        <v>45.29</v>
      </c>
      <c r="H422" s="3">
        <f>IFERROR(__xludf.DUMMYFUNCTION("""COMPUTED_VALUE"""),45862.66666666667)</f>
        <v>45862.66667</v>
      </c>
      <c r="I422" s="2">
        <f>IFERROR(__xludf.DUMMYFUNCTION("""COMPUTED_VALUE"""),2.06)</f>
        <v>2.06</v>
      </c>
      <c r="K422" s="3">
        <f>IFERROR(__xludf.DUMMYFUNCTION("""COMPUTED_VALUE"""),44805.6875)</f>
        <v>44805.6875</v>
      </c>
      <c r="L422" s="2">
        <f>IFERROR(__xludf.DUMMYFUNCTION("""COMPUTED_VALUE"""),42.7)</f>
        <v>42.7</v>
      </c>
      <c r="N422" s="3">
        <f>IFERROR(__xludf.DUMMYFUNCTION("""COMPUTED_VALUE"""),44805.66666666667)</f>
        <v>44805.66667</v>
      </c>
      <c r="O422" s="2">
        <f>IFERROR(__xludf.DUMMYFUNCTION("""COMPUTED_VALUE"""),30.59)</f>
        <v>30.59</v>
      </c>
      <c r="Q422" s="3">
        <f>IFERROR(__xludf.DUMMYFUNCTION("""COMPUTED_VALUE"""),44805.66666666667)</f>
        <v>44805.66667</v>
      </c>
      <c r="R422" s="2">
        <f>IFERROR(__xludf.DUMMYFUNCTION("""COMPUTED_VALUE"""),139.64)</f>
        <v>139.64</v>
      </c>
    </row>
    <row r="423">
      <c r="B423" s="3">
        <f>IFERROR(__xludf.DUMMYFUNCTION("""COMPUTED_VALUE"""),44806.66666666667)</f>
        <v>44806.66667</v>
      </c>
      <c r="C423" s="2">
        <f>IFERROR(__xludf.DUMMYFUNCTION("""COMPUTED_VALUE"""),44.59)</f>
        <v>44.59</v>
      </c>
      <c r="H423" s="3">
        <f>IFERROR(__xludf.DUMMYFUNCTION("""COMPUTED_VALUE"""),45863.66666666667)</f>
        <v>45863.66667</v>
      </c>
      <c r="I423" s="2">
        <f>IFERROR(__xludf.DUMMYFUNCTION("""COMPUTED_VALUE"""),2.01)</f>
        <v>2.01</v>
      </c>
      <c r="K423" s="3">
        <f>IFERROR(__xludf.DUMMYFUNCTION("""COMPUTED_VALUE"""),44806.6875)</f>
        <v>44806.6875</v>
      </c>
      <c r="L423" s="2">
        <f>IFERROR(__xludf.DUMMYFUNCTION("""COMPUTED_VALUE"""),43.72)</f>
        <v>43.72</v>
      </c>
      <c r="N423" s="3">
        <f>IFERROR(__xludf.DUMMYFUNCTION("""COMPUTED_VALUE"""),44806.66666666667)</f>
        <v>44806.66667</v>
      </c>
      <c r="O423" s="2">
        <f>IFERROR(__xludf.DUMMYFUNCTION("""COMPUTED_VALUE"""),31.13)</f>
        <v>31.13</v>
      </c>
      <c r="Q423" s="3">
        <f>IFERROR(__xludf.DUMMYFUNCTION("""COMPUTED_VALUE"""),44806.66666666667)</f>
        <v>44806.66667</v>
      </c>
      <c r="R423" s="2">
        <f>IFERROR(__xludf.DUMMYFUNCTION("""COMPUTED_VALUE"""),137.16)</f>
        <v>137.16</v>
      </c>
    </row>
    <row r="424">
      <c r="B424" s="3">
        <f>IFERROR(__xludf.DUMMYFUNCTION("""COMPUTED_VALUE"""),44810.66666666667)</f>
        <v>44810.66667</v>
      </c>
      <c r="C424" s="2">
        <f>IFERROR(__xludf.DUMMYFUNCTION("""COMPUTED_VALUE"""),44.47)</f>
        <v>44.47</v>
      </c>
      <c r="H424" s="3">
        <f>IFERROR(__xludf.DUMMYFUNCTION("""COMPUTED_VALUE"""),45866.66666666667)</f>
        <v>45866.66667</v>
      </c>
      <c r="I424" s="2">
        <f>IFERROR(__xludf.DUMMYFUNCTION("""COMPUTED_VALUE"""),1.97)</f>
        <v>1.97</v>
      </c>
      <c r="K424" s="3">
        <f>IFERROR(__xludf.DUMMYFUNCTION("""COMPUTED_VALUE"""),44809.6875)</f>
        <v>44809.6875</v>
      </c>
      <c r="L424" s="2">
        <f>IFERROR(__xludf.DUMMYFUNCTION("""COMPUTED_VALUE"""),43.45)</f>
        <v>43.45</v>
      </c>
      <c r="N424" s="3">
        <f>IFERROR(__xludf.DUMMYFUNCTION("""COMPUTED_VALUE"""),44810.66666666667)</f>
        <v>44810.66667</v>
      </c>
      <c r="O424" s="2">
        <f>IFERROR(__xludf.DUMMYFUNCTION("""COMPUTED_VALUE"""),31.13)</f>
        <v>31.13</v>
      </c>
      <c r="Q424" s="3">
        <f>IFERROR(__xludf.DUMMYFUNCTION("""COMPUTED_VALUE"""),44810.66666666667)</f>
        <v>44810.66667</v>
      </c>
      <c r="R424" s="2">
        <f>IFERROR(__xludf.DUMMYFUNCTION("""COMPUTED_VALUE"""),135.63)</f>
        <v>135.63</v>
      </c>
    </row>
    <row r="425">
      <c r="B425" s="3">
        <f>IFERROR(__xludf.DUMMYFUNCTION("""COMPUTED_VALUE"""),44811.66666666667)</f>
        <v>44811.66667</v>
      </c>
      <c r="C425" s="2">
        <f>IFERROR(__xludf.DUMMYFUNCTION("""COMPUTED_VALUE"""),45.02)</f>
        <v>45.02</v>
      </c>
      <c r="H425" s="3">
        <f>IFERROR(__xludf.DUMMYFUNCTION("""COMPUTED_VALUE"""),45867.66666666667)</f>
        <v>45867.66667</v>
      </c>
      <c r="I425" s="2">
        <f>IFERROR(__xludf.DUMMYFUNCTION("""COMPUTED_VALUE"""),1.9)</f>
        <v>1.9</v>
      </c>
      <c r="K425" s="3">
        <f>IFERROR(__xludf.DUMMYFUNCTION("""COMPUTED_VALUE"""),44810.6875)</f>
        <v>44810.6875</v>
      </c>
      <c r="L425" s="2">
        <f>IFERROR(__xludf.DUMMYFUNCTION("""COMPUTED_VALUE"""),45.23)</f>
        <v>45.23</v>
      </c>
      <c r="N425" s="3">
        <f>IFERROR(__xludf.DUMMYFUNCTION("""COMPUTED_VALUE"""),44811.66666666667)</f>
        <v>44811.66667</v>
      </c>
      <c r="O425" s="2">
        <f>IFERROR(__xludf.DUMMYFUNCTION("""COMPUTED_VALUE"""),30.67)</f>
        <v>30.67</v>
      </c>
      <c r="Q425" s="3">
        <f>IFERROR(__xludf.DUMMYFUNCTION("""COMPUTED_VALUE"""),44811.66666666667)</f>
        <v>44811.66667</v>
      </c>
      <c r="R425" s="2">
        <f>IFERROR(__xludf.DUMMYFUNCTION("""COMPUTED_VALUE"""),137.68)</f>
        <v>137.68</v>
      </c>
    </row>
    <row r="426">
      <c r="B426" s="3">
        <f>IFERROR(__xludf.DUMMYFUNCTION("""COMPUTED_VALUE"""),44812.66666666667)</f>
        <v>44812.66667</v>
      </c>
      <c r="C426" s="2">
        <f>IFERROR(__xludf.DUMMYFUNCTION("""COMPUTED_VALUE"""),45.37)</f>
        <v>45.37</v>
      </c>
      <c r="H426" s="3">
        <f>IFERROR(__xludf.DUMMYFUNCTION("""COMPUTED_VALUE"""),45868.66666666667)</f>
        <v>45868.66667</v>
      </c>
      <c r="I426" s="2">
        <f>IFERROR(__xludf.DUMMYFUNCTION("""COMPUTED_VALUE"""),1.88)</f>
        <v>1.88</v>
      </c>
      <c r="K426" s="3">
        <f>IFERROR(__xludf.DUMMYFUNCTION("""COMPUTED_VALUE"""),44811.6875)</f>
        <v>44811.6875</v>
      </c>
      <c r="L426" s="2">
        <f>IFERROR(__xludf.DUMMYFUNCTION("""COMPUTED_VALUE"""),44.68)</f>
        <v>44.68</v>
      </c>
      <c r="N426" s="3">
        <f>IFERROR(__xludf.DUMMYFUNCTION("""COMPUTED_VALUE"""),44812.66666666667)</f>
        <v>44812.66667</v>
      </c>
      <c r="O426" s="2">
        <f>IFERROR(__xludf.DUMMYFUNCTION("""COMPUTED_VALUE"""),30.7)</f>
        <v>30.7</v>
      </c>
      <c r="Q426" s="3">
        <f>IFERROR(__xludf.DUMMYFUNCTION("""COMPUTED_VALUE"""),44812.66666666667)</f>
        <v>44812.66667</v>
      </c>
      <c r="R426" s="2">
        <f>IFERROR(__xludf.DUMMYFUNCTION("""COMPUTED_VALUE"""),137.86)</f>
        <v>137.86</v>
      </c>
    </row>
    <row r="427">
      <c r="B427" s="3">
        <f>IFERROR(__xludf.DUMMYFUNCTION("""COMPUTED_VALUE"""),44813.66666666667)</f>
        <v>44813.66667</v>
      </c>
      <c r="C427" s="2">
        <f>IFERROR(__xludf.DUMMYFUNCTION("""COMPUTED_VALUE"""),45.77)</f>
        <v>45.77</v>
      </c>
      <c r="H427" s="3">
        <f>IFERROR(__xludf.DUMMYFUNCTION("""COMPUTED_VALUE"""),45869.66666666667)</f>
        <v>45869.66667</v>
      </c>
      <c r="I427" s="2">
        <f>IFERROR(__xludf.DUMMYFUNCTION("""COMPUTED_VALUE"""),1.9)</f>
        <v>1.9</v>
      </c>
      <c r="K427" s="3">
        <f>IFERROR(__xludf.DUMMYFUNCTION("""COMPUTED_VALUE"""),44812.6875)</f>
        <v>44812.6875</v>
      </c>
      <c r="L427" s="2">
        <f>IFERROR(__xludf.DUMMYFUNCTION("""COMPUTED_VALUE"""),45.23)</f>
        <v>45.23</v>
      </c>
      <c r="N427" s="3">
        <f>IFERROR(__xludf.DUMMYFUNCTION("""COMPUTED_VALUE"""),44813.66666666667)</f>
        <v>44813.66667</v>
      </c>
      <c r="O427" s="2">
        <f>IFERROR(__xludf.DUMMYFUNCTION("""COMPUTED_VALUE"""),31.69)</f>
        <v>31.69</v>
      </c>
      <c r="Q427" s="3">
        <f>IFERROR(__xludf.DUMMYFUNCTION("""COMPUTED_VALUE"""),44813.66666666667)</f>
        <v>44813.66667</v>
      </c>
      <c r="R427" s="2">
        <f>IFERROR(__xludf.DUMMYFUNCTION("""COMPUTED_VALUE"""),139.96)</f>
        <v>139.96</v>
      </c>
    </row>
    <row r="428">
      <c r="B428" s="3">
        <f>IFERROR(__xludf.DUMMYFUNCTION("""COMPUTED_VALUE"""),44816.66666666667)</f>
        <v>44816.66667</v>
      </c>
      <c r="C428" s="2">
        <f>IFERROR(__xludf.DUMMYFUNCTION("""COMPUTED_VALUE"""),46.4)</f>
        <v>46.4</v>
      </c>
      <c r="H428" s="3">
        <f>IFERROR(__xludf.DUMMYFUNCTION("""COMPUTED_VALUE"""),45870.66666666667)</f>
        <v>45870.66667</v>
      </c>
      <c r="I428" s="2">
        <f>IFERROR(__xludf.DUMMYFUNCTION("""COMPUTED_VALUE"""),1.82)</f>
        <v>1.82</v>
      </c>
      <c r="K428" s="3">
        <f>IFERROR(__xludf.DUMMYFUNCTION("""COMPUTED_VALUE"""),44813.6875)</f>
        <v>44813.6875</v>
      </c>
      <c r="L428" s="2">
        <f>IFERROR(__xludf.DUMMYFUNCTION("""COMPUTED_VALUE"""),45.98)</f>
        <v>45.98</v>
      </c>
      <c r="N428" s="3">
        <f>IFERROR(__xludf.DUMMYFUNCTION("""COMPUTED_VALUE"""),44816.66666666667)</f>
        <v>44816.66667</v>
      </c>
      <c r="O428" s="2">
        <f>IFERROR(__xludf.DUMMYFUNCTION("""COMPUTED_VALUE"""),32.13)</f>
        <v>32.13</v>
      </c>
      <c r="Q428" s="3">
        <f>IFERROR(__xludf.DUMMYFUNCTION("""COMPUTED_VALUE"""),44816.66666666667)</f>
        <v>44816.66667</v>
      </c>
      <c r="R428" s="2">
        <f>IFERROR(__xludf.DUMMYFUNCTION("""COMPUTED_VALUE"""),141.1)</f>
        <v>141.1</v>
      </c>
    </row>
    <row r="429">
      <c r="B429" s="3">
        <f>IFERROR(__xludf.DUMMYFUNCTION("""COMPUTED_VALUE"""),44817.66666666667)</f>
        <v>44817.66667</v>
      </c>
      <c r="C429" s="2">
        <f>IFERROR(__xludf.DUMMYFUNCTION("""COMPUTED_VALUE"""),44.11)</f>
        <v>44.11</v>
      </c>
      <c r="H429" s="3">
        <f>IFERROR(__xludf.DUMMYFUNCTION("""COMPUTED_VALUE"""),45873.66666666667)</f>
        <v>45873.66667</v>
      </c>
      <c r="I429" s="2">
        <f>IFERROR(__xludf.DUMMYFUNCTION("""COMPUTED_VALUE"""),1.9)</f>
        <v>1.9</v>
      </c>
      <c r="K429" s="3">
        <f>IFERROR(__xludf.DUMMYFUNCTION("""COMPUTED_VALUE"""),44816.6875)</f>
        <v>44816.6875</v>
      </c>
      <c r="L429" s="2">
        <f>IFERROR(__xludf.DUMMYFUNCTION("""COMPUTED_VALUE"""),46.96)</f>
        <v>46.96</v>
      </c>
      <c r="N429" s="3">
        <f>IFERROR(__xludf.DUMMYFUNCTION("""COMPUTED_VALUE"""),44817.66666666667)</f>
        <v>44817.66667</v>
      </c>
      <c r="O429" s="2">
        <f>IFERROR(__xludf.DUMMYFUNCTION("""COMPUTED_VALUE"""),31.77)</f>
        <v>31.77</v>
      </c>
      <c r="Q429" s="3">
        <f>IFERROR(__xludf.DUMMYFUNCTION("""COMPUTED_VALUE"""),44817.66666666667)</f>
        <v>44817.66667</v>
      </c>
      <c r="R429" s="2">
        <f>IFERROR(__xludf.DUMMYFUNCTION("""COMPUTED_VALUE"""),138.18)</f>
        <v>138.18</v>
      </c>
    </row>
    <row r="430">
      <c r="B430" s="3">
        <f>IFERROR(__xludf.DUMMYFUNCTION("""COMPUTED_VALUE"""),44818.66666666667)</f>
        <v>44818.66667</v>
      </c>
      <c r="C430" s="2">
        <f>IFERROR(__xludf.DUMMYFUNCTION("""COMPUTED_VALUE"""),43.96)</f>
        <v>43.96</v>
      </c>
      <c r="H430" s="3">
        <f>IFERROR(__xludf.DUMMYFUNCTION("""COMPUTED_VALUE"""),45874.66666666667)</f>
        <v>45874.66667</v>
      </c>
      <c r="I430" s="2">
        <f>IFERROR(__xludf.DUMMYFUNCTION("""COMPUTED_VALUE"""),1.93)</f>
        <v>1.93</v>
      </c>
      <c r="K430" s="3">
        <f>IFERROR(__xludf.DUMMYFUNCTION("""COMPUTED_VALUE"""),44817.6875)</f>
        <v>44817.6875</v>
      </c>
      <c r="L430" s="2">
        <f>IFERROR(__xludf.DUMMYFUNCTION("""COMPUTED_VALUE"""),46.47)</f>
        <v>46.47</v>
      </c>
      <c r="N430" s="3">
        <f>IFERROR(__xludf.DUMMYFUNCTION("""COMPUTED_VALUE"""),44818.66666666667)</f>
        <v>44818.66667</v>
      </c>
      <c r="O430" s="2">
        <f>IFERROR(__xludf.DUMMYFUNCTION("""COMPUTED_VALUE"""),32.08)</f>
        <v>32.08</v>
      </c>
      <c r="Q430" s="3">
        <f>IFERROR(__xludf.DUMMYFUNCTION("""COMPUTED_VALUE"""),44818.66666666667)</f>
        <v>44818.66667</v>
      </c>
      <c r="R430" s="2">
        <f>IFERROR(__xludf.DUMMYFUNCTION("""COMPUTED_VALUE"""),138.51)</f>
        <v>138.51</v>
      </c>
    </row>
    <row r="431">
      <c r="B431" s="3">
        <f>IFERROR(__xludf.DUMMYFUNCTION("""COMPUTED_VALUE"""),44819.66666666667)</f>
        <v>44819.66667</v>
      </c>
      <c r="C431" s="2">
        <f>IFERROR(__xludf.DUMMYFUNCTION("""COMPUTED_VALUE"""),43.29)</f>
        <v>43.29</v>
      </c>
      <c r="H431" s="3">
        <f>IFERROR(__xludf.DUMMYFUNCTION("""COMPUTED_VALUE"""),45875.66666666667)</f>
        <v>45875.66667</v>
      </c>
      <c r="I431" s="2">
        <f>IFERROR(__xludf.DUMMYFUNCTION("""COMPUTED_VALUE"""),1.86)</f>
        <v>1.86</v>
      </c>
      <c r="K431" s="3">
        <f>IFERROR(__xludf.DUMMYFUNCTION("""COMPUTED_VALUE"""),44818.6875)</f>
        <v>44818.6875</v>
      </c>
      <c r="L431" s="2">
        <f>IFERROR(__xludf.DUMMYFUNCTION("""COMPUTED_VALUE"""),46.21)</f>
        <v>46.21</v>
      </c>
      <c r="N431" s="3">
        <f>IFERROR(__xludf.DUMMYFUNCTION("""COMPUTED_VALUE"""),44819.66666666667)</f>
        <v>44819.66667</v>
      </c>
      <c r="O431" s="2">
        <f>IFERROR(__xludf.DUMMYFUNCTION("""COMPUTED_VALUE"""),31.5)</f>
        <v>31.5</v>
      </c>
      <c r="Q431" s="3">
        <f>IFERROR(__xludf.DUMMYFUNCTION("""COMPUTED_VALUE"""),44819.66666666667)</f>
        <v>44819.66667</v>
      </c>
      <c r="R431" s="2">
        <f>IFERROR(__xludf.DUMMYFUNCTION("""COMPUTED_VALUE"""),137.44)</f>
        <v>137.44</v>
      </c>
    </row>
    <row r="432">
      <c r="B432" s="3">
        <f>IFERROR(__xludf.DUMMYFUNCTION("""COMPUTED_VALUE"""),44820.66666666667)</f>
        <v>44820.66667</v>
      </c>
      <c r="C432" s="2">
        <f>IFERROR(__xludf.DUMMYFUNCTION("""COMPUTED_VALUE"""),43.3)</f>
        <v>43.3</v>
      </c>
      <c r="H432" s="3">
        <f>IFERROR(__xludf.DUMMYFUNCTION("""COMPUTED_VALUE"""),45876.66666666667)</f>
        <v>45876.66667</v>
      </c>
      <c r="I432" s="2">
        <f>IFERROR(__xludf.DUMMYFUNCTION("""COMPUTED_VALUE"""),1.84)</f>
        <v>1.84</v>
      </c>
      <c r="K432" s="3">
        <f>IFERROR(__xludf.DUMMYFUNCTION("""COMPUTED_VALUE"""),44819.6875)</f>
        <v>44819.6875</v>
      </c>
      <c r="L432" s="2">
        <f>IFERROR(__xludf.DUMMYFUNCTION("""COMPUTED_VALUE"""),47.62)</f>
        <v>47.62</v>
      </c>
      <c r="N432" s="3">
        <f>IFERROR(__xludf.DUMMYFUNCTION("""COMPUTED_VALUE"""),44820.66666666667)</f>
        <v>44820.66667</v>
      </c>
      <c r="O432" s="2">
        <f>IFERROR(__xludf.DUMMYFUNCTION("""COMPUTED_VALUE"""),31.01)</f>
        <v>31.01</v>
      </c>
      <c r="Q432" s="3">
        <f>IFERROR(__xludf.DUMMYFUNCTION("""COMPUTED_VALUE"""),44820.66666666667)</f>
        <v>44820.66667</v>
      </c>
      <c r="R432" s="2">
        <f>IFERROR(__xludf.DUMMYFUNCTION("""COMPUTED_VALUE"""),138.28)</f>
        <v>138.28</v>
      </c>
    </row>
    <row r="433">
      <c r="B433" s="3">
        <f>IFERROR(__xludf.DUMMYFUNCTION("""COMPUTED_VALUE"""),44823.66666666667)</f>
        <v>44823.66667</v>
      </c>
      <c r="C433" s="2">
        <f>IFERROR(__xludf.DUMMYFUNCTION("""COMPUTED_VALUE"""),43.3)</f>
        <v>43.3</v>
      </c>
      <c r="H433" s="3">
        <f>IFERROR(__xludf.DUMMYFUNCTION("""COMPUTED_VALUE"""),45877.66666666667)</f>
        <v>45877.66667</v>
      </c>
      <c r="I433" s="2">
        <f>IFERROR(__xludf.DUMMYFUNCTION("""COMPUTED_VALUE"""),1.83)</f>
        <v>1.83</v>
      </c>
      <c r="K433" s="3">
        <f>IFERROR(__xludf.DUMMYFUNCTION("""COMPUTED_VALUE"""),44820.6875)</f>
        <v>44820.6875</v>
      </c>
      <c r="L433" s="2">
        <f>IFERROR(__xludf.DUMMYFUNCTION("""COMPUTED_VALUE"""),47.81)</f>
        <v>47.81</v>
      </c>
      <c r="N433" s="3">
        <f>IFERROR(__xludf.DUMMYFUNCTION("""COMPUTED_VALUE"""),44823.66666666667)</f>
        <v>44823.66667</v>
      </c>
      <c r="O433" s="2">
        <f>IFERROR(__xludf.DUMMYFUNCTION("""COMPUTED_VALUE"""),30.9)</f>
        <v>30.9</v>
      </c>
      <c r="Q433" s="3">
        <f>IFERROR(__xludf.DUMMYFUNCTION("""COMPUTED_VALUE"""),44823.66666666667)</f>
        <v>44823.66667</v>
      </c>
      <c r="R433" s="2">
        <f>IFERROR(__xludf.DUMMYFUNCTION("""COMPUTED_VALUE"""),137.99)</f>
        <v>137.99</v>
      </c>
    </row>
    <row r="434">
      <c r="B434" s="3">
        <f>IFERROR(__xludf.DUMMYFUNCTION("""COMPUTED_VALUE"""),44824.66666666667)</f>
        <v>44824.66667</v>
      </c>
      <c r="C434" s="2">
        <f>IFERROR(__xludf.DUMMYFUNCTION("""COMPUTED_VALUE"""),42.58)</f>
        <v>42.58</v>
      </c>
      <c r="H434" s="3">
        <f>IFERROR(__xludf.DUMMYFUNCTION("""COMPUTED_VALUE"""),45880.66666666667)</f>
        <v>45880.66667</v>
      </c>
      <c r="I434" s="2">
        <f>IFERROR(__xludf.DUMMYFUNCTION("""COMPUTED_VALUE"""),2.11)</f>
        <v>2.11</v>
      </c>
      <c r="K434" s="3">
        <f>IFERROR(__xludf.DUMMYFUNCTION("""COMPUTED_VALUE"""),44824.6875)</f>
        <v>44824.6875</v>
      </c>
      <c r="L434" s="2">
        <f>IFERROR(__xludf.DUMMYFUNCTION("""COMPUTED_VALUE"""),49.0)</f>
        <v>49</v>
      </c>
      <c r="N434" s="3">
        <f>IFERROR(__xludf.DUMMYFUNCTION("""COMPUTED_VALUE"""),44824.66666666667)</f>
        <v>44824.66667</v>
      </c>
      <c r="O434" s="2">
        <f>IFERROR(__xludf.DUMMYFUNCTION("""COMPUTED_VALUE"""),31.0)</f>
        <v>31</v>
      </c>
      <c r="Q434" s="3">
        <f>IFERROR(__xludf.DUMMYFUNCTION("""COMPUTED_VALUE"""),44824.66666666667)</f>
        <v>44824.66667</v>
      </c>
      <c r="R434" s="2">
        <f>IFERROR(__xludf.DUMMYFUNCTION("""COMPUTED_VALUE"""),137.5)</f>
        <v>137.5</v>
      </c>
    </row>
    <row r="435">
      <c r="B435" s="3">
        <f>IFERROR(__xludf.DUMMYFUNCTION("""COMPUTED_VALUE"""),44825.66666666667)</f>
        <v>44825.66667</v>
      </c>
      <c r="C435" s="2">
        <f>IFERROR(__xludf.DUMMYFUNCTION("""COMPUTED_VALUE"""),41.59)</f>
        <v>41.59</v>
      </c>
      <c r="H435" s="3">
        <f>IFERROR(__xludf.DUMMYFUNCTION("""COMPUTED_VALUE"""),45881.66666666667)</f>
        <v>45881.66667</v>
      </c>
      <c r="I435" s="2">
        <f>IFERROR(__xludf.DUMMYFUNCTION("""COMPUTED_VALUE"""),2.12)</f>
        <v>2.12</v>
      </c>
      <c r="K435" s="3">
        <f>IFERROR(__xludf.DUMMYFUNCTION("""COMPUTED_VALUE"""),44825.6875)</f>
        <v>44825.6875</v>
      </c>
      <c r="L435" s="2">
        <f>IFERROR(__xludf.DUMMYFUNCTION("""COMPUTED_VALUE"""),48.47)</f>
        <v>48.47</v>
      </c>
      <c r="N435" s="3">
        <f>IFERROR(__xludf.DUMMYFUNCTION("""COMPUTED_VALUE"""),44825.66666666667)</f>
        <v>44825.66667</v>
      </c>
      <c r="O435" s="2">
        <f>IFERROR(__xludf.DUMMYFUNCTION("""COMPUTED_VALUE"""),30.52)</f>
        <v>30.52</v>
      </c>
      <c r="Q435" s="3">
        <f>IFERROR(__xludf.DUMMYFUNCTION("""COMPUTED_VALUE"""),44825.66666666667)</f>
        <v>44825.66667</v>
      </c>
      <c r="R435" s="2">
        <f>IFERROR(__xludf.DUMMYFUNCTION("""COMPUTED_VALUE"""),135.73)</f>
        <v>135.73</v>
      </c>
    </row>
    <row r="436">
      <c r="B436" s="3">
        <f>IFERROR(__xludf.DUMMYFUNCTION("""COMPUTED_VALUE"""),44826.66666666667)</f>
        <v>44826.66667</v>
      </c>
      <c r="C436" s="2">
        <f>IFERROR(__xludf.DUMMYFUNCTION("""COMPUTED_VALUE"""),41.15)</f>
        <v>41.15</v>
      </c>
      <c r="H436" s="3">
        <f>IFERROR(__xludf.DUMMYFUNCTION("""COMPUTED_VALUE"""),45882.66666666667)</f>
        <v>45882.66667</v>
      </c>
      <c r="I436" s="2">
        <f>IFERROR(__xludf.DUMMYFUNCTION("""COMPUTED_VALUE"""),2.15)</f>
        <v>2.15</v>
      </c>
      <c r="K436" s="3">
        <f>IFERROR(__xludf.DUMMYFUNCTION("""COMPUTED_VALUE"""),44826.6875)</f>
        <v>44826.6875</v>
      </c>
      <c r="L436" s="2">
        <f>IFERROR(__xludf.DUMMYFUNCTION("""COMPUTED_VALUE"""),47.96)</f>
        <v>47.96</v>
      </c>
      <c r="N436" s="3">
        <f>IFERROR(__xludf.DUMMYFUNCTION("""COMPUTED_VALUE"""),44826.66666666667)</f>
        <v>44826.66667</v>
      </c>
      <c r="O436" s="2">
        <f>IFERROR(__xludf.DUMMYFUNCTION("""COMPUTED_VALUE"""),30.79)</f>
        <v>30.79</v>
      </c>
      <c r="Q436" s="3">
        <f>IFERROR(__xludf.DUMMYFUNCTION("""COMPUTED_VALUE"""),44826.66666666667)</f>
        <v>44826.66667</v>
      </c>
      <c r="R436" s="2">
        <f>IFERROR(__xludf.DUMMYFUNCTION("""COMPUTED_VALUE"""),136.21)</f>
        <v>136.21</v>
      </c>
    </row>
    <row r="437">
      <c r="B437" s="3">
        <f>IFERROR(__xludf.DUMMYFUNCTION("""COMPUTED_VALUE"""),44827.66666666667)</f>
        <v>44827.66667</v>
      </c>
      <c r="C437" s="2">
        <f>IFERROR(__xludf.DUMMYFUNCTION("""COMPUTED_VALUE"""),40.66)</f>
        <v>40.66</v>
      </c>
      <c r="H437" s="3">
        <f>IFERROR(__xludf.DUMMYFUNCTION("""COMPUTED_VALUE"""),45883.66666666667)</f>
        <v>45883.66667</v>
      </c>
      <c r="I437" s="2">
        <f>IFERROR(__xludf.DUMMYFUNCTION("""COMPUTED_VALUE"""),2.26)</f>
        <v>2.26</v>
      </c>
      <c r="K437" s="3">
        <f>IFERROR(__xludf.DUMMYFUNCTION("""COMPUTED_VALUE"""),44827.6875)</f>
        <v>44827.6875</v>
      </c>
      <c r="L437" s="2">
        <f>IFERROR(__xludf.DUMMYFUNCTION("""COMPUTED_VALUE"""),46.23)</f>
        <v>46.23</v>
      </c>
      <c r="N437" s="3">
        <f>IFERROR(__xludf.DUMMYFUNCTION("""COMPUTED_VALUE"""),44827.66666666667)</f>
        <v>44827.66667</v>
      </c>
      <c r="O437" s="2">
        <f>IFERROR(__xludf.DUMMYFUNCTION("""COMPUTED_VALUE"""),28.08)</f>
        <v>28.08</v>
      </c>
      <c r="Q437" s="3">
        <f>IFERROR(__xludf.DUMMYFUNCTION("""COMPUTED_VALUE"""),44827.66666666667)</f>
        <v>44827.66667</v>
      </c>
      <c r="R437" s="2">
        <f>IFERROR(__xludf.DUMMYFUNCTION("""COMPUTED_VALUE"""),135.58)</f>
        <v>135.58</v>
      </c>
    </row>
    <row r="438">
      <c r="B438" s="3">
        <f>IFERROR(__xludf.DUMMYFUNCTION("""COMPUTED_VALUE"""),44830.66666666667)</f>
        <v>44830.66667</v>
      </c>
      <c r="C438" s="2">
        <f>IFERROR(__xludf.DUMMYFUNCTION("""COMPUTED_VALUE"""),40.58)</f>
        <v>40.58</v>
      </c>
      <c r="H438" s="3">
        <f>IFERROR(__xludf.DUMMYFUNCTION("""COMPUTED_VALUE"""),45884.66666666667)</f>
        <v>45884.66667</v>
      </c>
      <c r="I438" s="2">
        <f>IFERROR(__xludf.DUMMYFUNCTION("""COMPUTED_VALUE"""),2.21)</f>
        <v>2.21</v>
      </c>
      <c r="K438" s="3">
        <f>IFERROR(__xludf.DUMMYFUNCTION("""COMPUTED_VALUE"""),44830.6875)</f>
        <v>44830.6875</v>
      </c>
      <c r="L438" s="2">
        <f>IFERROR(__xludf.DUMMYFUNCTION("""COMPUTED_VALUE"""),44.7)</f>
        <v>44.7</v>
      </c>
      <c r="N438" s="3">
        <f>IFERROR(__xludf.DUMMYFUNCTION("""COMPUTED_VALUE"""),44830.66666666667)</f>
        <v>44830.66667</v>
      </c>
      <c r="O438" s="2">
        <f>IFERROR(__xludf.DUMMYFUNCTION("""COMPUTED_VALUE"""),27.26)</f>
        <v>27.26</v>
      </c>
      <c r="Q438" s="3">
        <f>IFERROR(__xludf.DUMMYFUNCTION("""COMPUTED_VALUE"""),44830.66666666667)</f>
        <v>44830.66667</v>
      </c>
      <c r="R438" s="2">
        <f>IFERROR(__xludf.DUMMYFUNCTION("""COMPUTED_VALUE"""),135.71)</f>
        <v>135.71</v>
      </c>
    </row>
    <row r="439">
      <c r="B439" s="3">
        <f>IFERROR(__xludf.DUMMYFUNCTION("""COMPUTED_VALUE"""),44831.66666666667)</f>
        <v>44831.66667</v>
      </c>
      <c r="C439" s="2">
        <f>IFERROR(__xludf.DUMMYFUNCTION("""COMPUTED_VALUE"""),40.52)</f>
        <v>40.52</v>
      </c>
      <c r="H439" s="3">
        <f>IFERROR(__xludf.DUMMYFUNCTION("""COMPUTED_VALUE"""),45887.66666666667)</f>
        <v>45887.66667</v>
      </c>
      <c r="I439" s="2">
        <f>IFERROR(__xludf.DUMMYFUNCTION("""COMPUTED_VALUE"""),2.21)</f>
        <v>2.21</v>
      </c>
      <c r="K439" s="3">
        <f>IFERROR(__xludf.DUMMYFUNCTION("""COMPUTED_VALUE"""),44831.6875)</f>
        <v>44831.6875</v>
      </c>
      <c r="L439" s="2">
        <f>IFERROR(__xludf.DUMMYFUNCTION("""COMPUTED_VALUE"""),43.29)</f>
        <v>43.29</v>
      </c>
      <c r="N439" s="3">
        <f>IFERROR(__xludf.DUMMYFUNCTION("""COMPUTED_VALUE"""),44831.66666666667)</f>
        <v>44831.66667</v>
      </c>
      <c r="O439" s="2">
        <f>IFERROR(__xludf.DUMMYFUNCTION("""COMPUTED_VALUE"""),27.55)</f>
        <v>27.55</v>
      </c>
      <c r="Q439" s="3">
        <f>IFERROR(__xludf.DUMMYFUNCTION("""COMPUTED_VALUE"""),44831.66666666667)</f>
        <v>44831.66667</v>
      </c>
      <c r="R439" s="2">
        <f>IFERROR(__xludf.DUMMYFUNCTION("""COMPUTED_VALUE"""),131.98)</f>
        <v>131.98</v>
      </c>
    </row>
    <row r="440">
      <c r="B440" s="3">
        <f>IFERROR(__xludf.DUMMYFUNCTION("""COMPUTED_VALUE"""),44832.66666666667)</f>
        <v>44832.66667</v>
      </c>
      <c r="C440" s="2">
        <f>IFERROR(__xludf.DUMMYFUNCTION("""COMPUTED_VALUE"""),41.34)</f>
        <v>41.34</v>
      </c>
      <c r="H440" s="3">
        <f>IFERROR(__xludf.DUMMYFUNCTION("""COMPUTED_VALUE"""),45888.66666666667)</f>
        <v>45888.66667</v>
      </c>
      <c r="I440" s="2">
        <f>IFERROR(__xludf.DUMMYFUNCTION("""COMPUTED_VALUE"""),2.03)</f>
        <v>2.03</v>
      </c>
      <c r="K440" s="3">
        <f>IFERROR(__xludf.DUMMYFUNCTION("""COMPUTED_VALUE"""),44832.6875)</f>
        <v>44832.6875</v>
      </c>
      <c r="L440" s="2">
        <f>IFERROR(__xludf.DUMMYFUNCTION("""COMPUTED_VALUE"""),41.86)</f>
        <v>41.86</v>
      </c>
      <c r="N440" s="3">
        <f>IFERROR(__xludf.DUMMYFUNCTION("""COMPUTED_VALUE"""),44832.66666666667)</f>
        <v>44832.66667</v>
      </c>
      <c r="O440" s="2">
        <f>IFERROR(__xludf.DUMMYFUNCTION("""COMPUTED_VALUE"""),28.56)</f>
        <v>28.56</v>
      </c>
      <c r="Q440" s="3">
        <f>IFERROR(__xludf.DUMMYFUNCTION("""COMPUTED_VALUE"""),44832.66666666667)</f>
        <v>44832.66667</v>
      </c>
      <c r="R440" s="2">
        <f>IFERROR(__xludf.DUMMYFUNCTION("""COMPUTED_VALUE"""),131.98)</f>
        <v>131.98</v>
      </c>
    </row>
    <row r="441">
      <c r="B441" s="3">
        <f>IFERROR(__xludf.DUMMYFUNCTION("""COMPUTED_VALUE"""),44833.66666666667)</f>
        <v>44833.66667</v>
      </c>
      <c r="C441" s="2">
        <f>IFERROR(__xludf.DUMMYFUNCTION("""COMPUTED_VALUE"""),40.57)</f>
        <v>40.57</v>
      </c>
      <c r="H441" s="3">
        <f>IFERROR(__xludf.DUMMYFUNCTION("""COMPUTED_VALUE"""),45889.66666666667)</f>
        <v>45889.66667</v>
      </c>
      <c r="I441" s="2">
        <f>IFERROR(__xludf.DUMMYFUNCTION("""COMPUTED_VALUE"""),2.0)</f>
        <v>2</v>
      </c>
      <c r="K441" s="3">
        <f>IFERROR(__xludf.DUMMYFUNCTION("""COMPUTED_VALUE"""),44833.6875)</f>
        <v>44833.6875</v>
      </c>
      <c r="L441" s="2">
        <f>IFERROR(__xludf.DUMMYFUNCTION("""COMPUTED_VALUE"""),40.72)</f>
        <v>40.72</v>
      </c>
      <c r="N441" s="3">
        <f>IFERROR(__xludf.DUMMYFUNCTION("""COMPUTED_VALUE"""),44833.66666666667)</f>
        <v>44833.66667</v>
      </c>
      <c r="O441" s="2">
        <f>IFERROR(__xludf.DUMMYFUNCTION("""COMPUTED_VALUE"""),28.75)</f>
        <v>28.75</v>
      </c>
      <c r="Q441" s="3">
        <f>IFERROR(__xludf.DUMMYFUNCTION("""COMPUTED_VALUE"""),44833.66666666667)</f>
        <v>44833.66667</v>
      </c>
      <c r="R441" s="2">
        <f>IFERROR(__xludf.DUMMYFUNCTION("""COMPUTED_VALUE"""),128.7)</f>
        <v>128.7</v>
      </c>
    </row>
    <row r="442">
      <c r="B442" s="3">
        <f>IFERROR(__xludf.DUMMYFUNCTION("""COMPUTED_VALUE"""),44834.66666666667)</f>
        <v>44834.66667</v>
      </c>
      <c r="C442" s="2">
        <f>IFERROR(__xludf.DUMMYFUNCTION("""COMPUTED_VALUE"""),40.0)</f>
        <v>40</v>
      </c>
      <c r="H442" s="3">
        <f>IFERROR(__xludf.DUMMYFUNCTION("""COMPUTED_VALUE"""),45890.66666666667)</f>
        <v>45890.66667</v>
      </c>
      <c r="I442" s="2">
        <f>IFERROR(__xludf.DUMMYFUNCTION("""COMPUTED_VALUE"""),1.99)</f>
        <v>1.99</v>
      </c>
      <c r="K442" s="3">
        <f>IFERROR(__xludf.DUMMYFUNCTION("""COMPUTED_VALUE"""),44834.6875)</f>
        <v>44834.6875</v>
      </c>
      <c r="L442" s="2">
        <f>IFERROR(__xludf.DUMMYFUNCTION("""COMPUTED_VALUE"""),41.39)</f>
        <v>41.39</v>
      </c>
      <c r="N442" s="3">
        <f>IFERROR(__xludf.DUMMYFUNCTION("""COMPUTED_VALUE"""),44834.66666666667)</f>
        <v>44834.66667</v>
      </c>
      <c r="O442" s="2">
        <f>IFERROR(__xludf.DUMMYFUNCTION("""COMPUTED_VALUE"""),28.55)</f>
        <v>28.55</v>
      </c>
      <c r="Q442" s="3">
        <f>IFERROR(__xludf.DUMMYFUNCTION("""COMPUTED_VALUE"""),44834.66666666667)</f>
        <v>44834.66667</v>
      </c>
      <c r="R442" s="2">
        <f>IFERROR(__xludf.DUMMYFUNCTION("""COMPUTED_VALUE"""),126.25)</f>
        <v>126.25</v>
      </c>
    </row>
    <row r="443">
      <c r="B443" s="3">
        <f>IFERROR(__xludf.DUMMYFUNCTION("""COMPUTED_VALUE"""),44837.66666666667)</f>
        <v>44837.66667</v>
      </c>
      <c r="C443" s="2">
        <f>IFERROR(__xludf.DUMMYFUNCTION("""COMPUTED_VALUE"""),41.29)</f>
        <v>41.29</v>
      </c>
      <c r="H443" s="3">
        <f>IFERROR(__xludf.DUMMYFUNCTION("""COMPUTED_VALUE"""),45891.66666666667)</f>
        <v>45891.66667</v>
      </c>
      <c r="I443" s="2">
        <f>IFERROR(__xludf.DUMMYFUNCTION("""COMPUTED_VALUE"""),2.09)</f>
        <v>2.09</v>
      </c>
      <c r="K443" s="3">
        <f>IFERROR(__xludf.DUMMYFUNCTION("""COMPUTED_VALUE"""),44837.6875)</f>
        <v>44837.6875</v>
      </c>
      <c r="L443" s="2">
        <f>IFERROR(__xludf.DUMMYFUNCTION("""COMPUTED_VALUE"""),41.78)</f>
        <v>41.78</v>
      </c>
      <c r="N443" s="3">
        <f>IFERROR(__xludf.DUMMYFUNCTION("""COMPUTED_VALUE"""),44837.66666666667)</f>
        <v>44837.66667</v>
      </c>
      <c r="O443" s="2">
        <f>IFERROR(__xludf.DUMMYFUNCTION("""COMPUTED_VALUE"""),30.1)</f>
        <v>30.1</v>
      </c>
      <c r="Q443" s="3">
        <f>IFERROR(__xludf.DUMMYFUNCTION("""COMPUTED_VALUE"""),44837.66666666667)</f>
        <v>44837.66667</v>
      </c>
      <c r="R443" s="2">
        <f>IFERROR(__xludf.DUMMYFUNCTION("""COMPUTED_VALUE"""),128.51)</f>
        <v>128.51</v>
      </c>
    </row>
    <row r="444">
      <c r="B444" s="3">
        <f>IFERROR(__xludf.DUMMYFUNCTION("""COMPUTED_VALUE"""),44838.66666666667)</f>
        <v>44838.66667</v>
      </c>
      <c r="C444" s="2">
        <f>IFERROR(__xludf.DUMMYFUNCTION("""COMPUTED_VALUE"""),41.82)</f>
        <v>41.82</v>
      </c>
      <c r="H444" s="3">
        <f>IFERROR(__xludf.DUMMYFUNCTION("""COMPUTED_VALUE"""),45894.66666666667)</f>
        <v>45894.66667</v>
      </c>
      <c r="I444" s="2">
        <f>IFERROR(__xludf.DUMMYFUNCTION("""COMPUTED_VALUE"""),2.38)</f>
        <v>2.38</v>
      </c>
      <c r="K444" s="3">
        <f>IFERROR(__xludf.DUMMYFUNCTION("""COMPUTED_VALUE"""),44838.6875)</f>
        <v>44838.6875</v>
      </c>
      <c r="L444" s="2">
        <f>IFERROR(__xludf.DUMMYFUNCTION("""COMPUTED_VALUE"""),43.12)</f>
        <v>43.12</v>
      </c>
      <c r="N444" s="3">
        <f>IFERROR(__xludf.DUMMYFUNCTION("""COMPUTED_VALUE"""),44838.66666666667)</f>
        <v>44838.66667</v>
      </c>
      <c r="O444" s="2">
        <f>IFERROR(__xludf.DUMMYFUNCTION("""COMPUTED_VALUE"""),31.28)</f>
        <v>31.28</v>
      </c>
      <c r="Q444" s="3">
        <f>IFERROR(__xludf.DUMMYFUNCTION("""COMPUTED_VALUE"""),44838.66666666667)</f>
        <v>44838.66667</v>
      </c>
      <c r="R444" s="2">
        <f>IFERROR(__xludf.DUMMYFUNCTION("""COMPUTED_VALUE"""),130.1)</f>
        <v>130.1</v>
      </c>
    </row>
    <row r="445">
      <c r="B445" s="3">
        <f>IFERROR(__xludf.DUMMYFUNCTION("""COMPUTED_VALUE"""),44839.66666666667)</f>
        <v>44839.66667</v>
      </c>
      <c r="C445" s="2">
        <f>IFERROR(__xludf.DUMMYFUNCTION("""COMPUTED_VALUE"""),41.99)</f>
        <v>41.99</v>
      </c>
      <c r="H445" s="3">
        <f>IFERROR(__xludf.DUMMYFUNCTION("""COMPUTED_VALUE"""),45895.66666666667)</f>
        <v>45895.66667</v>
      </c>
      <c r="I445" s="2">
        <f>IFERROR(__xludf.DUMMYFUNCTION("""COMPUTED_VALUE"""),3.15)</f>
        <v>3.15</v>
      </c>
      <c r="K445" s="3">
        <f>IFERROR(__xludf.DUMMYFUNCTION("""COMPUTED_VALUE"""),44839.6875)</f>
        <v>44839.6875</v>
      </c>
      <c r="L445" s="2">
        <f>IFERROR(__xludf.DUMMYFUNCTION("""COMPUTED_VALUE"""),42.86)</f>
        <v>42.86</v>
      </c>
      <c r="N445" s="3">
        <f>IFERROR(__xludf.DUMMYFUNCTION("""COMPUTED_VALUE"""),44839.66666666667)</f>
        <v>44839.66667</v>
      </c>
      <c r="O445" s="2">
        <f>IFERROR(__xludf.DUMMYFUNCTION("""COMPUTED_VALUE"""),31.38)</f>
        <v>31.38</v>
      </c>
      <c r="Q445" s="3">
        <f>IFERROR(__xludf.DUMMYFUNCTION("""COMPUTED_VALUE"""),44839.66666666667)</f>
        <v>44839.66667</v>
      </c>
      <c r="R445" s="2">
        <f>IFERROR(__xludf.DUMMYFUNCTION("""COMPUTED_VALUE"""),129.2)</f>
        <v>129.2</v>
      </c>
    </row>
    <row r="446">
      <c r="B446" s="3">
        <f>IFERROR(__xludf.DUMMYFUNCTION("""COMPUTED_VALUE"""),44840.66666666667)</f>
        <v>44840.66667</v>
      </c>
      <c r="C446" s="2">
        <f>IFERROR(__xludf.DUMMYFUNCTION("""COMPUTED_VALUE"""),41.52)</f>
        <v>41.52</v>
      </c>
      <c r="H446" s="3">
        <f>IFERROR(__xludf.DUMMYFUNCTION("""COMPUTED_VALUE"""),45896.66666666667)</f>
        <v>45896.66667</v>
      </c>
      <c r="I446" s="2">
        <f>IFERROR(__xludf.DUMMYFUNCTION("""COMPUTED_VALUE"""),3.31)</f>
        <v>3.31</v>
      </c>
      <c r="K446" s="3">
        <f>IFERROR(__xludf.DUMMYFUNCTION("""COMPUTED_VALUE"""),44840.6875)</f>
        <v>44840.6875</v>
      </c>
      <c r="L446" s="2">
        <f>IFERROR(__xludf.DUMMYFUNCTION("""COMPUTED_VALUE"""),42.53)</f>
        <v>42.53</v>
      </c>
      <c r="N446" s="3">
        <f>IFERROR(__xludf.DUMMYFUNCTION("""COMPUTED_VALUE"""),44840.66666666667)</f>
        <v>44840.66667</v>
      </c>
      <c r="O446" s="2">
        <f>IFERROR(__xludf.DUMMYFUNCTION("""COMPUTED_VALUE"""),31.14)</f>
        <v>31.14</v>
      </c>
      <c r="Q446" s="3">
        <f>IFERROR(__xludf.DUMMYFUNCTION("""COMPUTED_VALUE"""),44840.66666666667)</f>
        <v>44840.66667</v>
      </c>
      <c r="R446" s="2">
        <f>IFERROR(__xludf.DUMMYFUNCTION("""COMPUTED_VALUE"""),126.48)</f>
        <v>126.48</v>
      </c>
    </row>
    <row r="447">
      <c r="B447" s="3">
        <f>IFERROR(__xludf.DUMMYFUNCTION("""COMPUTED_VALUE"""),44841.66666666667)</f>
        <v>44841.66667</v>
      </c>
      <c r="C447" s="2">
        <f>IFERROR(__xludf.DUMMYFUNCTION("""COMPUTED_VALUE"""),40.27)</f>
        <v>40.27</v>
      </c>
      <c r="H447" s="3">
        <f>IFERROR(__xludf.DUMMYFUNCTION("""COMPUTED_VALUE"""),45897.66666666667)</f>
        <v>45897.66667</v>
      </c>
      <c r="I447" s="2">
        <f>IFERROR(__xludf.DUMMYFUNCTION("""COMPUTED_VALUE"""),3.1)</f>
        <v>3.1</v>
      </c>
      <c r="K447" s="3">
        <f>IFERROR(__xludf.DUMMYFUNCTION("""COMPUTED_VALUE"""),44841.6875)</f>
        <v>44841.6875</v>
      </c>
      <c r="L447" s="2">
        <f>IFERROR(__xludf.DUMMYFUNCTION("""COMPUTED_VALUE"""),42.68)</f>
        <v>42.68</v>
      </c>
      <c r="N447" s="3">
        <f>IFERROR(__xludf.DUMMYFUNCTION("""COMPUTED_VALUE"""),44841.66666666667)</f>
        <v>44841.66667</v>
      </c>
      <c r="O447" s="2">
        <f>IFERROR(__xludf.DUMMYFUNCTION("""COMPUTED_VALUE"""),31.08)</f>
        <v>31.08</v>
      </c>
      <c r="Q447" s="3">
        <f>IFERROR(__xludf.DUMMYFUNCTION("""COMPUTED_VALUE"""),44841.66666666667)</f>
        <v>44841.66667</v>
      </c>
      <c r="R447" s="2">
        <f>IFERROR(__xludf.DUMMYFUNCTION("""COMPUTED_VALUE"""),124.27)</f>
        <v>124.27</v>
      </c>
    </row>
    <row r="448">
      <c r="B448" s="3">
        <f>IFERROR(__xludf.DUMMYFUNCTION("""COMPUTED_VALUE"""),44844.66666666667)</f>
        <v>44844.66667</v>
      </c>
      <c r="C448" s="2">
        <f>IFERROR(__xludf.DUMMYFUNCTION("""COMPUTED_VALUE"""),39.89)</f>
        <v>39.89</v>
      </c>
      <c r="H448" s="3">
        <f>IFERROR(__xludf.DUMMYFUNCTION("""COMPUTED_VALUE"""),45898.66666666667)</f>
        <v>45898.66667</v>
      </c>
      <c r="I448" s="2">
        <f>IFERROR(__xludf.DUMMYFUNCTION("""COMPUTED_VALUE"""),3.05)</f>
        <v>3.05</v>
      </c>
      <c r="K448" s="3">
        <f>IFERROR(__xludf.DUMMYFUNCTION("""COMPUTED_VALUE"""),44844.6875)</f>
        <v>44844.6875</v>
      </c>
      <c r="L448" s="2">
        <f>IFERROR(__xludf.DUMMYFUNCTION("""COMPUTED_VALUE"""),42.19)</f>
        <v>42.19</v>
      </c>
      <c r="N448" s="3">
        <f>IFERROR(__xludf.DUMMYFUNCTION("""COMPUTED_VALUE"""),44844.66666666667)</f>
        <v>44844.66667</v>
      </c>
      <c r="O448" s="2">
        <f>IFERROR(__xludf.DUMMYFUNCTION("""COMPUTED_VALUE"""),30.35)</f>
        <v>30.35</v>
      </c>
      <c r="Q448" s="3">
        <f>IFERROR(__xludf.DUMMYFUNCTION("""COMPUTED_VALUE"""),44844.66666666667)</f>
        <v>44844.66667</v>
      </c>
      <c r="R448" s="2">
        <f>IFERROR(__xludf.DUMMYFUNCTION("""COMPUTED_VALUE"""),123.76)</f>
        <v>123.76</v>
      </c>
    </row>
    <row r="449">
      <c r="B449" s="3">
        <f>IFERROR(__xludf.DUMMYFUNCTION("""COMPUTED_VALUE"""),44845.66666666667)</f>
        <v>44845.66667</v>
      </c>
      <c r="C449" s="2">
        <f>IFERROR(__xludf.DUMMYFUNCTION("""COMPUTED_VALUE"""),39.58)</f>
        <v>39.58</v>
      </c>
      <c r="H449" s="3">
        <f>IFERROR(__xludf.DUMMYFUNCTION("""COMPUTED_VALUE"""),45902.66666666667)</f>
        <v>45902.66667</v>
      </c>
      <c r="I449" s="2">
        <f>IFERROR(__xludf.DUMMYFUNCTION("""COMPUTED_VALUE"""),2.89)</f>
        <v>2.89</v>
      </c>
      <c r="K449" s="3">
        <f>IFERROR(__xludf.DUMMYFUNCTION("""COMPUTED_VALUE"""),44845.6875)</f>
        <v>44845.6875</v>
      </c>
      <c r="L449" s="2">
        <f>IFERROR(__xludf.DUMMYFUNCTION("""COMPUTED_VALUE"""),41.5)</f>
        <v>41.5</v>
      </c>
      <c r="N449" s="3">
        <f>IFERROR(__xludf.DUMMYFUNCTION("""COMPUTED_VALUE"""),44845.66666666667)</f>
        <v>44845.66667</v>
      </c>
      <c r="O449" s="2">
        <f>IFERROR(__xludf.DUMMYFUNCTION("""COMPUTED_VALUE"""),29.81)</f>
        <v>29.81</v>
      </c>
      <c r="Q449" s="3">
        <f>IFERROR(__xludf.DUMMYFUNCTION("""COMPUTED_VALUE"""),44845.66666666667)</f>
        <v>44845.66667</v>
      </c>
      <c r="R449" s="2">
        <f>IFERROR(__xludf.DUMMYFUNCTION("""COMPUTED_VALUE"""),124.23)</f>
        <v>124.23</v>
      </c>
    </row>
    <row r="450">
      <c r="B450" s="3">
        <f>IFERROR(__xludf.DUMMYFUNCTION("""COMPUTED_VALUE"""),44846.66666666667)</f>
        <v>44846.66667</v>
      </c>
      <c r="C450" s="2">
        <f>IFERROR(__xludf.DUMMYFUNCTION("""COMPUTED_VALUE"""),39.27)</f>
        <v>39.27</v>
      </c>
      <c r="H450" s="3">
        <f>IFERROR(__xludf.DUMMYFUNCTION("""COMPUTED_VALUE"""),45903.66666666667)</f>
        <v>45903.66667</v>
      </c>
      <c r="I450" s="2">
        <f>IFERROR(__xludf.DUMMYFUNCTION("""COMPUTED_VALUE"""),2.68)</f>
        <v>2.68</v>
      </c>
      <c r="K450" s="3">
        <f>IFERROR(__xludf.DUMMYFUNCTION("""COMPUTED_VALUE"""),44846.6875)</f>
        <v>44846.6875</v>
      </c>
      <c r="L450" s="2">
        <f>IFERROR(__xludf.DUMMYFUNCTION("""COMPUTED_VALUE"""),39.09)</f>
        <v>39.09</v>
      </c>
      <c r="N450" s="3">
        <f>IFERROR(__xludf.DUMMYFUNCTION("""COMPUTED_VALUE"""),44846.66666666667)</f>
        <v>44846.66667</v>
      </c>
      <c r="O450" s="2">
        <f>IFERROR(__xludf.DUMMYFUNCTION("""COMPUTED_VALUE"""),29.95)</f>
        <v>29.95</v>
      </c>
      <c r="Q450" s="3">
        <f>IFERROR(__xludf.DUMMYFUNCTION("""COMPUTED_VALUE"""),44846.66666666667)</f>
        <v>44846.66667</v>
      </c>
      <c r="R450" s="2">
        <f>IFERROR(__xludf.DUMMYFUNCTION("""COMPUTED_VALUE"""),124.43)</f>
        <v>124.43</v>
      </c>
    </row>
    <row r="451">
      <c r="B451" s="3">
        <f>IFERROR(__xludf.DUMMYFUNCTION("""COMPUTED_VALUE"""),44847.66666666667)</f>
        <v>44847.66667</v>
      </c>
      <c r="C451" s="2">
        <f>IFERROR(__xludf.DUMMYFUNCTION("""COMPUTED_VALUE"""),40.61)</f>
        <v>40.61</v>
      </c>
      <c r="H451" s="3">
        <f>IFERROR(__xludf.DUMMYFUNCTION("""COMPUTED_VALUE"""),45904.66666666667)</f>
        <v>45904.66667</v>
      </c>
      <c r="I451" s="2">
        <f>IFERROR(__xludf.DUMMYFUNCTION("""COMPUTED_VALUE"""),2.54)</f>
        <v>2.54</v>
      </c>
      <c r="K451" s="3">
        <f>IFERROR(__xludf.DUMMYFUNCTION("""COMPUTED_VALUE"""),44847.6875)</f>
        <v>44847.6875</v>
      </c>
      <c r="L451" s="2">
        <f>IFERROR(__xludf.DUMMYFUNCTION("""COMPUTED_VALUE"""),41.77)</f>
        <v>41.77</v>
      </c>
      <c r="N451" s="3">
        <f>IFERROR(__xludf.DUMMYFUNCTION("""COMPUTED_VALUE"""),44847.66666666667)</f>
        <v>44847.66667</v>
      </c>
      <c r="O451" s="2">
        <f>IFERROR(__xludf.DUMMYFUNCTION("""COMPUTED_VALUE"""),31.15)</f>
        <v>31.15</v>
      </c>
      <c r="Q451" s="3">
        <f>IFERROR(__xludf.DUMMYFUNCTION("""COMPUTED_VALUE"""),44847.66666666667)</f>
        <v>44847.66667</v>
      </c>
      <c r="R451" s="2">
        <f>IFERROR(__xludf.DUMMYFUNCTION("""COMPUTED_VALUE"""),126.31)</f>
        <v>126.31</v>
      </c>
    </row>
    <row r="452">
      <c r="B452" s="3">
        <f>IFERROR(__xludf.DUMMYFUNCTION("""COMPUTED_VALUE"""),44848.66666666667)</f>
        <v>44848.66667</v>
      </c>
      <c r="C452" s="2">
        <f>IFERROR(__xludf.DUMMYFUNCTION("""COMPUTED_VALUE"""),40.2)</f>
        <v>40.2</v>
      </c>
      <c r="H452" s="3">
        <f>IFERROR(__xludf.DUMMYFUNCTION("""COMPUTED_VALUE"""),45905.66666666667)</f>
        <v>45905.66667</v>
      </c>
      <c r="I452" s="2">
        <f>IFERROR(__xludf.DUMMYFUNCTION("""COMPUTED_VALUE"""),2.53)</f>
        <v>2.53</v>
      </c>
      <c r="K452" s="3">
        <f>IFERROR(__xludf.DUMMYFUNCTION("""COMPUTED_VALUE"""),44848.6875)</f>
        <v>44848.6875</v>
      </c>
      <c r="L452" s="2">
        <f>IFERROR(__xludf.DUMMYFUNCTION("""COMPUTED_VALUE"""),42.45)</f>
        <v>42.45</v>
      </c>
      <c r="N452" s="3">
        <f>IFERROR(__xludf.DUMMYFUNCTION("""COMPUTED_VALUE"""),44848.66666666667)</f>
        <v>44848.66667</v>
      </c>
      <c r="O452" s="2">
        <f>IFERROR(__xludf.DUMMYFUNCTION("""COMPUTED_VALUE"""),30.33)</f>
        <v>30.33</v>
      </c>
      <c r="Q452" s="3">
        <f>IFERROR(__xludf.DUMMYFUNCTION("""COMPUTED_VALUE"""),44848.66666666667)</f>
        <v>44848.66667</v>
      </c>
      <c r="R452" s="2">
        <f>IFERROR(__xludf.DUMMYFUNCTION("""COMPUTED_VALUE"""),125.08)</f>
        <v>125.08</v>
      </c>
    </row>
    <row r="453">
      <c r="B453" s="3">
        <f>IFERROR(__xludf.DUMMYFUNCTION("""COMPUTED_VALUE"""),44851.66666666667)</f>
        <v>44851.66667</v>
      </c>
      <c r="C453" s="2">
        <f>IFERROR(__xludf.DUMMYFUNCTION("""COMPUTED_VALUE"""),41.3)</f>
        <v>41.3</v>
      </c>
      <c r="H453" s="3">
        <f>IFERROR(__xludf.DUMMYFUNCTION("""COMPUTED_VALUE"""),45908.66666666667)</f>
        <v>45908.66667</v>
      </c>
      <c r="I453" s="2">
        <f>IFERROR(__xludf.DUMMYFUNCTION("""COMPUTED_VALUE"""),2.98)</f>
        <v>2.98</v>
      </c>
      <c r="K453" s="3">
        <f>IFERROR(__xludf.DUMMYFUNCTION("""COMPUTED_VALUE"""),44851.6875)</f>
        <v>44851.6875</v>
      </c>
      <c r="L453" s="2">
        <f>IFERROR(__xludf.DUMMYFUNCTION("""COMPUTED_VALUE"""),42.67)</f>
        <v>42.67</v>
      </c>
      <c r="N453" s="3">
        <f>IFERROR(__xludf.DUMMYFUNCTION("""COMPUTED_VALUE"""),44851.66666666667)</f>
        <v>44851.66667</v>
      </c>
      <c r="O453" s="2">
        <f>IFERROR(__xludf.DUMMYFUNCTION("""COMPUTED_VALUE"""),30.48)</f>
        <v>30.48</v>
      </c>
      <c r="Q453" s="3">
        <f>IFERROR(__xludf.DUMMYFUNCTION("""COMPUTED_VALUE"""),44851.66666666667)</f>
        <v>44851.66667</v>
      </c>
      <c r="R453" s="2">
        <f>IFERROR(__xludf.DUMMYFUNCTION("""COMPUTED_VALUE"""),127.34)</f>
        <v>127.34</v>
      </c>
    </row>
    <row r="454">
      <c r="B454" s="3">
        <f>IFERROR(__xludf.DUMMYFUNCTION("""COMPUTED_VALUE"""),44852.66666666667)</f>
        <v>44852.66667</v>
      </c>
      <c r="C454" s="2">
        <f>IFERROR(__xludf.DUMMYFUNCTION("""COMPUTED_VALUE"""),41.79)</f>
        <v>41.79</v>
      </c>
      <c r="H454" s="3">
        <f>IFERROR(__xludf.DUMMYFUNCTION("""COMPUTED_VALUE"""),45909.66666666667)</f>
        <v>45909.66667</v>
      </c>
      <c r="I454" s="2">
        <f>IFERROR(__xludf.DUMMYFUNCTION("""COMPUTED_VALUE"""),3.04)</f>
        <v>3.04</v>
      </c>
      <c r="K454" s="3">
        <f>IFERROR(__xludf.DUMMYFUNCTION("""COMPUTED_VALUE"""),44852.6875)</f>
        <v>44852.6875</v>
      </c>
      <c r="L454" s="2">
        <f>IFERROR(__xludf.DUMMYFUNCTION("""COMPUTED_VALUE"""),42.61)</f>
        <v>42.61</v>
      </c>
      <c r="N454" s="3">
        <f>IFERROR(__xludf.DUMMYFUNCTION("""COMPUTED_VALUE"""),44852.66666666667)</f>
        <v>44852.66667</v>
      </c>
      <c r="O454" s="2">
        <f>IFERROR(__xludf.DUMMYFUNCTION("""COMPUTED_VALUE"""),30.48)</f>
        <v>30.48</v>
      </c>
      <c r="Q454" s="3">
        <f>IFERROR(__xludf.DUMMYFUNCTION("""COMPUTED_VALUE"""),44852.66666666667)</f>
        <v>44852.66667</v>
      </c>
      <c r="R454" s="2">
        <f>IFERROR(__xludf.DUMMYFUNCTION("""COMPUTED_VALUE"""),128.37)</f>
        <v>128.37</v>
      </c>
    </row>
    <row r="455">
      <c r="B455" s="3">
        <f>IFERROR(__xludf.DUMMYFUNCTION("""COMPUTED_VALUE"""),44853.66666666667)</f>
        <v>44853.66667</v>
      </c>
      <c r="C455" s="2">
        <f>IFERROR(__xludf.DUMMYFUNCTION("""COMPUTED_VALUE"""),41.88)</f>
        <v>41.88</v>
      </c>
      <c r="H455" s="3">
        <f>IFERROR(__xludf.DUMMYFUNCTION("""COMPUTED_VALUE"""),45910.66666666667)</f>
        <v>45910.66667</v>
      </c>
      <c r="I455" s="2">
        <f>IFERROR(__xludf.DUMMYFUNCTION("""COMPUTED_VALUE"""),2.86)</f>
        <v>2.86</v>
      </c>
      <c r="K455" s="3">
        <f>IFERROR(__xludf.DUMMYFUNCTION("""COMPUTED_VALUE"""),44853.6875)</f>
        <v>44853.6875</v>
      </c>
      <c r="L455" s="2">
        <f>IFERROR(__xludf.DUMMYFUNCTION("""COMPUTED_VALUE"""),40.61)</f>
        <v>40.61</v>
      </c>
      <c r="N455" s="3">
        <f>IFERROR(__xludf.DUMMYFUNCTION("""COMPUTED_VALUE"""),44853.66666666667)</f>
        <v>44853.66667</v>
      </c>
      <c r="O455" s="2">
        <f>IFERROR(__xludf.DUMMYFUNCTION("""COMPUTED_VALUE"""),30.9)</f>
        <v>30.9</v>
      </c>
      <c r="Q455" s="3">
        <f>IFERROR(__xludf.DUMMYFUNCTION("""COMPUTED_VALUE"""),44853.66666666667)</f>
        <v>44853.66667</v>
      </c>
      <c r="R455" s="2">
        <f>IFERROR(__xludf.DUMMYFUNCTION("""COMPUTED_VALUE"""),129.56)</f>
        <v>129.56</v>
      </c>
    </row>
    <row r="456">
      <c r="B456" s="3">
        <f>IFERROR(__xludf.DUMMYFUNCTION("""COMPUTED_VALUE"""),44854.66666666667)</f>
        <v>44854.66667</v>
      </c>
      <c r="C456" s="2">
        <f>IFERROR(__xludf.DUMMYFUNCTION("""COMPUTED_VALUE"""),41.71)</f>
        <v>41.71</v>
      </c>
      <c r="H456" s="3">
        <f>IFERROR(__xludf.DUMMYFUNCTION("""COMPUTED_VALUE"""),45911.66666666667)</f>
        <v>45911.66667</v>
      </c>
      <c r="I456" s="2">
        <f>IFERROR(__xludf.DUMMYFUNCTION("""COMPUTED_VALUE"""),3.22)</f>
        <v>3.22</v>
      </c>
      <c r="K456" s="3">
        <f>IFERROR(__xludf.DUMMYFUNCTION("""COMPUTED_VALUE"""),44854.6875)</f>
        <v>44854.6875</v>
      </c>
      <c r="L456" s="2">
        <f>IFERROR(__xludf.DUMMYFUNCTION("""COMPUTED_VALUE"""),42.05)</f>
        <v>42.05</v>
      </c>
      <c r="N456" s="3">
        <f>IFERROR(__xludf.DUMMYFUNCTION("""COMPUTED_VALUE"""),44854.66666666667)</f>
        <v>44854.66667</v>
      </c>
      <c r="O456" s="2">
        <f>IFERROR(__xludf.DUMMYFUNCTION("""COMPUTED_VALUE"""),30.96)</f>
        <v>30.96</v>
      </c>
      <c r="Q456" s="3">
        <f>IFERROR(__xludf.DUMMYFUNCTION("""COMPUTED_VALUE"""),44854.66666666667)</f>
        <v>44854.66667</v>
      </c>
      <c r="R456" s="2">
        <f>IFERROR(__xludf.DUMMYFUNCTION("""COMPUTED_VALUE"""),126.99)</f>
        <v>126.99</v>
      </c>
    </row>
    <row r="457">
      <c r="B457" s="3">
        <f>IFERROR(__xludf.DUMMYFUNCTION("""COMPUTED_VALUE"""),44855.66666666667)</f>
        <v>44855.66667</v>
      </c>
      <c r="C457" s="2">
        <f>IFERROR(__xludf.DUMMYFUNCTION("""COMPUTED_VALUE"""),42.8)</f>
        <v>42.8</v>
      </c>
      <c r="H457" s="3">
        <f>IFERROR(__xludf.DUMMYFUNCTION("""COMPUTED_VALUE"""),45912.66666666667)</f>
        <v>45912.66667</v>
      </c>
      <c r="I457" s="2">
        <f>IFERROR(__xludf.DUMMYFUNCTION("""COMPUTED_VALUE"""),3.29)</f>
        <v>3.29</v>
      </c>
      <c r="K457" s="3">
        <f>IFERROR(__xludf.DUMMYFUNCTION("""COMPUTED_VALUE"""),44855.6875)</f>
        <v>44855.6875</v>
      </c>
      <c r="L457" s="2">
        <f>IFERROR(__xludf.DUMMYFUNCTION("""COMPUTED_VALUE"""),41.39)</f>
        <v>41.39</v>
      </c>
      <c r="N457" s="3">
        <f>IFERROR(__xludf.DUMMYFUNCTION("""COMPUTED_VALUE"""),44855.66666666667)</f>
        <v>44855.66667</v>
      </c>
      <c r="O457" s="2">
        <f>IFERROR(__xludf.DUMMYFUNCTION("""COMPUTED_VALUE"""),31.36)</f>
        <v>31.36</v>
      </c>
      <c r="Q457" s="3">
        <f>IFERROR(__xludf.DUMMYFUNCTION("""COMPUTED_VALUE"""),44855.66666666667)</f>
        <v>44855.66667</v>
      </c>
      <c r="R457" s="2">
        <f>IFERROR(__xludf.DUMMYFUNCTION("""COMPUTED_VALUE"""),128.58)</f>
        <v>128.58</v>
      </c>
    </row>
    <row r="458">
      <c r="B458" s="3">
        <f>IFERROR(__xludf.DUMMYFUNCTION("""COMPUTED_VALUE"""),44858.66666666667)</f>
        <v>44858.66667</v>
      </c>
      <c r="C458" s="2">
        <f>IFERROR(__xludf.DUMMYFUNCTION("""COMPUTED_VALUE"""),43.54)</f>
        <v>43.54</v>
      </c>
      <c r="H458" s="3">
        <f>IFERROR(__xludf.DUMMYFUNCTION("""COMPUTED_VALUE"""),45915.66666666667)</f>
        <v>45915.66667</v>
      </c>
      <c r="I458" s="2">
        <f>IFERROR(__xludf.DUMMYFUNCTION("""COMPUTED_VALUE"""),3.89)</f>
        <v>3.89</v>
      </c>
      <c r="K458" s="3">
        <f>IFERROR(__xludf.DUMMYFUNCTION("""COMPUTED_VALUE"""),44858.6875)</f>
        <v>44858.6875</v>
      </c>
      <c r="L458" s="2">
        <f>IFERROR(__xludf.DUMMYFUNCTION("""COMPUTED_VALUE"""),42.54)</f>
        <v>42.54</v>
      </c>
      <c r="N458" s="3">
        <f>IFERROR(__xludf.DUMMYFUNCTION("""COMPUTED_VALUE"""),44858.66666666667)</f>
        <v>44858.66667</v>
      </c>
      <c r="O458" s="2">
        <f>IFERROR(__xludf.DUMMYFUNCTION("""COMPUTED_VALUE"""),31.8)</f>
        <v>31.8</v>
      </c>
      <c r="Q458" s="3">
        <f>IFERROR(__xludf.DUMMYFUNCTION("""COMPUTED_VALUE"""),44858.66666666667)</f>
        <v>44858.66667</v>
      </c>
      <c r="R458" s="2">
        <f>IFERROR(__xludf.DUMMYFUNCTION("""COMPUTED_VALUE"""),129.37)</f>
        <v>129.37</v>
      </c>
    </row>
    <row r="459">
      <c r="B459" s="3">
        <f>IFERROR(__xludf.DUMMYFUNCTION("""COMPUTED_VALUE"""),44859.66666666667)</f>
        <v>44859.66667</v>
      </c>
      <c r="C459" s="2">
        <f>IFERROR(__xludf.DUMMYFUNCTION("""COMPUTED_VALUE"""),44.36)</f>
        <v>44.36</v>
      </c>
      <c r="H459" s="3">
        <f>IFERROR(__xludf.DUMMYFUNCTION("""COMPUTED_VALUE"""),45916.66666666667)</f>
        <v>45916.66667</v>
      </c>
      <c r="I459" s="2">
        <f>IFERROR(__xludf.DUMMYFUNCTION("""COMPUTED_VALUE"""),3.87)</f>
        <v>3.87</v>
      </c>
      <c r="K459" s="3">
        <f>IFERROR(__xludf.DUMMYFUNCTION("""COMPUTED_VALUE"""),44859.6875)</f>
        <v>44859.6875</v>
      </c>
      <c r="L459" s="2">
        <f>IFERROR(__xludf.DUMMYFUNCTION("""COMPUTED_VALUE"""),42.98)</f>
        <v>42.98</v>
      </c>
      <c r="N459" s="3">
        <f>IFERROR(__xludf.DUMMYFUNCTION("""COMPUTED_VALUE"""),44859.66666666667)</f>
        <v>44859.66667</v>
      </c>
      <c r="O459" s="2">
        <f>IFERROR(__xludf.DUMMYFUNCTION("""COMPUTED_VALUE"""),32.08)</f>
        <v>32.08</v>
      </c>
      <c r="Q459" s="3">
        <f>IFERROR(__xludf.DUMMYFUNCTION("""COMPUTED_VALUE"""),44859.66666666667)</f>
        <v>44859.66667</v>
      </c>
      <c r="R459" s="2">
        <f>IFERROR(__xludf.DUMMYFUNCTION("""COMPUTED_VALUE"""),130.86)</f>
        <v>130.86</v>
      </c>
    </row>
    <row r="460">
      <c r="B460" s="3">
        <f>IFERROR(__xludf.DUMMYFUNCTION("""COMPUTED_VALUE"""),44860.66666666667)</f>
        <v>44860.66667</v>
      </c>
      <c r="C460" s="2">
        <f>IFERROR(__xludf.DUMMYFUNCTION("""COMPUTED_VALUE"""),44.38)</f>
        <v>44.38</v>
      </c>
      <c r="H460" s="3">
        <f>IFERROR(__xludf.DUMMYFUNCTION("""COMPUTED_VALUE"""),45917.66666666667)</f>
        <v>45917.66667</v>
      </c>
      <c r="I460" s="2">
        <f>IFERROR(__xludf.DUMMYFUNCTION("""COMPUTED_VALUE"""),3.98)</f>
        <v>3.98</v>
      </c>
      <c r="K460" s="3">
        <f>IFERROR(__xludf.DUMMYFUNCTION("""COMPUTED_VALUE"""),44860.6875)</f>
        <v>44860.6875</v>
      </c>
      <c r="L460" s="2">
        <f>IFERROR(__xludf.DUMMYFUNCTION("""COMPUTED_VALUE"""),42.55)</f>
        <v>42.55</v>
      </c>
      <c r="N460" s="3">
        <f>IFERROR(__xludf.DUMMYFUNCTION("""COMPUTED_VALUE"""),44860.66666666667)</f>
        <v>44860.66667</v>
      </c>
      <c r="O460" s="2">
        <f>IFERROR(__xludf.DUMMYFUNCTION("""COMPUTED_VALUE"""),32.31)</f>
        <v>32.31</v>
      </c>
      <c r="Q460" s="3">
        <f>IFERROR(__xludf.DUMMYFUNCTION("""COMPUTED_VALUE"""),44860.66666666667)</f>
        <v>44860.66667</v>
      </c>
      <c r="R460" s="2">
        <f>IFERROR(__xludf.DUMMYFUNCTION("""COMPUTED_VALUE"""),131.78)</f>
        <v>131.78</v>
      </c>
    </row>
    <row r="461">
      <c r="B461" s="3">
        <f>IFERROR(__xludf.DUMMYFUNCTION("""COMPUTED_VALUE"""),44861.66666666667)</f>
        <v>44861.66667</v>
      </c>
      <c r="C461" s="2">
        <f>IFERROR(__xludf.DUMMYFUNCTION("""COMPUTED_VALUE"""),44.42)</f>
        <v>44.42</v>
      </c>
      <c r="H461" s="3">
        <f>IFERROR(__xludf.DUMMYFUNCTION("""COMPUTED_VALUE"""),45918.66666666667)</f>
        <v>45918.66667</v>
      </c>
      <c r="I461" s="2">
        <f>IFERROR(__xludf.DUMMYFUNCTION("""COMPUTED_VALUE"""),4.49)</f>
        <v>4.49</v>
      </c>
      <c r="K461" s="3">
        <f>IFERROR(__xludf.DUMMYFUNCTION("""COMPUTED_VALUE"""),44861.6875)</f>
        <v>44861.6875</v>
      </c>
      <c r="L461" s="2">
        <f>IFERROR(__xludf.DUMMYFUNCTION("""COMPUTED_VALUE"""),42.78)</f>
        <v>42.78</v>
      </c>
      <c r="N461" s="3">
        <f>IFERROR(__xludf.DUMMYFUNCTION("""COMPUTED_VALUE"""),44861.66666666667)</f>
        <v>44861.66667</v>
      </c>
      <c r="O461" s="2">
        <f>IFERROR(__xludf.DUMMYFUNCTION("""COMPUTED_VALUE"""),33.23)</f>
        <v>33.23</v>
      </c>
      <c r="Q461" s="3">
        <f>IFERROR(__xludf.DUMMYFUNCTION("""COMPUTED_VALUE"""),44861.66666666667)</f>
        <v>44861.66667</v>
      </c>
      <c r="R461" s="2">
        <f>IFERROR(__xludf.DUMMYFUNCTION("""COMPUTED_VALUE"""),131.88)</f>
        <v>131.88</v>
      </c>
    </row>
    <row r="462">
      <c r="B462" s="3">
        <f>IFERROR(__xludf.DUMMYFUNCTION("""COMPUTED_VALUE"""),44862.66666666667)</f>
        <v>44862.66667</v>
      </c>
      <c r="C462" s="2">
        <f>IFERROR(__xludf.DUMMYFUNCTION("""COMPUTED_VALUE"""),45.64)</f>
        <v>45.64</v>
      </c>
      <c r="H462" s="3">
        <f>IFERROR(__xludf.DUMMYFUNCTION("""COMPUTED_VALUE"""),45919.66666666667)</f>
        <v>45919.66667</v>
      </c>
      <c r="I462" s="2">
        <f>IFERROR(__xludf.DUMMYFUNCTION("""COMPUTED_VALUE"""),4.45)</f>
        <v>4.45</v>
      </c>
      <c r="K462" s="3">
        <f>IFERROR(__xludf.DUMMYFUNCTION("""COMPUTED_VALUE"""),44862.6875)</f>
        <v>44862.6875</v>
      </c>
      <c r="L462" s="2">
        <f>IFERROR(__xludf.DUMMYFUNCTION("""COMPUTED_VALUE"""),41.27)</f>
        <v>41.27</v>
      </c>
      <c r="N462" s="3">
        <f>IFERROR(__xludf.DUMMYFUNCTION("""COMPUTED_VALUE"""),44862.66666666667)</f>
        <v>44862.66667</v>
      </c>
      <c r="O462" s="2">
        <f>IFERROR(__xludf.DUMMYFUNCTION("""COMPUTED_VALUE"""),33.15)</f>
        <v>33.15</v>
      </c>
      <c r="Q462" s="3">
        <f>IFERROR(__xludf.DUMMYFUNCTION("""COMPUTED_VALUE"""),44862.66666666667)</f>
        <v>44862.66667</v>
      </c>
      <c r="R462" s="2">
        <f>IFERROR(__xludf.DUMMYFUNCTION("""COMPUTED_VALUE"""),135.22)</f>
        <v>135.22</v>
      </c>
    </row>
    <row r="463">
      <c r="B463" s="3">
        <f>IFERROR(__xludf.DUMMYFUNCTION("""COMPUTED_VALUE"""),44865.66666666667)</f>
        <v>44865.66667</v>
      </c>
      <c r="C463" s="2">
        <f>IFERROR(__xludf.DUMMYFUNCTION("""COMPUTED_VALUE"""),45.43)</f>
        <v>45.43</v>
      </c>
      <c r="H463" s="3">
        <f>IFERROR(__xludf.DUMMYFUNCTION("""COMPUTED_VALUE"""),45922.66666666667)</f>
        <v>45922.66667</v>
      </c>
      <c r="I463" s="2">
        <f>IFERROR(__xludf.DUMMYFUNCTION("""COMPUTED_VALUE"""),5.54)</f>
        <v>5.54</v>
      </c>
      <c r="K463" s="3">
        <f>IFERROR(__xludf.DUMMYFUNCTION("""COMPUTED_VALUE"""),44865.6875)</f>
        <v>44865.6875</v>
      </c>
      <c r="L463" s="2">
        <f>IFERROR(__xludf.DUMMYFUNCTION("""COMPUTED_VALUE"""),42.02)</f>
        <v>42.02</v>
      </c>
      <c r="N463" s="3">
        <f>IFERROR(__xludf.DUMMYFUNCTION("""COMPUTED_VALUE"""),44865.66666666667)</f>
        <v>44865.66667</v>
      </c>
      <c r="O463" s="2">
        <f>IFERROR(__xludf.DUMMYFUNCTION("""COMPUTED_VALUE"""),33.28)</f>
        <v>33.28</v>
      </c>
      <c r="Q463" s="3">
        <f>IFERROR(__xludf.DUMMYFUNCTION("""COMPUTED_VALUE"""),44865.66666666667)</f>
        <v>44865.66667</v>
      </c>
      <c r="R463" s="2">
        <f>IFERROR(__xludf.DUMMYFUNCTION("""COMPUTED_VALUE"""),134.67)</f>
        <v>134.67</v>
      </c>
    </row>
    <row r="464">
      <c r="B464" s="3">
        <f>IFERROR(__xludf.DUMMYFUNCTION("""COMPUTED_VALUE"""),44866.66666666667)</f>
        <v>44866.66667</v>
      </c>
      <c r="C464" s="2">
        <f>IFERROR(__xludf.DUMMYFUNCTION("""COMPUTED_VALUE"""),45.46)</f>
        <v>45.46</v>
      </c>
      <c r="H464" s="3">
        <f>IFERROR(__xludf.DUMMYFUNCTION("""COMPUTED_VALUE"""),45923.66666666667)</f>
        <v>45923.66667</v>
      </c>
      <c r="I464" s="2">
        <f>IFERROR(__xludf.DUMMYFUNCTION("""COMPUTED_VALUE"""),4.87)</f>
        <v>4.87</v>
      </c>
      <c r="K464" s="3">
        <f>IFERROR(__xludf.DUMMYFUNCTION("""COMPUTED_VALUE"""),44866.6875)</f>
        <v>44866.6875</v>
      </c>
      <c r="L464" s="2">
        <f>IFERROR(__xludf.DUMMYFUNCTION("""COMPUTED_VALUE"""),42.21)</f>
        <v>42.21</v>
      </c>
      <c r="N464" s="3">
        <f>IFERROR(__xludf.DUMMYFUNCTION("""COMPUTED_VALUE"""),44866.66666666667)</f>
        <v>44866.66667</v>
      </c>
      <c r="O464" s="2">
        <f>IFERROR(__xludf.DUMMYFUNCTION("""COMPUTED_VALUE"""),33.2)</f>
        <v>33.2</v>
      </c>
      <c r="Q464" s="3">
        <f>IFERROR(__xludf.DUMMYFUNCTION("""COMPUTED_VALUE"""),44866.66666666667)</f>
        <v>44866.66667</v>
      </c>
      <c r="R464" s="2">
        <f>IFERROR(__xludf.DUMMYFUNCTION("""COMPUTED_VALUE"""),134.88)</f>
        <v>134.88</v>
      </c>
    </row>
    <row r="465">
      <c r="B465" s="3">
        <f>IFERROR(__xludf.DUMMYFUNCTION("""COMPUTED_VALUE"""),44867.66666666667)</f>
        <v>44867.66667</v>
      </c>
      <c r="C465" s="2">
        <f>IFERROR(__xludf.DUMMYFUNCTION("""COMPUTED_VALUE"""),44.57)</f>
        <v>44.57</v>
      </c>
      <c r="H465" s="3">
        <f>IFERROR(__xludf.DUMMYFUNCTION("""COMPUTED_VALUE"""),45924.66666666667)</f>
        <v>45924.66667</v>
      </c>
      <c r="I465" s="2">
        <f>IFERROR(__xludf.DUMMYFUNCTION("""COMPUTED_VALUE"""),4.87)</f>
        <v>4.87</v>
      </c>
      <c r="K465" s="3">
        <f>IFERROR(__xludf.DUMMYFUNCTION("""COMPUTED_VALUE"""),44867.6875)</f>
        <v>44867.6875</v>
      </c>
      <c r="L465" s="2">
        <f>IFERROR(__xludf.DUMMYFUNCTION("""COMPUTED_VALUE"""),41.78)</f>
        <v>41.78</v>
      </c>
      <c r="N465" s="3">
        <f>IFERROR(__xludf.DUMMYFUNCTION("""COMPUTED_VALUE"""),44867.66666666667)</f>
        <v>44867.66667</v>
      </c>
      <c r="O465" s="2">
        <f>IFERROR(__xludf.DUMMYFUNCTION("""COMPUTED_VALUE"""),32.76)</f>
        <v>32.76</v>
      </c>
      <c r="Q465" s="3">
        <f>IFERROR(__xludf.DUMMYFUNCTION("""COMPUTED_VALUE"""),44867.66666666667)</f>
        <v>44867.66667</v>
      </c>
      <c r="R465" s="2">
        <f>IFERROR(__xludf.DUMMYFUNCTION("""COMPUTED_VALUE"""),132.94)</f>
        <v>132.94</v>
      </c>
    </row>
    <row r="466">
      <c r="B466" s="3">
        <f>IFERROR(__xludf.DUMMYFUNCTION("""COMPUTED_VALUE"""),44868.66666666667)</f>
        <v>44868.66667</v>
      </c>
      <c r="C466" s="2">
        <f>IFERROR(__xludf.DUMMYFUNCTION("""COMPUTED_VALUE"""),43.85)</f>
        <v>43.85</v>
      </c>
      <c r="H466" s="3">
        <f>IFERROR(__xludf.DUMMYFUNCTION("""COMPUTED_VALUE"""),45925.66666666667)</f>
        <v>45925.66667</v>
      </c>
      <c r="I466" s="2">
        <f>IFERROR(__xludf.DUMMYFUNCTION("""COMPUTED_VALUE"""),4.09)</f>
        <v>4.09</v>
      </c>
      <c r="K466" s="3">
        <f>IFERROR(__xludf.DUMMYFUNCTION("""COMPUTED_VALUE"""),44868.6875)</f>
        <v>44868.6875</v>
      </c>
      <c r="L466" s="2">
        <f>IFERROR(__xludf.DUMMYFUNCTION("""COMPUTED_VALUE"""),42.23)</f>
        <v>42.23</v>
      </c>
      <c r="N466" s="3">
        <f>IFERROR(__xludf.DUMMYFUNCTION("""COMPUTED_VALUE"""),44868.66666666667)</f>
        <v>44868.66667</v>
      </c>
      <c r="O466" s="2">
        <f>IFERROR(__xludf.DUMMYFUNCTION("""COMPUTED_VALUE"""),33.04)</f>
        <v>33.04</v>
      </c>
      <c r="Q466" s="3">
        <f>IFERROR(__xludf.DUMMYFUNCTION("""COMPUTED_VALUE"""),44868.66666666667)</f>
        <v>44868.66667</v>
      </c>
      <c r="R466" s="2">
        <f>IFERROR(__xludf.DUMMYFUNCTION("""COMPUTED_VALUE"""),132.03)</f>
        <v>132.03</v>
      </c>
    </row>
    <row r="467">
      <c r="B467" s="3">
        <f>IFERROR(__xludf.DUMMYFUNCTION("""COMPUTED_VALUE"""),44869.66666666667)</f>
        <v>44869.66667</v>
      </c>
      <c r="C467" s="2">
        <f>IFERROR(__xludf.DUMMYFUNCTION("""COMPUTED_VALUE"""),44.52)</f>
        <v>44.52</v>
      </c>
      <c r="H467" s="3">
        <f>IFERROR(__xludf.DUMMYFUNCTION("""COMPUTED_VALUE"""),45926.66666666667)</f>
        <v>45926.66667</v>
      </c>
      <c r="I467" s="2">
        <f>IFERROR(__xludf.DUMMYFUNCTION("""COMPUTED_VALUE"""),4.2)</f>
        <v>4.2</v>
      </c>
      <c r="K467" s="3">
        <f>IFERROR(__xludf.DUMMYFUNCTION("""COMPUTED_VALUE"""),44869.6875)</f>
        <v>44869.6875</v>
      </c>
      <c r="L467" s="2">
        <f>IFERROR(__xludf.DUMMYFUNCTION("""COMPUTED_VALUE"""),42.75)</f>
        <v>42.75</v>
      </c>
      <c r="N467" s="3">
        <f>IFERROR(__xludf.DUMMYFUNCTION("""COMPUTED_VALUE"""),44869.66666666667)</f>
        <v>44869.66667</v>
      </c>
      <c r="O467" s="2">
        <f>IFERROR(__xludf.DUMMYFUNCTION("""COMPUTED_VALUE"""),33.92)</f>
        <v>33.92</v>
      </c>
      <c r="Q467" s="3">
        <f>IFERROR(__xludf.DUMMYFUNCTION("""COMPUTED_VALUE"""),44869.66666666667)</f>
        <v>44869.66667</v>
      </c>
      <c r="R467" s="2">
        <f>IFERROR(__xludf.DUMMYFUNCTION("""COMPUTED_VALUE"""),134.44)</f>
        <v>134.44</v>
      </c>
    </row>
    <row r="468">
      <c r="B468" s="3">
        <f>IFERROR(__xludf.DUMMYFUNCTION("""COMPUTED_VALUE"""),44872.66666666667)</f>
        <v>44872.66667</v>
      </c>
      <c r="C468" s="2">
        <f>IFERROR(__xludf.DUMMYFUNCTION("""COMPUTED_VALUE"""),44.55)</f>
        <v>44.55</v>
      </c>
      <c r="H468" s="3">
        <f>IFERROR(__xludf.DUMMYFUNCTION("""COMPUTED_VALUE"""),45929.66666666667)</f>
        <v>45929.66667</v>
      </c>
      <c r="I468" s="2">
        <f>IFERROR(__xludf.DUMMYFUNCTION("""COMPUTED_VALUE"""),4.1)</f>
        <v>4.1</v>
      </c>
      <c r="K468" s="3">
        <f>IFERROR(__xludf.DUMMYFUNCTION("""COMPUTED_VALUE"""),44872.6875)</f>
        <v>44872.6875</v>
      </c>
      <c r="L468" s="2">
        <f>IFERROR(__xludf.DUMMYFUNCTION("""COMPUTED_VALUE"""),42.02)</f>
        <v>42.02</v>
      </c>
      <c r="N468" s="3">
        <f>IFERROR(__xludf.DUMMYFUNCTION("""COMPUTED_VALUE"""),44872.66666666667)</f>
        <v>44872.66667</v>
      </c>
      <c r="O468" s="2">
        <f>IFERROR(__xludf.DUMMYFUNCTION("""COMPUTED_VALUE"""),34.33)</f>
        <v>34.33</v>
      </c>
      <c r="Q468" s="3">
        <f>IFERROR(__xludf.DUMMYFUNCTION("""COMPUTED_VALUE"""),44872.66666666667)</f>
        <v>44872.66667</v>
      </c>
      <c r="R468" s="2">
        <f>IFERROR(__xludf.DUMMYFUNCTION("""COMPUTED_VALUE"""),136.5)</f>
        <v>136.5</v>
      </c>
    </row>
    <row r="469">
      <c r="B469" s="3">
        <f>IFERROR(__xludf.DUMMYFUNCTION("""COMPUTED_VALUE"""),44873.66666666667)</f>
        <v>44873.66667</v>
      </c>
      <c r="C469" s="2">
        <f>IFERROR(__xludf.DUMMYFUNCTION("""COMPUTED_VALUE"""),44.61)</f>
        <v>44.61</v>
      </c>
      <c r="H469" s="3">
        <f>IFERROR(__xludf.DUMMYFUNCTION("""COMPUTED_VALUE"""),45930.66666666667)</f>
        <v>45930.66667</v>
      </c>
      <c r="I469" s="2">
        <f>IFERROR(__xludf.DUMMYFUNCTION("""COMPUTED_VALUE"""),4.29)</f>
        <v>4.29</v>
      </c>
      <c r="K469" s="3">
        <f>IFERROR(__xludf.DUMMYFUNCTION("""COMPUTED_VALUE"""),44873.6875)</f>
        <v>44873.6875</v>
      </c>
      <c r="L469" s="2">
        <f>IFERROR(__xludf.DUMMYFUNCTION("""COMPUTED_VALUE"""),42.85)</f>
        <v>42.85</v>
      </c>
      <c r="N469" s="3">
        <f>IFERROR(__xludf.DUMMYFUNCTION("""COMPUTED_VALUE"""),44873.66666666667)</f>
        <v>44873.66667</v>
      </c>
      <c r="O469" s="2">
        <f>IFERROR(__xludf.DUMMYFUNCTION("""COMPUTED_VALUE"""),33.73)</f>
        <v>33.73</v>
      </c>
      <c r="Q469" s="3">
        <f>IFERROR(__xludf.DUMMYFUNCTION("""COMPUTED_VALUE"""),44873.66666666667)</f>
        <v>44873.66667</v>
      </c>
      <c r="R469" s="2">
        <f>IFERROR(__xludf.DUMMYFUNCTION("""COMPUTED_VALUE"""),136.81)</f>
        <v>136.81</v>
      </c>
    </row>
    <row r="470">
      <c r="B470" s="3">
        <f>IFERROR(__xludf.DUMMYFUNCTION("""COMPUTED_VALUE"""),44874.66666666667)</f>
        <v>44874.66667</v>
      </c>
      <c r="C470" s="2">
        <f>IFERROR(__xludf.DUMMYFUNCTION("""COMPUTED_VALUE"""),43.91)</f>
        <v>43.91</v>
      </c>
      <c r="H470" s="3">
        <f>IFERROR(__xludf.DUMMYFUNCTION("""COMPUTED_VALUE"""),45931.66666666667)</f>
        <v>45931.66667</v>
      </c>
      <c r="I470" s="2">
        <f>IFERROR(__xludf.DUMMYFUNCTION("""COMPUTED_VALUE"""),4.76)</f>
        <v>4.76</v>
      </c>
      <c r="K470" s="3">
        <f>IFERROR(__xludf.DUMMYFUNCTION("""COMPUTED_VALUE"""),44874.6875)</f>
        <v>44874.6875</v>
      </c>
      <c r="L470" s="2">
        <f>IFERROR(__xludf.DUMMYFUNCTION("""COMPUTED_VALUE"""),42.57)</f>
        <v>42.57</v>
      </c>
      <c r="N470" s="3">
        <f>IFERROR(__xludf.DUMMYFUNCTION("""COMPUTED_VALUE"""),44874.66666666667)</f>
        <v>44874.66667</v>
      </c>
      <c r="O470" s="2">
        <f>IFERROR(__xludf.DUMMYFUNCTION("""COMPUTED_VALUE"""),32.33)</f>
        <v>32.33</v>
      </c>
      <c r="Q470" s="3">
        <f>IFERROR(__xludf.DUMMYFUNCTION("""COMPUTED_VALUE"""),44874.66666666667)</f>
        <v>44874.66667</v>
      </c>
      <c r="R470" s="2">
        <f>IFERROR(__xludf.DUMMYFUNCTION("""COMPUTED_VALUE"""),136.48)</f>
        <v>136.48</v>
      </c>
    </row>
    <row r="471">
      <c r="B471" s="3">
        <f>IFERROR(__xludf.DUMMYFUNCTION("""COMPUTED_VALUE"""),44875.66666666667)</f>
        <v>44875.66667</v>
      </c>
      <c r="C471" s="2">
        <f>IFERROR(__xludf.DUMMYFUNCTION("""COMPUTED_VALUE"""),45.66)</f>
        <v>45.66</v>
      </c>
      <c r="H471" s="3">
        <f>IFERROR(__xludf.DUMMYFUNCTION("""COMPUTED_VALUE"""),45932.66666666667)</f>
        <v>45932.66667</v>
      </c>
      <c r="I471" s="2">
        <f>IFERROR(__xludf.DUMMYFUNCTION("""COMPUTED_VALUE"""),5.16)</f>
        <v>5.16</v>
      </c>
      <c r="K471" s="3">
        <f>IFERROR(__xludf.DUMMYFUNCTION("""COMPUTED_VALUE"""),44875.6875)</f>
        <v>44875.6875</v>
      </c>
      <c r="L471" s="2">
        <f>IFERROR(__xludf.DUMMYFUNCTION("""COMPUTED_VALUE"""),43.3)</f>
        <v>43.3</v>
      </c>
      <c r="N471" s="3">
        <f>IFERROR(__xludf.DUMMYFUNCTION("""COMPUTED_VALUE"""),44875.66666666667)</f>
        <v>44875.66667</v>
      </c>
      <c r="O471" s="2">
        <f>IFERROR(__xludf.DUMMYFUNCTION("""COMPUTED_VALUE"""),32.95)</f>
        <v>32.95</v>
      </c>
      <c r="Q471" s="3">
        <f>IFERROR(__xludf.DUMMYFUNCTION("""COMPUTED_VALUE"""),44875.66666666667)</f>
        <v>44875.66667</v>
      </c>
      <c r="R471" s="2">
        <f>IFERROR(__xludf.DUMMYFUNCTION("""COMPUTED_VALUE"""),141.18)</f>
        <v>141.18</v>
      </c>
    </row>
    <row r="472">
      <c r="B472" s="3">
        <f>IFERROR(__xludf.DUMMYFUNCTION("""COMPUTED_VALUE"""),44876.66666666667)</f>
        <v>44876.66667</v>
      </c>
      <c r="C472" s="2">
        <f>IFERROR(__xludf.DUMMYFUNCTION("""COMPUTED_VALUE"""),44.79)</f>
        <v>44.79</v>
      </c>
      <c r="H472" s="3">
        <f>IFERROR(__xludf.DUMMYFUNCTION("""COMPUTED_VALUE"""),45933.66666666667)</f>
        <v>45933.66667</v>
      </c>
      <c r="I472" s="2">
        <f>IFERROR(__xludf.DUMMYFUNCTION("""COMPUTED_VALUE"""),6.18)</f>
        <v>6.18</v>
      </c>
      <c r="K472" s="3">
        <f>IFERROR(__xludf.DUMMYFUNCTION("""COMPUTED_VALUE"""),44876.6875)</f>
        <v>44876.6875</v>
      </c>
      <c r="L472" s="2">
        <f>IFERROR(__xludf.DUMMYFUNCTION("""COMPUTED_VALUE"""),43.52)</f>
        <v>43.52</v>
      </c>
      <c r="N472" s="3">
        <f>IFERROR(__xludf.DUMMYFUNCTION("""COMPUTED_VALUE"""),44876.66666666667)</f>
        <v>44876.66667</v>
      </c>
      <c r="O472" s="2">
        <f>IFERROR(__xludf.DUMMYFUNCTION("""COMPUTED_VALUE"""),33.84)</f>
        <v>33.84</v>
      </c>
      <c r="Q472" s="3">
        <f>IFERROR(__xludf.DUMMYFUNCTION("""COMPUTED_VALUE"""),44876.66666666667)</f>
        <v>44876.66667</v>
      </c>
      <c r="R472" s="2">
        <f>IFERROR(__xludf.DUMMYFUNCTION("""COMPUTED_VALUE"""),140.97)</f>
        <v>140.97</v>
      </c>
    </row>
    <row r="473">
      <c r="B473" s="3">
        <f>IFERROR(__xludf.DUMMYFUNCTION("""COMPUTED_VALUE"""),44879.66666666667)</f>
        <v>44879.66667</v>
      </c>
      <c r="C473" s="2">
        <f>IFERROR(__xludf.DUMMYFUNCTION("""COMPUTED_VALUE"""),44.74)</f>
        <v>44.74</v>
      </c>
      <c r="H473" s="3">
        <f>IFERROR(__xludf.DUMMYFUNCTION("""COMPUTED_VALUE"""),45936.66666666667)</f>
        <v>45936.66667</v>
      </c>
      <c r="I473" s="2">
        <f>IFERROR(__xludf.DUMMYFUNCTION("""COMPUTED_VALUE"""),6.58)</f>
        <v>6.58</v>
      </c>
      <c r="K473" s="3">
        <f>IFERROR(__xludf.DUMMYFUNCTION("""COMPUTED_VALUE"""),44879.6875)</f>
        <v>44879.6875</v>
      </c>
      <c r="L473" s="2">
        <f>IFERROR(__xludf.DUMMYFUNCTION("""COMPUTED_VALUE"""),43.61)</f>
        <v>43.61</v>
      </c>
      <c r="N473" s="3">
        <f>IFERROR(__xludf.DUMMYFUNCTION("""COMPUTED_VALUE"""),44879.66666666667)</f>
        <v>44879.66667</v>
      </c>
      <c r="O473" s="2">
        <f>IFERROR(__xludf.DUMMYFUNCTION("""COMPUTED_VALUE"""),33.55)</f>
        <v>33.55</v>
      </c>
      <c r="Q473" s="3">
        <f>IFERROR(__xludf.DUMMYFUNCTION("""COMPUTED_VALUE"""),44879.66666666667)</f>
        <v>44879.66667</v>
      </c>
      <c r="R473" s="2">
        <f>IFERROR(__xludf.DUMMYFUNCTION("""COMPUTED_VALUE"""),140.98)</f>
        <v>140.98</v>
      </c>
    </row>
    <row r="474">
      <c r="B474" s="3">
        <f>IFERROR(__xludf.DUMMYFUNCTION("""COMPUTED_VALUE"""),44880.66666666667)</f>
        <v>44880.66667</v>
      </c>
      <c r="C474" s="2">
        <f>IFERROR(__xludf.DUMMYFUNCTION("""COMPUTED_VALUE"""),44.9)</f>
        <v>44.9</v>
      </c>
      <c r="H474" s="3">
        <f>IFERROR(__xludf.DUMMYFUNCTION("""COMPUTED_VALUE"""),45937.66666666667)</f>
        <v>45937.66667</v>
      </c>
      <c r="I474" s="2">
        <f>IFERROR(__xludf.DUMMYFUNCTION("""COMPUTED_VALUE"""),7.06)</f>
        <v>7.06</v>
      </c>
      <c r="K474" s="3">
        <f>IFERROR(__xludf.DUMMYFUNCTION("""COMPUTED_VALUE"""),44880.6875)</f>
        <v>44880.6875</v>
      </c>
      <c r="L474" s="2">
        <f>IFERROR(__xludf.DUMMYFUNCTION("""COMPUTED_VALUE"""),43.72)</f>
        <v>43.72</v>
      </c>
      <c r="N474" s="3">
        <f>IFERROR(__xludf.DUMMYFUNCTION("""COMPUTED_VALUE"""),44880.66666666667)</f>
        <v>44880.66667</v>
      </c>
      <c r="O474" s="2">
        <f>IFERROR(__xludf.DUMMYFUNCTION("""COMPUTED_VALUE"""),33.91)</f>
        <v>33.91</v>
      </c>
      <c r="Q474" s="3">
        <f>IFERROR(__xludf.DUMMYFUNCTION("""COMPUTED_VALUE"""),44880.66666666667)</f>
        <v>44880.66667</v>
      </c>
      <c r="R474" s="2">
        <f>IFERROR(__xludf.DUMMYFUNCTION("""COMPUTED_VALUE"""),140.49)</f>
        <v>140.49</v>
      </c>
    </row>
    <row r="475">
      <c r="B475" s="3">
        <f>IFERROR(__xludf.DUMMYFUNCTION("""COMPUTED_VALUE"""),44881.66666666667)</f>
        <v>44881.66667</v>
      </c>
      <c r="C475" s="2">
        <f>IFERROR(__xludf.DUMMYFUNCTION("""COMPUTED_VALUE"""),44.39)</f>
        <v>44.39</v>
      </c>
      <c r="H475" s="3">
        <f>IFERROR(__xludf.DUMMYFUNCTION("""COMPUTED_VALUE"""),45938.66666666667)</f>
        <v>45938.66667</v>
      </c>
      <c r="I475" s="2">
        <f>IFERROR(__xludf.DUMMYFUNCTION("""COMPUTED_VALUE"""),6.81)</f>
        <v>6.81</v>
      </c>
      <c r="K475" s="3">
        <f>IFERROR(__xludf.DUMMYFUNCTION("""COMPUTED_VALUE"""),44881.6875)</f>
        <v>44881.6875</v>
      </c>
      <c r="L475" s="2">
        <f>IFERROR(__xludf.DUMMYFUNCTION("""COMPUTED_VALUE"""),43.13)</f>
        <v>43.13</v>
      </c>
      <c r="N475" s="3">
        <f>IFERROR(__xludf.DUMMYFUNCTION("""COMPUTED_VALUE"""),44881.66666666667)</f>
        <v>44881.66667</v>
      </c>
      <c r="O475" s="2">
        <f>IFERROR(__xludf.DUMMYFUNCTION("""COMPUTED_VALUE"""),33.97)</f>
        <v>33.97</v>
      </c>
      <c r="Q475" s="3">
        <f>IFERROR(__xludf.DUMMYFUNCTION("""COMPUTED_VALUE"""),44881.66666666667)</f>
        <v>44881.66667</v>
      </c>
      <c r="R475" s="2">
        <f>IFERROR(__xludf.DUMMYFUNCTION("""COMPUTED_VALUE"""),141.74)</f>
        <v>141.74</v>
      </c>
    </row>
    <row r="476">
      <c r="B476" s="3">
        <f>IFERROR(__xludf.DUMMYFUNCTION("""COMPUTED_VALUE"""),44882.66666666667)</f>
        <v>44882.66667</v>
      </c>
      <c r="C476" s="2">
        <f>IFERROR(__xludf.DUMMYFUNCTION("""COMPUTED_VALUE"""),46.59)</f>
        <v>46.59</v>
      </c>
      <c r="H476" s="3">
        <f>IFERROR(__xludf.DUMMYFUNCTION("""COMPUTED_VALUE"""),45939.66666666667)</f>
        <v>45939.66667</v>
      </c>
      <c r="I476" s="2">
        <f>IFERROR(__xludf.DUMMYFUNCTION("""COMPUTED_VALUE"""),6.53)</f>
        <v>6.53</v>
      </c>
      <c r="K476" s="3">
        <f>IFERROR(__xludf.DUMMYFUNCTION("""COMPUTED_VALUE"""),44882.6875)</f>
        <v>44882.6875</v>
      </c>
      <c r="L476" s="2">
        <f>IFERROR(__xludf.DUMMYFUNCTION("""COMPUTED_VALUE"""),44.42)</f>
        <v>44.42</v>
      </c>
      <c r="N476" s="3">
        <f>IFERROR(__xludf.DUMMYFUNCTION("""COMPUTED_VALUE"""),44882.66666666667)</f>
        <v>44882.66667</v>
      </c>
      <c r="O476" s="2">
        <f>IFERROR(__xludf.DUMMYFUNCTION("""COMPUTED_VALUE"""),34.35)</f>
        <v>34.35</v>
      </c>
      <c r="Q476" s="3">
        <f>IFERROR(__xludf.DUMMYFUNCTION("""COMPUTED_VALUE"""),44882.66666666667)</f>
        <v>44882.66667</v>
      </c>
      <c r="R476" s="2">
        <f>IFERROR(__xludf.DUMMYFUNCTION("""COMPUTED_VALUE"""),140.87)</f>
        <v>140.87</v>
      </c>
    </row>
    <row r="477">
      <c r="B477" s="3">
        <f>IFERROR(__xludf.DUMMYFUNCTION("""COMPUTED_VALUE"""),44883.66666666667)</f>
        <v>44883.66667</v>
      </c>
      <c r="C477" s="2">
        <f>IFERROR(__xludf.DUMMYFUNCTION("""COMPUTED_VALUE"""),47.79)</f>
        <v>47.79</v>
      </c>
      <c r="H477" s="3">
        <f>IFERROR(__xludf.DUMMYFUNCTION("""COMPUTED_VALUE"""),45940.66666666667)</f>
        <v>45940.66667</v>
      </c>
      <c r="I477" s="2">
        <f>IFERROR(__xludf.DUMMYFUNCTION("""COMPUTED_VALUE"""),5.92)</f>
        <v>5.92</v>
      </c>
      <c r="K477" s="3">
        <f>IFERROR(__xludf.DUMMYFUNCTION("""COMPUTED_VALUE"""),44883.6875)</f>
        <v>44883.6875</v>
      </c>
      <c r="L477" s="2">
        <f>IFERROR(__xludf.DUMMYFUNCTION("""COMPUTED_VALUE"""),45.48)</f>
        <v>45.48</v>
      </c>
      <c r="N477" s="3">
        <f>IFERROR(__xludf.DUMMYFUNCTION("""COMPUTED_VALUE"""),44883.66666666667)</f>
        <v>44883.66667</v>
      </c>
      <c r="O477" s="2">
        <f>IFERROR(__xludf.DUMMYFUNCTION("""COMPUTED_VALUE"""),34.04)</f>
        <v>34.04</v>
      </c>
      <c r="Q477" s="3">
        <f>IFERROR(__xludf.DUMMYFUNCTION("""COMPUTED_VALUE"""),44883.66666666667)</f>
        <v>44883.66667</v>
      </c>
      <c r="R477" s="2">
        <f>IFERROR(__xludf.DUMMYFUNCTION("""COMPUTED_VALUE"""),142.57)</f>
        <v>142.57</v>
      </c>
    </row>
    <row r="478">
      <c r="B478" s="3">
        <f>IFERROR(__xludf.DUMMYFUNCTION("""COMPUTED_VALUE"""),44886.66666666667)</f>
        <v>44886.66667</v>
      </c>
      <c r="C478" s="2">
        <f>IFERROR(__xludf.DUMMYFUNCTION("""COMPUTED_VALUE"""),47.62)</f>
        <v>47.62</v>
      </c>
      <c r="H478" s="3">
        <f>IFERROR(__xludf.DUMMYFUNCTION("""COMPUTED_VALUE"""),45943.66666666667)</f>
        <v>45943.66667</v>
      </c>
      <c r="I478" s="2">
        <f>IFERROR(__xludf.DUMMYFUNCTION("""COMPUTED_VALUE"""),6.45)</f>
        <v>6.45</v>
      </c>
      <c r="K478" s="3">
        <f>IFERROR(__xludf.DUMMYFUNCTION("""COMPUTED_VALUE"""),44886.6875)</f>
        <v>44886.6875</v>
      </c>
      <c r="L478" s="2">
        <f>IFERROR(__xludf.DUMMYFUNCTION("""COMPUTED_VALUE"""),45.52)</f>
        <v>45.52</v>
      </c>
      <c r="N478" s="3">
        <f>IFERROR(__xludf.DUMMYFUNCTION("""COMPUTED_VALUE"""),44886.66666666667)</f>
        <v>44886.66667</v>
      </c>
      <c r="O478" s="2">
        <f>IFERROR(__xludf.DUMMYFUNCTION("""COMPUTED_VALUE"""),33.13)</f>
        <v>33.13</v>
      </c>
      <c r="Q478" s="3">
        <f>IFERROR(__xludf.DUMMYFUNCTION("""COMPUTED_VALUE"""),44886.66666666667)</f>
        <v>44886.66667</v>
      </c>
      <c r="R478" s="2">
        <f>IFERROR(__xludf.DUMMYFUNCTION("""COMPUTED_VALUE"""),144.38)</f>
        <v>144.38</v>
      </c>
    </row>
    <row r="479">
      <c r="B479" s="3">
        <f>IFERROR(__xludf.DUMMYFUNCTION("""COMPUTED_VALUE"""),44887.66666666667)</f>
        <v>44887.66667</v>
      </c>
      <c r="C479" s="2">
        <f>IFERROR(__xludf.DUMMYFUNCTION("""COMPUTED_VALUE"""),48.38)</f>
        <v>48.38</v>
      </c>
      <c r="H479" s="3">
        <f>IFERROR(__xludf.DUMMYFUNCTION("""COMPUTED_VALUE"""),45944.66666666667)</f>
        <v>45944.66667</v>
      </c>
      <c r="I479" s="2">
        <f>IFERROR(__xludf.DUMMYFUNCTION("""COMPUTED_VALUE"""),6.73)</f>
        <v>6.73</v>
      </c>
      <c r="K479" s="3">
        <f>IFERROR(__xludf.DUMMYFUNCTION("""COMPUTED_VALUE"""),44887.6875)</f>
        <v>44887.6875</v>
      </c>
      <c r="L479" s="2">
        <f>IFERROR(__xludf.DUMMYFUNCTION("""COMPUTED_VALUE"""),45.57)</f>
        <v>45.57</v>
      </c>
      <c r="N479" s="3">
        <f>IFERROR(__xludf.DUMMYFUNCTION("""COMPUTED_VALUE"""),44887.66666666667)</f>
        <v>44887.66667</v>
      </c>
      <c r="O479" s="2">
        <f>IFERROR(__xludf.DUMMYFUNCTION("""COMPUTED_VALUE"""),34.89)</f>
        <v>34.89</v>
      </c>
      <c r="Q479" s="3">
        <f>IFERROR(__xludf.DUMMYFUNCTION("""COMPUTED_VALUE"""),44887.66666666667)</f>
        <v>44887.66667</v>
      </c>
      <c r="R479" s="2">
        <f>IFERROR(__xludf.DUMMYFUNCTION("""COMPUTED_VALUE"""),145.62)</f>
        <v>145.62</v>
      </c>
    </row>
    <row r="480">
      <c r="B480" s="3">
        <f>IFERROR(__xludf.DUMMYFUNCTION("""COMPUTED_VALUE"""),44888.66666666667)</f>
        <v>44888.66667</v>
      </c>
      <c r="C480" s="2">
        <f>IFERROR(__xludf.DUMMYFUNCTION("""COMPUTED_VALUE"""),48.57)</f>
        <v>48.57</v>
      </c>
      <c r="H480" s="3">
        <f>IFERROR(__xludf.DUMMYFUNCTION("""COMPUTED_VALUE"""),45945.66666666667)</f>
        <v>45945.66667</v>
      </c>
      <c r="I480" s="2">
        <f>IFERROR(__xludf.DUMMYFUNCTION("""COMPUTED_VALUE"""),6.16)</f>
        <v>6.16</v>
      </c>
      <c r="K480" s="3">
        <f>IFERROR(__xludf.DUMMYFUNCTION("""COMPUTED_VALUE"""),44888.6875)</f>
        <v>44888.6875</v>
      </c>
      <c r="L480" s="2">
        <f>IFERROR(__xludf.DUMMYFUNCTION("""COMPUTED_VALUE"""),45.49)</f>
        <v>45.49</v>
      </c>
      <c r="N480" s="3">
        <f>IFERROR(__xludf.DUMMYFUNCTION("""COMPUTED_VALUE"""),44888.66666666667)</f>
        <v>44888.66667</v>
      </c>
      <c r="O480" s="2">
        <f>IFERROR(__xludf.DUMMYFUNCTION("""COMPUTED_VALUE"""),34.98)</f>
        <v>34.98</v>
      </c>
      <c r="Q480" s="3">
        <f>IFERROR(__xludf.DUMMYFUNCTION("""COMPUTED_VALUE"""),44888.66666666667)</f>
        <v>44888.66667</v>
      </c>
      <c r="R480" s="2">
        <f>IFERROR(__xludf.DUMMYFUNCTION("""COMPUTED_VALUE"""),146.45)</f>
        <v>146.45</v>
      </c>
    </row>
    <row r="481">
      <c r="B481" s="3">
        <f>IFERROR(__xludf.DUMMYFUNCTION("""COMPUTED_VALUE"""),44890.54513888889)</f>
        <v>44890.54514</v>
      </c>
      <c r="C481" s="2">
        <f>IFERROR(__xludf.DUMMYFUNCTION("""COMPUTED_VALUE"""),48.4)</f>
        <v>48.4</v>
      </c>
      <c r="H481" s="3">
        <f>IFERROR(__xludf.DUMMYFUNCTION("""COMPUTED_VALUE"""),45946.66666666667)</f>
        <v>45946.66667</v>
      </c>
      <c r="I481" s="2">
        <f>IFERROR(__xludf.DUMMYFUNCTION("""COMPUTED_VALUE"""),5.67)</f>
        <v>5.67</v>
      </c>
      <c r="K481" s="3">
        <f>IFERROR(__xludf.DUMMYFUNCTION("""COMPUTED_VALUE"""),44889.6875)</f>
        <v>44889.6875</v>
      </c>
      <c r="L481" s="2">
        <f>IFERROR(__xludf.DUMMYFUNCTION("""COMPUTED_VALUE"""),45.94)</f>
        <v>45.94</v>
      </c>
      <c r="N481" s="3">
        <f>IFERROR(__xludf.DUMMYFUNCTION("""COMPUTED_VALUE"""),44890.54166666667)</f>
        <v>44890.54167</v>
      </c>
      <c r="O481" s="2">
        <f>IFERROR(__xludf.DUMMYFUNCTION("""COMPUTED_VALUE"""),35.27)</f>
        <v>35.27</v>
      </c>
      <c r="Q481" s="3">
        <f>IFERROR(__xludf.DUMMYFUNCTION("""COMPUTED_VALUE"""),44890.54166666667)</f>
        <v>44890.54167</v>
      </c>
      <c r="R481" s="2">
        <f>IFERROR(__xludf.DUMMYFUNCTION("""COMPUTED_VALUE"""),146.72)</f>
        <v>146.72</v>
      </c>
    </row>
    <row r="482">
      <c r="B482" s="3">
        <f>IFERROR(__xludf.DUMMYFUNCTION("""COMPUTED_VALUE"""),44893.66666666667)</f>
        <v>44893.66667</v>
      </c>
      <c r="C482" s="2">
        <f>IFERROR(__xludf.DUMMYFUNCTION("""COMPUTED_VALUE"""),48.08)</f>
        <v>48.08</v>
      </c>
      <c r="H482" s="3">
        <f>IFERROR(__xludf.DUMMYFUNCTION("""COMPUTED_VALUE"""),45947.66666666667)</f>
        <v>45947.66667</v>
      </c>
      <c r="I482" s="2">
        <f>IFERROR(__xludf.DUMMYFUNCTION("""COMPUTED_VALUE"""),5.44)</f>
        <v>5.44</v>
      </c>
      <c r="K482" s="3">
        <f>IFERROR(__xludf.DUMMYFUNCTION("""COMPUTED_VALUE"""),44890.6875)</f>
        <v>44890.6875</v>
      </c>
      <c r="L482" s="2">
        <f>IFERROR(__xludf.DUMMYFUNCTION("""COMPUTED_VALUE"""),46.31)</f>
        <v>46.31</v>
      </c>
      <c r="N482" s="3">
        <f>IFERROR(__xludf.DUMMYFUNCTION("""COMPUTED_VALUE"""),44893.66666666667)</f>
        <v>44893.66667</v>
      </c>
      <c r="O482" s="2">
        <f>IFERROR(__xludf.DUMMYFUNCTION("""COMPUTED_VALUE"""),34.73)</f>
        <v>34.73</v>
      </c>
      <c r="Q482" s="3">
        <f>IFERROR(__xludf.DUMMYFUNCTION("""COMPUTED_VALUE"""),44893.66666666667)</f>
        <v>44893.66667</v>
      </c>
      <c r="R482" s="2">
        <f>IFERROR(__xludf.DUMMYFUNCTION("""COMPUTED_VALUE"""),146.6)</f>
        <v>146.6</v>
      </c>
    </row>
    <row r="483">
      <c r="B483" s="3">
        <f>IFERROR(__xludf.DUMMYFUNCTION("""COMPUTED_VALUE"""),44894.66666666667)</f>
        <v>44894.66667</v>
      </c>
      <c r="C483" s="2">
        <f>IFERROR(__xludf.DUMMYFUNCTION("""COMPUTED_VALUE"""),48.28)</f>
        <v>48.28</v>
      </c>
      <c r="H483" s="3">
        <f>IFERROR(__xludf.DUMMYFUNCTION("""COMPUTED_VALUE"""),45950.66666666667)</f>
        <v>45950.66667</v>
      </c>
      <c r="I483" s="2">
        <f>IFERROR(__xludf.DUMMYFUNCTION("""COMPUTED_VALUE"""),5.56)</f>
        <v>5.56</v>
      </c>
      <c r="K483" s="3">
        <f>IFERROR(__xludf.DUMMYFUNCTION("""COMPUTED_VALUE"""),44893.6875)</f>
        <v>44893.6875</v>
      </c>
      <c r="L483" s="2">
        <f>IFERROR(__xludf.DUMMYFUNCTION("""COMPUTED_VALUE"""),45.82)</f>
        <v>45.82</v>
      </c>
      <c r="N483" s="3">
        <f>IFERROR(__xludf.DUMMYFUNCTION("""COMPUTED_VALUE"""),44894.66666666667)</f>
        <v>44894.66667</v>
      </c>
      <c r="O483" s="2">
        <f>IFERROR(__xludf.DUMMYFUNCTION("""COMPUTED_VALUE"""),35.31)</f>
        <v>35.31</v>
      </c>
      <c r="Q483" s="3">
        <f>IFERROR(__xludf.DUMMYFUNCTION("""COMPUTED_VALUE"""),44894.66666666667)</f>
        <v>44894.66667</v>
      </c>
      <c r="R483" s="2">
        <f>IFERROR(__xludf.DUMMYFUNCTION("""COMPUTED_VALUE"""),145.48)</f>
        <v>145.48</v>
      </c>
    </row>
    <row r="484">
      <c r="B484" s="3">
        <f>IFERROR(__xludf.DUMMYFUNCTION("""COMPUTED_VALUE"""),44895.66666666667)</f>
        <v>44895.66667</v>
      </c>
      <c r="C484" s="2">
        <f>IFERROR(__xludf.DUMMYFUNCTION("""COMPUTED_VALUE"""),49.72)</f>
        <v>49.72</v>
      </c>
      <c r="H484" s="3">
        <f>IFERROR(__xludf.DUMMYFUNCTION("""COMPUTED_VALUE"""),45951.66666666667)</f>
        <v>45951.66667</v>
      </c>
      <c r="I484" s="2">
        <f>IFERROR(__xludf.DUMMYFUNCTION("""COMPUTED_VALUE"""),5.63)</f>
        <v>5.63</v>
      </c>
      <c r="K484" s="3">
        <f>IFERROR(__xludf.DUMMYFUNCTION("""COMPUTED_VALUE"""),44894.6875)</f>
        <v>44894.6875</v>
      </c>
      <c r="L484" s="2">
        <f>IFERROR(__xludf.DUMMYFUNCTION("""COMPUTED_VALUE"""),46.33)</f>
        <v>46.33</v>
      </c>
      <c r="N484" s="3">
        <f>IFERROR(__xludf.DUMMYFUNCTION("""COMPUTED_VALUE"""),44895.66666666667)</f>
        <v>44895.66667</v>
      </c>
      <c r="O484" s="2">
        <f>IFERROR(__xludf.DUMMYFUNCTION("""COMPUTED_VALUE"""),35.9)</f>
        <v>35.9</v>
      </c>
      <c r="Q484" s="3">
        <f>IFERROR(__xludf.DUMMYFUNCTION("""COMPUTED_VALUE"""),44895.66666666667)</f>
        <v>44895.66667</v>
      </c>
      <c r="R484" s="2">
        <f>IFERROR(__xludf.DUMMYFUNCTION("""COMPUTED_VALUE"""),149.16)</f>
        <v>149.16</v>
      </c>
    </row>
    <row r="485">
      <c r="B485" s="3">
        <f>IFERROR(__xludf.DUMMYFUNCTION("""COMPUTED_VALUE"""),44896.66666666667)</f>
        <v>44896.66667</v>
      </c>
      <c r="C485" s="2">
        <f>IFERROR(__xludf.DUMMYFUNCTION("""COMPUTED_VALUE"""),49.97)</f>
        <v>49.97</v>
      </c>
      <c r="H485" s="3">
        <f>IFERROR(__xludf.DUMMYFUNCTION("""COMPUTED_VALUE"""),45952.66666666667)</f>
        <v>45952.66667</v>
      </c>
      <c r="I485" s="2">
        <f>IFERROR(__xludf.DUMMYFUNCTION("""COMPUTED_VALUE"""),5.06)</f>
        <v>5.06</v>
      </c>
      <c r="K485" s="3">
        <f>IFERROR(__xludf.DUMMYFUNCTION("""COMPUTED_VALUE"""),44895.6875)</f>
        <v>44895.6875</v>
      </c>
      <c r="L485" s="2">
        <f>IFERROR(__xludf.DUMMYFUNCTION("""COMPUTED_VALUE"""),46.91)</f>
        <v>46.91</v>
      </c>
      <c r="N485" s="3">
        <f>IFERROR(__xludf.DUMMYFUNCTION("""COMPUTED_VALUE"""),44896.66666666667)</f>
        <v>44896.66667</v>
      </c>
      <c r="O485" s="2">
        <f>IFERROR(__xludf.DUMMYFUNCTION("""COMPUTED_VALUE"""),35.72)</f>
        <v>35.72</v>
      </c>
      <c r="Q485" s="3">
        <f>IFERROR(__xludf.DUMMYFUNCTION("""COMPUTED_VALUE"""),44896.66666666667)</f>
        <v>44896.66667</v>
      </c>
      <c r="R485" s="2">
        <f>IFERROR(__xludf.DUMMYFUNCTION("""COMPUTED_VALUE"""),149.25)</f>
        <v>149.25</v>
      </c>
    </row>
    <row r="486">
      <c r="B486" s="3">
        <f>IFERROR(__xludf.DUMMYFUNCTION("""COMPUTED_VALUE"""),44897.66666666667)</f>
        <v>44897.66667</v>
      </c>
      <c r="C486" s="2">
        <f>IFERROR(__xludf.DUMMYFUNCTION("""COMPUTED_VALUE"""),49.7)</f>
        <v>49.7</v>
      </c>
      <c r="H486" s="3">
        <f>IFERROR(__xludf.DUMMYFUNCTION("""COMPUTED_VALUE"""),45953.66666666667)</f>
        <v>45953.66667</v>
      </c>
      <c r="I486" s="2">
        <f>IFERROR(__xludf.DUMMYFUNCTION("""COMPUTED_VALUE"""),5.42)</f>
        <v>5.42</v>
      </c>
      <c r="K486" s="3">
        <f>IFERROR(__xludf.DUMMYFUNCTION("""COMPUTED_VALUE"""),44896.6875)</f>
        <v>44896.6875</v>
      </c>
      <c r="L486" s="2">
        <f>IFERROR(__xludf.DUMMYFUNCTION("""COMPUTED_VALUE"""),46.13)</f>
        <v>46.13</v>
      </c>
      <c r="N486" s="3">
        <f>IFERROR(__xludf.DUMMYFUNCTION("""COMPUTED_VALUE"""),44897.66666666667)</f>
        <v>44897.66667</v>
      </c>
      <c r="O486" s="2">
        <f>IFERROR(__xludf.DUMMYFUNCTION("""COMPUTED_VALUE"""),35.36)</f>
        <v>35.36</v>
      </c>
      <c r="Q486" s="3">
        <f>IFERROR(__xludf.DUMMYFUNCTION("""COMPUTED_VALUE"""),44897.66666666667)</f>
        <v>44897.66667</v>
      </c>
      <c r="R486" s="2">
        <f>IFERROR(__xludf.DUMMYFUNCTION("""COMPUTED_VALUE"""),150.61)</f>
        <v>150.61</v>
      </c>
    </row>
    <row r="487">
      <c r="B487" s="3">
        <f>IFERROR(__xludf.DUMMYFUNCTION("""COMPUTED_VALUE"""),44900.66666666667)</f>
        <v>44900.66667</v>
      </c>
      <c r="C487" s="2">
        <f>IFERROR(__xludf.DUMMYFUNCTION("""COMPUTED_VALUE"""),49.33)</f>
        <v>49.33</v>
      </c>
      <c r="H487" s="3">
        <f>IFERROR(__xludf.DUMMYFUNCTION("""COMPUTED_VALUE"""),45954.66666666667)</f>
        <v>45954.66667</v>
      </c>
      <c r="I487" s="2">
        <f>IFERROR(__xludf.DUMMYFUNCTION("""COMPUTED_VALUE"""),6.08)</f>
        <v>6.08</v>
      </c>
      <c r="K487" s="3">
        <f>IFERROR(__xludf.DUMMYFUNCTION("""COMPUTED_VALUE"""),44897.6875)</f>
        <v>44897.6875</v>
      </c>
      <c r="L487" s="2">
        <f>IFERROR(__xludf.DUMMYFUNCTION("""COMPUTED_VALUE"""),46.65)</f>
        <v>46.65</v>
      </c>
      <c r="N487" s="3">
        <f>IFERROR(__xludf.DUMMYFUNCTION("""COMPUTED_VALUE"""),44900.66666666667)</f>
        <v>44900.66667</v>
      </c>
      <c r="O487" s="2">
        <f>IFERROR(__xludf.DUMMYFUNCTION("""COMPUTED_VALUE"""),35.0)</f>
        <v>35</v>
      </c>
      <c r="Q487" s="3">
        <f>IFERROR(__xludf.DUMMYFUNCTION("""COMPUTED_VALUE"""),44900.66666666667)</f>
        <v>44900.66667</v>
      </c>
      <c r="R487" s="2">
        <f>IFERROR(__xludf.DUMMYFUNCTION("""COMPUTED_VALUE"""),149.09)</f>
        <v>149.09</v>
      </c>
    </row>
    <row r="488">
      <c r="B488" s="3">
        <f>IFERROR(__xludf.DUMMYFUNCTION("""COMPUTED_VALUE"""),44901.66666666667)</f>
        <v>44901.66667</v>
      </c>
      <c r="C488" s="2">
        <f>IFERROR(__xludf.DUMMYFUNCTION("""COMPUTED_VALUE"""),48.59)</f>
        <v>48.59</v>
      </c>
      <c r="H488" s="3">
        <f>IFERROR(__xludf.DUMMYFUNCTION("""COMPUTED_VALUE"""),45957.66666666667)</f>
        <v>45957.66667</v>
      </c>
      <c r="I488" s="2">
        <f>IFERROR(__xludf.DUMMYFUNCTION("""COMPUTED_VALUE"""),5.87)</f>
        <v>5.87</v>
      </c>
      <c r="K488" s="3">
        <f>IFERROR(__xludf.DUMMYFUNCTION("""COMPUTED_VALUE"""),44900.6875)</f>
        <v>44900.6875</v>
      </c>
      <c r="L488" s="2">
        <f>IFERROR(__xludf.DUMMYFUNCTION("""COMPUTED_VALUE"""),46.38)</f>
        <v>46.38</v>
      </c>
      <c r="N488" s="3">
        <f>IFERROR(__xludf.DUMMYFUNCTION("""COMPUTED_VALUE"""),44901.66666666667)</f>
        <v>44901.66667</v>
      </c>
      <c r="O488" s="2">
        <f>IFERROR(__xludf.DUMMYFUNCTION("""COMPUTED_VALUE"""),34.37)</f>
        <v>34.37</v>
      </c>
      <c r="Q488" s="3">
        <f>IFERROR(__xludf.DUMMYFUNCTION("""COMPUTED_VALUE"""),44901.66666666667)</f>
        <v>44901.66667</v>
      </c>
      <c r="R488" s="2">
        <f>IFERROR(__xludf.DUMMYFUNCTION("""COMPUTED_VALUE"""),149.28)</f>
        <v>149.28</v>
      </c>
    </row>
    <row r="489">
      <c r="B489" s="3">
        <f>IFERROR(__xludf.DUMMYFUNCTION("""COMPUTED_VALUE"""),44902.66666666667)</f>
        <v>44902.66667</v>
      </c>
      <c r="C489" s="2">
        <f>IFERROR(__xludf.DUMMYFUNCTION("""COMPUTED_VALUE"""),48.18)</f>
        <v>48.18</v>
      </c>
      <c r="H489" s="3">
        <f>IFERROR(__xludf.DUMMYFUNCTION("""COMPUTED_VALUE"""),45958.66666666667)</f>
        <v>45958.66667</v>
      </c>
      <c r="I489" s="2">
        <f>IFERROR(__xludf.DUMMYFUNCTION("""COMPUTED_VALUE"""),5.26)</f>
        <v>5.26</v>
      </c>
      <c r="K489" s="3">
        <f>IFERROR(__xludf.DUMMYFUNCTION("""COMPUTED_VALUE"""),44901.6875)</f>
        <v>44901.6875</v>
      </c>
      <c r="L489" s="2">
        <f>IFERROR(__xludf.DUMMYFUNCTION("""COMPUTED_VALUE"""),46.43)</f>
        <v>46.43</v>
      </c>
      <c r="N489" s="3">
        <f>IFERROR(__xludf.DUMMYFUNCTION("""COMPUTED_VALUE"""),44902.66666666667)</f>
        <v>44902.66667</v>
      </c>
      <c r="O489" s="2">
        <f>IFERROR(__xludf.DUMMYFUNCTION("""COMPUTED_VALUE"""),33.91)</f>
        <v>33.91</v>
      </c>
      <c r="Q489" s="3">
        <f>IFERROR(__xludf.DUMMYFUNCTION("""COMPUTED_VALUE"""),44902.66666666667)</f>
        <v>44902.66667</v>
      </c>
      <c r="R489" s="2">
        <f>IFERROR(__xludf.DUMMYFUNCTION("""COMPUTED_VALUE"""),150.24)</f>
        <v>150.24</v>
      </c>
    </row>
    <row r="490">
      <c r="B490" s="3">
        <f>IFERROR(__xludf.DUMMYFUNCTION("""COMPUTED_VALUE"""),44903.66666666667)</f>
        <v>44903.66667</v>
      </c>
      <c r="C490" s="2">
        <f>IFERROR(__xludf.DUMMYFUNCTION("""COMPUTED_VALUE"""),48.99)</f>
        <v>48.99</v>
      </c>
      <c r="H490" s="3">
        <f>IFERROR(__xludf.DUMMYFUNCTION("""COMPUTED_VALUE"""),45959.66666666667)</f>
        <v>45959.66667</v>
      </c>
      <c r="I490" s="2">
        <f>IFERROR(__xludf.DUMMYFUNCTION("""COMPUTED_VALUE"""),5.07)</f>
        <v>5.07</v>
      </c>
      <c r="K490" s="3">
        <f>IFERROR(__xludf.DUMMYFUNCTION("""COMPUTED_VALUE"""),44902.6875)</f>
        <v>44902.6875</v>
      </c>
      <c r="L490" s="2">
        <f>IFERROR(__xludf.DUMMYFUNCTION("""COMPUTED_VALUE"""),46.24)</f>
        <v>46.24</v>
      </c>
      <c r="N490" s="3">
        <f>IFERROR(__xludf.DUMMYFUNCTION("""COMPUTED_VALUE"""),44903.66666666667)</f>
        <v>44903.66667</v>
      </c>
      <c r="O490" s="2">
        <f>IFERROR(__xludf.DUMMYFUNCTION("""COMPUTED_VALUE"""),33.93)</f>
        <v>33.93</v>
      </c>
      <c r="Q490" s="3">
        <f>IFERROR(__xludf.DUMMYFUNCTION("""COMPUTED_VALUE"""),44903.66666666667)</f>
        <v>44903.66667</v>
      </c>
      <c r="R490" s="2">
        <f>IFERROR(__xludf.DUMMYFUNCTION("""COMPUTED_VALUE"""),151.32)</f>
        <v>151.32</v>
      </c>
    </row>
    <row r="491">
      <c r="B491" s="3">
        <f>IFERROR(__xludf.DUMMYFUNCTION("""COMPUTED_VALUE"""),44904.66666666667)</f>
        <v>44904.66667</v>
      </c>
      <c r="C491" s="2">
        <f>IFERROR(__xludf.DUMMYFUNCTION("""COMPUTED_VALUE"""),48.46)</f>
        <v>48.46</v>
      </c>
      <c r="H491" s="3">
        <f>IFERROR(__xludf.DUMMYFUNCTION("""COMPUTED_VALUE"""),45960.66666666667)</f>
        <v>45960.66667</v>
      </c>
      <c r="I491" s="2">
        <f>IFERROR(__xludf.DUMMYFUNCTION("""COMPUTED_VALUE"""),4.95)</f>
        <v>4.95</v>
      </c>
      <c r="K491" s="3">
        <f>IFERROR(__xludf.DUMMYFUNCTION("""COMPUTED_VALUE"""),44903.6875)</f>
        <v>44903.6875</v>
      </c>
      <c r="L491" s="2">
        <f>IFERROR(__xludf.DUMMYFUNCTION("""COMPUTED_VALUE"""),45.9)</f>
        <v>45.9</v>
      </c>
      <c r="N491" s="3">
        <f>IFERROR(__xludf.DUMMYFUNCTION("""COMPUTED_VALUE"""),44904.66666666667)</f>
        <v>44904.66667</v>
      </c>
      <c r="O491" s="2">
        <f>IFERROR(__xludf.DUMMYFUNCTION("""COMPUTED_VALUE"""),33.71)</f>
        <v>33.71</v>
      </c>
      <c r="Q491" s="3">
        <f>IFERROR(__xludf.DUMMYFUNCTION("""COMPUTED_VALUE"""),44904.66666666667)</f>
        <v>44904.66667</v>
      </c>
      <c r="R491" s="2">
        <f>IFERROR(__xludf.DUMMYFUNCTION("""COMPUTED_VALUE"""),150.92)</f>
        <v>150.92</v>
      </c>
    </row>
    <row r="492">
      <c r="B492" s="3">
        <f>IFERROR(__xludf.DUMMYFUNCTION("""COMPUTED_VALUE"""),44907.66666666667)</f>
        <v>44907.66667</v>
      </c>
      <c r="C492" s="2">
        <f>IFERROR(__xludf.DUMMYFUNCTION("""COMPUTED_VALUE"""),49.3)</f>
        <v>49.3</v>
      </c>
      <c r="H492" s="3">
        <f>IFERROR(__xludf.DUMMYFUNCTION("""COMPUTED_VALUE"""),45961.66666666667)</f>
        <v>45961.66667</v>
      </c>
      <c r="I492" s="2">
        <f>IFERROR(__xludf.DUMMYFUNCTION("""COMPUTED_VALUE"""),4.82)</f>
        <v>4.82</v>
      </c>
      <c r="K492" s="3">
        <f>IFERROR(__xludf.DUMMYFUNCTION("""COMPUTED_VALUE"""),44904.6875)</f>
        <v>44904.6875</v>
      </c>
      <c r="L492" s="2">
        <f>IFERROR(__xludf.DUMMYFUNCTION("""COMPUTED_VALUE"""),46.44)</f>
        <v>46.44</v>
      </c>
      <c r="N492" s="3">
        <f>IFERROR(__xludf.DUMMYFUNCTION("""COMPUTED_VALUE"""),44907.66666666667)</f>
        <v>44907.66667</v>
      </c>
      <c r="O492" s="2">
        <f>IFERROR(__xludf.DUMMYFUNCTION("""COMPUTED_VALUE"""),34.1)</f>
        <v>34.1</v>
      </c>
      <c r="Q492" s="3">
        <f>IFERROR(__xludf.DUMMYFUNCTION("""COMPUTED_VALUE"""),44907.66666666667)</f>
        <v>44907.66667</v>
      </c>
      <c r="R492" s="2">
        <f>IFERROR(__xludf.DUMMYFUNCTION("""COMPUTED_VALUE"""),152.47)</f>
        <v>152.47</v>
      </c>
    </row>
    <row r="493">
      <c r="B493" s="3">
        <f>IFERROR(__xludf.DUMMYFUNCTION("""COMPUTED_VALUE"""),44908.66666666667)</f>
        <v>44908.66667</v>
      </c>
      <c r="C493" s="2">
        <f>IFERROR(__xludf.DUMMYFUNCTION("""COMPUTED_VALUE"""),49.64)</f>
        <v>49.64</v>
      </c>
      <c r="H493" s="3">
        <f>IFERROR(__xludf.DUMMYFUNCTION("""COMPUTED_VALUE"""),45964.66666666667)</f>
        <v>45964.66667</v>
      </c>
      <c r="I493" s="2">
        <f>IFERROR(__xludf.DUMMYFUNCTION("""COMPUTED_VALUE"""),4.44)</f>
        <v>4.44</v>
      </c>
      <c r="K493" s="3">
        <f>IFERROR(__xludf.DUMMYFUNCTION("""COMPUTED_VALUE"""),44907.6875)</f>
        <v>44907.6875</v>
      </c>
      <c r="L493" s="2">
        <f>IFERROR(__xludf.DUMMYFUNCTION("""COMPUTED_VALUE"""),45.78)</f>
        <v>45.78</v>
      </c>
      <c r="N493" s="3">
        <f>IFERROR(__xludf.DUMMYFUNCTION("""COMPUTED_VALUE"""),44908.66666666667)</f>
        <v>44908.66667</v>
      </c>
      <c r="O493" s="2">
        <f>IFERROR(__xludf.DUMMYFUNCTION("""COMPUTED_VALUE"""),35.01)</f>
        <v>35.01</v>
      </c>
      <c r="Q493" s="3">
        <f>IFERROR(__xludf.DUMMYFUNCTION("""COMPUTED_VALUE"""),44908.66666666667)</f>
        <v>44908.66667</v>
      </c>
      <c r="R493" s="2">
        <f>IFERROR(__xludf.DUMMYFUNCTION("""COMPUTED_VALUE"""),152.24)</f>
        <v>152.24</v>
      </c>
    </row>
    <row r="494">
      <c r="B494" s="3">
        <f>IFERROR(__xludf.DUMMYFUNCTION("""COMPUTED_VALUE"""),44909.66666666667)</f>
        <v>44909.66667</v>
      </c>
      <c r="C494" s="2">
        <f>IFERROR(__xludf.DUMMYFUNCTION("""COMPUTED_VALUE"""),49.3)</f>
        <v>49.3</v>
      </c>
      <c r="H494" s="3">
        <f>IFERROR(__xludf.DUMMYFUNCTION("""COMPUTED_VALUE"""),45965.66666666667)</f>
        <v>45965.66667</v>
      </c>
      <c r="I494" s="2">
        <f>IFERROR(__xludf.DUMMYFUNCTION("""COMPUTED_VALUE"""),4.05)</f>
        <v>4.05</v>
      </c>
      <c r="K494" s="3">
        <f>IFERROR(__xludf.DUMMYFUNCTION("""COMPUTED_VALUE"""),44908.6875)</f>
        <v>44908.6875</v>
      </c>
      <c r="L494" s="2">
        <f>IFERROR(__xludf.DUMMYFUNCTION("""COMPUTED_VALUE"""),46.37)</f>
        <v>46.37</v>
      </c>
      <c r="N494" s="3">
        <f>IFERROR(__xludf.DUMMYFUNCTION("""COMPUTED_VALUE"""),44909.66666666667)</f>
        <v>44909.66667</v>
      </c>
      <c r="O494" s="2">
        <f>IFERROR(__xludf.DUMMYFUNCTION("""COMPUTED_VALUE"""),34.8)</f>
        <v>34.8</v>
      </c>
      <c r="Q494" s="3">
        <f>IFERROR(__xludf.DUMMYFUNCTION("""COMPUTED_VALUE"""),44909.66666666667)</f>
        <v>44909.66667</v>
      </c>
      <c r="R494" s="2">
        <f>IFERROR(__xludf.DUMMYFUNCTION("""COMPUTED_VALUE"""),152.84)</f>
        <v>152.84</v>
      </c>
    </row>
    <row r="495">
      <c r="B495" s="3">
        <f>IFERROR(__xludf.DUMMYFUNCTION("""COMPUTED_VALUE"""),44910.66666666667)</f>
        <v>44910.66667</v>
      </c>
      <c r="C495" s="2">
        <f>IFERROR(__xludf.DUMMYFUNCTION("""COMPUTED_VALUE"""),48.15)</f>
        <v>48.15</v>
      </c>
      <c r="H495" s="3">
        <f>IFERROR(__xludf.DUMMYFUNCTION("""COMPUTED_VALUE"""),45966.66666666667)</f>
        <v>45966.66667</v>
      </c>
      <c r="I495" s="2">
        <f>IFERROR(__xludf.DUMMYFUNCTION("""COMPUTED_VALUE"""),4.03)</f>
        <v>4.03</v>
      </c>
      <c r="K495" s="3">
        <f>IFERROR(__xludf.DUMMYFUNCTION("""COMPUTED_VALUE"""),44909.6875)</f>
        <v>44909.6875</v>
      </c>
      <c r="L495" s="2">
        <f>IFERROR(__xludf.DUMMYFUNCTION("""COMPUTED_VALUE"""),46.16)</f>
        <v>46.16</v>
      </c>
      <c r="N495" s="3">
        <f>IFERROR(__xludf.DUMMYFUNCTION("""COMPUTED_VALUE"""),44910.66666666667)</f>
        <v>44910.66667</v>
      </c>
      <c r="O495" s="2">
        <f>IFERROR(__xludf.DUMMYFUNCTION("""COMPUTED_VALUE"""),34.28)</f>
        <v>34.28</v>
      </c>
      <c r="Q495" s="3">
        <f>IFERROR(__xludf.DUMMYFUNCTION("""COMPUTED_VALUE"""),44910.66666666667)</f>
        <v>44910.66667</v>
      </c>
      <c r="R495" s="2">
        <f>IFERROR(__xludf.DUMMYFUNCTION("""COMPUTED_VALUE"""),151.11)</f>
        <v>151.11</v>
      </c>
    </row>
    <row r="496">
      <c r="B496" s="3">
        <f>IFERROR(__xludf.DUMMYFUNCTION("""COMPUTED_VALUE"""),44911.66666666667)</f>
        <v>44911.66667</v>
      </c>
      <c r="C496" s="2">
        <f>IFERROR(__xludf.DUMMYFUNCTION("""COMPUTED_VALUE"""),47.81)</f>
        <v>47.81</v>
      </c>
      <c r="H496" s="3">
        <f>IFERROR(__xludf.DUMMYFUNCTION("""COMPUTED_VALUE"""),45967.66666666667)</f>
        <v>45967.66667</v>
      </c>
      <c r="I496" s="2">
        <f>IFERROR(__xludf.DUMMYFUNCTION("""COMPUTED_VALUE"""),3.72)</f>
        <v>3.72</v>
      </c>
      <c r="K496" s="3">
        <f>IFERROR(__xludf.DUMMYFUNCTION("""COMPUTED_VALUE"""),44910.6875)</f>
        <v>44910.6875</v>
      </c>
      <c r="L496" s="2">
        <f>IFERROR(__xludf.DUMMYFUNCTION("""COMPUTED_VALUE"""),45.47)</f>
        <v>45.47</v>
      </c>
      <c r="N496" s="3">
        <f>IFERROR(__xludf.DUMMYFUNCTION("""COMPUTED_VALUE"""),44911.66666666667)</f>
        <v>44911.66667</v>
      </c>
      <c r="O496" s="2">
        <f>IFERROR(__xludf.DUMMYFUNCTION("""COMPUTED_VALUE"""),33.68)</f>
        <v>33.68</v>
      </c>
      <c r="Q496" s="3">
        <f>IFERROR(__xludf.DUMMYFUNCTION("""COMPUTED_VALUE"""),44911.66666666667)</f>
        <v>44911.66667</v>
      </c>
      <c r="R496" s="2">
        <f>IFERROR(__xludf.DUMMYFUNCTION("""COMPUTED_VALUE"""),150.44)</f>
        <v>150.44</v>
      </c>
    </row>
    <row r="497">
      <c r="B497" s="3">
        <f>IFERROR(__xludf.DUMMYFUNCTION("""COMPUTED_VALUE"""),44914.66666666667)</f>
        <v>44914.66667</v>
      </c>
      <c r="C497" s="2">
        <f>IFERROR(__xludf.DUMMYFUNCTION("""COMPUTED_VALUE"""),47.4)</f>
        <v>47.4</v>
      </c>
      <c r="H497" s="3">
        <f>IFERROR(__xludf.DUMMYFUNCTION("""COMPUTED_VALUE"""),45968.66666666667)</f>
        <v>45968.66667</v>
      </c>
      <c r="I497" s="2">
        <f>IFERROR(__xludf.DUMMYFUNCTION("""COMPUTED_VALUE"""),3.74)</f>
        <v>3.74</v>
      </c>
      <c r="K497" s="3">
        <f>IFERROR(__xludf.DUMMYFUNCTION("""COMPUTED_VALUE"""),44911.6875)</f>
        <v>44911.6875</v>
      </c>
      <c r="L497" s="2">
        <f>IFERROR(__xludf.DUMMYFUNCTION("""COMPUTED_VALUE"""),45.18)</f>
        <v>45.18</v>
      </c>
      <c r="N497" s="3">
        <f>IFERROR(__xludf.DUMMYFUNCTION("""COMPUTED_VALUE"""),44914.66666666667)</f>
        <v>44914.66667</v>
      </c>
      <c r="O497" s="2">
        <f>IFERROR(__xludf.DUMMYFUNCTION("""COMPUTED_VALUE"""),33.95)</f>
        <v>33.95</v>
      </c>
      <c r="Q497" s="3">
        <f>IFERROR(__xludf.DUMMYFUNCTION("""COMPUTED_VALUE"""),44914.66666666667)</f>
        <v>44914.66667</v>
      </c>
      <c r="R497" s="2">
        <f>IFERROR(__xludf.DUMMYFUNCTION("""COMPUTED_VALUE"""),150.4)</f>
        <v>150.4</v>
      </c>
    </row>
    <row r="498">
      <c r="B498" s="3">
        <f>IFERROR(__xludf.DUMMYFUNCTION("""COMPUTED_VALUE"""),44915.66666666667)</f>
        <v>44915.66667</v>
      </c>
      <c r="C498" s="2">
        <f>IFERROR(__xludf.DUMMYFUNCTION("""COMPUTED_VALUE"""),47.37)</f>
        <v>47.37</v>
      </c>
      <c r="H498" s="3">
        <f>IFERROR(__xludf.DUMMYFUNCTION("""COMPUTED_VALUE"""),45971.66666666667)</f>
        <v>45971.66667</v>
      </c>
      <c r="I498" s="2">
        <f>IFERROR(__xludf.DUMMYFUNCTION("""COMPUTED_VALUE"""),3.8)</f>
        <v>3.8</v>
      </c>
      <c r="K498" s="3">
        <f>IFERROR(__xludf.DUMMYFUNCTION("""COMPUTED_VALUE"""),44914.6875)</f>
        <v>44914.6875</v>
      </c>
      <c r="L498" s="2">
        <f>IFERROR(__xludf.DUMMYFUNCTION("""COMPUTED_VALUE"""),45.0)</f>
        <v>45</v>
      </c>
      <c r="N498" s="3">
        <f>IFERROR(__xludf.DUMMYFUNCTION("""COMPUTED_VALUE"""),44915.66666666667)</f>
        <v>44915.66667</v>
      </c>
      <c r="O498" s="2">
        <f>IFERROR(__xludf.DUMMYFUNCTION("""COMPUTED_VALUE"""),34.08)</f>
        <v>34.08</v>
      </c>
      <c r="Q498" s="3">
        <f>IFERROR(__xludf.DUMMYFUNCTION("""COMPUTED_VALUE"""),44915.66666666667)</f>
        <v>44915.66667</v>
      </c>
      <c r="R498" s="2">
        <f>IFERROR(__xludf.DUMMYFUNCTION("""COMPUTED_VALUE"""),150.46)</f>
        <v>150.46</v>
      </c>
    </row>
    <row r="499">
      <c r="B499" s="3">
        <f>IFERROR(__xludf.DUMMYFUNCTION("""COMPUTED_VALUE"""),44916.66666666667)</f>
        <v>44916.66667</v>
      </c>
      <c r="C499" s="2">
        <f>IFERROR(__xludf.DUMMYFUNCTION("""COMPUTED_VALUE"""),47.66)</f>
        <v>47.66</v>
      </c>
      <c r="H499" s="3">
        <f>IFERROR(__xludf.DUMMYFUNCTION("""COMPUTED_VALUE"""),45972.66666666667)</f>
        <v>45972.66667</v>
      </c>
      <c r="I499" s="2">
        <f>IFERROR(__xludf.DUMMYFUNCTION("""COMPUTED_VALUE"""),3.63)</f>
        <v>3.63</v>
      </c>
      <c r="K499" s="3">
        <f>IFERROR(__xludf.DUMMYFUNCTION("""COMPUTED_VALUE"""),44915.6875)</f>
        <v>44915.6875</v>
      </c>
      <c r="L499" s="2">
        <f>IFERROR(__xludf.DUMMYFUNCTION("""COMPUTED_VALUE"""),45.52)</f>
        <v>45.52</v>
      </c>
      <c r="N499" s="3">
        <f>IFERROR(__xludf.DUMMYFUNCTION("""COMPUTED_VALUE"""),44916.66666666667)</f>
        <v>44916.66667</v>
      </c>
      <c r="O499" s="2">
        <f>IFERROR(__xludf.DUMMYFUNCTION("""COMPUTED_VALUE"""),35.03)</f>
        <v>35.03</v>
      </c>
      <c r="Q499" s="3">
        <f>IFERROR(__xludf.DUMMYFUNCTION("""COMPUTED_VALUE"""),44916.66666666667)</f>
        <v>44916.66667</v>
      </c>
      <c r="R499" s="2">
        <f>IFERROR(__xludf.DUMMYFUNCTION("""COMPUTED_VALUE"""),151.84)</f>
        <v>151.84</v>
      </c>
    </row>
    <row r="500">
      <c r="B500" s="3">
        <f>IFERROR(__xludf.DUMMYFUNCTION("""COMPUTED_VALUE"""),44917.66666666667)</f>
        <v>44917.66667</v>
      </c>
      <c r="C500" s="2">
        <f>IFERROR(__xludf.DUMMYFUNCTION("""COMPUTED_VALUE"""),47.32)</f>
        <v>47.32</v>
      </c>
      <c r="H500" s="3">
        <f>IFERROR(__xludf.DUMMYFUNCTION("""COMPUTED_VALUE"""),45973.66666666667)</f>
        <v>45973.66667</v>
      </c>
      <c r="I500" s="2">
        <f>IFERROR(__xludf.DUMMYFUNCTION("""COMPUTED_VALUE"""),3.55)</f>
        <v>3.55</v>
      </c>
      <c r="K500" s="3">
        <f>IFERROR(__xludf.DUMMYFUNCTION("""COMPUTED_VALUE"""),44916.6875)</f>
        <v>44916.6875</v>
      </c>
      <c r="L500" s="2">
        <f>IFERROR(__xludf.DUMMYFUNCTION("""COMPUTED_VALUE"""),46.25)</f>
        <v>46.25</v>
      </c>
      <c r="N500" s="3">
        <f>IFERROR(__xludf.DUMMYFUNCTION("""COMPUTED_VALUE"""),44917.66666666667)</f>
        <v>44917.66667</v>
      </c>
      <c r="O500" s="2">
        <f>IFERROR(__xludf.DUMMYFUNCTION("""COMPUTED_VALUE"""),34.41)</f>
        <v>34.41</v>
      </c>
      <c r="Q500" s="3">
        <f>IFERROR(__xludf.DUMMYFUNCTION("""COMPUTED_VALUE"""),44917.66666666667)</f>
        <v>44917.66667</v>
      </c>
      <c r="R500" s="2">
        <f>IFERROR(__xludf.DUMMYFUNCTION("""COMPUTED_VALUE"""),152.19)</f>
        <v>152.19</v>
      </c>
    </row>
    <row r="501">
      <c r="B501" s="3">
        <f>IFERROR(__xludf.DUMMYFUNCTION("""COMPUTED_VALUE"""),44918.66666666667)</f>
        <v>44918.66667</v>
      </c>
      <c r="C501" s="2">
        <f>IFERROR(__xludf.DUMMYFUNCTION("""COMPUTED_VALUE"""),47.48)</f>
        <v>47.48</v>
      </c>
      <c r="H501" s="3">
        <f>IFERROR(__xludf.DUMMYFUNCTION("""COMPUTED_VALUE"""),45974.66666666667)</f>
        <v>45974.66667</v>
      </c>
      <c r="I501" s="2">
        <f>IFERROR(__xludf.DUMMYFUNCTION("""COMPUTED_VALUE"""),3.26)</f>
        <v>3.26</v>
      </c>
      <c r="K501" s="3">
        <f>IFERROR(__xludf.DUMMYFUNCTION("""COMPUTED_VALUE"""),44917.6875)</f>
        <v>44917.6875</v>
      </c>
      <c r="L501" s="2">
        <f>IFERROR(__xludf.DUMMYFUNCTION("""COMPUTED_VALUE"""),46.1)</f>
        <v>46.1</v>
      </c>
      <c r="N501" s="3">
        <f>IFERROR(__xludf.DUMMYFUNCTION("""COMPUTED_VALUE"""),44918.66666666667)</f>
        <v>44918.66667</v>
      </c>
      <c r="O501" s="2">
        <f>IFERROR(__xludf.DUMMYFUNCTION("""COMPUTED_VALUE"""),35.01)</f>
        <v>35.01</v>
      </c>
      <c r="Q501" s="3">
        <f>IFERROR(__xludf.DUMMYFUNCTION("""COMPUTED_VALUE"""),44918.66666666667)</f>
        <v>44918.66667</v>
      </c>
      <c r="R501" s="2">
        <f>IFERROR(__xludf.DUMMYFUNCTION("""COMPUTED_VALUE"""),152.62)</f>
        <v>152.62</v>
      </c>
    </row>
    <row r="502">
      <c r="B502" s="3">
        <f>IFERROR(__xludf.DUMMYFUNCTION("""COMPUTED_VALUE"""),44922.66666666667)</f>
        <v>44922.66667</v>
      </c>
      <c r="C502" s="2">
        <f>IFERROR(__xludf.DUMMYFUNCTION("""COMPUTED_VALUE"""),47.53)</f>
        <v>47.53</v>
      </c>
      <c r="H502" s="3">
        <f>IFERROR(__xludf.DUMMYFUNCTION("""COMPUTED_VALUE"""),45975.66666666667)</f>
        <v>45975.66667</v>
      </c>
      <c r="I502" s="2">
        <f>IFERROR(__xludf.DUMMYFUNCTION("""COMPUTED_VALUE"""),3.35)</f>
        <v>3.35</v>
      </c>
      <c r="K502" s="3">
        <f>IFERROR(__xludf.DUMMYFUNCTION("""COMPUTED_VALUE"""),44918.52083333333)</f>
        <v>44918.52083</v>
      </c>
      <c r="L502" s="2">
        <f>IFERROR(__xludf.DUMMYFUNCTION("""COMPUTED_VALUE"""),46.03)</f>
        <v>46.03</v>
      </c>
      <c r="N502" s="3">
        <f>IFERROR(__xludf.DUMMYFUNCTION("""COMPUTED_VALUE"""),44922.66666666667)</f>
        <v>44922.66667</v>
      </c>
      <c r="O502" s="2">
        <f>IFERROR(__xludf.DUMMYFUNCTION("""COMPUTED_VALUE"""),35.04)</f>
        <v>35.04</v>
      </c>
      <c r="Q502" s="3">
        <f>IFERROR(__xludf.DUMMYFUNCTION("""COMPUTED_VALUE"""),44922.66666666667)</f>
        <v>44922.66667</v>
      </c>
      <c r="R502" s="2">
        <f>IFERROR(__xludf.DUMMYFUNCTION("""COMPUTED_VALUE"""),153.95)</f>
        <v>153.95</v>
      </c>
    </row>
    <row r="503">
      <c r="B503" s="3">
        <f>IFERROR(__xludf.DUMMYFUNCTION("""COMPUTED_VALUE"""),44923.66666666667)</f>
        <v>44923.66667</v>
      </c>
      <c r="C503" s="2">
        <f>IFERROR(__xludf.DUMMYFUNCTION("""COMPUTED_VALUE"""),47.07)</f>
        <v>47.07</v>
      </c>
      <c r="H503" s="3">
        <f>IFERROR(__xludf.DUMMYFUNCTION("""COMPUTED_VALUE"""),45978.66666666667)</f>
        <v>45978.66667</v>
      </c>
      <c r="I503" s="2">
        <f>IFERROR(__xludf.DUMMYFUNCTION("""COMPUTED_VALUE"""),3.12)</f>
        <v>3.12</v>
      </c>
      <c r="K503" s="3">
        <f>IFERROR(__xludf.DUMMYFUNCTION("""COMPUTED_VALUE"""),44923.6875)</f>
        <v>44923.6875</v>
      </c>
      <c r="L503" s="2">
        <f>IFERROR(__xludf.DUMMYFUNCTION("""COMPUTED_VALUE"""),46.24)</f>
        <v>46.24</v>
      </c>
      <c r="N503" s="3">
        <f>IFERROR(__xludf.DUMMYFUNCTION("""COMPUTED_VALUE"""),44923.66666666667)</f>
        <v>44923.66667</v>
      </c>
      <c r="O503" s="2">
        <f>IFERROR(__xludf.DUMMYFUNCTION("""COMPUTED_VALUE"""),34.58)</f>
        <v>34.58</v>
      </c>
      <c r="Q503" s="3">
        <f>IFERROR(__xludf.DUMMYFUNCTION("""COMPUTED_VALUE"""),44923.66666666667)</f>
        <v>44923.66667</v>
      </c>
      <c r="R503" s="2">
        <f>IFERROR(__xludf.DUMMYFUNCTION("""COMPUTED_VALUE"""),151.96)</f>
        <v>151.96</v>
      </c>
    </row>
    <row r="504">
      <c r="B504" s="3">
        <f>IFERROR(__xludf.DUMMYFUNCTION("""COMPUTED_VALUE"""),44924.66666666667)</f>
        <v>44924.66667</v>
      </c>
      <c r="C504" s="2">
        <f>IFERROR(__xludf.DUMMYFUNCTION("""COMPUTED_VALUE"""),47.5)</f>
        <v>47.5</v>
      </c>
      <c r="H504" s="3">
        <f>IFERROR(__xludf.DUMMYFUNCTION("""COMPUTED_VALUE"""),45979.66666666667)</f>
        <v>45979.66667</v>
      </c>
      <c r="I504" s="2">
        <f>IFERROR(__xludf.DUMMYFUNCTION("""COMPUTED_VALUE"""),3.24)</f>
        <v>3.24</v>
      </c>
      <c r="K504" s="3">
        <f>IFERROR(__xludf.DUMMYFUNCTION("""COMPUTED_VALUE"""),44924.6875)</f>
        <v>44924.6875</v>
      </c>
      <c r="L504" s="2">
        <f>IFERROR(__xludf.DUMMYFUNCTION("""COMPUTED_VALUE"""),46.23)</f>
        <v>46.23</v>
      </c>
      <c r="N504" s="3">
        <f>IFERROR(__xludf.DUMMYFUNCTION("""COMPUTED_VALUE"""),44924.66666666667)</f>
        <v>44924.66667</v>
      </c>
      <c r="O504" s="2">
        <f>IFERROR(__xludf.DUMMYFUNCTION("""COMPUTED_VALUE"""),34.7)</f>
        <v>34.7</v>
      </c>
      <c r="Q504" s="3">
        <f>IFERROR(__xludf.DUMMYFUNCTION("""COMPUTED_VALUE"""),44924.66666666667)</f>
        <v>44924.66667</v>
      </c>
      <c r="R504" s="2">
        <f>IFERROR(__xludf.DUMMYFUNCTION("""COMPUTED_VALUE"""),152.59)</f>
        <v>152.59</v>
      </c>
    </row>
    <row r="505">
      <c r="B505" s="3">
        <f>IFERROR(__xludf.DUMMYFUNCTION("""COMPUTED_VALUE"""),44925.66666666667)</f>
        <v>44925.66667</v>
      </c>
      <c r="C505" s="2">
        <f>IFERROR(__xludf.DUMMYFUNCTION("""COMPUTED_VALUE"""),47.64)</f>
        <v>47.64</v>
      </c>
      <c r="H505" s="3">
        <f>IFERROR(__xludf.DUMMYFUNCTION("""COMPUTED_VALUE"""),45980.66666666667)</f>
        <v>45980.66667</v>
      </c>
      <c r="I505" s="2">
        <f>IFERROR(__xludf.DUMMYFUNCTION("""COMPUTED_VALUE"""),3.21)</f>
        <v>3.21</v>
      </c>
      <c r="K505" s="3">
        <f>IFERROR(__xludf.DUMMYFUNCTION("""COMPUTED_VALUE"""),44925.52083333333)</f>
        <v>44925.52083</v>
      </c>
      <c r="L505" s="2">
        <f>IFERROR(__xludf.DUMMYFUNCTION("""COMPUTED_VALUE"""),45.41)</f>
        <v>45.41</v>
      </c>
      <c r="N505" s="3">
        <f>IFERROR(__xludf.DUMMYFUNCTION("""COMPUTED_VALUE"""),44925.66666666667)</f>
        <v>44925.66667</v>
      </c>
      <c r="O505" s="2">
        <f>IFERROR(__xludf.DUMMYFUNCTION("""COMPUTED_VALUE"""),34.93)</f>
        <v>34.93</v>
      </c>
      <c r="Q505" s="3">
        <f>IFERROR(__xludf.DUMMYFUNCTION("""COMPUTED_VALUE"""),44925.66666666667)</f>
        <v>44925.66667</v>
      </c>
      <c r="R505" s="2">
        <f>IFERROR(__xludf.DUMMYFUNCTION("""COMPUTED_VALUE"""),151.56)</f>
        <v>151.56</v>
      </c>
    </row>
    <row r="506">
      <c r="B506" s="3">
        <f>IFERROR(__xludf.DUMMYFUNCTION("""COMPUTED_VALUE"""),44929.66666666667)</f>
        <v>44929.66667</v>
      </c>
      <c r="C506" s="2">
        <f>IFERROR(__xludf.DUMMYFUNCTION("""COMPUTED_VALUE"""),47.94)</f>
        <v>47.94</v>
      </c>
      <c r="H506" s="3">
        <f>IFERROR(__xludf.DUMMYFUNCTION("""COMPUTED_VALUE"""),45981.66666666667)</f>
        <v>45981.66667</v>
      </c>
      <c r="I506" s="2">
        <f>IFERROR(__xludf.DUMMYFUNCTION("""COMPUTED_VALUE"""),3.04)</f>
        <v>3.04</v>
      </c>
      <c r="K506" s="3">
        <f>IFERROR(__xludf.DUMMYFUNCTION("""COMPUTED_VALUE"""),44929.6875)</f>
        <v>44929.6875</v>
      </c>
      <c r="L506" s="2">
        <f>IFERROR(__xludf.DUMMYFUNCTION("""COMPUTED_VALUE"""),47.13)</f>
        <v>47.13</v>
      </c>
      <c r="N506" s="3">
        <f>IFERROR(__xludf.DUMMYFUNCTION("""COMPUTED_VALUE"""),44929.66666666667)</f>
        <v>44929.66667</v>
      </c>
      <c r="O506" s="2">
        <f>IFERROR(__xludf.DUMMYFUNCTION("""COMPUTED_VALUE"""),34.32)</f>
        <v>34.32</v>
      </c>
      <c r="Q506" s="3">
        <f>IFERROR(__xludf.DUMMYFUNCTION("""COMPUTED_VALUE"""),44929.66666666667)</f>
        <v>44929.66667</v>
      </c>
      <c r="R506" s="2">
        <f>IFERROR(__xludf.DUMMYFUNCTION("""COMPUTED_VALUE"""),151.57)</f>
        <v>151.57</v>
      </c>
    </row>
    <row r="507">
      <c r="B507" s="3">
        <f>IFERROR(__xludf.DUMMYFUNCTION("""COMPUTED_VALUE"""),44930.66666666667)</f>
        <v>44930.66667</v>
      </c>
      <c r="C507" s="2">
        <f>IFERROR(__xludf.DUMMYFUNCTION("""COMPUTED_VALUE"""),47.55)</f>
        <v>47.55</v>
      </c>
      <c r="H507" s="3">
        <f>IFERROR(__xludf.DUMMYFUNCTION("""COMPUTED_VALUE"""),45982.66666666667)</f>
        <v>45982.66667</v>
      </c>
      <c r="I507" s="2">
        <f>IFERROR(__xludf.DUMMYFUNCTION("""COMPUTED_VALUE"""),3.0)</f>
        <v>3</v>
      </c>
      <c r="K507" s="3">
        <f>IFERROR(__xludf.DUMMYFUNCTION("""COMPUTED_VALUE"""),44930.6875)</f>
        <v>44930.6875</v>
      </c>
      <c r="L507" s="2">
        <f>IFERROR(__xludf.DUMMYFUNCTION("""COMPUTED_VALUE"""),47.45)</f>
        <v>47.45</v>
      </c>
      <c r="N507" s="3">
        <f>IFERROR(__xludf.DUMMYFUNCTION("""COMPUTED_VALUE"""),44930.66666666667)</f>
        <v>44930.66667</v>
      </c>
      <c r="O507" s="2">
        <f>IFERROR(__xludf.DUMMYFUNCTION("""COMPUTED_VALUE"""),33.78)</f>
        <v>33.78</v>
      </c>
      <c r="Q507" s="3">
        <f>IFERROR(__xludf.DUMMYFUNCTION("""COMPUTED_VALUE"""),44930.66666666667)</f>
        <v>44930.66667</v>
      </c>
      <c r="R507" s="2">
        <f>IFERROR(__xludf.DUMMYFUNCTION("""COMPUTED_VALUE"""),152.23)</f>
        <v>152.23</v>
      </c>
    </row>
    <row r="508">
      <c r="B508" s="3">
        <f>IFERROR(__xludf.DUMMYFUNCTION("""COMPUTED_VALUE"""),44931.66666666667)</f>
        <v>44931.66667</v>
      </c>
      <c r="C508" s="2">
        <f>IFERROR(__xludf.DUMMYFUNCTION("""COMPUTED_VALUE"""),46.88)</f>
        <v>46.88</v>
      </c>
      <c r="H508" s="3">
        <f>IFERROR(__xludf.DUMMYFUNCTION("""COMPUTED_VALUE"""),45985.66666666667)</f>
        <v>45985.66667</v>
      </c>
      <c r="I508" s="2">
        <f>IFERROR(__xludf.DUMMYFUNCTION("""COMPUTED_VALUE"""),3.27)</f>
        <v>3.27</v>
      </c>
      <c r="K508" s="3">
        <f>IFERROR(__xludf.DUMMYFUNCTION("""COMPUTED_VALUE"""),44931.6875)</f>
        <v>44931.6875</v>
      </c>
      <c r="L508" s="2">
        <f>IFERROR(__xludf.DUMMYFUNCTION("""COMPUTED_VALUE"""),48.32)</f>
        <v>48.32</v>
      </c>
      <c r="N508" s="3">
        <f>IFERROR(__xludf.DUMMYFUNCTION("""COMPUTED_VALUE"""),44931.66666666667)</f>
        <v>44931.66667</v>
      </c>
      <c r="O508" s="2">
        <f>IFERROR(__xludf.DUMMYFUNCTION("""COMPUTED_VALUE"""),33.9)</f>
        <v>33.9</v>
      </c>
      <c r="Q508" s="3">
        <f>IFERROR(__xludf.DUMMYFUNCTION("""COMPUTED_VALUE"""),44931.66666666667)</f>
        <v>44931.66667</v>
      </c>
      <c r="R508" s="2">
        <f>IFERROR(__xludf.DUMMYFUNCTION("""COMPUTED_VALUE"""),150.34)</f>
        <v>150.34</v>
      </c>
    </row>
    <row r="509">
      <c r="B509" s="3">
        <f>IFERROR(__xludf.DUMMYFUNCTION("""COMPUTED_VALUE"""),44932.66666666667)</f>
        <v>44932.66667</v>
      </c>
      <c r="C509" s="2">
        <f>IFERROR(__xludf.DUMMYFUNCTION("""COMPUTED_VALUE"""),48.32)</f>
        <v>48.32</v>
      </c>
      <c r="H509" s="3">
        <f>IFERROR(__xludf.DUMMYFUNCTION("""COMPUTED_VALUE"""),45986.66666666667)</f>
        <v>45986.66667</v>
      </c>
      <c r="I509" s="2">
        <f>IFERROR(__xludf.DUMMYFUNCTION("""COMPUTED_VALUE"""),3.58)</f>
        <v>3.58</v>
      </c>
      <c r="K509" s="3">
        <f>IFERROR(__xludf.DUMMYFUNCTION("""COMPUTED_VALUE"""),44932.6875)</f>
        <v>44932.6875</v>
      </c>
      <c r="L509" s="2">
        <f>IFERROR(__xludf.DUMMYFUNCTION("""COMPUTED_VALUE"""),48.01)</f>
        <v>48.01</v>
      </c>
      <c r="N509" s="3">
        <f>IFERROR(__xludf.DUMMYFUNCTION("""COMPUTED_VALUE"""),44932.66666666667)</f>
        <v>44932.66667</v>
      </c>
      <c r="O509" s="2">
        <f>IFERROR(__xludf.DUMMYFUNCTION("""COMPUTED_VALUE"""),34.46)</f>
        <v>34.46</v>
      </c>
      <c r="Q509" s="3">
        <f>IFERROR(__xludf.DUMMYFUNCTION("""COMPUTED_VALUE"""),44932.66666666667)</f>
        <v>44932.66667</v>
      </c>
      <c r="R509" s="2">
        <f>IFERROR(__xludf.DUMMYFUNCTION("""COMPUTED_VALUE"""),153.92)</f>
        <v>153.92</v>
      </c>
    </row>
    <row r="510">
      <c r="B510" s="3">
        <f>IFERROR(__xludf.DUMMYFUNCTION("""COMPUTED_VALUE"""),44935.66666666667)</f>
        <v>44935.66667</v>
      </c>
      <c r="C510" s="2">
        <f>IFERROR(__xludf.DUMMYFUNCTION("""COMPUTED_VALUE"""),48.58)</f>
        <v>48.58</v>
      </c>
      <c r="H510" s="3">
        <f>IFERROR(__xludf.DUMMYFUNCTION("""COMPUTED_VALUE"""),45987.66666666667)</f>
        <v>45987.66667</v>
      </c>
      <c r="I510" s="2">
        <f>IFERROR(__xludf.DUMMYFUNCTION("""COMPUTED_VALUE"""),3.46)</f>
        <v>3.46</v>
      </c>
      <c r="K510" s="3">
        <f>IFERROR(__xludf.DUMMYFUNCTION("""COMPUTED_VALUE"""),44935.6875)</f>
        <v>44935.6875</v>
      </c>
      <c r="L510" s="2">
        <f>IFERROR(__xludf.DUMMYFUNCTION("""COMPUTED_VALUE"""),48.25)</f>
        <v>48.25</v>
      </c>
      <c r="N510" s="3">
        <f>IFERROR(__xludf.DUMMYFUNCTION("""COMPUTED_VALUE"""),44935.66666666667)</f>
        <v>44935.66667</v>
      </c>
      <c r="O510" s="2">
        <f>IFERROR(__xludf.DUMMYFUNCTION("""COMPUTED_VALUE"""),34.77)</f>
        <v>34.77</v>
      </c>
      <c r="Q510" s="3">
        <f>IFERROR(__xludf.DUMMYFUNCTION("""COMPUTED_VALUE"""),44935.66666666667)</f>
        <v>44935.66667</v>
      </c>
      <c r="R510" s="2">
        <f>IFERROR(__xludf.DUMMYFUNCTION("""COMPUTED_VALUE"""),152.04)</f>
        <v>152.04</v>
      </c>
    </row>
    <row r="511">
      <c r="B511" s="3">
        <f>IFERROR(__xludf.DUMMYFUNCTION("""COMPUTED_VALUE"""),44936.66666666667)</f>
        <v>44936.66667</v>
      </c>
      <c r="C511" s="2">
        <f>IFERROR(__xludf.DUMMYFUNCTION("""COMPUTED_VALUE"""),48.81)</f>
        <v>48.81</v>
      </c>
      <c r="H511" s="3">
        <f>IFERROR(__xludf.DUMMYFUNCTION("""COMPUTED_VALUE"""),45989.54513888889)</f>
        <v>45989.54514</v>
      </c>
      <c r="I511" s="2">
        <f>IFERROR(__xludf.DUMMYFUNCTION("""COMPUTED_VALUE"""),3.55)</f>
        <v>3.55</v>
      </c>
      <c r="K511" s="3">
        <f>IFERROR(__xludf.DUMMYFUNCTION("""COMPUTED_VALUE"""),44936.6875)</f>
        <v>44936.6875</v>
      </c>
      <c r="L511" s="2">
        <f>IFERROR(__xludf.DUMMYFUNCTION("""COMPUTED_VALUE"""),48.04)</f>
        <v>48.04</v>
      </c>
      <c r="N511" s="3">
        <f>IFERROR(__xludf.DUMMYFUNCTION("""COMPUTED_VALUE"""),44936.66666666667)</f>
        <v>44936.66667</v>
      </c>
      <c r="O511" s="2">
        <f>IFERROR(__xludf.DUMMYFUNCTION("""COMPUTED_VALUE"""),34.85)</f>
        <v>34.85</v>
      </c>
      <c r="Q511" s="3">
        <f>IFERROR(__xludf.DUMMYFUNCTION("""COMPUTED_VALUE"""),44936.66666666667)</f>
        <v>44936.66667</v>
      </c>
      <c r="R511" s="2">
        <f>IFERROR(__xludf.DUMMYFUNCTION("""COMPUTED_VALUE"""),151.89)</f>
        <v>151.89</v>
      </c>
    </row>
    <row r="512">
      <c r="B512" s="3">
        <f>IFERROR(__xludf.DUMMYFUNCTION("""COMPUTED_VALUE"""),44937.66666666667)</f>
        <v>44937.66667</v>
      </c>
      <c r="C512" s="2">
        <f>IFERROR(__xludf.DUMMYFUNCTION("""COMPUTED_VALUE"""),49.21)</f>
        <v>49.21</v>
      </c>
      <c r="H512" s="3">
        <f>IFERROR(__xludf.DUMMYFUNCTION("""COMPUTED_VALUE"""),45992.66666666667)</f>
        <v>45992.66667</v>
      </c>
      <c r="I512" s="2">
        <f>IFERROR(__xludf.DUMMYFUNCTION("""COMPUTED_VALUE"""),3.35)</f>
        <v>3.35</v>
      </c>
      <c r="K512" s="3">
        <f>IFERROR(__xludf.DUMMYFUNCTION("""COMPUTED_VALUE"""),44937.6875)</f>
        <v>44937.6875</v>
      </c>
      <c r="L512" s="2">
        <f>IFERROR(__xludf.DUMMYFUNCTION("""COMPUTED_VALUE"""),48.08)</f>
        <v>48.08</v>
      </c>
      <c r="N512" s="3">
        <f>IFERROR(__xludf.DUMMYFUNCTION("""COMPUTED_VALUE"""),44937.66666666667)</f>
        <v>44937.66667</v>
      </c>
      <c r="O512" s="2">
        <f>IFERROR(__xludf.DUMMYFUNCTION("""COMPUTED_VALUE"""),35.04)</f>
        <v>35.04</v>
      </c>
      <c r="Q512" s="3">
        <f>IFERROR(__xludf.DUMMYFUNCTION("""COMPUTED_VALUE"""),44937.66666666667)</f>
        <v>44937.66667</v>
      </c>
      <c r="R512" s="2">
        <f>IFERROR(__xludf.DUMMYFUNCTION("""COMPUTED_VALUE"""),150.66)</f>
        <v>150.66</v>
      </c>
    </row>
    <row r="513">
      <c r="B513" s="3">
        <f>IFERROR(__xludf.DUMMYFUNCTION("""COMPUTED_VALUE"""),44938.66666666667)</f>
        <v>44938.66667</v>
      </c>
      <c r="C513" s="2">
        <f>IFERROR(__xludf.DUMMYFUNCTION("""COMPUTED_VALUE"""),49.0)</f>
        <v>49</v>
      </c>
      <c r="H513" s="3">
        <f>IFERROR(__xludf.DUMMYFUNCTION("""COMPUTED_VALUE"""),45993.66666666667)</f>
        <v>45993.66667</v>
      </c>
      <c r="I513" s="2">
        <f>IFERROR(__xludf.DUMMYFUNCTION("""COMPUTED_VALUE"""),3.56)</f>
        <v>3.56</v>
      </c>
      <c r="K513" s="3">
        <f>IFERROR(__xludf.DUMMYFUNCTION("""COMPUTED_VALUE"""),44938.6875)</f>
        <v>44938.6875</v>
      </c>
      <c r="L513" s="2">
        <f>IFERROR(__xludf.DUMMYFUNCTION("""COMPUTED_VALUE"""),48.75)</f>
        <v>48.75</v>
      </c>
      <c r="N513" s="3">
        <f>IFERROR(__xludf.DUMMYFUNCTION("""COMPUTED_VALUE"""),44938.66666666667)</f>
        <v>44938.66667</v>
      </c>
      <c r="O513" s="2">
        <f>IFERROR(__xludf.DUMMYFUNCTION("""COMPUTED_VALUE"""),35.31)</f>
        <v>35.31</v>
      </c>
      <c r="Q513" s="3">
        <f>IFERROR(__xludf.DUMMYFUNCTION("""COMPUTED_VALUE"""),44938.66666666667)</f>
        <v>44938.66667</v>
      </c>
      <c r="R513" s="2">
        <f>IFERROR(__xludf.DUMMYFUNCTION("""COMPUTED_VALUE"""),149.81)</f>
        <v>149.81</v>
      </c>
    </row>
    <row r="514">
      <c r="B514" s="3">
        <f>IFERROR(__xludf.DUMMYFUNCTION("""COMPUTED_VALUE"""),44939.66666666667)</f>
        <v>44939.66667</v>
      </c>
      <c r="C514" s="2">
        <f>IFERROR(__xludf.DUMMYFUNCTION("""COMPUTED_VALUE"""),48.88)</f>
        <v>48.88</v>
      </c>
      <c r="H514" s="3">
        <f>IFERROR(__xludf.DUMMYFUNCTION("""COMPUTED_VALUE"""),45994.66666666667)</f>
        <v>45994.66667</v>
      </c>
      <c r="I514" s="2">
        <f>IFERROR(__xludf.DUMMYFUNCTION("""COMPUTED_VALUE"""),4.22)</f>
        <v>4.22</v>
      </c>
      <c r="K514" s="3">
        <f>IFERROR(__xludf.DUMMYFUNCTION("""COMPUTED_VALUE"""),44939.6875)</f>
        <v>44939.6875</v>
      </c>
      <c r="L514" s="2">
        <f>IFERROR(__xludf.DUMMYFUNCTION("""COMPUTED_VALUE"""),49.62)</f>
        <v>49.62</v>
      </c>
      <c r="N514" s="3">
        <f>IFERROR(__xludf.DUMMYFUNCTION("""COMPUTED_VALUE"""),44939.66666666667)</f>
        <v>44939.66667</v>
      </c>
      <c r="O514" s="2">
        <f>IFERROR(__xludf.DUMMYFUNCTION("""COMPUTED_VALUE"""),35.56)</f>
        <v>35.56</v>
      </c>
      <c r="Q514" s="3">
        <f>IFERROR(__xludf.DUMMYFUNCTION("""COMPUTED_VALUE"""),44939.66666666667)</f>
        <v>44939.66667</v>
      </c>
      <c r="R514" s="2">
        <f>IFERROR(__xludf.DUMMYFUNCTION("""COMPUTED_VALUE"""),150.88)</f>
        <v>150.88</v>
      </c>
    </row>
    <row r="515">
      <c r="B515" s="3">
        <f>IFERROR(__xludf.DUMMYFUNCTION("""COMPUTED_VALUE"""),44943.66666666667)</f>
        <v>44943.66667</v>
      </c>
      <c r="C515" s="2">
        <f>IFERROR(__xludf.DUMMYFUNCTION("""COMPUTED_VALUE"""),48.08)</f>
        <v>48.08</v>
      </c>
      <c r="H515" s="3">
        <f>IFERROR(__xludf.DUMMYFUNCTION("""COMPUTED_VALUE"""),45995.66666666667)</f>
        <v>45995.66667</v>
      </c>
      <c r="I515" s="2">
        <f>IFERROR(__xludf.DUMMYFUNCTION("""COMPUTED_VALUE"""),4.59)</f>
        <v>4.59</v>
      </c>
      <c r="K515" s="3">
        <f>IFERROR(__xludf.DUMMYFUNCTION("""COMPUTED_VALUE"""),44942.6875)</f>
        <v>44942.6875</v>
      </c>
      <c r="L515" s="2">
        <f>IFERROR(__xludf.DUMMYFUNCTION("""COMPUTED_VALUE"""),49.75)</f>
        <v>49.75</v>
      </c>
      <c r="N515" s="3">
        <f>IFERROR(__xludf.DUMMYFUNCTION("""COMPUTED_VALUE"""),44943.66666666667)</f>
        <v>44943.66667</v>
      </c>
      <c r="O515" s="2">
        <f>IFERROR(__xludf.DUMMYFUNCTION("""COMPUTED_VALUE"""),35.69)</f>
        <v>35.69</v>
      </c>
      <c r="Q515" s="3">
        <f>IFERROR(__xludf.DUMMYFUNCTION("""COMPUTED_VALUE"""),44943.66666666667)</f>
        <v>44943.66667</v>
      </c>
      <c r="R515" s="2">
        <f>IFERROR(__xludf.DUMMYFUNCTION("""COMPUTED_VALUE"""),150.44)</f>
        <v>150.44</v>
      </c>
    </row>
    <row r="516">
      <c r="B516" s="3">
        <f>IFERROR(__xludf.DUMMYFUNCTION("""COMPUTED_VALUE"""),44944.66666666667)</f>
        <v>44944.66667</v>
      </c>
      <c r="C516" s="2">
        <f>IFERROR(__xludf.DUMMYFUNCTION("""COMPUTED_VALUE"""),46.9)</f>
        <v>46.9</v>
      </c>
      <c r="H516" s="3">
        <f>IFERROR(__xludf.DUMMYFUNCTION("""COMPUTED_VALUE"""),45996.66666666667)</f>
        <v>45996.66667</v>
      </c>
      <c r="I516" s="2">
        <f>IFERROR(__xludf.DUMMYFUNCTION("""COMPUTED_VALUE"""),4.46)</f>
        <v>4.46</v>
      </c>
      <c r="K516" s="3">
        <f>IFERROR(__xludf.DUMMYFUNCTION("""COMPUTED_VALUE"""),44943.6875)</f>
        <v>44943.6875</v>
      </c>
      <c r="L516" s="2">
        <f>IFERROR(__xludf.DUMMYFUNCTION("""COMPUTED_VALUE"""),49.5)</f>
        <v>49.5</v>
      </c>
      <c r="N516" s="3">
        <f>IFERROR(__xludf.DUMMYFUNCTION("""COMPUTED_VALUE"""),44944.66666666667)</f>
        <v>44944.66667</v>
      </c>
      <c r="O516" s="2">
        <f>IFERROR(__xludf.DUMMYFUNCTION("""COMPUTED_VALUE"""),35.34)</f>
        <v>35.34</v>
      </c>
      <c r="Q516" s="3">
        <f>IFERROR(__xludf.DUMMYFUNCTION("""COMPUTED_VALUE"""),44944.66666666667)</f>
        <v>44944.66667</v>
      </c>
      <c r="R516" s="2">
        <f>IFERROR(__xludf.DUMMYFUNCTION("""COMPUTED_VALUE"""),146.41)</f>
        <v>146.41</v>
      </c>
    </row>
    <row r="517">
      <c r="B517" s="3">
        <f>IFERROR(__xludf.DUMMYFUNCTION("""COMPUTED_VALUE"""),44945.66666666667)</f>
        <v>44945.66667</v>
      </c>
      <c r="C517" s="2">
        <f>IFERROR(__xludf.DUMMYFUNCTION("""COMPUTED_VALUE"""),46.46)</f>
        <v>46.46</v>
      </c>
      <c r="H517" s="3">
        <f>IFERROR(__xludf.DUMMYFUNCTION("""COMPUTED_VALUE"""),45999.66666666667)</f>
        <v>45999.66667</v>
      </c>
      <c r="I517" s="2">
        <f>IFERROR(__xludf.DUMMYFUNCTION("""COMPUTED_VALUE"""),4.38)</f>
        <v>4.38</v>
      </c>
      <c r="K517" s="3">
        <f>IFERROR(__xludf.DUMMYFUNCTION("""COMPUTED_VALUE"""),44944.6875)</f>
        <v>44944.6875</v>
      </c>
      <c r="L517" s="2">
        <f>IFERROR(__xludf.DUMMYFUNCTION("""COMPUTED_VALUE"""),49.47)</f>
        <v>49.47</v>
      </c>
      <c r="N517" s="3">
        <f>IFERROR(__xludf.DUMMYFUNCTION("""COMPUTED_VALUE"""),44945.66666666667)</f>
        <v>44945.66667</v>
      </c>
      <c r="O517" s="2">
        <f>IFERROR(__xludf.DUMMYFUNCTION("""COMPUTED_VALUE"""),35.54)</f>
        <v>35.54</v>
      </c>
      <c r="Q517" s="3">
        <f>IFERROR(__xludf.DUMMYFUNCTION("""COMPUTED_VALUE"""),44945.66666666667)</f>
        <v>44945.66667</v>
      </c>
      <c r="R517" s="2">
        <f>IFERROR(__xludf.DUMMYFUNCTION("""COMPUTED_VALUE"""),142.42)</f>
        <v>142.42</v>
      </c>
    </row>
    <row r="518">
      <c r="B518" s="3">
        <f>IFERROR(__xludf.DUMMYFUNCTION("""COMPUTED_VALUE"""),44946.66666666667)</f>
        <v>44946.66667</v>
      </c>
      <c r="C518" s="2">
        <f>IFERROR(__xludf.DUMMYFUNCTION("""COMPUTED_VALUE"""),46.78)</f>
        <v>46.78</v>
      </c>
      <c r="H518" s="3">
        <f>IFERROR(__xludf.DUMMYFUNCTION("""COMPUTED_VALUE"""),46000.66666666667)</f>
        <v>46000.66667</v>
      </c>
      <c r="I518" s="2">
        <f>IFERROR(__xludf.DUMMYFUNCTION("""COMPUTED_VALUE"""),4.34)</f>
        <v>4.34</v>
      </c>
      <c r="K518" s="3">
        <f>IFERROR(__xludf.DUMMYFUNCTION("""COMPUTED_VALUE"""),44945.6875)</f>
        <v>44945.6875</v>
      </c>
      <c r="L518" s="2">
        <f>IFERROR(__xludf.DUMMYFUNCTION("""COMPUTED_VALUE"""),48.81)</f>
        <v>48.81</v>
      </c>
      <c r="N518" s="3">
        <f>IFERROR(__xludf.DUMMYFUNCTION("""COMPUTED_VALUE"""),44946.66666666667)</f>
        <v>44946.66667</v>
      </c>
      <c r="O518" s="2">
        <f>IFERROR(__xludf.DUMMYFUNCTION("""COMPUTED_VALUE"""),35.5)</f>
        <v>35.5</v>
      </c>
      <c r="Q518" s="3">
        <f>IFERROR(__xludf.DUMMYFUNCTION("""COMPUTED_VALUE"""),44946.66666666667)</f>
        <v>44946.66667</v>
      </c>
      <c r="R518" s="2">
        <f>IFERROR(__xludf.DUMMYFUNCTION("""COMPUTED_VALUE"""),142.97)</f>
        <v>142.97</v>
      </c>
    </row>
    <row r="519">
      <c r="B519" s="3">
        <f>IFERROR(__xludf.DUMMYFUNCTION("""COMPUTED_VALUE"""),44949.66666666667)</f>
        <v>44949.66667</v>
      </c>
      <c r="C519" s="2">
        <f>IFERROR(__xludf.DUMMYFUNCTION("""COMPUTED_VALUE"""),47.5)</f>
        <v>47.5</v>
      </c>
      <c r="H519" s="3">
        <f>IFERROR(__xludf.DUMMYFUNCTION("""COMPUTED_VALUE"""),46001.66666666667)</f>
        <v>46001.66667</v>
      </c>
      <c r="I519" s="2">
        <f>IFERROR(__xludf.DUMMYFUNCTION("""COMPUTED_VALUE"""),4.15)</f>
        <v>4.15</v>
      </c>
      <c r="K519" s="3">
        <f>IFERROR(__xludf.DUMMYFUNCTION("""COMPUTED_VALUE"""),44946.6875)</f>
        <v>44946.6875</v>
      </c>
      <c r="L519" s="2">
        <f>IFERROR(__xludf.DUMMYFUNCTION("""COMPUTED_VALUE"""),49.28)</f>
        <v>49.28</v>
      </c>
      <c r="N519" s="3">
        <f>IFERROR(__xludf.DUMMYFUNCTION("""COMPUTED_VALUE"""),44949.66666666667)</f>
        <v>44949.66667</v>
      </c>
      <c r="O519" s="2">
        <f>IFERROR(__xludf.DUMMYFUNCTION("""COMPUTED_VALUE"""),35.58)</f>
        <v>35.58</v>
      </c>
      <c r="Q519" s="3">
        <f>IFERROR(__xludf.DUMMYFUNCTION("""COMPUTED_VALUE"""),44949.66666666667)</f>
        <v>44949.66667</v>
      </c>
      <c r="R519" s="2">
        <f>IFERROR(__xludf.DUMMYFUNCTION("""COMPUTED_VALUE"""),141.05)</f>
        <v>141.05</v>
      </c>
    </row>
    <row r="520">
      <c r="B520" s="3">
        <f>IFERROR(__xludf.DUMMYFUNCTION("""COMPUTED_VALUE"""),44950.66666666667)</f>
        <v>44950.66667</v>
      </c>
      <c r="C520" s="2">
        <f>IFERROR(__xludf.DUMMYFUNCTION("""COMPUTED_VALUE"""),47.81)</f>
        <v>47.81</v>
      </c>
      <c r="H520" s="3">
        <f>IFERROR(__xludf.DUMMYFUNCTION("""COMPUTED_VALUE"""),46002.66666666667)</f>
        <v>46002.66667</v>
      </c>
      <c r="I520" s="2">
        <f>IFERROR(__xludf.DUMMYFUNCTION("""COMPUTED_VALUE"""),4.68)</f>
        <v>4.68</v>
      </c>
      <c r="K520" s="3">
        <f>IFERROR(__xludf.DUMMYFUNCTION("""COMPUTED_VALUE"""),44949.6875)</f>
        <v>44949.6875</v>
      </c>
      <c r="L520" s="2">
        <f>IFERROR(__xludf.DUMMYFUNCTION("""COMPUTED_VALUE"""),49.81)</f>
        <v>49.81</v>
      </c>
      <c r="N520" s="3">
        <f>IFERROR(__xludf.DUMMYFUNCTION("""COMPUTED_VALUE"""),44950.66666666667)</f>
        <v>44950.66667</v>
      </c>
      <c r="O520" s="2">
        <f>IFERROR(__xludf.DUMMYFUNCTION("""COMPUTED_VALUE"""),35.29)</f>
        <v>35.29</v>
      </c>
      <c r="Q520" s="3">
        <f>IFERROR(__xludf.DUMMYFUNCTION("""COMPUTED_VALUE"""),44950.66666666667)</f>
        <v>44950.66667</v>
      </c>
      <c r="R520" s="2">
        <f>IFERROR(__xludf.DUMMYFUNCTION("""COMPUTED_VALUE"""),141.82)</f>
        <v>141.82</v>
      </c>
    </row>
    <row r="521">
      <c r="B521" s="3">
        <f>IFERROR(__xludf.DUMMYFUNCTION("""COMPUTED_VALUE"""),44951.66666666667)</f>
        <v>44951.66667</v>
      </c>
      <c r="C521" s="2">
        <f>IFERROR(__xludf.DUMMYFUNCTION("""COMPUTED_VALUE"""),47.98)</f>
        <v>47.98</v>
      </c>
      <c r="H521" s="3">
        <f>IFERROR(__xludf.DUMMYFUNCTION("""COMPUTED_VALUE"""),46003.66666666667)</f>
        <v>46003.66667</v>
      </c>
      <c r="I521" s="2">
        <f>IFERROR(__xludf.DUMMYFUNCTION("""COMPUTED_VALUE"""),4.12)</f>
        <v>4.12</v>
      </c>
      <c r="K521" s="3">
        <f>IFERROR(__xludf.DUMMYFUNCTION("""COMPUTED_VALUE"""),44950.6875)</f>
        <v>44950.6875</v>
      </c>
      <c r="L521" s="2">
        <f>IFERROR(__xludf.DUMMYFUNCTION("""COMPUTED_VALUE"""),50.13)</f>
        <v>50.13</v>
      </c>
      <c r="N521" s="3">
        <f>IFERROR(__xludf.DUMMYFUNCTION("""COMPUTED_VALUE"""),44951.66666666667)</f>
        <v>44951.66667</v>
      </c>
      <c r="O521" s="2">
        <f>IFERROR(__xludf.DUMMYFUNCTION("""COMPUTED_VALUE"""),35.24)</f>
        <v>35.24</v>
      </c>
      <c r="Q521" s="3">
        <f>IFERROR(__xludf.DUMMYFUNCTION("""COMPUTED_VALUE"""),44951.66666666667)</f>
        <v>44951.66667</v>
      </c>
      <c r="R521" s="2">
        <f>IFERROR(__xludf.DUMMYFUNCTION("""COMPUTED_VALUE"""),141.72)</f>
        <v>141.72</v>
      </c>
    </row>
    <row r="522">
      <c r="B522" s="3">
        <f>IFERROR(__xludf.DUMMYFUNCTION("""COMPUTED_VALUE"""),44952.66666666667)</f>
        <v>44952.66667</v>
      </c>
      <c r="C522" s="2">
        <f>IFERROR(__xludf.DUMMYFUNCTION("""COMPUTED_VALUE"""),48.34)</f>
        <v>48.34</v>
      </c>
      <c r="H522" s="3">
        <f>IFERROR(__xludf.DUMMYFUNCTION("""COMPUTED_VALUE"""),46006.66666666667)</f>
        <v>46006.66667</v>
      </c>
      <c r="I522" s="2">
        <f>IFERROR(__xludf.DUMMYFUNCTION("""COMPUTED_VALUE"""),3.52)</f>
        <v>3.52</v>
      </c>
      <c r="K522" s="3">
        <f>IFERROR(__xludf.DUMMYFUNCTION("""COMPUTED_VALUE"""),44951.6875)</f>
        <v>44951.6875</v>
      </c>
      <c r="L522" s="2">
        <f>IFERROR(__xludf.DUMMYFUNCTION("""COMPUTED_VALUE"""),50.95)</f>
        <v>50.95</v>
      </c>
      <c r="N522" s="3">
        <f>IFERROR(__xludf.DUMMYFUNCTION("""COMPUTED_VALUE"""),44952.66666666667)</f>
        <v>44952.66667</v>
      </c>
      <c r="O522" s="2">
        <f>IFERROR(__xludf.DUMMYFUNCTION("""COMPUTED_VALUE"""),36.25)</f>
        <v>36.25</v>
      </c>
      <c r="Q522" s="3">
        <f>IFERROR(__xludf.DUMMYFUNCTION("""COMPUTED_VALUE"""),44952.66666666667)</f>
        <v>44952.66667</v>
      </c>
      <c r="R522" s="2">
        <f>IFERROR(__xludf.DUMMYFUNCTION("""COMPUTED_VALUE"""),141.15)</f>
        <v>141.15</v>
      </c>
    </row>
    <row r="523">
      <c r="B523" s="3">
        <f>IFERROR(__xludf.DUMMYFUNCTION("""COMPUTED_VALUE"""),44953.66666666667)</f>
        <v>44953.66667</v>
      </c>
      <c r="C523" s="2">
        <f>IFERROR(__xludf.DUMMYFUNCTION("""COMPUTED_VALUE"""),48.51)</f>
        <v>48.51</v>
      </c>
      <c r="H523" s="3">
        <f>IFERROR(__xludf.DUMMYFUNCTION("""COMPUTED_VALUE"""),46007.66666666667)</f>
        <v>46007.66667</v>
      </c>
      <c r="I523" s="2">
        <f>IFERROR(__xludf.DUMMYFUNCTION("""COMPUTED_VALUE"""),3.63)</f>
        <v>3.63</v>
      </c>
      <c r="K523" s="3">
        <f>IFERROR(__xludf.DUMMYFUNCTION("""COMPUTED_VALUE"""),44952.6875)</f>
        <v>44952.6875</v>
      </c>
      <c r="L523" s="2">
        <f>IFERROR(__xludf.DUMMYFUNCTION("""COMPUTED_VALUE"""),52.5)</f>
        <v>52.5</v>
      </c>
      <c r="N523" s="3">
        <f>IFERROR(__xludf.DUMMYFUNCTION("""COMPUTED_VALUE"""),44953.66666666667)</f>
        <v>44953.66667</v>
      </c>
      <c r="O523" s="2">
        <f>IFERROR(__xludf.DUMMYFUNCTION("""COMPUTED_VALUE"""),36.32)</f>
        <v>36.32</v>
      </c>
      <c r="Q523" s="3">
        <f>IFERROR(__xludf.DUMMYFUNCTION("""COMPUTED_VALUE"""),44953.66666666667)</f>
        <v>44953.66667</v>
      </c>
      <c r="R523" s="2">
        <f>IFERROR(__xludf.DUMMYFUNCTION("""COMPUTED_VALUE"""),140.57)</f>
        <v>140.57</v>
      </c>
    </row>
    <row r="524">
      <c r="B524" s="3">
        <f>IFERROR(__xludf.DUMMYFUNCTION("""COMPUTED_VALUE"""),44956.66666666667)</f>
        <v>44956.66667</v>
      </c>
      <c r="C524" s="2">
        <f>IFERROR(__xludf.DUMMYFUNCTION("""COMPUTED_VALUE"""),48.22)</f>
        <v>48.22</v>
      </c>
      <c r="H524" s="3">
        <f>IFERROR(__xludf.DUMMYFUNCTION("""COMPUTED_VALUE"""),46008.66666666667)</f>
        <v>46008.66667</v>
      </c>
      <c r="I524" s="2">
        <f>IFERROR(__xludf.DUMMYFUNCTION("""COMPUTED_VALUE"""),3.43)</f>
        <v>3.43</v>
      </c>
      <c r="K524" s="3">
        <f>IFERROR(__xludf.DUMMYFUNCTION("""COMPUTED_VALUE"""),44953.6875)</f>
        <v>44953.6875</v>
      </c>
      <c r="L524" s="2">
        <f>IFERROR(__xludf.DUMMYFUNCTION("""COMPUTED_VALUE"""),52.59)</f>
        <v>52.59</v>
      </c>
      <c r="N524" s="3">
        <f>IFERROR(__xludf.DUMMYFUNCTION("""COMPUTED_VALUE"""),44956.66666666667)</f>
        <v>44956.66667</v>
      </c>
      <c r="O524" s="2">
        <f>IFERROR(__xludf.DUMMYFUNCTION("""COMPUTED_VALUE"""),36.17)</f>
        <v>36.17</v>
      </c>
      <c r="Q524" s="3">
        <f>IFERROR(__xludf.DUMMYFUNCTION("""COMPUTED_VALUE"""),44956.66666666667)</f>
        <v>44956.66667</v>
      </c>
      <c r="R524" s="2">
        <f>IFERROR(__xludf.DUMMYFUNCTION("""COMPUTED_VALUE"""),141.01)</f>
        <v>141.01</v>
      </c>
    </row>
    <row r="525">
      <c r="B525" s="3">
        <f>IFERROR(__xludf.DUMMYFUNCTION("""COMPUTED_VALUE"""),44957.66666666667)</f>
        <v>44957.66667</v>
      </c>
      <c r="C525" s="2">
        <f>IFERROR(__xludf.DUMMYFUNCTION("""COMPUTED_VALUE"""),48.67)</f>
        <v>48.67</v>
      </c>
      <c r="H525" s="3">
        <f>IFERROR(__xludf.DUMMYFUNCTION("""COMPUTED_VALUE"""),46009.66666666667)</f>
        <v>46009.66667</v>
      </c>
      <c r="I525" s="2">
        <f>IFERROR(__xludf.DUMMYFUNCTION("""COMPUTED_VALUE"""),3.41)</f>
        <v>3.41</v>
      </c>
      <c r="K525" s="3">
        <f>IFERROR(__xludf.DUMMYFUNCTION("""COMPUTED_VALUE"""),44956.6875)</f>
        <v>44956.6875</v>
      </c>
      <c r="L525" s="2">
        <f>IFERROR(__xludf.DUMMYFUNCTION("""COMPUTED_VALUE"""),52.98)</f>
        <v>52.98</v>
      </c>
      <c r="N525" s="3">
        <f>IFERROR(__xludf.DUMMYFUNCTION("""COMPUTED_VALUE"""),44957.66666666667)</f>
        <v>44957.66667</v>
      </c>
      <c r="O525" s="2">
        <f>IFERROR(__xludf.DUMMYFUNCTION("""COMPUTED_VALUE"""),36.23)</f>
        <v>36.23</v>
      </c>
      <c r="Q525" s="3">
        <f>IFERROR(__xludf.DUMMYFUNCTION("""COMPUTED_VALUE"""),44957.66666666667)</f>
        <v>44957.66667</v>
      </c>
      <c r="R525" s="2">
        <f>IFERROR(__xludf.DUMMYFUNCTION("""COMPUTED_VALUE"""),142.38)</f>
        <v>142.38</v>
      </c>
    </row>
    <row r="526">
      <c r="B526" s="3">
        <f>IFERROR(__xludf.DUMMYFUNCTION("""COMPUTED_VALUE"""),44958.66666666667)</f>
        <v>44958.66667</v>
      </c>
      <c r="C526" s="2">
        <f>IFERROR(__xludf.DUMMYFUNCTION("""COMPUTED_VALUE"""),48.57)</f>
        <v>48.57</v>
      </c>
      <c r="H526" s="3">
        <f>IFERROR(__xludf.DUMMYFUNCTION("""COMPUTED_VALUE"""),46010.66666666667)</f>
        <v>46010.66667</v>
      </c>
      <c r="I526" s="2">
        <f>IFERROR(__xludf.DUMMYFUNCTION("""COMPUTED_VALUE"""),3.54)</f>
        <v>3.54</v>
      </c>
      <c r="K526" s="3">
        <f>IFERROR(__xludf.DUMMYFUNCTION("""COMPUTED_VALUE"""),44957.6875)</f>
        <v>44957.6875</v>
      </c>
      <c r="L526" s="2">
        <f>IFERROR(__xludf.DUMMYFUNCTION("""COMPUTED_VALUE"""),52.58)</f>
        <v>52.58</v>
      </c>
      <c r="N526" s="3">
        <f>IFERROR(__xludf.DUMMYFUNCTION("""COMPUTED_VALUE"""),44958.66666666667)</f>
        <v>44958.66667</v>
      </c>
      <c r="O526" s="2">
        <f>IFERROR(__xludf.DUMMYFUNCTION("""COMPUTED_VALUE"""),36.44)</f>
        <v>36.44</v>
      </c>
      <c r="Q526" s="3">
        <f>IFERROR(__xludf.DUMMYFUNCTION("""COMPUTED_VALUE"""),44958.66666666667)</f>
        <v>44958.66667</v>
      </c>
      <c r="R526" s="2">
        <f>IFERROR(__xludf.DUMMYFUNCTION("""COMPUTED_VALUE"""),143.19)</f>
        <v>143.19</v>
      </c>
    </row>
    <row r="527">
      <c r="B527" s="3">
        <f>IFERROR(__xludf.DUMMYFUNCTION("""COMPUTED_VALUE"""),44959.66666666667)</f>
        <v>44959.66667</v>
      </c>
      <c r="C527" s="2">
        <f>IFERROR(__xludf.DUMMYFUNCTION("""COMPUTED_VALUE"""),49.32)</f>
        <v>49.32</v>
      </c>
      <c r="H527" s="3">
        <f>IFERROR(__xludf.DUMMYFUNCTION("""COMPUTED_VALUE"""),46013.66666666667)</f>
        <v>46013.66667</v>
      </c>
      <c r="I527" s="2">
        <f>IFERROR(__xludf.DUMMYFUNCTION("""COMPUTED_VALUE"""),3.48)</f>
        <v>3.48</v>
      </c>
      <c r="K527" s="3">
        <f>IFERROR(__xludf.DUMMYFUNCTION("""COMPUTED_VALUE"""),44958.6875)</f>
        <v>44958.6875</v>
      </c>
      <c r="L527" s="2">
        <f>IFERROR(__xludf.DUMMYFUNCTION("""COMPUTED_VALUE"""),52.98)</f>
        <v>52.98</v>
      </c>
      <c r="N527" s="3">
        <f>IFERROR(__xludf.DUMMYFUNCTION("""COMPUTED_VALUE"""),44959.66666666667)</f>
        <v>44959.66667</v>
      </c>
      <c r="O527" s="2">
        <f>IFERROR(__xludf.DUMMYFUNCTION("""COMPUTED_VALUE"""),35.2)</f>
        <v>35.2</v>
      </c>
      <c r="Q527" s="3">
        <f>IFERROR(__xludf.DUMMYFUNCTION("""COMPUTED_VALUE"""),44959.66666666667)</f>
        <v>44959.66667</v>
      </c>
      <c r="R527" s="2">
        <f>IFERROR(__xludf.DUMMYFUNCTION("""COMPUTED_VALUE"""),142.17)</f>
        <v>142.17</v>
      </c>
    </row>
    <row r="528">
      <c r="B528" s="3">
        <f>IFERROR(__xludf.DUMMYFUNCTION("""COMPUTED_VALUE"""),44960.66666666667)</f>
        <v>44960.66667</v>
      </c>
      <c r="C528" s="2">
        <f>IFERROR(__xludf.DUMMYFUNCTION("""COMPUTED_VALUE"""),48.63)</f>
        <v>48.63</v>
      </c>
      <c r="H528" s="3">
        <f>IFERROR(__xludf.DUMMYFUNCTION("""COMPUTED_VALUE"""),46014.66666666667)</f>
        <v>46014.66667</v>
      </c>
      <c r="I528" s="2">
        <f>IFERROR(__xludf.DUMMYFUNCTION("""COMPUTED_VALUE"""),3.37)</f>
        <v>3.37</v>
      </c>
      <c r="K528" s="3">
        <f>IFERROR(__xludf.DUMMYFUNCTION("""COMPUTED_VALUE"""),44959.6875)</f>
        <v>44959.6875</v>
      </c>
      <c r="L528" s="2">
        <f>IFERROR(__xludf.DUMMYFUNCTION("""COMPUTED_VALUE"""),53.49)</f>
        <v>53.49</v>
      </c>
      <c r="N528" s="3">
        <f>IFERROR(__xludf.DUMMYFUNCTION("""COMPUTED_VALUE"""),44960.66666666667)</f>
        <v>44960.66667</v>
      </c>
      <c r="O528" s="2">
        <f>IFERROR(__xludf.DUMMYFUNCTION("""COMPUTED_VALUE"""),35.15)</f>
        <v>35.15</v>
      </c>
      <c r="Q528" s="3">
        <f>IFERROR(__xludf.DUMMYFUNCTION("""COMPUTED_VALUE"""),44960.66666666667)</f>
        <v>44960.66667</v>
      </c>
      <c r="R528" s="2">
        <f>IFERROR(__xludf.DUMMYFUNCTION("""COMPUTED_VALUE"""),142.61)</f>
        <v>142.61</v>
      </c>
    </row>
    <row r="529">
      <c r="B529" s="3">
        <f>IFERROR(__xludf.DUMMYFUNCTION("""COMPUTED_VALUE"""),44963.66666666667)</f>
        <v>44963.66667</v>
      </c>
      <c r="C529" s="2">
        <f>IFERROR(__xludf.DUMMYFUNCTION("""COMPUTED_VALUE"""),47.57)</f>
        <v>47.57</v>
      </c>
      <c r="H529" s="3">
        <f>IFERROR(__xludf.DUMMYFUNCTION("""COMPUTED_VALUE"""),46015.54513888889)</f>
        <v>46015.54514</v>
      </c>
      <c r="I529" s="2">
        <f>IFERROR(__xludf.DUMMYFUNCTION("""COMPUTED_VALUE"""),3.65)</f>
        <v>3.65</v>
      </c>
      <c r="K529" s="3">
        <f>IFERROR(__xludf.DUMMYFUNCTION("""COMPUTED_VALUE"""),44960.6875)</f>
        <v>44960.6875</v>
      </c>
      <c r="L529" s="2">
        <f>IFERROR(__xludf.DUMMYFUNCTION("""COMPUTED_VALUE"""),53.33)</f>
        <v>53.33</v>
      </c>
      <c r="N529" s="3">
        <f>IFERROR(__xludf.DUMMYFUNCTION("""COMPUTED_VALUE"""),44963.66666666667)</f>
        <v>44963.66667</v>
      </c>
      <c r="O529" s="2">
        <f>IFERROR(__xludf.DUMMYFUNCTION("""COMPUTED_VALUE"""),34.84)</f>
        <v>34.84</v>
      </c>
      <c r="Q529" s="3">
        <f>IFERROR(__xludf.DUMMYFUNCTION("""COMPUTED_VALUE"""),44963.66666666667)</f>
        <v>44963.66667</v>
      </c>
      <c r="R529" s="2">
        <f>IFERROR(__xludf.DUMMYFUNCTION("""COMPUTED_VALUE"""),141.4)</f>
        <v>141.4</v>
      </c>
    </row>
    <row r="530">
      <c r="B530" s="3">
        <f>IFERROR(__xludf.DUMMYFUNCTION("""COMPUTED_VALUE"""),44964.66666666667)</f>
        <v>44964.66667</v>
      </c>
      <c r="C530" s="2">
        <f>IFERROR(__xludf.DUMMYFUNCTION("""COMPUTED_VALUE"""),47.84)</f>
        <v>47.84</v>
      </c>
      <c r="H530" s="3">
        <f>IFERROR(__xludf.DUMMYFUNCTION("""COMPUTED_VALUE"""),46017.66666666667)</f>
        <v>46017.66667</v>
      </c>
      <c r="I530" s="2">
        <f>IFERROR(__xludf.DUMMYFUNCTION("""COMPUTED_VALUE"""),3.36)</f>
        <v>3.36</v>
      </c>
      <c r="K530" s="3">
        <f>IFERROR(__xludf.DUMMYFUNCTION("""COMPUTED_VALUE"""),44963.6875)</f>
        <v>44963.6875</v>
      </c>
      <c r="L530" s="2">
        <f>IFERROR(__xludf.DUMMYFUNCTION("""COMPUTED_VALUE"""),52.83)</f>
        <v>52.83</v>
      </c>
      <c r="N530" s="3">
        <f>IFERROR(__xludf.DUMMYFUNCTION("""COMPUTED_VALUE"""),44964.66666666667)</f>
        <v>44964.66667</v>
      </c>
      <c r="O530" s="2">
        <f>IFERROR(__xludf.DUMMYFUNCTION("""COMPUTED_VALUE"""),37.75)</f>
        <v>37.75</v>
      </c>
      <c r="Q530" s="3">
        <f>IFERROR(__xludf.DUMMYFUNCTION("""COMPUTED_VALUE"""),44964.66666666667)</f>
        <v>44964.66667</v>
      </c>
      <c r="R530" s="2">
        <f>IFERROR(__xludf.DUMMYFUNCTION("""COMPUTED_VALUE"""),140.02)</f>
        <v>140.02</v>
      </c>
    </row>
    <row r="531">
      <c r="B531" s="3">
        <f>IFERROR(__xludf.DUMMYFUNCTION("""COMPUTED_VALUE"""),44965.66666666667)</f>
        <v>44965.66667</v>
      </c>
      <c r="C531" s="2">
        <f>IFERROR(__xludf.DUMMYFUNCTION("""COMPUTED_VALUE"""),46.96)</f>
        <v>46.96</v>
      </c>
      <c r="H531" s="3">
        <f>IFERROR(__xludf.DUMMYFUNCTION("""COMPUTED_VALUE"""),46020.66666666667)</f>
        <v>46020.66667</v>
      </c>
      <c r="I531" s="2">
        <f>IFERROR(__xludf.DUMMYFUNCTION("""COMPUTED_VALUE"""),3.18)</f>
        <v>3.18</v>
      </c>
      <c r="K531" s="3">
        <f>IFERROR(__xludf.DUMMYFUNCTION("""COMPUTED_VALUE"""),44964.6875)</f>
        <v>44964.6875</v>
      </c>
      <c r="L531" s="2">
        <f>IFERROR(__xludf.DUMMYFUNCTION("""COMPUTED_VALUE"""),53.45)</f>
        <v>53.45</v>
      </c>
      <c r="N531" s="3">
        <f>IFERROR(__xludf.DUMMYFUNCTION("""COMPUTED_VALUE"""),44965.66666666667)</f>
        <v>44965.66667</v>
      </c>
      <c r="O531" s="2">
        <f>IFERROR(__xludf.DUMMYFUNCTION("""COMPUTED_VALUE"""),38.65)</f>
        <v>38.65</v>
      </c>
      <c r="Q531" s="3">
        <f>IFERROR(__xludf.DUMMYFUNCTION("""COMPUTED_VALUE"""),44965.66666666667)</f>
        <v>44965.66667</v>
      </c>
      <c r="R531" s="2">
        <f>IFERROR(__xludf.DUMMYFUNCTION("""COMPUTED_VALUE"""),138.57)</f>
        <v>138.57</v>
      </c>
    </row>
    <row r="532">
      <c r="B532" s="3">
        <f>IFERROR(__xludf.DUMMYFUNCTION("""COMPUTED_VALUE"""),44966.66666666667)</f>
        <v>44966.66667</v>
      </c>
      <c r="C532" s="2">
        <f>IFERROR(__xludf.DUMMYFUNCTION("""COMPUTED_VALUE"""),46.73)</f>
        <v>46.73</v>
      </c>
      <c r="H532" s="3">
        <f>IFERROR(__xludf.DUMMYFUNCTION("""COMPUTED_VALUE"""),46021.66666666667)</f>
        <v>46021.66667</v>
      </c>
      <c r="I532" s="2">
        <f>IFERROR(__xludf.DUMMYFUNCTION("""COMPUTED_VALUE"""),3.09)</f>
        <v>3.09</v>
      </c>
      <c r="K532" s="3">
        <f>IFERROR(__xludf.DUMMYFUNCTION("""COMPUTED_VALUE"""),44965.6875)</f>
        <v>44965.6875</v>
      </c>
      <c r="L532" s="2">
        <f>IFERROR(__xludf.DUMMYFUNCTION("""COMPUTED_VALUE"""),53.65)</f>
        <v>53.65</v>
      </c>
      <c r="N532" s="3">
        <f>IFERROR(__xludf.DUMMYFUNCTION("""COMPUTED_VALUE"""),44966.66666666667)</f>
        <v>44966.66667</v>
      </c>
      <c r="O532" s="2">
        <f>IFERROR(__xludf.DUMMYFUNCTION("""COMPUTED_VALUE"""),39.55)</f>
        <v>39.55</v>
      </c>
      <c r="Q532" s="3">
        <f>IFERROR(__xludf.DUMMYFUNCTION("""COMPUTED_VALUE"""),44966.66666666667)</f>
        <v>44966.66667</v>
      </c>
      <c r="R532" s="2">
        <f>IFERROR(__xludf.DUMMYFUNCTION("""COMPUTED_VALUE"""),137.05)</f>
        <v>137.05</v>
      </c>
    </row>
    <row r="533">
      <c r="B533" s="3">
        <f>IFERROR(__xludf.DUMMYFUNCTION("""COMPUTED_VALUE"""),44967.66666666667)</f>
        <v>44967.66667</v>
      </c>
      <c r="C533" s="2">
        <f>IFERROR(__xludf.DUMMYFUNCTION("""COMPUTED_VALUE"""),47.26)</f>
        <v>47.26</v>
      </c>
      <c r="H533" s="3">
        <f>IFERROR(__xludf.DUMMYFUNCTION("""COMPUTED_VALUE"""),46022.66666666667)</f>
        <v>46022.66667</v>
      </c>
      <c r="I533" s="2">
        <f>IFERROR(__xludf.DUMMYFUNCTION("""COMPUTED_VALUE"""),3.23)</f>
        <v>3.23</v>
      </c>
      <c r="K533" s="3">
        <f>IFERROR(__xludf.DUMMYFUNCTION("""COMPUTED_VALUE"""),44966.6875)</f>
        <v>44966.6875</v>
      </c>
      <c r="L533" s="2">
        <f>IFERROR(__xludf.DUMMYFUNCTION("""COMPUTED_VALUE"""),53.97)</f>
        <v>53.97</v>
      </c>
      <c r="N533" s="3">
        <f>IFERROR(__xludf.DUMMYFUNCTION("""COMPUTED_VALUE"""),44967.66666666667)</f>
        <v>44967.66667</v>
      </c>
      <c r="O533" s="2">
        <f>IFERROR(__xludf.DUMMYFUNCTION("""COMPUTED_VALUE"""),40.65)</f>
        <v>40.65</v>
      </c>
      <c r="Q533" s="3">
        <f>IFERROR(__xludf.DUMMYFUNCTION("""COMPUTED_VALUE"""),44967.66666666667)</f>
        <v>44967.66667</v>
      </c>
      <c r="R533" s="2">
        <f>IFERROR(__xludf.DUMMYFUNCTION("""COMPUTED_VALUE"""),138.26)</f>
        <v>138.26</v>
      </c>
    </row>
    <row r="534">
      <c r="B534" s="3">
        <f>IFERROR(__xludf.DUMMYFUNCTION("""COMPUTED_VALUE"""),44970.66666666667)</f>
        <v>44970.66667</v>
      </c>
      <c r="C534" s="2">
        <f>IFERROR(__xludf.DUMMYFUNCTION("""COMPUTED_VALUE"""),47.86)</f>
        <v>47.86</v>
      </c>
      <c r="H534" s="3">
        <f>IFERROR(__xludf.DUMMYFUNCTION("""COMPUTED_VALUE"""),46024.66666666667)</f>
        <v>46024.66667</v>
      </c>
      <c r="I534" s="2">
        <f>IFERROR(__xludf.DUMMYFUNCTION("""COMPUTED_VALUE"""),3.48)</f>
        <v>3.48</v>
      </c>
      <c r="K534" s="3">
        <f>IFERROR(__xludf.DUMMYFUNCTION("""COMPUTED_VALUE"""),44967.6875)</f>
        <v>44967.6875</v>
      </c>
      <c r="L534" s="2">
        <f>IFERROR(__xludf.DUMMYFUNCTION("""COMPUTED_VALUE"""),53.29)</f>
        <v>53.29</v>
      </c>
      <c r="N534" s="3">
        <f>IFERROR(__xludf.DUMMYFUNCTION("""COMPUTED_VALUE"""),44970.66666666667)</f>
        <v>44970.66667</v>
      </c>
      <c r="O534" s="2">
        <f>IFERROR(__xludf.DUMMYFUNCTION("""COMPUTED_VALUE"""),40.61)</f>
        <v>40.61</v>
      </c>
      <c r="Q534" s="3">
        <f>IFERROR(__xludf.DUMMYFUNCTION("""COMPUTED_VALUE"""),44970.66666666667)</f>
        <v>44970.66667</v>
      </c>
      <c r="R534" s="2">
        <f>IFERROR(__xludf.DUMMYFUNCTION("""COMPUTED_VALUE"""),140.07)</f>
        <v>140.07</v>
      </c>
    </row>
    <row r="535">
      <c r="B535" s="3">
        <f>IFERROR(__xludf.DUMMYFUNCTION("""COMPUTED_VALUE"""),44971.66666666667)</f>
        <v>44971.66667</v>
      </c>
      <c r="C535" s="2">
        <f>IFERROR(__xludf.DUMMYFUNCTION("""COMPUTED_VALUE"""),47.7)</f>
        <v>47.7</v>
      </c>
      <c r="H535" s="3">
        <f>IFERROR(__xludf.DUMMYFUNCTION("""COMPUTED_VALUE"""),46027.66666666667)</f>
        <v>46027.66667</v>
      </c>
      <c r="I535" s="2">
        <f>IFERROR(__xludf.DUMMYFUNCTION("""COMPUTED_VALUE"""),3.79)</f>
        <v>3.79</v>
      </c>
      <c r="K535" s="3">
        <f>IFERROR(__xludf.DUMMYFUNCTION("""COMPUTED_VALUE"""),44970.6875)</f>
        <v>44970.6875</v>
      </c>
      <c r="L535" s="2">
        <f>IFERROR(__xludf.DUMMYFUNCTION("""COMPUTED_VALUE"""),53.07)</f>
        <v>53.07</v>
      </c>
      <c r="N535" s="3">
        <f>IFERROR(__xludf.DUMMYFUNCTION("""COMPUTED_VALUE"""),44971.66666666667)</f>
        <v>44971.66667</v>
      </c>
      <c r="O535" s="2">
        <f>IFERROR(__xludf.DUMMYFUNCTION("""COMPUTED_VALUE"""),41.02)</f>
        <v>41.02</v>
      </c>
      <c r="Q535" s="3">
        <f>IFERROR(__xludf.DUMMYFUNCTION("""COMPUTED_VALUE"""),44971.66666666667)</f>
        <v>44971.66667</v>
      </c>
      <c r="R535" s="2">
        <f>IFERROR(__xludf.DUMMYFUNCTION("""COMPUTED_VALUE"""),139.28)</f>
        <v>139.28</v>
      </c>
    </row>
    <row r="536">
      <c r="B536" s="3">
        <f>IFERROR(__xludf.DUMMYFUNCTION("""COMPUTED_VALUE"""),44972.66666666667)</f>
        <v>44972.66667</v>
      </c>
      <c r="C536" s="2">
        <f>IFERROR(__xludf.DUMMYFUNCTION("""COMPUTED_VALUE"""),48.45)</f>
        <v>48.45</v>
      </c>
      <c r="H536" s="3">
        <f>IFERROR(__xludf.DUMMYFUNCTION("""COMPUTED_VALUE"""),46028.66666666667)</f>
        <v>46028.66667</v>
      </c>
      <c r="I536" s="2">
        <f>IFERROR(__xludf.DUMMYFUNCTION("""COMPUTED_VALUE"""),3.61)</f>
        <v>3.61</v>
      </c>
      <c r="K536" s="3">
        <f>IFERROR(__xludf.DUMMYFUNCTION("""COMPUTED_VALUE"""),44971.6875)</f>
        <v>44971.6875</v>
      </c>
      <c r="L536" s="2">
        <f>IFERROR(__xludf.DUMMYFUNCTION("""COMPUTED_VALUE"""),53.79)</f>
        <v>53.79</v>
      </c>
      <c r="N536" s="3">
        <f>IFERROR(__xludf.DUMMYFUNCTION("""COMPUTED_VALUE"""),44972.66666666667)</f>
        <v>44972.66667</v>
      </c>
      <c r="O536" s="2">
        <f>IFERROR(__xludf.DUMMYFUNCTION("""COMPUTED_VALUE"""),40.88)</f>
        <v>40.88</v>
      </c>
      <c r="Q536" s="3">
        <f>IFERROR(__xludf.DUMMYFUNCTION("""COMPUTED_VALUE"""),44972.66666666667)</f>
        <v>44972.66667</v>
      </c>
      <c r="R536" s="2">
        <f>IFERROR(__xludf.DUMMYFUNCTION("""COMPUTED_VALUE"""),138.96)</f>
        <v>138.96</v>
      </c>
    </row>
    <row r="537">
      <c r="B537" s="3">
        <f>IFERROR(__xludf.DUMMYFUNCTION("""COMPUTED_VALUE"""),44973.66666666667)</f>
        <v>44973.66667</v>
      </c>
      <c r="C537" s="2">
        <f>IFERROR(__xludf.DUMMYFUNCTION("""COMPUTED_VALUE"""),50.99)</f>
        <v>50.99</v>
      </c>
      <c r="H537" s="3">
        <f>IFERROR(__xludf.DUMMYFUNCTION("""COMPUTED_VALUE"""),46029.66666666667)</f>
        <v>46029.66667</v>
      </c>
      <c r="I537" s="2">
        <f>IFERROR(__xludf.DUMMYFUNCTION("""COMPUTED_VALUE"""),3.42)</f>
        <v>3.42</v>
      </c>
      <c r="K537" s="3">
        <f>IFERROR(__xludf.DUMMYFUNCTION("""COMPUTED_VALUE"""),44972.6875)</f>
        <v>44972.6875</v>
      </c>
      <c r="L537" s="2">
        <f>IFERROR(__xludf.DUMMYFUNCTION("""COMPUTED_VALUE"""),52.38)</f>
        <v>52.38</v>
      </c>
      <c r="N537" s="3">
        <f>IFERROR(__xludf.DUMMYFUNCTION("""COMPUTED_VALUE"""),44973.66666666667)</f>
        <v>44973.66667</v>
      </c>
      <c r="O537" s="2">
        <f>IFERROR(__xludf.DUMMYFUNCTION("""COMPUTED_VALUE"""),40.95)</f>
        <v>40.95</v>
      </c>
      <c r="Q537" s="3">
        <f>IFERROR(__xludf.DUMMYFUNCTION("""COMPUTED_VALUE"""),44973.66666666667)</f>
        <v>44973.66667</v>
      </c>
      <c r="R537" s="2">
        <f>IFERROR(__xludf.DUMMYFUNCTION("""COMPUTED_VALUE"""),137.14)</f>
        <v>137.14</v>
      </c>
    </row>
    <row r="538">
      <c r="B538" s="3">
        <f>IFERROR(__xludf.DUMMYFUNCTION("""COMPUTED_VALUE"""),44974.66666666667)</f>
        <v>44974.66667</v>
      </c>
      <c r="C538" s="2">
        <f>IFERROR(__xludf.DUMMYFUNCTION("""COMPUTED_VALUE"""),50.77)</f>
        <v>50.77</v>
      </c>
      <c r="H538" s="3">
        <f>IFERROR(__xludf.DUMMYFUNCTION("""COMPUTED_VALUE"""),46030.66666666667)</f>
        <v>46030.66667</v>
      </c>
      <c r="I538" s="2">
        <f>IFERROR(__xludf.DUMMYFUNCTION("""COMPUTED_VALUE"""),3.93)</f>
        <v>3.93</v>
      </c>
      <c r="K538" s="3">
        <f>IFERROR(__xludf.DUMMYFUNCTION("""COMPUTED_VALUE"""),44973.6875)</f>
        <v>44973.6875</v>
      </c>
      <c r="L538" s="2">
        <f>IFERROR(__xludf.DUMMYFUNCTION("""COMPUTED_VALUE"""),52.94)</f>
        <v>52.94</v>
      </c>
      <c r="N538" s="3">
        <f>IFERROR(__xludf.DUMMYFUNCTION("""COMPUTED_VALUE"""),44974.66666666667)</f>
        <v>44974.66667</v>
      </c>
      <c r="O538" s="2">
        <f>IFERROR(__xludf.DUMMYFUNCTION("""COMPUTED_VALUE"""),40.02)</f>
        <v>40.02</v>
      </c>
      <c r="Q538" s="3">
        <f>IFERROR(__xludf.DUMMYFUNCTION("""COMPUTED_VALUE"""),44974.66666666667)</f>
        <v>44974.66667</v>
      </c>
      <c r="R538" s="2">
        <f>IFERROR(__xludf.DUMMYFUNCTION("""COMPUTED_VALUE"""),140.01)</f>
        <v>140.01</v>
      </c>
    </row>
    <row r="539">
      <c r="B539" s="3">
        <f>IFERROR(__xludf.DUMMYFUNCTION("""COMPUTED_VALUE"""),44978.66666666667)</f>
        <v>44978.66667</v>
      </c>
      <c r="C539" s="2">
        <f>IFERROR(__xludf.DUMMYFUNCTION("""COMPUTED_VALUE"""),49.69)</f>
        <v>49.69</v>
      </c>
      <c r="H539" s="3">
        <f>IFERROR(__xludf.DUMMYFUNCTION("""COMPUTED_VALUE"""),46031.66666666667)</f>
        <v>46031.66667</v>
      </c>
      <c r="I539" s="2">
        <f>IFERROR(__xludf.DUMMYFUNCTION("""COMPUTED_VALUE"""),3.79)</f>
        <v>3.79</v>
      </c>
      <c r="K539" s="3">
        <f>IFERROR(__xludf.DUMMYFUNCTION("""COMPUTED_VALUE"""),44974.6875)</f>
        <v>44974.6875</v>
      </c>
      <c r="L539" s="2">
        <f>IFERROR(__xludf.DUMMYFUNCTION("""COMPUTED_VALUE"""),50.91)</f>
        <v>50.91</v>
      </c>
      <c r="N539" s="3">
        <f>IFERROR(__xludf.DUMMYFUNCTION("""COMPUTED_VALUE"""),44978.66666666667)</f>
        <v>44978.66667</v>
      </c>
      <c r="O539" s="2">
        <f>IFERROR(__xludf.DUMMYFUNCTION("""COMPUTED_VALUE"""),39.77)</f>
        <v>39.77</v>
      </c>
      <c r="Q539" s="3">
        <f>IFERROR(__xludf.DUMMYFUNCTION("""COMPUTED_VALUE"""),44978.66666666667)</f>
        <v>44978.66667</v>
      </c>
      <c r="R539" s="2">
        <f>IFERROR(__xludf.DUMMYFUNCTION("""COMPUTED_VALUE"""),139.91)</f>
        <v>139.91</v>
      </c>
    </row>
    <row r="540">
      <c r="B540" s="3">
        <f>IFERROR(__xludf.DUMMYFUNCTION("""COMPUTED_VALUE"""),44979.66666666667)</f>
        <v>44979.66667</v>
      </c>
      <c r="C540" s="2">
        <f>IFERROR(__xludf.DUMMYFUNCTION("""COMPUTED_VALUE"""),49.31)</f>
        <v>49.31</v>
      </c>
      <c r="H540" s="3">
        <f>IFERROR(__xludf.DUMMYFUNCTION("""COMPUTED_VALUE"""),46034.66666666667)</f>
        <v>46034.66667</v>
      </c>
      <c r="I540" s="2">
        <f>IFERROR(__xludf.DUMMYFUNCTION("""COMPUTED_VALUE"""),3.91)</f>
        <v>3.91</v>
      </c>
      <c r="K540" s="3">
        <f>IFERROR(__xludf.DUMMYFUNCTION("""COMPUTED_VALUE"""),44977.6875)</f>
        <v>44977.6875</v>
      </c>
      <c r="L540" s="2">
        <f>IFERROR(__xludf.DUMMYFUNCTION("""COMPUTED_VALUE"""),51.54)</f>
        <v>51.54</v>
      </c>
      <c r="N540" s="3">
        <f>IFERROR(__xludf.DUMMYFUNCTION("""COMPUTED_VALUE"""),44979.66666666667)</f>
        <v>44979.66667</v>
      </c>
      <c r="O540" s="2">
        <f>IFERROR(__xludf.DUMMYFUNCTION("""COMPUTED_VALUE"""),38.93)</f>
        <v>38.93</v>
      </c>
      <c r="Q540" s="3">
        <f>IFERROR(__xludf.DUMMYFUNCTION("""COMPUTED_VALUE"""),44979.66666666667)</f>
        <v>44979.66667</v>
      </c>
      <c r="R540" s="2">
        <f>IFERROR(__xludf.DUMMYFUNCTION("""COMPUTED_VALUE"""),140.5)</f>
        <v>140.5</v>
      </c>
    </row>
    <row r="541">
      <c r="B541" s="3">
        <f>IFERROR(__xludf.DUMMYFUNCTION("""COMPUTED_VALUE"""),44980.66666666667)</f>
        <v>44980.66667</v>
      </c>
      <c r="C541" s="2">
        <f>IFERROR(__xludf.DUMMYFUNCTION("""COMPUTED_VALUE"""),49.21)</f>
        <v>49.21</v>
      </c>
      <c r="H541" s="3">
        <f>IFERROR(__xludf.DUMMYFUNCTION("""COMPUTED_VALUE"""),46035.66666666667)</f>
        <v>46035.66667</v>
      </c>
      <c r="I541" s="2">
        <f>IFERROR(__xludf.DUMMYFUNCTION("""COMPUTED_VALUE"""),3.91)</f>
        <v>3.91</v>
      </c>
      <c r="K541" s="3">
        <f>IFERROR(__xludf.DUMMYFUNCTION("""COMPUTED_VALUE"""),44978.6875)</f>
        <v>44978.6875</v>
      </c>
      <c r="L541" s="2">
        <f>IFERROR(__xludf.DUMMYFUNCTION("""COMPUTED_VALUE"""),50.97)</f>
        <v>50.97</v>
      </c>
      <c r="N541" s="3">
        <f>IFERROR(__xludf.DUMMYFUNCTION("""COMPUTED_VALUE"""),44980.66666666667)</f>
        <v>44980.66667</v>
      </c>
      <c r="O541" s="2">
        <f>IFERROR(__xludf.DUMMYFUNCTION("""COMPUTED_VALUE"""),39.68)</f>
        <v>39.68</v>
      </c>
      <c r="Q541" s="3">
        <f>IFERROR(__xludf.DUMMYFUNCTION("""COMPUTED_VALUE"""),44980.66666666667)</f>
        <v>44980.66667</v>
      </c>
      <c r="R541" s="2">
        <f>IFERROR(__xludf.DUMMYFUNCTION("""COMPUTED_VALUE"""),140.05)</f>
        <v>140.05</v>
      </c>
    </row>
    <row r="542">
      <c r="B542" s="3">
        <f>IFERROR(__xludf.DUMMYFUNCTION("""COMPUTED_VALUE"""),44981.66666666667)</f>
        <v>44981.66667</v>
      </c>
      <c r="C542" s="2">
        <f>IFERROR(__xludf.DUMMYFUNCTION("""COMPUTED_VALUE"""),48.48)</f>
        <v>48.48</v>
      </c>
      <c r="H542" s="3">
        <f>IFERROR(__xludf.DUMMYFUNCTION("""COMPUTED_VALUE"""),46036.66666666667)</f>
        <v>46036.66667</v>
      </c>
      <c r="I542" s="2">
        <f>IFERROR(__xludf.DUMMYFUNCTION("""COMPUTED_VALUE"""),4.08)</f>
        <v>4.08</v>
      </c>
      <c r="K542" s="3">
        <f>IFERROR(__xludf.DUMMYFUNCTION("""COMPUTED_VALUE"""),44979.6875)</f>
        <v>44979.6875</v>
      </c>
      <c r="L542" s="2">
        <f>IFERROR(__xludf.DUMMYFUNCTION("""COMPUTED_VALUE"""),51.26)</f>
        <v>51.26</v>
      </c>
      <c r="N542" s="3">
        <f>IFERROR(__xludf.DUMMYFUNCTION("""COMPUTED_VALUE"""),44981.66666666667)</f>
        <v>44981.66667</v>
      </c>
      <c r="O542" s="2">
        <f>IFERROR(__xludf.DUMMYFUNCTION("""COMPUTED_VALUE"""),39.7)</f>
        <v>39.7</v>
      </c>
      <c r="Q542" s="3">
        <f>IFERROR(__xludf.DUMMYFUNCTION("""COMPUTED_VALUE"""),44981.66666666667)</f>
        <v>44981.66667</v>
      </c>
      <c r="R542" s="2">
        <f>IFERROR(__xludf.DUMMYFUNCTION("""COMPUTED_VALUE"""),139.26)</f>
        <v>139.26</v>
      </c>
    </row>
    <row r="543">
      <c r="B543" s="3">
        <f>IFERROR(__xludf.DUMMYFUNCTION("""COMPUTED_VALUE"""),44984.66666666667)</f>
        <v>44984.66667</v>
      </c>
      <c r="C543" s="2">
        <f>IFERROR(__xludf.DUMMYFUNCTION("""COMPUTED_VALUE"""),48.73)</f>
        <v>48.73</v>
      </c>
      <c r="H543" s="3">
        <f>IFERROR(__xludf.DUMMYFUNCTION("""COMPUTED_VALUE"""),46037.66666666667)</f>
        <v>46037.66667</v>
      </c>
      <c r="I543" s="2">
        <f>IFERROR(__xludf.DUMMYFUNCTION("""COMPUTED_VALUE"""),3.79)</f>
        <v>3.79</v>
      </c>
      <c r="K543" s="3">
        <f>IFERROR(__xludf.DUMMYFUNCTION("""COMPUTED_VALUE"""),44980.6875)</f>
        <v>44980.6875</v>
      </c>
      <c r="L543" s="2">
        <f>IFERROR(__xludf.DUMMYFUNCTION("""COMPUTED_VALUE"""),52.0)</f>
        <v>52</v>
      </c>
      <c r="N543" s="3">
        <f>IFERROR(__xludf.DUMMYFUNCTION("""COMPUTED_VALUE"""),44984.66666666667)</f>
        <v>44984.66667</v>
      </c>
      <c r="O543" s="2">
        <f>IFERROR(__xludf.DUMMYFUNCTION("""COMPUTED_VALUE"""),40.22)</f>
        <v>40.22</v>
      </c>
      <c r="Q543" s="3">
        <f>IFERROR(__xludf.DUMMYFUNCTION("""COMPUTED_VALUE"""),44984.66666666667)</f>
        <v>44984.66667</v>
      </c>
      <c r="R543" s="2">
        <f>IFERROR(__xludf.DUMMYFUNCTION("""COMPUTED_VALUE"""),139.14)</f>
        <v>139.14</v>
      </c>
    </row>
    <row r="544">
      <c r="B544" s="3">
        <f>IFERROR(__xludf.DUMMYFUNCTION("""COMPUTED_VALUE"""),44985.66666666667)</f>
        <v>44985.66667</v>
      </c>
      <c r="C544" s="2">
        <f>IFERROR(__xludf.DUMMYFUNCTION("""COMPUTED_VALUE"""),48.42)</f>
        <v>48.42</v>
      </c>
      <c r="H544" s="3">
        <f>IFERROR(__xludf.DUMMYFUNCTION("""COMPUTED_VALUE"""),46038.66666666667)</f>
        <v>46038.66667</v>
      </c>
      <c r="I544" s="2">
        <f>IFERROR(__xludf.DUMMYFUNCTION("""COMPUTED_VALUE"""),3.88)</f>
        <v>3.88</v>
      </c>
      <c r="K544" s="3">
        <f>IFERROR(__xludf.DUMMYFUNCTION("""COMPUTED_VALUE"""),44981.6875)</f>
        <v>44981.6875</v>
      </c>
      <c r="L544" s="2">
        <f>IFERROR(__xludf.DUMMYFUNCTION("""COMPUTED_VALUE"""),51.66)</f>
        <v>51.66</v>
      </c>
      <c r="N544" s="3">
        <f>IFERROR(__xludf.DUMMYFUNCTION("""COMPUTED_VALUE"""),44985.66666666667)</f>
        <v>44985.66667</v>
      </c>
      <c r="O544" s="2">
        <f>IFERROR(__xludf.DUMMYFUNCTION("""COMPUTED_VALUE"""),39.6)</f>
        <v>39.6</v>
      </c>
      <c r="Q544" s="3">
        <f>IFERROR(__xludf.DUMMYFUNCTION("""COMPUTED_VALUE"""),44985.66666666667)</f>
        <v>44985.66667</v>
      </c>
      <c r="R544" s="2">
        <f>IFERROR(__xludf.DUMMYFUNCTION("""COMPUTED_VALUE"""),137.56)</f>
        <v>137.56</v>
      </c>
    </row>
    <row r="545">
      <c r="B545" s="3">
        <f>IFERROR(__xludf.DUMMYFUNCTION("""COMPUTED_VALUE"""),44986.66666666667)</f>
        <v>44986.66667</v>
      </c>
      <c r="C545" s="2">
        <f>IFERROR(__xludf.DUMMYFUNCTION("""COMPUTED_VALUE"""),48.34)</f>
        <v>48.34</v>
      </c>
      <c r="H545" s="3">
        <f>IFERROR(__xludf.DUMMYFUNCTION("""COMPUTED_VALUE"""),46042.66666666667)</f>
        <v>46042.66667</v>
      </c>
      <c r="I545" s="2">
        <f>IFERROR(__xludf.DUMMYFUNCTION("""COMPUTED_VALUE"""),3.86)</f>
        <v>3.86</v>
      </c>
      <c r="K545" s="3">
        <f>IFERROR(__xludf.DUMMYFUNCTION("""COMPUTED_VALUE"""),44984.6875)</f>
        <v>44984.6875</v>
      </c>
      <c r="L545" s="2">
        <f>IFERROR(__xludf.DUMMYFUNCTION("""COMPUTED_VALUE"""),51.79)</f>
        <v>51.79</v>
      </c>
      <c r="N545" s="3">
        <f>IFERROR(__xludf.DUMMYFUNCTION("""COMPUTED_VALUE"""),44986.66666666667)</f>
        <v>44986.66667</v>
      </c>
      <c r="O545" s="2">
        <f>IFERROR(__xludf.DUMMYFUNCTION("""COMPUTED_VALUE"""),39.93)</f>
        <v>39.93</v>
      </c>
      <c r="Q545" s="3">
        <f>IFERROR(__xludf.DUMMYFUNCTION("""COMPUTED_VALUE"""),44986.66666666667)</f>
        <v>44986.66667</v>
      </c>
      <c r="R545" s="2">
        <f>IFERROR(__xludf.DUMMYFUNCTION("""COMPUTED_VALUE"""),137.66)</f>
        <v>137.66</v>
      </c>
    </row>
    <row r="546">
      <c r="B546" s="3">
        <f>IFERROR(__xludf.DUMMYFUNCTION("""COMPUTED_VALUE"""),44987.66666666667)</f>
        <v>44987.66667</v>
      </c>
      <c r="C546" s="2">
        <f>IFERROR(__xludf.DUMMYFUNCTION("""COMPUTED_VALUE"""),48.53)</f>
        <v>48.53</v>
      </c>
      <c r="H546" s="3">
        <f>IFERROR(__xludf.DUMMYFUNCTION("""COMPUTED_VALUE"""),46043.66666666667)</f>
        <v>46043.66667</v>
      </c>
      <c r="I546" s="2">
        <f>IFERROR(__xludf.DUMMYFUNCTION("""COMPUTED_VALUE"""),4.36)</f>
        <v>4.36</v>
      </c>
      <c r="K546" s="3">
        <f>IFERROR(__xludf.DUMMYFUNCTION("""COMPUTED_VALUE"""),44985.6875)</f>
        <v>44985.6875</v>
      </c>
      <c r="L546" s="2">
        <f>IFERROR(__xludf.DUMMYFUNCTION("""COMPUTED_VALUE"""),52.62)</f>
        <v>52.62</v>
      </c>
      <c r="N546" s="3">
        <f>IFERROR(__xludf.DUMMYFUNCTION("""COMPUTED_VALUE"""),44987.66666666667)</f>
        <v>44987.66667</v>
      </c>
      <c r="O546" s="2">
        <f>IFERROR(__xludf.DUMMYFUNCTION("""COMPUTED_VALUE"""),40.26)</f>
        <v>40.26</v>
      </c>
      <c r="Q546" s="3">
        <f>IFERROR(__xludf.DUMMYFUNCTION("""COMPUTED_VALUE"""),44987.66666666667)</f>
        <v>44987.66667</v>
      </c>
      <c r="R546" s="2">
        <f>IFERROR(__xludf.DUMMYFUNCTION("""COMPUTED_VALUE"""),139.93)</f>
        <v>139.93</v>
      </c>
    </row>
    <row r="547">
      <c r="B547" s="3">
        <f>IFERROR(__xludf.DUMMYFUNCTION("""COMPUTED_VALUE"""),44988.66666666667)</f>
        <v>44988.66667</v>
      </c>
      <c r="C547" s="2">
        <f>IFERROR(__xludf.DUMMYFUNCTION("""COMPUTED_VALUE"""),49.28)</f>
        <v>49.28</v>
      </c>
      <c r="H547" s="3">
        <f>IFERROR(__xludf.DUMMYFUNCTION("""COMPUTED_VALUE"""),46044.66666666667)</f>
        <v>46044.66667</v>
      </c>
      <c r="I547" s="2">
        <f>IFERROR(__xludf.DUMMYFUNCTION("""COMPUTED_VALUE"""),4.37)</f>
        <v>4.37</v>
      </c>
      <c r="K547" s="3">
        <f>IFERROR(__xludf.DUMMYFUNCTION("""COMPUTED_VALUE"""),44986.6875)</f>
        <v>44986.6875</v>
      </c>
      <c r="L547" s="2">
        <f>IFERROR(__xludf.DUMMYFUNCTION("""COMPUTED_VALUE"""),51.96)</f>
        <v>51.96</v>
      </c>
      <c r="N547" s="3">
        <f>IFERROR(__xludf.DUMMYFUNCTION("""COMPUTED_VALUE"""),44988.66666666667)</f>
        <v>44988.66667</v>
      </c>
      <c r="O547" s="2">
        <f>IFERROR(__xludf.DUMMYFUNCTION("""COMPUTED_VALUE"""),40.22)</f>
        <v>40.22</v>
      </c>
      <c r="Q547" s="3">
        <f>IFERROR(__xludf.DUMMYFUNCTION("""COMPUTED_VALUE"""),44988.66666666667)</f>
        <v>44988.66667</v>
      </c>
      <c r="R547" s="2">
        <f>IFERROR(__xludf.DUMMYFUNCTION("""COMPUTED_VALUE"""),140.95)</f>
        <v>140.95</v>
      </c>
    </row>
    <row r="548">
      <c r="B548" s="3">
        <f>IFERROR(__xludf.DUMMYFUNCTION("""COMPUTED_VALUE"""),44991.66666666667)</f>
        <v>44991.66667</v>
      </c>
      <c r="C548" s="2">
        <f>IFERROR(__xludf.DUMMYFUNCTION("""COMPUTED_VALUE"""),49.42)</f>
        <v>49.42</v>
      </c>
      <c r="H548" s="3">
        <f>IFERROR(__xludf.DUMMYFUNCTION("""COMPUTED_VALUE"""),46045.66666666667)</f>
        <v>46045.66667</v>
      </c>
      <c r="I548" s="2">
        <f>IFERROR(__xludf.DUMMYFUNCTION("""COMPUTED_VALUE"""),4.13)</f>
        <v>4.13</v>
      </c>
      <c r="K548" s="3">
        <f>IFERROR(__xludf.DUMMYFUNCTION("""COMPUTED_VALUE"""),44987.6875)</f>
        <v>44987.6875</v>
      </c>
      <c r="L548" s="2">
        <f>IFERROR(__xludf.DUMMYFUNCTION("""COMPUTED_VALUE"""),51.34)</f>
        <v>51.34</v>
      </c>
      <c r="N548" s="3">
        <f>IFERROR(__xludf.DUMMYFUNCTION("""COMPUTED_VALUE"""),44991.66666666667)</f>
        <v>44991.66667</v>
      </c>
      <c r="O548" s="2">
        <f>IFERROR(__xludf.DUMMYFUNCTION("""COMPUTED_VALUE"""),40.42)</f>
        <v>40.42</v>
      </c>
      <c r="Q548" s="3">
        <f>IFERROR(__xludf.DUMMYFUNCTION("""COMPUTED_VALUE"""),44991.66666666667)</f>
        <v>44991.66667</v>
      </c>
      <c r="R548" s="2">
        <f>IFERROR(__xludf.DUMMYFUNCTION("""COMPUTED_VALUE"""),140.35)</f>
        <v>140.35</v>
      </c>
    </row>
    <row r="549">
      <c r="B549" s="3">
        <f>IFERROR(__xludf.DUMMYFUNCTION("""COMPUTED_VALUE"""),44992.66666666667)</f>
        <v>44992.66667</v>
      </c>
      <c r="C549" s="2">
        <f>IFERROR(__xludf.DUMMYFUNCTION("""COMPUTED_VALUE"""),48.91)</f>
        <v>48.91</v>
      </c>
      <c r="H549" s="3">
        <f>IFERROR(__xludf.DUMMYFUNCTION("""COMPUTED_VALUE"""),46048.66666666667)</f>
        <v>46048.66667</v>
      </c>
      <c r="I549" s="2">
        <f>IFERROR(__xludf.DUMMYFUNCTION("""COMPUTED_VALUE"""),3.81)</f>
        <v>3.81</v>
      </c>
      <c r="K549" s="3">
        <f>IFERROR(__xludf.DUMMYFUNCTION("""COMPUTED_VALUE"""),44988.6875)</f>
        <v>44988.6875</v>
      </c>
      <c r="L549" s="2">
        <f>IFERROR(__xludf.DUMMYFUNCTION("""COMPUTED_VALUE"""),51.79)</f>
        <v>51.79</v>
      </c>
      <c r="N549" s="3">
        <f>IFERROR(__xludf.DUMMYFUNCTION("""COMPUTED_VALUE"""),44992.66666666667)</f>
        <v>44992.66667</v>
      </c>
      <c r="O549" s="2">
        <f>IFERROR(__xludf.DUMMYFUNCTION("""COMPUTED_VALUE"""),39.8)</f>
        <v>39.8</v>
      </c>
      <c r="Q549" s="3">
        <f>IFERROR(__xludf.DUMMYFUNCTION("""COMPUTED_VALUE"""),44992.66666666667)</f>
        <v>44992.66667</v>
      </c>
      <c r="R549" s="2">
        <f>IFERROR(__xludf.DUMMYFUNCTION("""COMPUTED_VALUE"""),137.56)</f>
        <v>137.56</v>
      </c>
    </row>
    <row r="550">
      <c r="B550" s="3">
        <f>IFERROR(__xludf.DUMMYFUNCTION("""COMPUTED_VALUE"""),44993.66666666667)</f>
        <v>44993.66667</v>
      </c>
      <c r="C550" s="2">
        <f>IFERROR(__xludf.DUMMYFUNCTION("""COMPUTED_VALUE"""),49.11)</f>
        <v>49.11</v>
      </c>
      <c r="H550" s="3">
        <f>IFERROR(__xludf.DUMMYFUNCTION("""COMPUTED_VALUE"""),46049.66666666667)</f>
        <v>46049.66667</v>
      </c>
      <c r="I550" s="2">
        <f>IFERROR(__xludf.DUMMYFUNCTION("""COMPUTED_VALUE"""),5.51)</f>
        <v>5.51</v>
      </c>
      <c r="K550" s="3">
        <f>IFERROR(__xludf.DUMMYFUNCTION("""COMPUTED_VALUE"""),44991.6875)</f>
        <v>44991.6875</v>
      </c>
      <c r="L550" s="2">
        <f>IFERROR(__xludf.DUMMYFUNCTION("""COMPUTED_VALUE"""),51.77)</f>
        <v>51.77</v>
      </c>
      <c r="N550" s="3">
        <f>IFERROR(__xludf.DUMMYFUNCTION("""COMPUTED_VALUE"""),44993.66666666667)</f>
        <v>44993.66667</v>
      </c>
      <c r="O550" s="2">
        <f>IFERROR(__xludf.DUMMYFUNCTION("""COMPUTED_VALUE"""),39.66)</f>
        <v>39.66</v>
      </c>
      <c r="Q550" s="3">
        <f>IFERROR(__xludf.DUMMYFUNCTION("""COMPUTED_VALUE"""),44993.66666666667)</f>
        <v>44993.66667</v>
      </c>
      <c r="R550" s="2">
        <f>IFERROR(__xludf.DUMMYFUNCTION("""COMPUTED_VALUE"""),137.58)</f>
        <v>137.58</v>
      </c>
    </row>
    <row r="551">
      <c r="B551" s="3">
        <f>IFERROR(__xludf.DUMMYFUNCTION("""COMPUTED_VALUE"""),44994.66666666667)</f>
        <v>44994.66667</v>
      </c>
      <c r="C551" s="2">
        <f>IFERROR(__xludf.DUMMYFUNCTION("""COMPUTED_VALUE"""),48.81)</f>
        <v>48.81</v>
      </c>
      <c r="H551" s="3">
        <f>IFERROR(__xludf.DUMMYFUNCTION("""COMPUTED_VALUE"""),46050.66666666667)</f>
        <v>46050.66667</v>
      </c>
      <c r="I551" s="2">
        <f>IFERROR(__xludf.DUMMYFUNCTION("""COMPUTED_VALUE"""),5.08)</f>
        <v>5.08</v>
      </c>
      <c r="K551" s="3">
        <f>IFERROR(__xludf.DUMMYFUNCTION("""COMPUTED_VALUE"""),44992.6875)</f>
        <v>44992.6875</v>
      </c>
      <c r="L551" s="2">
        <f>IFERROR(__xludf.DUMMYFUNCTION("""COMPUTED_VALUE"""),51.35)</f>
        <v>51.35</v>
      </c>
      <c r="N551" s="3">
        <f>IFERROR(__xludf.DUMMYFUNCTION("""COMPUTED_VALUE"""),44994.66666666667)</f>
        <v>44994.66667</v>
      </c>
      <c r="O551" s="2">
        <f>IFERROR(__xludf.DUMMYFUNCTION("""COMPUTED_VALUE"""),39.34)</f>
        <v>39.34</v>
      </c>
      <c r="Q551" s="3">
        <f>IFERROR(__xludf.DUMMYFUNCTION("""COMPUTED_VALUE"""),44994.66666666667)</f>
        <v>44994.66667</v>
      </c>
      <c r="R551" s="2">
        <f>IFERROR(__xludf.DUMMYFUNCTION("""COMPUTED_VALUE"""),136.57)</f>
        <v>136.57</v>
      </c>
    </row>
    <row r="552">
      <c r="B552" s="3">
        <f>IFERROR(__xludf.DUMMYFUNCTION("""COMPUTED_VALUE"""),44995.66666666667)</f>
        <v>44995.66667</v>
      </c>
      <c r="C552" s="2">
        <f>IFERROR(__xludf.DUMMYFUNCTION("""COMPUTED_VALUE"""),48.56)</f>
        <v>48.56</v>
      </c>
      <c r="H552" s="3">
        <f>IFERROR(__xludf.DUMMYFUNCTION("""COMPUTED_VALUE"""),46051.66666666667)</f>
        <v>46051.66667</v>
      </c>
      <c r="I552" s="2">
        <f>IFERROR(__xludf.DUMMYFUNCTION("""COMPUTED_VALUE"""),4.02)</f>
        <v>4.02</v>
      </c>
      <c r="K552" s="3">
        <f>IFERROR(__xludf.DUMMYFUNCTION("""COMPUTED_VALUE"""),44993.6875)</f>
        <v>44993.6875</v>
      </c>
      <c r="L552" s="2">
        <f>IFERROR(__xludf.DUMMYFUNCTION("""COMPUTED_VALUE"""),51.6)</f>
        <v>51.6</v>
      </c>
      <c r="N552" s="3">
        <f>IFERROR(__xludf.DUMMYFUNCTION("""COMPUTED_VALUE"""),44995.66666666667)</f>
        <v>44995.66667</v>
      </c>
      <c r="O552" s="2">
        <f>IFERROR(__xludf.DUMMYFUNCTION("""COMPUTED_VALUE"""),39.01)</f>
        <v>39.01</v>
      </c>
      <c r="Q552" s="3">
        <f>IFERROR(__xludf.DUMMYFUNCTION("""COMPUTED_VALUE"""),44995.66666666667)</f>
        <v>44995.66667</v>
      </c>
      <c r="R552" s="2">
        <f>IFERROR(__xludf.DUMMYFUNCTION("""COMPUTED_VALUE"""),137.19)</f>
        <v>137.19</v>
      </c>
    </row>
    <row r="553">
      <c r="B553" s="3">
        <f>IFERROR(__xludf.DUMMYFUNCTION("""COMPUTED_VALUE"""),44998.66666666667)</f>
        <v>44998.66667</v>
      </c>
      <c r="C553" s="2">
        <f>IFERROR(__xludf.DUMMYFUNCTION("""COMPUTED_VALUE"""),48.41)</f>
        <v>48.41</v>
      </c>
      <c r="H553" s="3">
        <f>IFERROR(__xludf.DUMMYFUNCTION("""COMPUTED_VALUE"""),46052.66666666667)</f>
        <v>46052.66667</v>
      </c>
      <c r="I553" s="2">
        <f>IFERROR(__xludf.DUMMYFUNCTION("""COMPUTED_VALUE"""),3.58)</f>
        <v>3.58</v>
      </c>
      <c r="K553" s="3">
        <f>IFERROR(__xludf.DUMMYFUNCTION("""COMPUTED_VALUE"""),44994.6875)</f>
        <v>44994.6875</v>
      </c>
      <c r="L553" s="2">
        <f>IFERROR(__xludf.DUMMYFUNCTION("""COMPUTED_VALUE"""),51.46)</f>
        <v>51.46</v>
      </c>
      <c r="N553" s="3">
        <f>IFERROR(__xludf.DUMMYFUNCTION("""COMPUTED_VALUE"""),44998.66666666667)</f>
        <v>44998.66667</v>
      </c>
      <c r="O553" s="2">
        <f>IFERROR(__xludf.DUMMYFUNCTION("""COMPUTED_VALUE"""),38.01)</f>
        <v>38.01</v>
      </c>
      <c r="Q553" s="3">
        <f>IFERROR(__xludf.DUMMYFUNCTION("""COMPUTED_VALUE"""),44998.66666666667)</f>
        <v>44998.66667</v>
      </c>
      <c r="R553" s="2">
        <f>IFERROR(__xludf.DUMMYFUNCTION("""COMPUTED_VALUE"""),138.14)</f>
        <v>138.14</v>
      </c>
    </row>
    <row r="554">
      <c r="B554" s="3">
        <f>IFERROR(__xludf.DUMMYFUNCTION("""COMPUTED_VALUE"""),44999.66666666667)</f>
        <v>44999.66667</v>
      </c>
      <c r="C554" s="2">
        <f>IFERROR(__xludf.DUMMYFUNCTION("""COMPUTED_VALUE"""),49.05)</f>
        <v>49.05</v>
      </c>
      <c r="H554" s="3">
        <f>IFERROR(__xludf.DUMMYFUNCTION("""COMPUTED_VALUE"""),46055.66666666667)</f>
        <v>46055.66667</v>
      </c>
      <c r="I554" s="2">
        <f>IFERROR(__xludf.DUMMYFUNCTION("""COMPUTED_VALUE"""),3.61)</f>
        <v>3.61</v>
      </c>
      <c r="K554" s="3">
        <f>IFERROR(__xludf.DUMMYFUNCTION("""COMPUTED_VALUE"""),44995.6875)</f>
        <v>44995.6875</v>
      </c>
      <c r="L554" s="2">
        <f>IFERROR(__xludf.DUMMYFUNCTION("""COMPUTED_VALUE"""),49.78)</f>
        <v>49.78</v>
      </c>
      <c r="N554" s="3">
        <f>IFERROR(__xludf.DUMMYFUNCTION("""COMPUTED_VALUE"""),44999.66666666667)</f>
        <v>44999.66667</v>
      </c>
      <c r="O554" s="2">
        <f>IFERROR(__xludf.DUMMYFUNCTION("""COMPUTED_VALUE"""),38.25)</f>
        <v>38.25</v>
      </c>
      <c r="Q554" s="3">
        <f>IFERROR(__xludf.DUMMYFUNCTION("""COMPUTED_VALUE"""),44999.66666666667)</f>
        <v>44999.66667</v>
      </c>
      <c r="R554" s="2">
        <f>IFERROR(__xludf.DUMMYFUNCTION("""COMPUTED_VALUE"""),139.85)</f>
        <v>139.85</v>
      </c>
    </row>
    <row r="555">
      <c r="B555" s="3">
        <f>IFERROR(__xludf.DUMMYFUNCTION("""COMPUTED_VALUE"""),45000.66666666667)</f>
        <v>45000.66667</v>
      </c>
      <c r="C555" s="2">
        <f>IFERROR(__xludf.DUMMYFUNCTION("""COMPUTED_VALUE"""),49.06)</f>
        <v>49.06</v>
      </c>
      <c r="H555" s="3">
        <f>IFERROR(__xludf.DUMMYFUNCTION("""COMPUTED_VALUE"""),46056.66666666667)</f>
        <v>46056.66667</v>
      </c>
      <c r="I555" s="2">
        <f>IFERROR(__xludf.DUMMYFUNCTION("""COMPUTED_VALUE"""),3.7)</f>
        <v>3.7</v>
      </c>
      <c r="K555" s="3">
        <f>IFERROR(__xludf.DUMMYFUNCTION("""COMPUTED_VALUE"""),44998.6875)</f>
        <v>44998.6875</v>
      </c>
      <c r="L555" s="2">
        <f>IFERROR(__xludf.DUMMYFUNCTION("""COMPUTED_VALUE"""),47.23)</f>
        <v>47.23</v>
      </c>
      <c r="N555" s="3">
        <f>IFERROR(__xludf.DUMMYFUNCTION("""COMPUTED_VALUE"""),45000.66666666667)</f>
        <v>45000.66667</v>
      </c>
      <c r="O555" s="2">
        <f>IFERROR(__xludf.DUMMYFUNCTION("""COMPUTED_VALUE"""),35.85)</f>
        <v>35.85</v>
      </c>
      <c r="Q555" s="3">
        <f>IFERROR(__xludf.DUMMYFUNCTION("""COMPUTED_VALUE"""),45000.66666666667)</f>
        <v>45000.66667</v>
      </c>
      <c r="R555" s="2">
        <f>IFERROR(__xludf.DUMMYFUNCTION("""COMPUTED_VALUE"""),141.83)</f>
        <v>141.83</v>
      </c>
    </row>
    <row r="556">
      <c r="B556" s="3">
        <f>IFERROR(__xludf.DUMMYFUNCTION("""COMPUTED_VALUE"""),45001.66666666667)</f>
        <v>45001.66667</v>
      </c>
      <c r="C556" s="2">
        <f>IFERROR(__xludf.DUMMYFUNCTION("""COMPUTED_VALUE"""),50.12)</f>
        <v>50.12</v>
      </c>
      <c r="H556" s="3">
        <f>IFERROR(__xludf.DUMMYFUNCTION("""COMPUTED_VALUE"""),46057.66666666667)</f>
        <v>46057.66667</v>
      </c>
      <c r="I556" s="2">
        <f>IFERROR(__xludf.DUMMYFUNCTION("""COMPUTED_VALUE"""),3.46)</f>
        <v>3.46</v>
      </c>
      <c r="K556" s="3">
        <f>IFERROR(__xludf.DUMMYFUNCTION("""COMPUTED_VALUE"""),44999.6875)</f>
        <v>44999.6875</v>
      </c>
      <c r="L556" s="2">
        <f>IFERROR(__xludf.DUMMYFUNCTION("""COMPUTED_VALUE"""),48.24)</f>
        <v>48.24</v>
      </c>
      <c r="N556" s="3">
        <f>IFERROR(__xludf.DUMMYFUNCTION("""COMPUTED_VALUE"""),45001.66666666667)</f>
        <v>45001.66667</v>
      </c>
      <c r="O556" s="2">
        <f>IFERROR(__xludf.DUMMYFUNCTION("""COMPUTED_VALUE"""),35.62)</f>
        <v>35.62</v>
      </c>
      <c r="Q556" s="3">
        <f>IFERROR(__xludf.DUMMYFUNCTION("""COMPUTED_VALUE"""),45001.66666666667)</f>
        <v>45001.66667</v>
      </c>
      <c r="R556" s="2">
        <f>IFERROR(__xludf.DUMMYFUNCTION("""COMPUTED_VALUE"""),142.89)</f>
        <v>142.89</v>
      </c>
    </row>
    <row r="557">
      <c r="B557" s="3">
        <f>IFERROR(__xludf.DUMMYFUNCTION("""COMPUTED_VALUE"""),45002.66666666667)</f>
        <v>45002.66667</v>
      </c>
      <c r="C557" s="2">
        <f>IFERROR(__xludf.DUMMYFUNCTION("""COMPUTED_VALUE"""),50.19)</f>
        <v>50.19</v>
      </c>
      <c r="H557" s="3">
        <f>IFERROR(__xludf.DUMMYFUNCTION("""COMPUTED_VALUE"""),46058.66666666667)</f>
        <v>46058.66667</v>
      </c>
      <c r="I557" s="2">
        <f>IFERROR(__xludf.DUMMYFUNCTION("""COMPUTED_VALUE"""),3.04)</f>
        <v>3.04</v>
      </c>
      <c r="K557" s="3">
        <f>IFERROR(__xludf.DUMMYFUNCTION("""COMPUTED_VALUE"""),45000.6875)</f>
        <v>45000.6875</v>
      </c>
      <c r="L557" s="2">
        <f>IFERROR(__xludf.DUMMYFUNCTION("""COMPUTED_VALUE"""),46.02)</f>
        <v>46.02</v>
      </c>
      <c r="N557" s="3">
        <f>IFERROR(__xludf.DUMMYFUNCTION("""COMPUTED_VALUE"""),45002.66666666667)</f>
        <v>45002.66667</v>
      </c>
      <c r="O557" s="2">
        <f>IFERROR(__xludf.DUMMYFUNCTION("""COMPUTED_VALUE"""),35.17)</f>
        <v>35.17</v>
      </c>
      <c r="Q557" s="3">
        <f>IFERROR(__xludf.DUMMYFUNCTION("""COMPUTED_VALUE"""),45002.66666666667)</f>
        <v>45002.66667</v>
      </c>
      <c r="R557" s="2">
        <f>IFERROR(__xludf.DUMMYFUNCTION("""COMPUTED_VALUE"""),142.93)</f>
        <v>142.93</v>
      </c>
    </row>
    <row r="558">
      <c r="B558" s="3">
        <f>IFERROR(__xludf.DUMMYFUNCTION("""COMPUTED_VALUE"""),45005.66666666667)</f>
        <v>45005.66667</v>
      </c>
      <c r="C558" s="2">
        <f>IFERROR(__xludf.DUMMYFUNCTION("""COMPUTED_VALUE"""),50.94)</f>
        <v>50.94</v>
      </c>
      <c r="H558" s="3">
        <f>IFERROR(__xludf.DUMMYFUNCTION("""COMPUTED_VALUE"""),46059.66666666667)</f>
        <v>46059.66667</v>
      </c>
      <c r="I558" s="2">
        <f>IFERROR(__xludf.DUMMYFUNCTION("""COMPUTED_VALUE"""),3.4)</f>
        <v>3.4</v>
      </c>
      <c r="K558" s="3">
        <f>IFERROR(__xludf.DUMMYFUNCTION("""COMPUTED_VALUE"""),45001.6875)</f>
        <v>45001.6875</v>
      </c>
      <c r="L558" s="2">
        <f>IFERROR(__xludf.DUMMYFUNCTION("""COMPUTED_VALUE"""),47.47)</f>
        <v>47.47</v>
      </c>
      <c r="N558" s="3">
        <f>IFERROR(__xludf.DUMMYFUNCTION("""COMPUTED_VALUE"""),45005.66666666667)</f>
        <v>45005.66667</v>
      </c>
      <c r="O558" s="2">
        <f>IFERROR(__xludf.DUMMYFUNCTION("""COMPUTED_VALUE"""),35.8)</f>
        <v>35.8</v>
      </c>
      <c r="Q558" s="3">
        <f>IFERROR(__xludf.DUMMYFUNCTION("""COMPUTED_VALUE"""),45005.66666666667)</f>
        <v>45005.66667</v>
      </c>
      <c r="R558" s="2">
        <f>IFERROR(__xludf.DUMMYFUNCTION("""COMPUTED_VALUE"""),145.13)</f>
        <v>145.13</v>
      </c>
    </row>
    <row r="559">
      <c r="B559" s="3">
        <f>IFERROR(__xludf.DUMMYFUNCTION("""COMPUTED_VALUE"""),45006.66666666667)</f>
        <v>45006.66667</v>
      </c>
      <c r="C559" s="2">
        <f>IFERROR(__xludf.DUMMYFUNCTION("""COMPUTED_VALUE"""),50.67)</f>
        <v>50.67</v>
      </c>
      <c r="H559" s="3">
        <f>IFERROR(__xludf.DUMMYFUNCTION("""COMPUTED_VALUE"""),46062.66666666667)</f>
        <v>46062.66667</v>
      </c>
      <c r="I559" s="2">
        <f>IFERROR(__xludf.DUMMYFUNCTION("""COMPUTED_VALUE"""),3.48)</f>
        <v>3.48</v>
      </c>
      <c r="K559" s="3">
        <f>IFERROR(__xludf.DUMMYFUNCTION("""COMPUTED_VALUE"""),45002.6875)</f>
        <v>45002.6875</v>
      </c>
      <c r="L559" s="2">
        <f>IFERROR(__xludf.DUMMYFUNCTION("""COMPUTED_VALUE"""),46.25)</f>
        <v>46.25</v>
      </c>
      <c r="N559" s="3">
        <f>IFERROR(__xludf.DUMMYFUNCTION("""COMPUTED_VALUE"""),45006.66666666667)</f>
        <v>45006.66667</v>
      </c>
      <c r="O559" s="2">
        <f>IFERROR(__xludf.DUMMYFUNCTION("""COMPUTED_VALUE"""),37.02)</f>
        <v>37.02</v>
      </c>
      <c r="Q559" s="3">
        <f>IFERROR(__xludf.DUMMYFUNCTION("""COMPUTED_VALUE"""),45006.66666666667)</f>
        <v>45006.66667</v>
      </c>
      <c r="R559" s="2">
        <f>IFERROR(__xludf.DUMMYFUNCTION("""COMPUTED_VALUE"""),144.08)</f>
        <v>144.08</v>
      </c>
    </row>
    <row r="560">
      <c r="B560" s="3">
        <f>IFERROR(__xludf.DUMMYFUNCTION("""COMPUTED_VALUE"""),45007.66666666667)</f>
        <v>45007.66667</v>
      </c>
      <c r="C560" s="2">
        <f>IFERROR(__xludf.DUMMYFUNCTION("""COMPUTED_VALUE"""),49.46)</f>
        <v>49.46</v>
      </c>
      <c r="H560" s="3">
        <f>IFERROR(__xludf.DUMMYFUNCTION("""COMPUTED_VALUE"""),46063.66666666667)</f>
        <v>46063.66667</v>
      </c>
      <c r="I560" s="2">
        <f>IFERROR(__xludf.DUMMYFUNCTION("""COMPUTED_VALUE"""),3.31)</f>
        <v>3.31</v>
      </c>
      <c r="K560" s="3">
        <f>IFERROR(__xludf.DUMMYFUNCTION("""COMPUTED_VALUE"""),45005.6875)</f>
        <v>45005.6875</v>
      </c>
      <c r="L560" s="2">
        <f>IFERROR(__xludf.DUMMYFUNCTION("""COMPUTED_VALUE"""),46.11)</f>
        <v>46.11</v>
      </c>
      <c r="N560" s="3">
        <f>IFERROR(__xludf.DUMMYFUNCTION("""COMPUTED_VALUE"""),45007.66666666667)</f>
        <v>45007.66667</v>
      </c>
      <c r="O560" s="2">
        <f>IFERROR(__xludf.DUMMYFUNCTION("""COMPUTED_VALUE"""),36.82)</f>
        <v>36.82</v>
      </c>
      <c r="Q560" s="3">
        <f>IFERROR(__xludf.DUMMYFUNCTION("""COMPUTED_VALUE"""),45007.66666666667)</f>
        <v>45007.66667</v>
      </c>
      <c r="R560" s="2">
        <f>IFERROR(__xludf.DUMMYFUNCTION("""COMPUTED_VALUE"""),143.99)</f>
        <v>143.99</v>
      </c>
    </row>
    <row r="561">
      <c r="B561" s="3">
        <f>IFERROR(__xludf.DUMMYFUNCTION("""COMPUTED_VALUE"""),45008.66666666667)</f>
        <v>45008.66667</v>
      </c>
      <c r="C561" s="2">
        <f>IFERROR(__xludf.DUMMYFUNCTION("""COMPUTED_VALUE"""),49.73)</f>
        <v>49.73</v>
      </c>
      <c r="H561" s="3">
        <f>IFERROR(__xludf.DUMMYFUNCTION("""COMPUTED_VALUE"""),46064.66666666667)</f>
        <v>46064.66667</v>
      </c>
      <c r="I561" s="2">
        <f>IFERROR(__xludf.DUMMYFUNCTION("""COMPUTED_VALUE"""),3.14)</f>
        <v>3.14</v>
      </c>
      <c r="K561" s="3">
        <f>IFERROR(__xludf.DUMMYFUNCTION("""COMPUTED_VALUE"""),45006.6875)</f>
        <v>45006.6875</v>
      </c>
      <c r="L561" s="2">
        <f>IFERROR(__xludf.DUMMYFUNCTION("""COMPUTED_VALUE"""),48.16)</f>
        <v>48.16</v>
      </c>
      <c r="N561" s="3">
        <f>IFERROR(__xludf.DUMMYFUNCTION("""COMPUTED_VALUE"""),45008.66666666667)</f>
        <v>45008.66667</v>
      </c>
      <c r="O561" s="2">
        <f>IFERROR(__xludf.DUMMYFUNCTION("""COMPUTED_VALUE"""),36.48)</f>
        <v>36.48</v>
      </c>
      <c r="Q561" s="3">
        <f>IFERROR(__xludf.DUMMYFUNCTION("""COMPUTED_VALUE"""),45008.66666666667)</f>
        <v>45008.66667</v>
      </c>
      <c r="R561" s="2">
        <f>IFERROR(__xludf.DUMMYFUNCTION("""COMPUTED_VALUE"""),143.79)</f>
        <v>143.79</v>
      </c>
    </row>
    <row r="562">
      <c r="B562" s="3">
        <f>IFERROR(__xludf.DUMMYFUNCTION("""COMPUTED_VALUE"""),45009.66666666667)</f>
        <v>45009.66667</v>
      </c>
      <c r="C562" s="2">
        <f>IFERROR(__xludf.DUMMYFUNCTION("""COMPUTED_VALUE"""),50.51)</f>
        <v>50.51</v>
      </c>
      <c r="H562" s="3">
        <f>IFERROR(__xludf.DUMMYFUNCTION("""COMPUTED_VALUE"""),46065.66666666667)</f>
        <v>46065.66667</v>
      </c>
      <c r="I562" s="2">
        <f>IFERROR(__xludf.DUMMYFUNCTION("""COMPUTED_VALUE"""),2.89)</f>
        <v>2.89</v>
      </c>
      <c r="K562" s="3">
        <f>IFERROR(__xludf.DUMMYFUNCTION("""COMPUTED_VALUE"""),45007.6875)</f>
        <v>45007.6875</v>
      </c>
      <c r="L562" s="2">
        <f>IFERROR(__xludf.DUMMYFUNCTION("""COMPUTED_VALUE"""),47.77)</f>
        <v>47.77</v>
      </c>
      <c r="N562" s="3">
        <f>IFERROR(__xludf.DUMMYFUNCTION("""COMPUTED_VALUE"""),45009.66666666667)</f>
        <v>45009.66667</v>
      </c>
      <c r="O562" s="2">
        <f>IFERROR(__xludf.DUMMYFUNCTION("""COMPUTED_VALUE"""),35.88)</f>
        <v>35.88</v>
      </c>
      <c r="Q562" s="3">
        <f>IFERROR(__xludf.DUMMYFUNCTION("""COMPUTED_VALUE"""),45009.66666666667)</f>
        <v>45009.66667</v>
      </c>
      <c r="R562" s="2">
        <f>IFERROR(__xludf.DUMMYFUNCTION("""COMPUTED_VALUE"""),146.72)</f>
        <v>146.72</v>
      </c>
    </row>
    <row r="563">
      <c r="B563" s="3">
        <f>IFERROR(__xludf.DUMMYFUNCTION("""COMPUTED_VALUE"""),45012.66666666667)</f>
        <v>45012.66667</v>
      </c>
      <c r="C563" s="2">
        <f>IFERROR(__xludf.DUMMYFUNCTION("""COMPUTED_VALUE"""),50.54)</f>
        <v>50.54</v>
      </c>
      <c r="H563" s="3">
        <f>IFERROR(__xludf.DUMMYFUNCTION("""COMPUTED_VALUE"""),46066.66666666667)</f>
        <v>46066.66667</v>
      </c>
      <c r="I563" s="2">
        <f>IFERROR(__xludf.DUMMYFUNCTION("""COMPUTED_VALUE"""),2.98)</f>
        <v>2.98</v>
      </c>
      <c r="K563" s="3">
        <f>IFERROR(__xludf.DUMMYFUNCTION("""COMPUTED_VALUE"""),45008.6875)</f>
        <v>45008.6875</v>
      </c>
      <c r="L563" s="2">
        <f>IFERROR(__xludf.DUMMYFUNCTION("""COMPUTED_VALUE"""),46.85)</f>
        <v>46.85</v>
      </c>
      <c r="N563" s="3">
        <f>IFERROR(__xludf.DUMMYFUNCTION("""COMPUTED_VALUE"""),45012.66666666667)</f>
        <v>45012.66667</v>
      </c>
      <c r="O563" s="2">
        <f>IFERROR(__xludf.DUMMYFUNCTION("""COMPUTED_VALUE"""),36.88)</f>
        <v>36.88</v>
      </c>
      <c r="Q563" s="3">
        <f>IFERROR(__xludf.DUMMYFUNCTION("""COMPUTED_VALUE"""),45012.66666666667)</f>
        <v>45012.66667</v>
      </c>
      <c r="R563" s="2">
        <f>IFERROR(__xludf.DUMMYFUNCTION("""COMPUTED_VALUE"""),145.95)</f>
        <v>145.95</v>
      </c>
    </row>
    <row r="564">
      <c r="B564" s="3">
        <f>IFERROR(__xludf.DUMMYFUNCTION("""COMPUTED_VALUE"""),45013.66666666667)</f>
        <v>45013.66667</v>
      </c>
      <c r="C564" s="2">
        <f>IFERROR(__xludf.DUMMYFUNCTION("""COMPUTED_VALUE"""),50.39)</f>
        <v>50.39</v>
      </c>
      <c r="H564" s="3">
        <f>IFERROR(__xludf.DUMMYFUNCTION("""COMPUTED_VALUE"""),46070.66666666667)</f>
        <v>46070.66667</v>
      </c>
      <c r="I564" s="2">
        <f>IFERROR(__xludf.DUMMYFUNCTION("""COMPUTED_VALUE"""),2.76)</f>
        <v>2.76</v>
      </c>
      <c r="K564" s="3">
        <f>IFERROR(__xludf.DUMMYFUNCTION("""COMPUTED_VALUE"""),45009.6875)</f>
        <v>45009.6875</v>
      </c>
      <c r="L564" s="2">
        <f>IFERROR(__xludf.DUMMYFUNCTION("""COMPUTED_VALUE"""),45.72)</f>
        <v>45.72</v>
      </c>
      <c r="N564" s="3">
        <f>IFERROR(__xludf.DUMMYFUNCTION("""COMPUTED_VALUE"""),45013.66666666667)</f>
        <v>45013.66667</v>
      </c>
      <c r="O564" s="2">
        <f>IFERROR(__xludf.DUMMYFUNCTION("""COMPUTED_VALUE"""),37.43)</f>
        <v>37.43</v>
      </c>
      <c r="Q564" s="3">
        <f>IFERROR(__xludf.DUMMYFUNCTION("""COMPUTED_VALUE"""),45013.66666666667)</f>
        <v>45013.66667</v>
      </c>
      <c r="R564" s="2">
        <f>IFERROR(__xludf.DUMMYFUNCTION("""COMPUTED_VALUE"""),146.36)</f>
        <v>146.36</v>
      </c>
    </row>
    <row r="565">
      <c r="B565" s="3">
        <f>IFERROR(__xludf.DUMMYFUNCTION("""COMPUTED_VALUE"""),45014.66666666667)</f>
        <v>45014.66667</v>
      </c>
      <c r="C565" s="2">
        <f>IFERROR(__xludf.DUMMYFUNCTION("""COMPUTED_VALUE"""),51.17)</f>
        <v>51.17</v>
      </c>
      <c r="H565" s="3">
        <f>IFERROR(__xludf.DUMMYFUNCTION("""COMPUTED_VALUE"""),46071.66666666667)</f>
        <v>46071.66667</v>
      </c>
      <c r="I565" s="2">
        <f>IFERROR(__xludf.DUMMYFUNCTION("""COMPUTED_VALUE"""),2.79)</f>
        <v>2.79</v>
      </c>
      <c r="K565" s="3">
        <f>IFERROR(__xludf.DUMMYFUNCTION("""COMPUTED_VALUE"""),45012.6875)</f>
        <v>45012.6875</v>
      </c>
      <c r="L565" s="2">
        <f>IFERROR(__xludf.DUMMYFUNCTION("""COMPUTED_VALUE"""),46.32)</f>
        <v>46.32</v>
      </c>
      <c r="N565" s="3">
        <f>IFERROR(__xludf.DUMMYFUNCTION("""COMPUTED_VALUE"""),45014.66666666667)</f>
        <v>45014.66667</v>
      </c>
      <c r="O565" s="2">
        <f>IFERROR(__xludf.DUMMYFUNCTION("""COMPUTED_VALUE"""),37.69)</f>
        <v>37.69</v>
      </c>
      <c r="Q565" s="3">
        <f>IFERROR(__xludf.DUMMYFUNCTION("""COMPUTED_VALUE"""),45014.66666666667)</f>
        <v>45014.66667</v>
      </c>
      <c r="R565" s="2">
        <f>IFERROR(__xludf.DUMMYFUNCTION("""COMPUTED_VALUE"""),146.81)</f>
        <v>146.81</v>
      </c>
    </row>
    <row r="566">
      <c r="B566" s="3">
        <f>IFERROR(__xludf.DUMMYFUNCTION("""COMPUTED_VALUE"""),45015.66666666667)</f>
        <v>45015.66667</v>
      </c>
      <c r="C566" s="2">
        <f>IFERROR(__xludf.DUMMYFUNCTION("""COMPUTED_VALUE"""),51.43)</f>
        <v>51.43</v>
      </c>
      <c r="H566" s="3">
        <f>IFERROR(__xludf.DUMMYFUNCTION("""COMPUTED_VALUE"""),46072.66666666667)</f>
        <v>46072.66667</v>
      </c>
      <c r="I566" s="2">
        <f>IFERROR(__xludf.DUMMYFUNCTION("""COMPUTED_VALUE"""),2.78)</f>
        <v>2.78</v>
      </c>
      <c r="K566" s="3">
        <f>IFERROR(__xludf.DUMMYFUNCTION("""COMPUTED_VALUE"""),45013.6875)</f>
        <v>45013.6875</v>
      </c>
      <c r="L566" s="2">
        <f>IFERROR(__xludf.DUMMYFUNCTION("""COMPUTED_VALUE"""),46.4)</f>
        <v>46.4</v>
      </c>
      <c r="N566" s="3">
        <f>IFERROR(__xludf.DUMMYFUNCTION("""COMPUTED_VALUE"""),45015.66666666667)</f>
        <v>45015.66667</v>
      </c>
      <c r="O566" s="2">
        <f>IFERROR(__xludf.DUMMYFUNCTION("""COMPUTED_VALUE"""),37.98)</f>
        <v>37.98</v>
      </c>
      <c r="Q566" s="3">
        <f>IFERROR(__xludf.DUMMYFUNCTION("""COMPUTED_VALUE"""),45015.66666666667)</f>
        <v>45015.66667</v>
      </c>
      <c r="R566" s="2">
        <f>IFERROR(__xludf.DUMMYFUNCTION("""COMPUTED_VALUE"""),147.45)</f>
        <v>147.45</v>
      </c>
    </row>
    <row r="567">
      <c r="B567" s="3">
        <f>IFERROR(__xludf.DUMMYFUNCTION("""COMPUTED_VALUE"""),45016.66666666667)</f>
        <v>45016.66667</v>
      </c>
      <c r="C567" s="2">
        <f>IFERROR(__xludf.DUMMYFUNCTION("""COMPUTED_VALUE"""),52.28)</f>
        <v>52.28</v>
      </c>
      <c r="H567" s="3">
        <f>IFERROR(__xludf.DUMMYFUNCTION("""COMPUTED_VALUE"""),46073.66666666667)</f>
        <v>46073.66667</v>
      </c>
      <c r="I567" s="2">
        <f>IFERROR(__xludf.DUMMYFUNCTION("""COMPUTED_VALUE"""),2.61)</f>
        <v>2.61</v>
      </c>
      <c r="K567" s="3">
        <f>IFERROR(__xludf.DUMMYFUNCTION("""COMPUTED_VALUE"""),45014.6875)</f>
        <v>45014.6875</v>
      </c>
      <c r="L567" s="2">
        <f>IFERROR(__xludf.DUMMYFUNCTION("""COMPUTED_VALUE"""),47.13)</f>
        <v>47.13</v>
      </c>
      <c r="N567" s="3">
        <f>IFERROR(__xludf.DUMMYFUNCTION("""COMPUTED_VALUE"""),45016.66666666667)</f>
        <v>45016.66667</v>
      </c>
      <c r="O567" s="2">
        <f>IFERROR(__xludf.DUMMYFUNCTION("""COMPUTED_VALUE"""),37.94)</f>
        <v>37.94</v>
      </c>
      <c r="Q567" s="3">
        <f>IFERROR(__xludf.DUMMYFUNCTION("""COMPUTED_VALUE"""),45016.66666666667)</f>
        <v>45016.66667</v>
      </c>
      <c r="R567" s="2">
        <f>IFERROR(__xludf.DUMMYFUNCTION("""COMPUTED_VALUE"""),148.69)</f>
        <v>148.69</v>
      </c>
    </row>
    <row r="568">
      <c r="B568" s="3">
        <f>IFERROR(__xludf.DUMMYFUNCTION("""COMPUTED_VALUE"""),45019.66666666667)</f>
        <v>45019.66667</v>
      </c>
      <c r="C568" s="2">
        <f>IFERROR(__xludf.DUMMYFUNCTION("""COMPUTED_VALUE"""),52.31)</f>
        <v>52.31</v>
      </c>
      <c r="H568" s="3">
        <f>IFERROR(__xludf.DUMMYFUNCTION("""COMPUTED_VALUE"""),46076.66666666667)</f>
        <v>46076.66667</v>
      </c>
      <c r="I568" s="2">
        <f>IFERROR(__xludf.DUMMYFUNCTION("""COMPUTED_VALUE"""),2.62)</f>
        <v>2.62</v>
      </c>
      <c r="K568" s="3">
        <f>IFERROR(__xludf.DUMMYFUNCTION("""COMPUTED_VALUE"""),45015.6875)</f>
        <v>45015.6875</v>
      </c>
      <c r="L568" s="2">
        <f>IFERROR(__xludf.DUMMYFUNCTION("""COMPUTED_VALUE"""),47.77)</f>
        <v>47.77</v>
      </c>
      <c r="N568" s="3">
        <f>IFERROR(__xludf.DUMMYFUNCTION("""COMPUTED_VALUE"""),45019.66666666667)</f>
        <v>45019.66667</v>
      </c>
      <c r="O568" s="2">
        <f>IFERROR(__xludf.DUMMYFUNCTION("""COMPUTED_VALUE"""),39.74)</f>
        <v>39.74</v>
      </c>
      <c r="Q568" s="3">
        <f>IFERROR(__xludf.DUMMYFUNCTION("""COMPUTED_VALUE"""),45019.66666666667)</f>
        <v>45019.66667</v>
      </c>
      <c r="R568" s="2">
        <f>IFERROR(__xludf.DUMMYFUNCTION("""COMPUTED_VALUE"""),149.51)</f>
        <v>149.51</v>
      </c>
    </row>
    <row r="569">
      <c r="B569" s="3">
        <f>IFERROR(__xludf.DUMMYFUNCTION("""COMPUTED_VALUE"""),45020.66666666667)</f>
        <v>45020.66667</v>
      </c>
      <c r="C569" s="2">
        <f>IFERROR(__xludf.DUMMYFUNCTION("""COMPUTED_VALUE"""),51.82)</f>
        <v>51.82</v>
      </c>
      <c r="H569" s="3">
        <f>IFERROR(__xludf.DUMMYFUNCTION("""COMPUTED_VALUE"""),46077.66666666667)</f>
        <v>46077.66667</v>
      </c>
      <c r="I569" s="2">
        <f>IFERROR(__xludf.DUMMYFUNCTION("""COMPUTED_VALUE"""),2.57)</f>
        <v>2.57</v>
      </c>
      <c r="K569" s="3">
        <f>IFERROR(__xludf.DUMMYFUNCTION("""COMPUTED_VALUE"""),45016.6875)</f>
        <v>45016.6875</v>
      </c>
      <c r="L569" s="2">
        <f>IFERROR(__xludf.DUMMYFUNCTION("""COMPUTED_VALUE"""),47.68)</f>
        <v>47.68</v>
      </c>
      <c r="N569" s="3">
        <f>IFERROR(__xludf.DUMMYFUNCTION("""COMPUTED_VALUE"""),45020.66666666667)</f>
        <v>45020.66667</v>
      </c>
      <c r="O569" s="2">
        <f>IFERROR(__xludf.DUMMYFUNCTION("""COMPUTED_VALUE"""),39.33)</f>
        <v>39.33</v>
      </c>
      <c r="Q569" s="3">
        <f>IFERROR(__xludf.DUMMYFUNCTION("""COMPUTED_VALUE"""),45020.66666666667)</f>
        <v>45020.66667</v>
      </c>
      <c r="R569" s="2">
        <f>IFERROR(__xludf.DUMMYFUNCTION("""COMPUTED_VALUE"""),150.23)</f>
        <v>150.23</v>
      </c>
    </row>
    <row r="570">
      <c r="B570" s="3">
        <f>IFERROR(__xludf.DUMMYFUNCTION("""COMPUTED_VALUE"""),45021.66666666667)</f>
        <v>45021.66667</v>
      </c>
      <c r="C570" s="2">
        <f>IFERROR(__xludf.DUMMYFUNCTION("""COMPUTED_VALUE"""),51.82)</f>
        <v>51.82</v>
      </c>
      <c r="H570" s="3">
        <f>IFERROR(__xludf.DUMMYFUNCTION("""COMPUTED_VALUE"""),46078.66666666667)</f>
        <v>46078.66667</v>
      </c>
      <c r="I570" s="2">
        <f>IFERROR(__xludf.DUMMYFUNCTION("""COMPUTED_VALUE"""),2.67)</f>
        <v>2.67</v>
      </c>
      <c r="K570" s="3">
        <f>IFERROR(__xludf.DUMMYFUNCTION("""COMPUTED_VALUE"""),45019.6875)</f>
        <v>45019.6875</v>
      </c>
      <c r="L570" s="2">
        <f>IFERROR(__xludf.DUMMYFUNCTION("""COMPUTED_VALUE"""),48.24)</f>
        <v>48.24</v>
      </c>
      <c r="N570" s="3">
        <f>IFERROR(__xludf.DUMMYFUNCTION("""COMPUTED_VALUE"""),45021.66666666667)</f>
        <v>45021.66667</v>
      </c>
      <c r="O570" s="2">
        <f>IFERROR(__xludf.DUMMYFUNCTION("""COMPUTED_VALUE"""),39.89)</f>
        <v>39.89</v>
      </c>
      <c r="Q570" s="3">
        <f>IFERROR(__xludf.DUMMYFUNCTION("""COMPUTED_VALUE"""),45021.66666666667)</f>
        <v>45021.66667</v>
      </c>
      <c r="R570" s="2">
        <f>IFERROR(__xludf.DUMMYFUNCTION("""COMPUTED_VALUE"""),151.26)</f>
        <v>151.26</v>
      </c>
    </row>
    <row r="571">
      <c r="B571" s="3">
        <f>IFERROR(__xludf.DUMMYFUNCTION("""COMPUTED_VALUE"""),45022.66666666667)</f>
        <v>45022.66667</v>
      </c>
      <c r="C571" s="2">
        <f>IFERROR(__xludf.DUMMYFUNCTION("""COMPUTED_VALUE"""),51.27)</f>
        <v>51.27</v>
      </c>
      <c r="H571" s="3">
        <f>IFERROR(__xludf.DUMMYFUNCTION("""COMPUTED_VALUE"""),46079.66666666667)</f>
        <v>46079.66667</v>
      </c>
      <c r="I571" s="2">
        <f>IFERROR(__xludf.DUMMYFUNCTION("""COMPUTED_VALUE"""),2.74)</f>
        <v>2.74</v>
      </c>
      <c r="K571" s="3">
        <f>IFERROR(__xludf.DUMMYFUNCTION("""COMPUTED_VALUE"""),45020.6875)</f>
        <v>45020.6875</v>
      </c>
      <c r="L571" s="2">
        <f>IFERROR(__xludf.DUMMYFUNCTION("""COMPUTED_VALUE"""),48.11)</f>
        <v>48.11</v>
      </c>
      <c r="N571" s="3">
        <f>IFERROR(__xludf.DUMMYFUNCTION("""COMPUTED_VALUE"""),45022.66666666667)</f>
        <v>45022.66667</v>
      </c>
      <c r="O571" s="2">
        <f>IFERROR(__xludf.DUMMYFUNCTION("""COMPUTED_VALUE"""),39.51)</f>
        <v>39.51</v>
      </c>
      <c r="Q571" s="3">
        <f>IFERROR(__xludf.DUMMYFUNCTION("""COMPUTED_VALUE"""),45022.66666666667)</f>
        <v>45022.66667</v>
      </c>
      <c r="R571" s="2">
        <f>IFERROR(__xludf.DUMMYFUNCTION("""COMPUTED_VALUE"""),152.22)</f>
        <v>152.22</v>
      </c>
    </row>
    <row r="572">
      <c r="B572" s="3">
        <f>IFERROR(__xludf.DUMMYFUNCTION("""COMPUTED_VALUE"""),45026.66666666667)</f>
        <v>45026.66667</v>
      </c>
      <c r="C572" s="2">
        <f>IFERROR(__xludf.DUMMYFUNCTION("""COMPUTED_VALUE"""),51.33)</f>
        <v>51.33</v>
      </c>
      <c r="H572" s="3">
        <f>IFERROR(__xludf.DUMMYFUNCTION("""COMPUTED_VALUE"""),46080.66666666667)</f>
        <v>46080.66667</v>
      </c>
      <c r="I572" s="2">
        <f>IFERROR(__xludf.DUMMYFUNCTION("""COMPUTED_VALUE"""),2.49)</f>
        <v>2.49</v>
      </c>
      <c r="K572" s="3">
        <f>IFERROR(__xludf.DUMMYFUNCTION("""COMPUTED_VALUE"""),45021.6875)</f>
        <v>45021.6875</v>
      </c>
      <c r="L572" s="2">
        <f>IFERROR(__xludf.DUMMYFUNCTION("""COMPUTED_VALUE"""),48.43)</f>
        <v>48.43</v>
      </c>
      <c r="N572" s="3">
        <f>IFERROR(__xludf.DUMMYFUNCTION("""COMPUTED_VALUE"""),45026.66666666667)</f>
        <v>45026.66667</v>
      </c>
      <c r="O572" s="2">
        <f>IFERROR(__xludf.DUMMYFUNCTION("""COMPUTED_VALUE"""),39.7)</f>
        <v>39.7</v>
      </c>
      <c r="Q572" s="3">
        <f>IFERROR(__xludf.DUMMYFUNCTION("""COMPUTED_VALUE"""),45026.66666666667)</f>
        <v>45026.66667</v>
      </c>
      <c r="R572" s="2">
        <f>IFERROR(__xludf.DUMMYFUNCTION("""COMPUTED_VALUE"""),150.96)</f>
        <v>150.96</v>
      </c>
    </row>
    <row r="573">
      <c r="B573" s="3">
        <f>IFERROR(__xludf.DUMMYFUNCTION("""COMPUTED_VALUE"""),45027.66666666667)</f>
        <v>45027.66667</v>
      </c>
      <c r="C573" s="2">
        <f>IFERROR(__xludf.DUMMYFUNCTION("""COMPUTED_VALUE"""),50.62)</f>
        <v>50.62</v>
      </c>
      <c r="H573" s="3">
        <f>IFERROR(__xludf.DUMMYFUNCTION("""COMPUTED_VALUE"""),46083.66666666667)</f>
        <v>46083.66667</v>
      </c>
      <c r="I573" s="2">
        <f>IFERROR(__xludf.DUMMYFUNCTION("""COMPUTED_VALUE"""),2.59)</f>
        <v>2.59</v>
      </c>
      <c r="K573" s="3">
        <f>IFERROR(__xludf.DUMMYFUNCTION("""COMPUTED_VALUE"""),45022.6875)</f>
        <v>45022.6875</v>
      </c>
      <c r="L573" s="2">
        <f>IFERROR(__xludf.DUMMYFUNCTION("""COMPUTED_VALUE"""),49.02)</f>
        <v>49.02</v>
      </c>
      <c r="N573" s="3">
        <f>IFERROR(__xludf.DUMMYFUNCTION("""COMPUTED_VALUE"""),45027.66666666667)</f>
        <v>45027.66667</v>
      </c>
      <c r="O573" s="2">
        <f>IFERROR(__xludf.DUMMYFUNCTION("""COMPUTED_VALUE"""),39.86)</f>
        <v>39.86</v>
      </c>
      <c r="Q573" s="3">
        <f>IFERROR(__xludf.DUMMYFUNCTION("""COMPUTED_VALUE"""),45027.66666666667)</f>
        <v>45027.66667</v>
      </c>
      <c r="R573" s="2">
        <f>IFERROR(__xludf.DUMMYFUNCTION("""COMPUTED_VALUE"""),150.66)</f>
        <v>150.66</v>
      </c>
    </row>
    <row r="574">
      <c r="B574" s="3">
        <f>IFERROR(__xludf.DUMMYFUNCTION("""COMPUTED_VALUE"""),45028.66666666667)</f>
        <v>45028.66667</v>
      </c>
      <c r="C574" s="2">
        <f>IFERROR(__xludf.DUMMYFUNCTION("""COMPUTED_VALUE"""),50.11)</f>
        <v>50.11</v>
      </c>
      <c r="H574" s="3">
        <f>IFERROR(__xludf.DUMMYFUNCTION("""COMPUTED_VALUE"""),46084.66666666667)</f>
        <v>46084.66667</v>
      </c>
      <c r="I574" s="2">
        <f>IFERROR(__xludf.DUMMYFUNCTION("""COMPUTED_VALUE"""),2.41)</f>
        <v>2.41</v>
      </c>
      <c r="K574" s="3">
        <f>IFERROR(__xludf.DUMMYFUNCTION("""COMPUTED_VALUE"""),45027.6875)</f>
        <v>45027.6875</v>
      </c>
      <c r="L574" s="2">
        <f>IFERROR(__xludf.DUMMYFUNCTION("""COMPUTED_VALUE"""),49.43)</f>
        <v>49.43</v>
      </c>
      <c r="N574" s="3">
        <f>IFERROR(__xludf.DUMMYFUNCTION("""COMPUTED_VALUE"""),45028.66666666667)</f>
        <v>45028.66667</v>
      </c>
      <c r="O574" s="2">
        <f>IFERROR(__xludf.DUMMYFUNCTION("""COMPUTED_VALUE"""),40.2)</f>
        <v>40.2</v>
      </c>
      <c r="Q574" s="3">
        <f>IFERROR(__xludf.DUMMYFUNCTION("""COMPUTED_VALUE"""),45028.66666666667)</f>
        <v>45028.66667</v>
      </c>
      <c r="R574" s="2">
        <f>IFERROR(__xludf.DUMMYFUNCTION("""COMPUTED_VALUE"""),151.07)</f>
        <v>151.07</v>
      </c>
    </row>
    <row r="575">
      <c r="B575" s="3">
        <f>IFERROR(__xludf.DUMMYFUNCTION("""COMPUTED_VALUE"""),45029.66666666667)</f>
        <v>45029.66667</v>
      </c>
      <c r="C575" s="2">
        <f>IFERROR(__xludf.DUMMYFUNCTION("""COMPUTED_VALUE"""),50.8)</f>
        <v>50.8</v>
      </c>
      <c r="K575" s="3">
        <f>IFERROR(__xludf.DUMMYFUNCTION("""COMPUTED_VALUE"""),45028.6875)</f>
        <v>45028.6875</v>
      </c>
      <c r="L575" s="2">
        <f>IFERROR(__xludf.DUMMYFUNCTION("""COMPUTED_VALUE"""),49.88)</f>
        <v>49.88</v>
      </c>
      <c r="N575" s="3">
        <f>IFERROR(__xludf.DUMMYFUNCTION("""COMPUTED_VALUE"""),45029.66666666667)</f>
        <v>45029.66667</v>
      </c>
      <c r="O575" s="2">
        <f>IFERROR(__xludf.DUMMYFUNCTION("""COMPUTED_VALUE"""),40.46)</f>
        <v>40.46</v>
      </c>
      <c r="Q575" s="3">
        <f>IFERROR(__xludf.DUMMYFUNCTION("""COMPUTED_VALUE"""),45029.66666666667)</f>
        <v>45029.66667</v>
      </c>
      <c r="R575" s="2">
        <f>IFERROR(__xludf.DUMMYFUNCTION("""COMPUTED_VALUE"""),151.77)</f>
        <v>151.77</v>
      </c>
    </row>
    <row r="576">
      <c r="B576" s="3">
        <f>IFERROR(__xludf.DUMMYFUNCTION("""COMPUTED_VALUE"""),45030.66666666667)</f>
        <v>45030.66667</v>
      </c>
      <c r="C576" s="2">
        <f>IFERROR(__xludf.DUMMYFUNCTION("""COMPUTED_VALUE"""),50.54)</f>
        <v>50.54</v>
      </c>
      <c r="K576" s="3">
        <f>IFERROR(__xludf.DUMMYFUNCTION("""COMPUTED_VALUE"""),45029.6875)</f>
        <v>45029.6875</v>
      </c>
      <c r="L576" s="2">
        <f>IFERROR(__xludf.DUMMYFUNCTION("""COMPUTED_VALUE"""),48.51)</f>
        <v>48.51</v>
      </c>
      <c r="N576" s="3">
        <f>IFERROR(__xludf.DUMMYFUNCTION("""COMPUTED_VALUE"""),45030.66666666667)</f>
        <v>45030.66667</v>
      </c>
      <c r="O576" s="2">
        <f>IFERROR(__xludf.DUMMYFUNCTION("""COMPUTED_VALUE"""),40.58)</f>
        <v>40.58</v>
      </c>
      <c r="Q576" s="3">
        <f>IFERROR(__xludf.DUMMYFUNCTION("""COMPUTED_VALUE"""),45030.66666666667)</f>
        <v>45030.66667</v>
      </c>
      <c r="R576" s="2">
        <f>IFERROR(__xludf.DUMMYFUNCTION("""COMPUTED_VALUE"""),151.0)</f>
        <v>151</v>
      </c>
    </row>
    <row r="577">
      <c r="B577" s="3">
        <f>IFERROR(__xludf.DUMMYFUNCTION("""COMPUTED_VALUE"""),45033.66666666667)</f>
        <v>45033.66667</v>
      </c>
      <c r="C577" s="2">
        <f>IFERROR(__xludf.DUMMYFUNCTION("""COMPUTED_VALUE"""),50.28)</f>
        <v>50.28</v>
      </c>
      <c r="K577" s="3">
        <f>IFERROR(__xludf.DUMMYFUNCTION("""COMPUTED_VALUE"""),45030.6875)</f>
        <v>45030.6875</v>
      </c>
      <c r="L577" s="2">
        <f>IFERROR(__xludf.DUMMYFUNCTION("""COMPUTED_VALUE"""),48.94)</f>
        <v>48.94</v>
      </c>
      <c r="N577" s="3">
        <f>IFERROR(__xludf.DUMMYFUNCTION("""COMPUTED_VALUE"""),45033.66666666667)</f>
        <v>45033.66667</v>
      </c>
      <c r="O577" s="2">
        <f>IFERROR(__xludf.DUMMYFUNCTION("""COMPUTED_VALUE"""),40.43)</f>
        <v>40.43</v>
      </c>
      <c r="Q577" s="3">
        <f>IFERROR(__xludf.DUMMYFUNCTION("""COMPUTED_VALUE"""),45033.66666666667)</f>
        <v>45033.66667</v>
      </c>
      <c r="R577" s="2">
        <f>IFERROR(__xludf.DUMMYFUNCTION("""COMPUTED_VALUE"""),151.05)</f>
        <v>151.05</v>
      </c>
    </row>
    <row r="578">
      <c r="B578" s="3">
        <f>IFERROR(__xludf.DUMMYFUNCTION("""COMPUTED_VALUE"""),45034.66666666667)</f>
        <v>45034.66667</v>
      </c>
      <c r="C578" s="2">
        <f>IFERROR(__xludf.DUMMYFUNCTION("""COMPUTED_VALUE"""),50.31)</f>
        <v>50.31</v>
      </c>
      <c r="K578" s="3">
        <f>IFERROR(__xludf.DUMMYFUNCTION("""COMPUTED_VALUE"""),45033.6875)</f>
        <v>45033.6875</v>
      </c>
      <c r="L578" s="2">
        <f>IFERROR(__xludf.DUMMYFUNCTION("""COMPUTED_VALUE"""),48.45)</f>
        <v>48.45</v>
      </c>
      <c r="N578" s="3">
        <f>IFERROR(__xludf.DUMMYFUNCTION("""COMPUTED_VALUE"""),45034.66666666667)</f>
        <v>45034.66667</v>
      </c>
      <c r="O578" s="2">
        <f>IFERROR(__xludf.DUMMYFUNCTION("""COMPUTED_VALUE"""),40.65)</f>
        <v>40.65</v>
      </c>
      <c r="Q578" s="3">
        <f>IFERROR(__xludf.DUMMYFUNCTION("""COMPUTED_VALUE"""),45034.66666666667)</f>
        <v>45034.66667</v>
      </c>
      <c r="R578" s="2">
        <f>IFERROR(__xludf.DUMMYFUNCTION("""COMPUTED_VALUE"""),151.21)</f>
        <v>151.21</v>
      </c>
    </row>
    <row r="579">
      <c r="B579" s="3">
        <f>IFERROR(__xludf.DUMMYFUNCTION("""COMPUTED_VALUE"""),45035.66666666667)</f>
        <v>45035.66667</v>
      </c>
      <c r="C579" s="2">
        <f>IFERROR(__xludf.DUMMYFUNCTION("""COMPUTED_VALUE"""),48.04)</f>
        <v>48.04</v>
      </c>
      <c r="K579" s="3">
        <f>IFERROR(__xludf.DUMMYFUNCTION("""COMPUTED_VALUE"""),45034.6875)</f>
        <v>45034.6875</v>
      </c>
      <c r="L579" s="2">
        <f>IFERROR(__xludf.DUMMYFUNCTION("""COMPUTED_VALUE"""),48.83)</f>
        <v>48.83</v>
      </c>
      <c r="N579" s="3">
        <f>IFERROR(__xludf.DUMMYFUNCTION("""COMPUTED_VALUE"""),45035.66666666667)</f>
        <v>45035.66667</v>
      </c>
      <c r="O579" s="2">
        <f>IFERROR(__xludf.DUMMYFUNCTION("""COMPUTED_VALUE"""),40.06)</f>
        <v>40.06</v>
      </c>
      <c r="Q579" s="3">
        <f>IFERROR(__xludf.DUMMYFUNCTION("""COMPUTED_VALUE"""),45035.66666666667)</f>
        <v>45035.66667</v>
      </c>
      <c r="R579" s="2">
        <f>IFERROR(__xludf.DUMMYFUNCTION("""COMPUTED_VALUE"""),151.24)</f>
        <v>151.24</v>
      </c>
    </row>
    <row r="580">
      <c r="B580" s="3">
        <f>IFERROR(__xludf.DUMMYFUNCTION("""COMPUTED_VALUE"""),45036.66666666667)</f>
        <v>45036.66667</v>
      </c>
      <c r="C580" s="2">
        <f>IFERROR(__xludf.DUMMYFUNCTION("""COMPUTED_VALUE"""),46.58)</f>
        <v>46.58</v>
      </c>
      <c r="K580" s="3">
        <f>IFERROR(__xludf.DUMMYFUNCTION("""COMPUTED_VALUE"""),45035.6875)</f>
        <v>45035.6875</v>
      </c>
      <c r="L580" s="2">
        <f>IFERROR(__xludf.DUMMYFUNCTION("""COMPUTED_VALUE"""),49.26)</f>
        <v>49.26</v>
      </c>
      <c r="N580" s="3">
        <f>IFERROR(__xludf.DUMMYFUNCTION("""COMPUTED_VALUE"""),45036.66666666667)</f>
        <v>45036.66667</v>
      </c>
      <c r="O580" s="2">
        <f>IFERROR(__xludf.DUMMYFUNCTION("""COMPUTED_VALUE"""),39.86)</f>
        <v>39.86</v>
      </c>
      <c r="Q580" s="3">
        <f>IFERROR(__xludf.DUMMYFUNCTION("""COMPUTED_VALUE"""),45036.66666666667)</f>
        <v>45036.66667</v>
      </c>
      <c r="R580" s="2">
        <f>IFERROR(__xludf.DUMMYFUNCTION("""COMPUTED_VALUE"""),150.85)</f>
        <v>150.85</v>
      </c>
    </row>
    <row r="581">
      <c r="B581" s="3">
        <f>IFERROR(__xludf.DUMMYFUNCTION("""COMPUTED_VALUE"""),45037.66666666667)</f>
        <v>45037.66667</v>
      </c>
      <c r="C581" s="2">
        <f>IFERROR(__xludf.DUMMYFUNCTION("""COMPUTED_VALUE"""),47.03)</f>
        <v>47.03</v>
      </c>
      <c r="K581" s="3">
        <f>IFERROR(__xludf.DUMMYFUNCTION("""COMPUTED_VALUE"""),45036.6875)</f>
        <v>45036.6875</v>
      </c>
      <c r="L581" s="2">
        <f>IFERROR(__xludf.DUMMYFUNCTION("""COMPUTED_VALUE"""),49.01)</f>
        <v>49.01</v>
      </c>
      <c r="N581" s="3">
        <f>IFERROR(__xludf.DUMMYFUNCTION("""COMPUTED_VALUE"""),45037.66666666667)</f>
        <v>45037.66667</v>
      </c>
      <c r="O581" s="2">
        <f>IFERROR(__xludf.DUMMYFUNCTION("""COMPUTED_VALUE"""),39.64)</f>
        <v>39.64</v>
      </c>
      <c r="Q581" s="3">
        <f>IFERROR(__xludf.DUMMYFUNCTION("""COMPUTED_VALUE"""),45037.66666666667)</f>
        <v>45037.66667</v>
      </c>
      <c r="R581" s="2">
        <f>IFERROR(__xludf.DUMMYFUNCTION("""COMPUTED_VALUE"""),156.07)</f>
        <v>156.07</v>
      </c>
    </row>
    <row r="582">
      <c r="B582" s="3">
        <f>IFERROR(__xludf.DUMMYFUNCTION("""COMPUTED_VALUE"""),45040.66666666667)</f>
        <v>45040.66667</v>
      </c>
      <c r="C582" s="2">
        <f>IFERROR(__xludf.DUMMYFUNCTION("""COMPUTED_VALUE"""),47.39)</f>
        <v>47.39</v>
      </c>
      <c r="K582" s="3">
        <f>IFERROR(__xludf.DUMMYFUNCTION("""COMPUTED_VALUE"""),45037.6875)</f>
        <v>45037.6875</v>
      </c>
      <c r="L582" s="2">
        <f>IFERROR(__xludf.DUMMYFUNCTION("""COMPUTED_VALUE"""),48.86)</f>
        <v>48.86</v>
      </c>
      <c r="N582" s="3">
        <f>IFERROR(__xludf.DUMMYFUNCTION("""COMPUTED_VALUE"""),45040.66666666667)</f>
        <v>45040.66667</v>
      </c>
      <c r="O582" s="2">
        <f>IFERROR(__xludf.DUMMYFUNCTION("""COMPUTED_VALUE"""),40.1)</f>
        <v>40.1</v>
      </c>
      <c r="Q582" s="3">
        <f>IFERROR(__xludf.DUMMYFUNCTION("""COMPUTED_VALUE"""),45040.66666666667)</f>
        <v>45040.66667</v>
      </c>
      <c r="R582" s="2">
        <f>IFERROR(__xludf.DUMMYFUNCTION("""COMPUTED_VALUE"""),156.35)</f>
        <v>156.35</v>
      </c>
    </row>
    <row r="583">
      <c r="B583" s="3">
        <f>IFERROR(__xludf.DUMMYFUNCTION("""COMPUTED_VALUE"""),45041.66666666667)</f>
        <v>45041.66667</v>
      </c>
      <c r="C583" s="2">
        <f>IFERROR(__xludf.DUMMYFUNCTION("""COMPUTED_VALUE"""),47.09)</f>
        <v>47.09</v>
      </c>
      <c r="K583" s="3">
        <f>IFERROR(__xludf.DUMMYFUNCTION("""COMPUTED_VALUE"""),45040.6875)</f>
        <v>45040.6875</v>
      </c>
      <c r="L583" s="2">
        <f>IFERROR(__xludf.DUMMYFUNCTION("""COMPUTED_VALUE"""),48.91)</f>
        <v>48.91</v>
      </c>
      <c r="N583" s="3">
        <f>IFERROR(__xludf.DUMMYFUNCTION("""COMPUTED_VALUE"""),45041.66666666667)</f>
        <v>45041.66667</v>
      </c>
      <c r="O583" s="2">
        <f>IFERROR(__xludf.DUMMYFUNCTION("""COMPUTED_VALUE"""),39.57)</f>
        <v>39.57</v>
      </c>
      <c r="Q583" s="3">
        <f>IFERROR(__xludf.DUMMYFUNCTION("""COMPUTED_VALUE"""),45041.66666666667)</f>
        <v>45041.66667</v>
      </c>
      <c r="R583" s="2">
        <f>IFERROR(__xludf.DUMMYFUNCTION("""COMPUTED_VALUE"""),156.39)</f>
        <v>156.39</v>
      </c>
    </row>
    <row r="584">
      <c r="B584" s="3">
        <f>IFERROR(__xludf.DUMMYFUNCTION("""COMPUTED_VALUE"""),45042.66666666667)</f>
        <v>45042.66667</v>
      </c>
      <c r="C584" s="2">
        <f>IFERROR(__xludf.DUMMYFUNCTION("""COMPUTED_VALUE"""),46.54)</f>
        <v>46.54</v>
      </c>
      <c r="K584" s="3">
        <f>IFERROR(__xludf.DUMMYFUNCTION("""COMPUTED_VALUE"""),45041.6875)</f>
        <v>45041.6875</v>
      </c>
      <c r="L584" s="2">
        <f>IFERROR(__xludf.DUMMYFUNCTION("""COMPUTED_VALUE"""),48.23)</f>
        <v>48.23</v>
      </c>
      <c r="N584" s="3">
        <f>IFERROR(__xludf.DUMMYFUNCTION("""COMPUTED_VALUE"""),45042.66666666667)</f>
        <v>45042.66667</v>
      </c>
      <c r="O584" s="2">
        <f>IFERROR(__xludf.DUMMYFUNCTION("""COMPUTED_VALUE"""),39.42)</f>
        <v>39.42</v>
      </c>
      <c r="Q584" s="3">
        <f>IFERROR(__xludf.DUMMYFUNCTION("""COMPUTED_VALUE"""),45042.66666666667)</f>
        <v>45042.66667</v>
      </c>
      <c r="R584" s="2">
        <f>IFERROR(__xludf.DUMMYFUNCTION("""COMPUTED_VALUE"""),154.58)</f>
        <v>154.58</v>
      </c>
    </row>
    <row r="585">
      <c r="B585" s="3">
        <f>IFERROR(__xludf.DUMMYFUNCTION("""COMPUTED_VALUE"""),45043.66666666667)</f>
        <v>45043.66667</v>
      </c>
      <c r="C585" s="2">
        <f>IFERROR(__xludf.DUMMYFUNCTION("""COMPUTED_VALUE"""),46.56)</f>
        <v>46.56</v>
      </c>
      <c r="K585" s="3">
        <f>IFERROR(__xludf.DUMMYFUNCTION("""COMPUTED_VALUE"""),45042.6875)</f>
        <v>45042.6875</v>
      </c>
      <c r="L585" s="2">
        <f>IFERROR(__xludf.DUMMYFUNCTION("""COMPUTED_VALUE"""),48.6)</f>
        <v>48.6</v>
      </c>
      <c r="N585" s="3">
        <f>IFERROR(__xludf.DUMMYFUNCTION("""COMPUTED_VALUE"""),45043.66666666667)</f>
        <v>45043.66667</v>
      </c>
      <c r="O585" s="2">
        <f>IFERROR(__xludf.DUMMYFUNCTION("""COMPUTED_VALUE"""),39.34)</f>
        <v>39.34</v>
      </c>
      <c r="Q585" s="3">
        <f>IFERROR(__xludf.DUMMYFUNCTION("""COMPUTED_VALUE"""),45043.66666666667)</f>
        <v>45043.66667</v>
      </c>
      <c r="R585" s="2">
        <f>IFERROR(__xludf.DUMMYFUNCTION("""COMPUTED_VALUE"""),156.47)</f>
        <v>156.47</v>
      </c>
    </row>
    <row r="586">
      <c r="B586" s="3">
        <f>IFERROR(__xludf.DUMMYFUNCTION("""COMPUTED_VALUE"""),45044.66666666667)</f>
        <v>45044.66667</v>
      </c>
      <c r="C586" s="2">
        <f>IFERROR(__xludf.DUMMYFUNCTION("""COMPUTED_VALUE"""),47.25)</f>
        <v>47.25</v>
      </c>
      <c r="K586" s="3">
        <f>IFERROR(__xludf.DUMMYFUNCTION("""COMPUTED_VALUE"""),45043.6875)</f>
        <v>45043.6875</v>
      </c>
      <c r="L586" s="2">
        <f>IFERROR(__xludf.DUMMYFUNCTION("""COMPUTED_VALUE"""),48.82)</f>
        <v>48.82</v>
      </c>
      <c r="N586" s="3">
        <f>IFERROR(__xludf.DUMMYFUNCTION("""COMPUTED_VALUE"""),45044.66666666667)</f>
        <v>45044.66667</v>
      </c>
      <c r="O586" s="2">
        <f>IFERROR(__xludf.DUMMYFUNCTION("""COMPUTED_VALUE"""),40.28)</f>
        <v>40.28</v>
      </c>
      <c r="Q586" s="3">
        <f>IFERROR(__xludf.DUMMYFUNCTION("""COMPUTED_VALUE"""),45044.66666666667)</f>
        <v>45044.66667</v>
      </c>
      <c r="R586" s="2">
        <f>IFERROR(__xludf.DUMMYFUNCTION("""COMPUTED_VALUE"""),156.38)</f>
        <v>156.38</v>
      </c>
    </row>
    <row r="587">
      <c r="B587" s="3">
        <f>IFERROR(__xludf.DUMMYFUNCTION("""COMPUTED_VALUE"""),45047.66666666667)</f>
        <v>45047.66667</v>
      </c>
      <c r="C587" s="2">
        <f>IFERROR(__xludf.DUMMYFUNCTION("""COMPUTED_VALUE"""),47.34)</f>
        <v>47.34</v>
      </c>
      <c r="K587" s="3">
        <f>IFERROR(__xludf.DUMMYFUNCTION("""COMPUTED_VALUE"""),45044.6875)</f>
        <v>45044.6875</v>
      </c>
      <c r="L587" s="2">
        <f>IFERROR(__xludf.DUMMYFUNCTION("""COMPUTED_VALUE"""),48.2)</f>
        <v>48.2</v>
      </c>
      <c r="N587" s="3">
        <f>IFERROR(__xludf.DUMMYFUNCTION("""COMPUTED_VALUE"""),45047.66666666667)</f>
        <v>45047.66667</v>
      </c>
      <c r="O587" s="2">
        <f>IFERROR(__xludf.DUMMYFUNCTION("""COMPUTED_VALUE"""),40.01)</f>
        <v>40.01</v>
      </c>
      <c r="Q587" s="3">
        <f>IFERROR(__xludf.DUMMYFUNCTION("""COMPUTED_VALUE"""),45047.66666666667)</f>
        <v>45047.66667</v>
      </c>
      <c r="R587" s="2">
        <f>IFERROR(__xludf.DUMMYFUNCTION("""COMPUTED_VALUE"""),156.57)</f>
        <v>156.57</v>
      </c>
    </row>
    <row r="588">
      <c r="B588" s="3">
        <f>IFERROR(__xludf.DUMMYFUNCTION("""COMPUTED_VALUE"""),45048.66666666667)</f>
        <v>45048.66667</v>
      </c>
      <c r="C588" s="2">
        <f>IFERROR(__xludf.DUMMYFUNCTION("""COMPUTED_VALUE"""),46.36)</f>
        <v>46.36</v>
      </c>
      <c r="K588" s="3">
        <f>IFERROR(__xludf.DUMMYFUNCTION("""COMPUTED_VALUE"""),45048.6875)</f>
        <v>45048.6875</v>
      </c>
      <c r="L588" s="2">
        <f>IFERROR(__xludf.DUMMYFUNCTION("""COMPUTED_VALUE"""),47.68)</f>
        <v>47.68</v>
      </c>
      <c r="N588" s="3">
        <f>IFERROR(__xludf.DUMMYFUNCTION("""COMPUTED_VALUE"""),45048.66666666667)</f>
        <v>45048.66667</v>
      </c>
      <c r="O588" s="2">
        <f>IFERROR(__xludf.DUMMYFUNCTION("""COMPUTED_VALUE"""),36.78)</f>
        <v>36.78</v>
      </c>
      <c r="Q588" s="3">
        <f>IFERROR(__xludf.DUMMYFUNCTION("""COMPUTED_VALUE"""),45048.66666666667)</f>
        <v>45048.66667</v>
      </c>
      <c r="R588" s="2">
        <f>IFERROR(__xludf.DUMMYFUNCTION("""COMPUTED_VALUE"""),156.43)</f>
        <v>156.43</v>
      </c>
    </row>
    <row r="589">
      <c r="B589" s="3">
        <f>IFERROR(__xludf.DUMMYFUNCTION("""COMPUTED_VALUE"""),45049.66666666667)</f>
        <v>45049.66667</v>
      </c>
      <c r="C589" s="2">
        <f>IFERROR(__xludf.DUMMYFUNCTION("""COMPUTED_VALUE"""),45.96)</f>
        <v>45.96</v>
      </c>
      <c r="K589" s="3">
        <f>IFERROR(__xludf.DUMMYFUNCTION("""COMPUTED_VALUE"""),45049.6875)</f>
        <v>45049.6875</v>
      </c>
      <c r="L589" s="2">
        <f>IFERROR(__xludf.DUMMYFUNCTION("""COMPUTED_VALUE"""),45.98)</f>
        <v>45.98</v>
      </c>
      <c r="N589" s="3">
        <f>IFERROR(__xludf.DUMMYFUNCTION("""COMPUTED_VALUE"""),45049.66666666667)</f>
        <v>45049.66667</v>
      </c>
      <c r="O589" s="2">
        <f>IFERROR(__xludf.DUMMYFUNCTION("""COMPUTED_VALUE"""),36.46)</f>
        <v>36.46</v>
      </c>
      <c r="Q589" s="3">
        <f>IFERROR(__xludf.DUMMYFUNCTION("""COMPUTED_VALUE"""),45049.66666666667)</f>
        <v>45049.66667</v>
      </c>
      <c r="R589" s="2">
        <f>IFERROR(__xludf.DUMMYFUNCTION("""COMPUTED_VALUE"""),156.23)</f>
        <v>156.23</v>
      </c>
    </row>
    <row r="590">
      <c r="B590" s="3">
        <f>IFERROR(__xludf.DUMMYFUNCTION("""COMPUTED_VALUE"""),45050.66666666667)</f>
        <v>45050.66667</v>
      </c>
      <c r="C590" s="2">
        <f>IFERROR(__xludf.DUMMYFUNCTION("""COMPUTED_VALUE"""),45.7)</f>
        <v>45.7</v>
      </c>
      <c r="K590" s="3">
        <f>IFERROR(__xludf.DUMMYFUNCTION("""COMPUTED_VALUE"""),45050.6875)</f>
        <v>45050.6875</v>
      </c>
      <c r="L590" s="2">
        <f>IFERROR(__xludf.DUMMYFUNCTION("""COMPUTED_VALUE"""),45.36)</f>
        <v>45.36</v>
      </c>
      <c r="N590" s="3">
        <f>IFERROR(__xludf.DUMMYFUNCTION("""COMPUTED_VALUE"""),45050.66666666667)</f>
        <v>45050.66667</v>
      </c>
      <c r="O590" s="2">
        <f>IFERROR(__xludf.DUMMYFUNCTION("""COMPUTED_VALUE"""),36.11)</f>
        <v>36.11</v>
      </c>
      <c r="Q590" s="3">
        <f>IFERROR(__xludf.DUMMYFUNCTION("""COMPUTED_VALUE"""),45050.66666666667)</f>
        <v>45050.66667</v>
      </c>
      <c r="R590" s="2">
        <f>IFERROR(__xludf.DUMMYFUNCTION("""COMPUTED_VALUE"""),155.51)</f>
        <v>155.51</v>
      </c>
    </row>
    <row r="591">
      <c r="B591" s="3">
        <f>IFERROR(__xludf.DUMMYFUNCTION("""COMPUTED_VALUE"""),45051.66666666667)</f>
        <v>45051.66667</v>
      </c>
      <c r="C591" s="2">
        <f>IFERROR(__xludf.DUMMYFUNCTION("""COMPUTED_VALUE"""),46.25)</f>
        <v>46.25</v>
      </c>
      <c r="K591" s="3">
        <f>IFERROR(__xludf.DUMMYFUNCTION("""COMPUTED_VALUE"""),45051.6875)</f>
        <v>45051.6875</v>
      </c>
      <c r="L591" s="2">
        <f>IFERROR(__xludf.DUMMYFUNCTION("""COMPUTED_VALUE"""),45.81)</f>
        <v>45.81</v>
      </c>
      <c r="N591" s="3">
        <f>IFERROR(__xludf.DUMMYFUNCTION("""COMPUTED_VALUE"""),45051.66666666667)</f>
        <v>45051.66667</v>
      </c>
      <c r="O591" s="2">
        <f>IFERROR(__xludf.DUMMYFUNCTION("""COMPUTED_VALUE"""),37.13)</f>
        <v>37.13</v>
      </c>
      <c r="Q591" s="3">
        <f>IFERROR(__xludf.DUMMYFUNCTION("""COMPUTED_VALUE"""),45051.66666666667)</f>
        <v>45051.66667</v>
      </c>
      <c r="R591" s="2">
        <f>IFERROR(__xludf.DUMMYFUNCTION("""COMPUTED_VALUE"""),156.03)</f>
        <v>156.03</v>
      </c>
    </row>
    <row r="592">
      <c r="B592" s="3">
        <f>IFERROR(__xludf.DUMMYFUNCTION("""COMPUTED_VALUE"""),45054.66666666667)</f>
        <v>45054.66667</v>
      </c>
      <c r="C592" s="2">
        <f>IFERROR(__xludf.DUMMYFUNCTION("""COMPUTED_VALUE"""),46.34)</f>
        <v>46.34</v>
      </c>
      <c r="K592" s="3">
        <f>IFERROR(__xludf.DUMMYFUNCTION("""COMPUTED_VALUE"""),45055.6875)</f>
        <v>45055.6875</v>
      </c>
      <c r="L592" s="2">
        <f>IFERROR(__xludf.DUMMYFUNCTION("""COMPUTED_VALUE"""),46.13)</f>
        <v>46.13</v>
      </c>
      <c r="N592" s="3">
        <f>IFERROR(__xludf.DUMMYFUNCTION("""COMPUTED_VALUE"""),45054.66666666667)</f>
        <v>45054.66667</v>
      </c>
      <c r="O592" s="2">
        <f>IFERROR(__xludf.DUMMYFUNCTION("""COMPUTED_VALUE"""),37.03)</f>
        <v>37.03</v>
      </c>
      <c r="Q592" s="3">
        <f>IFERROR(__xludf.DUMMYFUNCTION("""COMPUTED_VALUE"""),45054.66666666667)</f>
        <v>45054.66667</v>
      </c>
      <c r="R592" s="2">
        <f>IFERROR(__xludf.DUMMYFUNCTION("""COMPUTED_VALUE"""),155.3)</f>
        <v>155.3</v>
      </c>
    </row>
    <row r="593">
      <c r="B593" s="3">
        <f>IFERROR(__xludf.DUMMYFUNCTION("""COMPUTED_VALUE"""),45055.66666666667)</f>
        <v>45055.66667</v>
      </c>
      <c r="C593" s="2">
        <f>IFERROR(__xludf.DUMMYFUNCTION("""COMPUTED_VALUE"""),46.47)</f>
        <v>46.47</v>
      </c>
      <c r="K593" s="3">
        <f>IFERROR(__xludf.DUMMYFUNCTION("""COMPUTED_VALUE"""),45056.6875)</f>
        <v>45056.6875</v>
      </c>
      <c r="L593" s="2">
        <f>IFERROR(__xludf.DUMMYFUNCTION("""COMPUTED_VALUE"""),46.17)</f>
        <v>46.17</v>
      </c>
      <c r="N593" s="3">
        <f>IFERROR(__xludf.DUMMYFUNCTION("""COMPUTED_VALUE"""),45055.66666666667)</f>
        <v>45055.66667</v>
      </c>
      <c r="O593" s="2">
        <f>IFERROR(__xludf.DUMMYFUNCTION("""COMPUTED_VALUE"""),36.99)</f>
        <v>36.99</v>
      </c>
      <c r="Q593" s="3">
        <f>IFERROR(__xludf.DUMMYFUNCTION("""COMPUTED_VALUE"""),45055.66666666667)</f>
        <v>45055.66667</v>
      </c>
      <c r="R593" s="2">
        <f>IFERROR(__xludf.DUMMYFUNCTION("""COMPUTED_VALUE"""),153.71)</f>
        <v>153.71</v>
      </c>
    </row>
    <row r="594">
      <c r="B594" s="3">
        <f>IFERROR(__xludf.DUMMYFUNCTION("""COMPUTED_VALUE"""),45056.66666666667)</f>
        <v>45056.66667</v>
      </c>
      <c r="C594" s="2">
        <f>IFERROR(__xludf.DUMMYFUNCTION("""COMPUTED_VALUE"""),46.71)</f>
        <v>46.71</v>
      </c>
      <c r="K594" s="3">
        <f>IFERROR(__xludf.DUMMYFUNCTION("""COMPUTED_VALUE"""),45057.6875)</f>
        <v>45057.6875</v>
      </c>
      <c r="L594" s="2">
        <f>IFERROR(__xludf.DUMMYFUNCTION("""COMPUTED_VALUE"""),45.88)</f>
        <v>45.88</v>
      </c>
      <c r="N594" s="3">
        <f>IFERROR(__xludf.DUMMYFUNCTION("""COMPUTED_VALUE"""),45056.66666666667)</f>
        <v>45056.66667</v>
      </c>
      <c r="O594" s="2">
        <f>IFERROR(__xludf.DUMMYFUNCTION("""COMPUTED_VALUE"""),36.75)</f>
        <v>36.75</v>
      </c>
      <c r="Q594" s="3">
        <f>IFERROR(__xludf.DUMMYFUNCTION("""COMPUTED_VALUE"""),45056.66666666667)</f>
        <v>45056.66667</v>
      </c>
      <c r="R594" s="2">
        <f>IFERROR(__xludf.DUMMYFUNCTION("""COMPUTED_VALUE"""),154.03)</f>
        <v>154.03</v>
      </c>
    </row>
    <row r="595">
      <c r="B595" s="3">
        <f>IFERROR(__xludf.DUMMYFUNCTION("""COMPUTED_VALUE"""),45057.66666666667)</f>
        <v>45057.66667</v>
      </c>
      <c r="C595" s="2">
        <f>IFERROR(__xludf.DUMMYFUNCTION("""COMPUTED_VALUE"""),46.37)</f>
        <v>46.37</v>
      </c>
      <c r="K595" s="3">
        <f>IFERROR(__xludf.DUMMYFUNCTION("""COMPUTED_VALUE"""),45058.6875)</f>
        <v>45058.6875</v>
      </c>
      <c r="L595" s="2">
        <f>IFERROR(__xludf.DUMMYFUNCTION("""COMPUTED_VALUE"""),45.56)</f>
        <v>45.56</v>
      </c>
      <c r="N595" s="3">
        <f>IFERROR(__xludf.DUMMYFUNCTION("""COMPUTED_VALUE"""),45057.66666666667)</f>
        <v>45057.66667</v>
      </c>
      <c r="O595" s="2">
        <f>IFERROR(__xludf.DUMMYFUNCTION("""COMPUTED_VALUE"""),35.97)</f>
        <v>35.97</v>
      </c>
      <c r="Q595" s="3">
        <f>IFERROR(__xludf.DUMMYFUNCTION("""COMPUTED_VALUE"""),45057.66666666667)</f>
        <v>45057.66667</v>
      </c>
      <c r="R595" s="2">
        <f>IFERROR(__xludf.DUMMYFUNCTION("""COMPUTED_VALUE"""),154.39)</f>
        <v>154.39</v>
      </c>
    </row>
    <row r="596">
      <c r="B596" s="3">
        <f>IFERROR(__xludf.DUMMYFUNCTION("""COMPUTED_VALUE"""),45058.66666666667)</f>
        <v>45058.66667</v>
      </c>
      <c r="C596" s="2">
        <f>IFERROR(__xludf.DUMMYFUNCTION("""COMPUTED_VALUE"""),46.71)</f>
        <v>46.71</v>
      </c>
      <c r="K596" s="3">
        <f>IFERROR(__xludf.DUMMYFUNCTION("""COMPUTED_VALUE"""),45061.6875)</f>
        <v>45061.6875</v>
      </c>
      <c r="L596" s="2">
        <f>IFERROR(__xludf.DUMMYFUNCTION("""COMPUTED_VALUE"""),46.27)</f>
        <v>46.27</v>
      </c>
      <c r="N596" s="3">
        <f>IFERROR(__xludf.DUMMYFUNCTION("""COMPUTED_VALUE"""),45058.66666666667)</f>
        <v>45058.66667</v>
      </c>
      <c r="O596" s="2">
        <f>IFERROR(__xludf.DUMMYFUNCTION("""COMPUTED_VALUE"""),35.81)</f>
        <v>35.81</v>
      </c>
      <c r="Q596" s="3">
        <f>IFERROR(__xludf.DUMMYFUNCTION("""COMPUTED_VALUE"""),45058.66666666667)</f>
        <v>45058.66667</v>
      </c>
      <c r="R596" s="2">
        <f>IFERROR(__xludf.DUMMYFUNCTION("""COMPUTED_VALUE"""),155.96)</f>
        <v>155.96</v>
      </c>
    </row>
    <row r="597">
      <c r="B597" s="3">
        <f>IFERROR(__xludf.DUMMYFUNCTION("""COMPUTED_VALUE"""),45061.66666666667)</f>
        <v>45061.66667</v>
      </c>
      <c r="C597" s="2">
        <f>IFERROR(__xludf.DUMMYFUNCTION("""COMPUTED_VALUE"""),47.1)</f>
        <v>47.1</v>
      </c>
      <c r="K597" s="3">
        <f>IFERROR(__xludf.DUMMYFUNCTION("""COMPUTED_VALUE"""),45062.6875)</f>
        <v>45062.6875</v>
      </c>
      <c r="L597" s="2">
        <f>IFERROR(__xludf.DUMMYFUNCTION("""COMPUTED_VALUE"""),45.7)</f>
        <v>45.7</v>
      </c>
      <c r="N597" s="3">
        <f>IFERROR(__xludf.DUMMYFUNCTION("""COMPUTED_VALUE"""),45061.66666666667)</f>
        <v>45061.66667</v>
      </c>
      <c r="O597" s="2">
        <f>IFERROR(__xludf.DUMMYFUNCTION("""COMPUTED_VALUE"""),36.19)</f>
        <v>36.19</v>
      </c>
      <c r="Q597" s="3">
        <f>IFERROR(__xludf.DUMMYFUNCTION("""COMPUTED_VALUE"""),45061.66666666667)</f>
        <v>45061.66667</v>
      </c>
      <c r="R597" s="2">
        <f>IFERROR(__xludf.DUMMYFUNCTION("""COMPUTED_VALUE"""),156.01)</f>
        <v>156.01</v>
      </c>
    </row>
    <row r="598">
      <c r="B598" s="3">
        <f>IFERROR(__xludf.DUMMYFUNCTION("""COMPUTED_VALUE"""),45062.66666666667)</f>
        <v>45062.66667</v>
      </c>
      <c r="C598" s="2">
        <f>IFERROR(__xludf.DUMMYFUNCTION("""COMPUTED_VALUE"""),46.92)</f>
        <v>46.92</v>
      </c>
      <c r="K598" s="3">
        <f>IFERROR(__xludf.DUMMYFUNCTION("""COMPUTED_VALUE"""),45063.6875)</f>
        <v>45063.6875</v>
      </c>
      <c r="L598" s="2">
        <f>IFERROR(__xludf.DUMMYFUNCTION("""COMPUTED_VALUE"""),46.3)</f>
        <v>46.3</v>
      </c>
      <c r="N598" s="3">
        <f>IFERROR(__xludf.DUMMYFUNCTION("""COMPUTED_VALUE"""),45062.66666666667)</f>
        <v>45062.66667</v>
      </c>
      <c r="O598" s="2">
        <f>IFERROR(__xludf.DUMMYFUNCTION("""COMPUTED_VALUE"""),35.54)</f>
        <v>35.54</v>
      </c>
      <c r="Q598" s="3">
        <f>IFERROR(__xludf.DUMMYFUNCTION("""COMPUTED_VALUE"""),45062.66666666667)</f>
        <v>45062.66667</v>
      </c>
      <c r="R598" s="2">
        <f>IFERROR(__xludf.DUMMYFUNCTION("""COMPUTED_VALUE"""),155.74)</f>
        <v>155.74</v>
      </c>
    </row>
    <row r="599">
      <c r="B599" s="3">
        <f>IFERROR(__xludf.DUMMYFUNCTION("""COMPUTED_VALUE"""),45063.66666666667)</f>
        <v>45063.66667</v>
      </c>
      <c r="C599" s="2">
        <f>IFERROR(__xludf.DUMMYFUNCTION("""COMPUTED_VALUE"""),47.63)</f>
        <v>47.63</v>
      </c>
      <c r="K599" s="3">
        <f>IFERROR(__xludf.DUMMYFUNCTION("""COMPUTED_VALUE"""),45064.6875)</f>
        <v>45064.6875</v>
      </c>
      <c r="L599" s="2">
        <f>IFERROR(__xludf.DUMMYFUNCTION("""COMPUTED_VALUE"""),46.51)</f>
        <v>46.51</v>
      </c>
      <c r="N599" s="3">
        <f>IFERROR(__xludf.DUMMYFUNCTION("""COMPUTED_VALUE"""),45063.66666666667)</f>
        <v>45063.66667</v>
      </c>
      <c r="O599" s="2">
        <f>IFERROR(__xludf.DUMMYFUNCTION("""COMPUTED_VALUE"""),36.0)</f>
        <v>36</v>
      </c>
      <c r="Q599" s="3">
        <f>IFERROR(__xludf.DUMMYFUNCTION("""COMPUTED_VALUE"""),45063.66666666667)</f>
        <v>45063.66667</v>
      </c>
      <c r="R599" s="2">
        <f>IFERROR(__xludf.DUMMYFUNCTION("""COMPUTED_VALUE"""),155.08)</f>
        <v>155.08</v>
      </c>
    </row>
    <row r="600">
      <c r="B600" s="3">
        <f>IFERROR(__xludf.DUMMYFUNCTION("""COMPUTED_VALUE"""),45064.66666666667)</f>
        <v>45064.66667</v>
      </c>
      <c r="C600" s="2">
        <f>IFERROR(__xludf.DUMMYFUNCTION("""COMPUTED_VALUE"""),48.2)</f>
        <v>48.2</v>
      </c>
      <c r="K600" s="3">
        <f>IFERROR(__xludf.DUMMYFUNCTION("""COMPUTED_VALUE"""),45065.6875)</f>
        <v>45065.6875</v>
      </c>
      <c r="L600" s="2">
        <f>IFERROR(__xludf.DUMMYFUNCTION("""COMPUTED_VALUE"""),46.72)</f>
        <v>46.72</v>
      </c>
      <c r="N600" s="3">
        <f>IFERROR(__xludf.DUMMYFUNCTION("""COMPUTED_VALUE"""),45064.66666666667)</f>
        <v>45064.66667</v>
      </c>
      <c r="O600" s="2">
        <f>IFERROR(__xludf.DUMMYFUNCTION("""COMPUTED_VALUE"""),35.96)</f>
        <v>35.96</v>
      </c>
      <c r="Q600" s="3">
        <f>IFERROR(__xludf.DUMMYFUNCTION("""COMPUTED_VALUE"""),45064.66666666667)</f>
        <v>45064.66667</v>
      </c>
      <c r="R600" s="2">
        <f>IFERROR(__xludf.DUMMYFUNCTION("""COMPUTED_VALUE"""),152.53)</f>
        <v>152.53</v>
      </c>
    </row>
    <row r="601">
      <c r="B601" s="3">
        <f>IFERROR(__xludf.DUMMYFUNCTION("""COMPUTED_VALUE"""),45065.66666666667)</f>
        <v>45065.66667</v>
      </c>
      <c r="C601" s="2">
        <f>IFERROR(__xludf.DUMMYFUNCTION("""COMPUTED_VALUE"""),49.13)</f>
        <v>49.13</v>
      </c>
      <c r="K601" s="3">
        <f>IFERROR(__xludf.DUMMYFUNCTION("""COMPUTED_VALUE"""),45068.6875)</f>
        <v>45068.6875</v>
      </c>
      <c r="L601" s="2">
        <f>IFERROR(__xludf.DUMMYFUNCTION("""COMPUTED_VALUE"""),46.94)</f>
        <v>46.94</v>
      </c>
      <c r="N601" s="3">
        <f>IFERROR(__xludf.DUMMYFUNCTION("""COMPUTED_VALUE"""),45065.66666666667)</f>
        <v>45065.66667</v>
      </c>
      <c r="O601" s="2">
        <f>IFERROR(__xludf.DUMMYFUNCTION("""COMPUTED_VALUE"""),36.03)</f>
        <v>36.03</v>
      </c>
      <c r="Q601" s="3">
        <f>IFERROR(__xludf.DUMMYFUNCTION("""COMPUTED_VALUE"""),45065.66666666667)</f>
        <v>45065.66667</v>
      </c>
      <c r="R601" s="2">
        <f>IFERROR(__xludf.DUMMYFUNCTION("""COMPUTED_VALUE"""),153.17)</f>
        <v>153.17</v>
      </c>
    </row>
    <row r="602">
      <c r="B602" s="3">
        <f>IFERROR(__xludf.DUMMYFUNCTION("""COMPUTED_VALUE"""),45068.66666666667)</f>
        <v>45068.66667</v>
      </c>
      <c r="C602" s="2">
        <f>IFERROR(__xludf.DUMMYFUNCTION("""COMPUTED_VALUE"""),48.82)</f>
        <v>48.82</v>
      </c>
      <c r="K602" s="3">
        <f>IFERROR(__xludf.DUMMYFUNCTION("""COMPUTED_VALUE"""),45069.6875)</f>
        <v>45069.6875</v>
      </c>
      <c r="L602" s="2">
        <f>IFERROR(__xludf.DUMMYFUNCTION("""COMPUTED_VALUE"""),47.59)</f>
        <v>47.59</v>
      </c>
      <c r="N602" s="3">
        <f>IFERROR(__xludf.DUMMYFUNCTION("""COMPUTED_VALUE"""),45068.66666666667)</f>
        <v>45068.66667</v>
      </c>
      <c r="O602" s="2">
        <f>IFERROR(__xludf.DUMMYFUNCTION("""COMPUTED_VALUE"""),35.89)</f>
        <v>35.89</v>
      </c>
      <c r="Q602" s="3">
        <f>IFERROR(__xludf.DUMMYFUNCTION("""COMPUTED_VALUE"""),45068.66666666667)</f>
        <v>45068.66667</v>
      </c>
      <c r="R602" s="2">
        <f>IFERROR(__xludf.DUMMYFUNCTION("""COMPUTED_VALUE"""),149.16)</f>
        <v>149.16</v>
      </c>
    </row>
    <row r="603">
      <c r="B603" s="3">
        <f>IFERROR(__xludf.DUMMYFUNCTION("""COMPUTED_VALUE"""),45069.66666666667)</f>
        <v>45069.66667</v>
      </c>
      <c r="C603" s="2">
        <f>IFERROR(__xludf.DUMMYFUNCTION("""COMPUTED_VALUE"""),48.91)</f>
        <v>48.91</v>
      </c>
      <c r="K603" s="3">
        <f>IFERROR(__xludf.DUMMYFUNCTION("""COMPUTED_VALUE"""),45070.6875)</f>
        <v>45070.6875</v>
      </c>
      <c r="L603" s="2">
        <f>IFERROR(__xludf.DUMMYFUNCTION("""COMPUTED_VALUE"""),46.77)</f>
        <v>46.77</v>
      </c>
      <c r="N603" s="3">
        <f>IFERROR(__xludf.DUMMYFUNCTION("""COMPUTED_VALUE"""),45069.66666666667)</f>
        <v>45069.66667</v>
      </c>
      <c r="O603" s="2">
        <f>IFERROR(__xludf.DUMMYFUNCTION("""COMPUTED_VALUE"""),36.18)</f>
        <v>36.18</v>
      </c>
      <c r="Q603" s="3">
        <f>IFERROR(__xludf.DUMMYFUNCTION("""COMPUTED_VALUE"""),45069.66666666667)</f>
        <v>45069.66667</v>
      </c>
      <c r="R603" s="2">
        <f>IFERROR(__xludf.DUMMYFUNCTION("""COMPUTED_VALUE"""),147.55)</f>
        <v>147.55</v>
      </c>
    </row>
    <row r="604">
      <c r="B604" s="3">
        <f>IFERROR(__xludf.DUMMYFUNCTION("""COMPUTED_VALUE"""),45070.66666666667)</f>
        <v>45070.66667</v>
      </c>
      <c r="C604" s="2">
        <f>IFERROR(__xludf.DUMMYFUNCTION("""COMPUTED_VALUE"""),48.41)</f>
        <v>48.41</v>
      </c>
      <c r="K604" s="3">
        <f>IFERROR(__xludf.DUMMYFUNCTION("""COMPUTED_VALUE"""),45071.6875)</f>
        <v>45071.6875</v>
      </c>
      <c r="L604" s="2">
        <f>IFERROR(__xludf.DUMMYFUNCTION("""COMPUTED_VALUE"""),45.83)</f>
        <v>45.83</v>
      </c>
      <c r="N604" s="3">
        <f>IFERROR(__xludf.DUMMYFUNCTION("""COMPUTED_VALUE"""),45070.66666666667)</f>
        <v>45070.66667</v>
      </c>
      <c r="O604" s="2">
        <f>IFERROR(__xludf.DUMMYFUNCTION("""COMPUTED_VALUE"""),36.04)</f>
        <v>36.04</v>
      </c>
      <c r="Q604" s="3">
        <f>IFERROR(__xludf.DUMMYFUNCTION("""COMPUTED_VALUE"""),45070.66666666667)</f>
        <v>45070.66667</v>
      </c>
      <c r="R604" s="2">
        <f>IFERROR(__xludf.DUMMYFUNCTION("""COMPUTED_VALUE"""),146.33)</f>
        <v>146.33</v>
      </c>
    </row>
    <row r="605">
      <c r="B605" s="3">
        <f>IFERROR(__xludf.DUMMYFUNCTION("""COMPUTED_VALUE"""),45071.66666666667)</f>
        <v>45071.66667</v>
      </c>
      <c r="C605" s="2">
        <f>IFERROR(__xludf.DUMMYFUNCTION("""COMPUTED_VALUE"""),49.03)</f>
        <v>49.03</v>
      </c>
      <c r="K605" s="3">
        <f>IFERROR(__xludf.DUMMYFUNCTION("""COMPUTED_VALUE"""),45072.6875)</f>
        <v>45072.6875</v>
      </c>
      <c r="L605" s="2">
        <f>IFERROR(__xludf.DUMMYFUNCTION("""COMPUTED_VALUE"""),45.51)</f>
        <v>45.51</v>
      </c>
      <c r="N605" s="3">
        <f>IFERROR(__xludf.DUMMYFUNCTION("""COMPUTED_VALUE"""),45071.66666666667)</f>
        <v>45071.66667</v>
      </c>
      <c r="O605" s="2">
        <f>IFERROR(__xludf.DUMMYFUNCTION("""COMPUTED_VALUE"""),35.36)</f>
        <v>35.36</v>
      </c>
      <c r="Q605" s="3">
        <f>IFERROR(__xludf.DUMMYFUNCTION("""COMPUTED_VALUE"""),45071.66666666667)</f>
        <v>45071.66667</v>
      </c>
      <c r="R605" s="2">
        <f>IFERROR(__xludf.DUMMYFUNCTION("""COMPUTED_VALUE"""),145.39)</f>
        <v>145.39</v>
      </c>
    </row>
    <row r="606">
      <c r="B606" s="3">
        <f>IFERROR(__xludf.DUMMYFUNCTION("""COMPUTED_VALUE"""),45072.66666666667)</f>
        <v>45072.66667</v>
      </c>
      <c r="C606" s="2">
        <f>IFERROR(__xludf.DUMMYFUNCTION("""COMPUTED_VALUE"""),49.86)</f>
        <v>49.86</v>
      </c>
      <c r="K606" s="3">
        <f>IFERROR(__xludf.DUMMYFUNCTION("""COMPUTED_VALUE"""),45076.6875)</f>
        <v>45076.6875</v>
      </c>
      <c r="L606" s="2">
        <f>IFERROR(__xludf.DUMMYFUNCTION("""COMPUTED_VALUE"""),45.22)</f>
        <v>45.22</v>
      </c>
      <c r="N606" s="3">
        <f>IFERROR(__xludf.DUMMYFUNCTION("""COMPUTED_VALUE"""),45072.66666666667)</f>
        <v>45072.66667</v>
      </c>
      <c r="O606" s="2">
        <f>IFERROR(__xludf.DUMMYFUNCTION("""COMPUTED_VALUE"""),35.55)</f>
        <v>35.55</v>
      </c>
      <c r="Q606" s="3">
        <f>IFERROR(__xludf.DUMMYFUNCTION("""COMPUTED_VALUE"""),45072.66666666667)</f>
        <v>45072.66667</v>
      </c>
      <c r="R606" s="2">
        <f>IFERROR(__xludf.DUMMYFUNCTION("""COMPUTED_VALUE"""),145.4)</f>
        <v>145.4</v>
      </c>
    </row>
    <row r="607">
      <c r="B607" s="3">
        <f>IFERROR(__xludf.DUMMYFUNCTION("""COMPUTED_VALUE"""),45076.66666666667)</f>
        <v>45076.66667</v>
      </c>
      <c r="C607" s="2">
        <f>IFERROR(__xludf.DUMMYFUNCTION("""COMPUTED_VALUE"""),50.17)</f>
        <v>50.17</v>
      </c>
      <c r="K607" s="3">
        <f>IFERROR(__xludf.DUMMYFUNCTION("""COMPUTED_VALUE"""),45077.6875)</f>
        <v>45077.6875</v>
      </c>
      <c r="L607" s="2">
        <f>IFERROR(__xludf.DUMMYFUNCTION("""COMPUTED_VALUE"""),44.17)</f>
        <v>44.17</v>
      </c>
      <c r="N607" s="3">
        <f>IFERROR(__xludf.DUMMYFUNCTION("""COMPUTED_VALUE"""),45076.66666666667)</f>
        <v>45076.66667</v>
      </c>
      <c r="O607" s="2">
        <f>IFERROR(__xludf.DUMMYFUNCTION("""COMPUTED_VALUE"""),34.99)</f>
        <v>34.99</v>
      </c>
      <c r="Q607" s="3">
        <f>IFERROR(__xludf.DUMMYFUNCTION("""COMPUTED_VALUE"""),45076.66666666667)</f>
        <v>45076.66667</v>
      </c>
      <c r="R607" s="2">
        <f>IFERROR(__xludf.DUMMYFUNCTION("""COMPUTED_VALUE"""),143.18)</f>
        <v>143.18</v>
      </c>
    </row>
    <row r="608">
      <c r="B608" s="3">
        <f>IFERROR(__xludf.DUMMYFUNCTION("""COMPUTED_VALUE"""),45077.66666666667)</f>
        <v>45077.66667</v>
      </c>
      <c r="C608" s="2">
        <f>IFERROR(__xludf.DUMMYFUNCTION("""COMPUTED_VALUE"""),49.67)</f>
        <v>49.67</v>
      </c>
      <c r="K608" s="3">
        <f>IFERROR(__xludf.DUMMYFUNCTION("""COMPUTED_VALUE"""),45078.6875)</f>
        <v>45078.6875</v>
      </c>
      <c r="L608" s="2">
        <f>IFERROR(__xludf.DUMMYFUNCTION("""COMPUTED_VALUE"""),44.67)</f>
        <v>44.67</v>
      </c>
      <c r="N608" s="3">
        <f>IFERROR(__xludf.DUMMYFUNCTION("""COMPUTED_VALUE"""),45077.66666666667)</f>
        <v>45077.66667</v>
      </c>
      <c r="O608" s="2">
        <f>IFERROR(__xludf.DUMMYFUNCTION("""COMPUTED_VALUE"""),33.71)</f>
        <v>33.71</v>
      </c>
      <c r="Q608" s="3">
        <f>IFERROR(__xludf.DUMMYFUNCTION("""COMPUTED_VALUE"""),45077.66666666667)</f>
        <v>45077.66667</v>
      </c>
      <c r="R608" s="2">
        <f>IFERROR(__xludf.DUMMYFUNCTION("""COMPUTED_VALUE"""),142.5)</f>
        <v>142.5</v>
      </c>
    </row>
    <row r="609">
      <c r="B609" s="3">
        <f>IFERROR(__xludf.DUMMYFUNCTION("""COMPUTED_VALUE"""),45078.66666666667)</f>
        <v>45078.66667</v>
      </c>
      <c r="C609" s="2">
        <f>IFERROR(__xludf.DUMMYFUNCTION("""COMPUTED_VALUE"""),49.74)</f>
        <v>49.74</v>
      </c>
      <c r="K609" s="3">
        <f>IFERROR(__xludf.DUMMYFUNCTION("""COMPUTED_VALUE"""),45079.6875)</f>
        <v>45079.6875</v>
      </c>
      <c r="L609" s="2">
        <f>IFERROR(__xludf.DUMMYFUNCTION("""COMPUTED_VALUE"""),45.45)</f>
        <v>45.45</v>
      </c>
      <c r="N609" s="3">
        <f>IFERROR(__xludf.DUMMYFUNCTION("""COMPUTED_VALUE"""),45078.66666666667)</f>
        <v>45078.66667</v>
      </c>
      <c r="O609" s="2">
        <f>IFERROR(__xludf.DUMMYFUNCTION("""COMPUTED_VALUE"""),34.72)</f>
        <v>34.72</v>
      </c>
      <c r="Q609" s="3">
        <f>IFERROR(__xludf.DUMMYFUNCTION("""COMPUTED_VALUE"""),45078.66666666667)</f>
        <v>45078.66667</v>
      </c>
      <c r="R609" s="2">
        <f>IFERROR(__xludf.DUMMYFUNCTION("""COMPUTED_VALUE"""),143.96)</f>
        <v>143.96</v>
      </c>
    </row>
    <row r="610">
      <c r="B610" s="3">
        <f>IFERROR(__xludf.DUMMYFUNCTION("""COMPUTED_VALUE"""),45079.66666666667)</f>
        <v>45079.66667</v>
      </c>
      <c r="C610" s="2">
        <f>IFERROR(__xludf.DUMMYFUNCTION("""COMPUTED_VALUE"""),50.02)</f>
        <v>50.02</v>
      </c>
      <c r="K610" s="3">
        <f>IFERROR(__xludf.DUMMYFUNCTION("""COMPUTED_VALUE"""),45082.6875)</f>
        <v>45082.6875</v>
      </c>
      <c r="L610" s="2">
        <f>IFERROR(__xludf.DUMMYFUNCTION("""COMPUTED_VALUE"""),44.73)</f>
        <v>44.73</v>
      </c>
      <c r="N610" s="3">
        <f>IFERROR(__xludf.DUMMYFUNCTION("""COMPUTED_VALUE"""),45079.66666666667)</f>
        <v>45079.66667</v>
      </c>
      <c r="O610" s="2">
        <f>IFERROR(__xludf.DUMMYFUNCTION("""COMPUTED_VALUE"""),35.65)</f>
        <v>35.65</v>
      </c>
      <c r="Q610" s="3">
        <f>IFERROR(__xludf.DUMMYFUNCTION("""COMPUTED_VALUE"""),45079.66666666667)</f>
        <v>45079.66667</v>
      </c>
      <c r="R610" s="2">
        <f>IFERROR(__xludf.DUMMYFUNCTION("""COMPUTED_VALUE"""),146.52)</f>
        <v>146.52</v>
      </c>
    </row>
    <row r="611">
      <c r="B611" s="3">
        <f>IFERROR(__xludf.DUMMYFUNCTION("""COMPUTED_VALUE"""),45082.66666666667)</f>
        <v>45082.66667</v>
      </c>
      <c r="C611" s="2">
        <f>IFERROR(__xludf.DUMMYFUNCTION("""COMPUTED_VALUE"""),50.21)</f>
        <v>50.21</v>
      </c>
      <c r="K611" s="3">
        <f>IFERROR(__xludf.DUMMYFUNCTION("""COMPUTED_VALUE"""),45083.6875)</f>
        <v>45083.6875</v>
      </c>
      <c r="L611" s="2">
        <f>IFERROR(__xludf.DUMMYFUNCTION("""COMPUTED_VALUE"""),45.18)</f>
        <v>45.18</v>
      </c>
      <c r="N611" s="3">
        <f>IFERROR(__xludf.DUMMYFUNCTION("""COMPUTED_VALUE"""),45082.66666666667)</f>
        <v>45082.66667</v>
      </c>
      <c r="O611" s="2">
        <f>IFERROR(__xludf.DUMMYFUNCTION("""COMPUTED_VALUE"""),35.34)</f>
        <v>35.34</v>
      </c>
      <c r="Q611" s="3">
        <f>IFERROR(__xludf.DUMMYFUNCTION("""COMPUTED_VALUE"""),45082.66666666667)</f>
        <v>45082.66667</v>
      </c>
      <c r="R611" s="2">
        <f>IFERROR(__xludf.DUMMYFUNCTION("""COMPUTED_VALUE"""),145.94)</f>
        <v>145.94</v>
      </c>
    </row>
    <row r="612">
      <c r="B612" s="3">
        <f>IFERROR(__xludf.DUMMYFUNCTION("""COMPUTED_VALUE"""),45083.66666666667)</f>
        <v>45083.66667</v>
      </c>
      <c r="C612" s="2">
        <f>IFERROR(__xludf.DUMMYFUNCTION("""COMPUTED_VALUE"""),49.81)</f>
        <v>49.81</v>
      </c>
      <c r="K612" s="3">
        <f>IFERROR(__xludf.DUMMYFUNCTION("""COMPUTED_VALUE"""),45084.6875)</f>
        <v>45084.6875</v>
      </c>
      <c r="L612" s="2">
        <f>IFERROR(__xludf.DUMMYFUNCTION("""COMPUTED_VALUE"""),45.51)</f>
        <v>45.51</v>
      </c>
      <c r="N612" s="3">
        <f>IFERROR(__xludf.DUMMYFUNCTION("""COMPUTED_VALUE"""),45083.66666666667)</f>
        <v>45083.66667</v>
      </c>
      <c r="O612" s="2">
        <f>IFERROR(__xludf.DUMMYFUNCTION("""COMPUTED_VALUE"""),35.3)</f>
        <v>35.3</v>
      </c>
      <c r="Q612" s="3">
        <f>IFERROR(__xludf.DUMMYFUNCTION("""COMPUTED_VALUE"""),45083.66666666667)</f>
        <v>45083.66667</v>
      </c>
      <c r="R612" s="2">
        <f>IFERROR(__xludf.DUMMYFUNCTION("""COMPUTED_VALUE"""),144.49)</f>
        <v>144.49</v>
      </c>
    </row>
    <row r="613">
      <c r="B613" s="3">
        <f>IFERROR(__xludf.DUMMYFUNCTION("""COMPUTED_VALUE"""),45084.66666666667)</f>
        <v>45084.66667</v>
      </c>
      <c r="C613" s="2">
        <f>IFERROR(__xludf.DUMMYFUNCTION("""COMPUTED_VALUE"""),49.78)</f>
        <v>49.78</v>
      </c>
      <c r="K613" s="3">
        <f>IFERROR(__xludf.DUMMYFUNCTION("""COMPUTED_VALUE"""),45085.6875)</f>
        <v>45085.6875</v>
      </c>
      <c r="L613" s="2">
        <f>IFERROR(__xludf.DUMMYFUNCTION("""COMPUTED_VALUE"""),45.33)</f>
        <v>45.33</v>
      </c>
      <c r="N613" s="3">
        <f>IFERROR(__xludf.DUMMYFUNCTION("""COMPUTED_VALUE"""),45084.66666666667)</f>
        <v>45084.66667</v>
      </c>
      <c r="O613" s="2">
        <f>IFERROR(__xludf.DUMMYFUNCTION("""COMPUTED_VALUE"""),35.71)</f>
        <v>35.71</v>
      </c>
      <c r="Q613" s="3">
        <f>IFERROR(__xludf.DUMMYFUNCTION("""COMPUTED_VALUE"""),45084.66666666667)</f>
        <v>45084.66667</v>
      </c>
      <c r="R613" s="2">
        <f>IFERROR(__xludf.DUMMYFUNCTION("""COMPUTED_VALUE"""),144.8)</f>
        <v>144.8</v>
      </c>
    </row>
    <row r="614">
      <c r="B614" s="3">
        <f>IFERROR(__xludf.DUMMYFUNCTION("""COMPUTED_VALUE"""),45085.66666666667)</f>
        <v>45085.66667</v>
      </c>
      <c r="C614" s="2">
        <f>IFERROR(__xludf.DUMMYFUNCTION("""COMPUTED_VALUE"""),49.68)</f>
        <v>49.68</v>
      </c>
      <c r="K614" s="3">
        <f>IFERROR(__xludf.DUMMYFUNCTION("""COMPUTED_VALUE"""),45086.6875)</f>
        <v>45086.6875</v>
      </c>
      <c r="L614" s="2">
        <f>IFERROR(__xludf.DUMMYFUNCTION("""COMPUTED_VALUE"""),45.27)</f>
        <v>45.27</v>
      </c>
      <c r="N614" s="3">
        <f>IFERROR(__xludf.DUMMYFUNCTION("""COMPUTED_VALUE"""),45085.66666666667)</f>
        <v>45085.66667</v>
      </c>
      <c r="O614" s="2">
        <f>IFERROR(__xludf.DUMMYFUNCTION("""COMPUTED_VALUE"""),35.81)</f>
        <v>35.81</v>
      </c>
      <c r="Q614" s="3">
        <f>IFERROR(__xludf.DUMMYFUNCTION("""COMPUTED_VALUE"""),45085.66666666667)</f>
        <v>45085.66667</v>
      </c>
      <c r="R614" s="2">
        <f>IFERROR(__xludf.DUMMYFUNCTION("""COMPUTED_VALUE"""),146.44)</f>
        <v>146.44</v>
      </c>
    </row>
    <row r="615">
      <c r="B615" s="3">
        <f>IFERROR(__xludf.DUMMYFUNCTION("""COMPUTED_VALUE"""),45086.66666666667)</f>
        <v>45086.66667</v>
      </c>
      <c r="C615" s="2">
        <f>IFERROR(__xludf.DUMMYFUNCTION("""COMPUTED_VALUE"""),49.66)</f>
        <v>49.66</v>
      </c>
      <c r="K615" s="3">
        <f>IFERROR(__xludf.DUMMYFUNCTION("""COMPUTED_VALUE"""),45089.6875)</f>
        <v>45089.6875</v>
      </c>
      <c r="L615" s="2">
        <f>IFERROR(__xludf.DUMMYFUNCTION("""COMPUTED_VALUE"""),44.98)</f>
        <v>44.98</v>
      </c>
      <c r="N615" s="3">
        <f>IFERROR(__xludf.DUMMYFUNCTION("""COMPUTED_VALUE"""),45086.66666666667)</f>
        <v>45086.66667</v>
      </c>
      <c r="O615" s="2">
        <f>IFERROR(__xludf.DUMMYFUNCTION("""COMPUTED_VALUE"""),35.47)</f>
        <v>35.47</v>
      </c>
      <c r="Q615" s="3">
        <f>IFERROR(__xludf.DUMMYFUNCTION("""COMPUTED_VALUE"""),45086.66666666667)</f>
        <v>45086.66667</v>
      </c>
      <c r="R615" s="2">
        <f>IFERROR(__xludf.DUMMYFUNCTION("""COMPUTED_VALUE"""),146.56)</f>
        <v>146.56</v>
      </c>
    </row>
    <row r="616">
      <c r="B616" s="3">
        <f>IFERROR(__xludf.DUMMYFUNCTION("""COMPUTED_VALUE"""),45089.66666666667)</f>
        <v>45089.66667</v>
      </c>
      <c r="C616" s="2">
        <f>IFERROR(__xludf.DUMMYFUNCTION("""COMPUTED_VALUE"""),50.48)</f>
        <v>50.48</v>
      </c>
      <c r="K616" s="3">
        <f>IFERROR(__xludf.DUMMYFUNCTION("""COMPUTED_VALUE"""),45090.6875)</f>
        <v>45090.6875</v>
      </c>
      <c r="L616" s="2">
        <f>IFERROR(__xludf.DUMMYFUNCTION("""COMPUTED_VALUE"""),45.3)</f>
        <v>45.3</v>
      </c>
      <c r="N616" s="3">
        <f>IFERROR(__xludf.DUMMYFUNCTION("""COMPUTED_VALUE"""),45089.66666666667)</f>
        <v>45089.66667</v>
      </c>
      <c r="O616" s="2">
        <f>IFERROR(__xludf.DUMMYFUNCTION("""COMPUTED_VALUE"""),34.77)</f>
        <v>34.77</v>
      </c>
      <c r="Q616" s="3">
        <f>IFERROR(__xludf.DUMMYFUNCTION("""COMPUTED_VALUE"""),45089.66666666667)</f>
        <v>45089.66667</v>
      </c>
      <c r="R616" s="2">
        <f>IFERROR(__xludf.DUMMYFUNCTION("""COMPUTED_VALUE"""),145.41)</f>
        <v>145.41</v>
      </c>
    </row>
    <row r="617">
      <c r="B617" s="3">
        <f>IFERROR(__xludf.DUMMYFUNCTION("""COMPUTED_VALUE"""),45090.66666666667)</f>
        <v>45090.66667</v>
      </c>
      <c r="C617" s="2">
        <f>IFERROR(__xludf.DUMMYFUNCTION("""COMPUTED_VALUE"""),50.8)</f>
        <v>50.8</v>
      </c>
      <c r="K617" s="3">
        <f>IFERROR(__xludf.DUMMYFUNCTION("""COMPUTED_VALUE"""),45091.6875)</f>
        <v>45091.6875</v>
      </c>
      <c r="L617" s="2">
        <f>IFERROR(__xludf.DUMMYFUNCTION("""COMPUTED_VALUE"""),45.29)</f>
        <v>45.29</v>
      </c>
      <c r="N617" s="3">
        <f>IFERROR(__xludf.DUMMYFUNCTION("""COMPUTED_VALUE"""),45090.66666666667)</f>
        <v>45090.66667</v>
      </c>
      <c r="O617" s="2">
        <f>IFERROR(__xludf.DUMMYFUNCTION("""COMPUTED_VALUE"""),35.08)</f>
        <v>35.08</v>
      </c>
      <c r="Q617" s="3">
        <f>IFERROR(__xludf.DUMMYFUNCTION("""COMPUTED_VALUE"""),45090.66666666667)</f>
        <v>45090.66667</v>
      </c>
      <c r="R617" s="2">
        <f>IFERROR(__xludf.DUMMYFUNCTION("""COMPUTED_VALUE"""),145.06)</f>
        <v>145.06</v>
      </c>
    </row>
    <row r="618">
      <c r="B618" s="3">
        <f>IFERROR(__xludf.DUMMYFUNCTION("""COMPUTED_VALUE"""),45091.66666666667)</f>
        <v>45091.66667</v>
      </c>
      <c r="C618" s="2">
        <f>IFERROR(__xludf.DUMMYFUNCTION("""COMPUTED_VALUE"""),50.96)</f>
        <v>50.96</v>
      </c>
      <c r="K618" s="3">
        <f>IFERROR(__xludf.DUMMYFUNCTION("""COMPUTED_VALUE"""),45092.6875)</f>
        <v>45092.6875</v>
      </c>
      <c r="L618" s="2">
        <f>IFERROR(__xludf.DUMMYFUNCTION("""COMPUTED_VALUE"""),44.96)</f>
        <v>44.96</v>
      </c>
      <c r="N618" s="3">
        <f>IFERROR(__xludf.DUMMYFUNCTION("""COMPUTED_VALUE"""),45091.66666666667)</f>
        <v>45091.66667</v>
      </c>
      <c r="O618" s="2">
        <f>IFERROR(__xludf.DUMMYFUNCTION("""COMPUTED_VALUE"""),35.05)</f>
        <v>35.05</v>
      </c>
      <c r="Q618" s="3">
        <f>IFERROR(__xludf.DUMMYFUNCTION("""COMPUTED_VALUE"""),45091.66666666667)</f>
        <v>45091.66667</v>
      </c>
      <c r="R618" s="2">
        <f>IFERROR(__xludf.DUMMYFUNCTION("""COMPUTED_VALUE"""),146.42)</f>
        <v>146.42</v>
      </c>
    </row>
    <row r="619">
      <c r="B619" s="3">
        <f>IFERROR(__xludf.DUMMYFUNCTION("""COMPUTED_VALUE"""),45092.66666666667)</f>
        <v>45092.66667</v>
      </c>
      <c r="C619" s="2">
        <f>IFERROR(__xludf.DUMMYFUNCTION("""COMPUTED_VALUE"""),51.93)</f>
        <v>51.93</v>
      </c>
      <c r="K619" s="3">
        <f>IFERROR(__xludf.DUMMYFUNCTION("""COMPUTED_VALUE"""),45093.6875)</f>
        <v>45093.6875</v>
      </c>
      <c r="L619" s="2">
        <f>IFERROR(__xludf.DUMMYFUNCTION("""COMPUTED_VALUE"""),45.05)</f>
        <v>45.05</v>
      </c>
      <c r="N619" s="3">
        <f>IFERROR(__xludf.DUMMYFUNCTION("""COMPUTED_VALUE"""),45092.66666666667)</f>
        <v>45092.66667</v>
      </c>
      <c r="O619" s="2">
        <f>IFERROR(__xludf.DUMMYFUNCTION("""COMPUTED_VALUE"""),35.38)</f>
        <v>35.38</v>
      </c>
      <c r="Q619" s="3">
        <f>IFERROR(__xludf.DUMMYFUNCTION("""COMPUTED_VALUE"""),45092.66666666667)</f>
        <v>45092.66667</v>
      </c>
      <c r="R619" s="2">
        <f>IFERROR(__xludf.DUMMYFUNCTION("""COMPUTED_VALUE"""),148.45)</f>
        <v>148.45</v>
      </c>
    </row>
    <row r="620">
      <c r="B620" s="3">
        <f>IFERROR(__xludf.DUMMYFUNCTION("""COMPUTED_VALUE"""),45093.66666666667)</f>
        <v>45093.66667</v>
      </c>
      <c r="C620" s="2">
        <f>IFERROR(__xludf.DUMMYFUNCTION("""COMPUTED_VALUE"""),52.07)</f>
        <v>52.07</v>
      </c>
      <c r="K620" s="3">
        <f>IFERROR(__xludf.DUMMYFUNCTION("""COMPUTED_VALUE"""),45096.6875)</f>
        <v>45096.6875</v>
      </c>
      <c r="L620" s="2">
        <f>IFERROR(__xludf.DUMMYFUNCTION("""COMPUTED_VALUE"""),45.04)</f>
        <v>45.04</v>
      </c>
      <c r="N620" s="3">
        <f>IFERROR(__xludf.DUMMYFUNCTION("""COMPUTED_VALUE"""),45093.66666666667)</f>
        <v>45093.66667</v>
      </c>
      <c r="O620" s="2">
        <f>IFERROR(__xludf.DUMMYFUNCTION("""COMPUTED_VALUE"""),35.35)</f>
        <v>35.35</v>
      </c>
      <c r="Q620" s="3">
        <f>IFERROR(__xludf.DUMMYFUNCTION("""COMPUTED_VALUE"""),45093.66666666667)</f>
        <v>45093.66667</v>
      </c>
      <c r="R620" s="2">
        <f>IFERROR(__xludf.DUMMYFUNCTION("""COMPUTED_VALUE"""),149.54)</f>
        <v>149.54</v>
      </c>
    </row>
    <row r="621">
      <c r="B621" s="3">
        <f>IFERROR(__xludf.DUMMYFUNCTION("""COMPUTED_VALUE"""),45097.66666666667)</f>
        <v>45097.66667</v>
      </c>
      <c r="C621" s="2">
        <f>IFERROR(__xludf.DUMMYFUNCTION("""COMPUTED_VALUE"""),51.55)</f>
        <v>51.55</v>
      </c>
      <c r="K621" s="3">
        <f>IFERROR(__xludf.DUMMYFUNCTION("""COMPUTED_VALUE"""),45097.6875)</f>
        <v>45097.6875</v>
      </c>
      <c r="L621" s="2">
        <f>IFERROR(__xludf.DUMMYFUNCTION("""COMPUTED_VALUE"""),44.82)</f>
        <v>44.82</v>
      </c>
      <c r="N621" s="3">
        <f>IFERROR(__xludf.DUMMYFUNCTION("""COMPUTED_VALUE"""),45097.66666666667)</f>
        <v>45097.66667</v>
      </c>
      <c r="O621" s="2">
        <f>IFERROR(__xludf.DUMMYFUNCTION("""COMPUTED_VALUE"""),35.07)</f>
        <v>35.07</v>
      </c>
      <c r="Q621" s="3">
        <f>IFERROR(__xludf.DUMMYFUNCTION("""COMPUTED_VALUE"""),45097.66666666667)</f>
        <v>45097.66667</v>
      </c>
      <c r="R621" s="2">
        <f>IFERROR(__xludf.DUMMYFUNCTION("""COMPUTED_VALUE"""),148.16)</f>
        <v>148.16</v>
      </c>
    </row>
    <row r="622">
      <c r="B622" s="3">
        <f>IFERROR(__xludf.DUMMYFUNCTION("""COMPUTED_VALUE"""),45098.66666666667)</f>
        <v>45098.66667</v>
      </c>
      <c r="C622" s="2">
        <f>IFERROR(__xludf.DUMMYFUNCTION("""COMPUTED_VALUE"""),50.85)</f>
        <v>50.85</v>
      </c>
      <c r="K622" s="3">
        <f>IFERROR(__xludf.DUMMYFUNCTION("""COMPUTED_VALUE"""),45098.6875)</f>
        <v>45098.6875</v>
      </c>
      <c r="L622" s="2">
        <f>IFERROR(__xludf.DUMMYFUNCTION("""COMPUTED_VALUE"""),43.75)</f>
        <v>43.75</v>
      </c>
      <c r="N622" s="3">
        <f>IFERROR(__xludf.DUMMYFUNCTION("""COMPUTED_VALUE"""),45098.66666666667)</f>
        <v>45098.66667</v>
      </c>
      <c r="O622" s="2">
        <f>IFERROR(__xludf.DUMMYFUNCTION("""COMPUTED_VALUE"""),35.43)</f>
        <v>35.43</v>
      </c>
      <c r="Q622" s="3">
        <f>IFERROR(__xludf.DUMMYFUNCTION("""COMPUTED_VALUE"""),45098.66666666667)</f>
        <v>45098.66667</v>
      </c>
      <c r="R622" s="2">
        <f>IFERROR(__xludf.DUMMYFUNCTION("""COMPUTED_VALUE"""),149.44)</f>
        <v>149.44</v>
      </c>
    </row>
    <row r="623">
      <c r="B623" s="3">
        <f>IFERROR(__xludf.DUMMYFUNCTION("""COMPUTED_VALUE"""),45099.66666666667)</f>
        <v>45099.66667</v>
      </c>
      <c r="C623" s="2">
        <f>IFERROR(__xludf.DUMMYFUNCTION("""COMPUTED_VALUE"""),51.12)</f>
        <v>51.12</v>
      </c>
      <c r="K623" s="3">
        <f>IFERROR(__xludf.DUMMYFUNCTION("""COMPUTED_VALUE"""),45099.6875)</f>
        <v>45099.6875</v>
      </c>
      <c r="L623" s="2">
        <f>IFERROR(__xludf.DUMMYFUNCTION("""COMPUTED_VALUE"""),42.91)</f>
        <v>42.91</v>
      </c>
      <c r="N623" s="3">
        <f>IFERROR(__xludf.DUMMYFUNCTION("""COMPUTED_VALUE"""),45099.66666666667)</f>
        <v>45099.66667</v>
      </c>
      <c r="O623" s="2">
        <f>IFERROR(__xludf.DUMMYFUNCTION("""COMPUTED_VALUE"""),35.24)</f>
        <v>35.24</v>
      </c>
      <c r="Q623" s="3">
        <f>IFERROR(__xludf.DUMMYFUNCTION("""COMPUTED_VALUE"""),45099.66666666667)</f>
        <v>45099.66667</v>
      </c>
      <c r="R623" s="2">
        <f>IFERROR(__xludf.DUMMYFUNCTION("""COMPUTED_VALUE"""),149.95)</f>
        <v>149.95</v>
      </c>
    </row>
    <row r="624">
      <c r="B624" s="3">
        <f>IFERROR(__xludf.DUMMYFUNCTION("""COMPUTED_VALUE"""),45100.66666666667)</f>
        <v>45100.66667</v>
      </c>
      <c r="C624" s="2">
        <f>IFERROR(__xludf.DUMMYFUNCTION("""COMPUTED_VALUE"""),50.33)</f>
        <v>50.33</v>
      </c>
      <c r="K624" s="3">
        <f>IFERROR(__xludf.DUMMYFUNCTION("""COMPUTED_VALUE"""),45100.6875)</f>
        <v>45100.6875</v>
      </c>
      <c r="L624" s="2">
        <f>IFERROR(__xludf.DUMMYFUNCTION("""COMPUTED_VALUE"""),42.32)</f>
        <v>42.32</v>
      </c>
      <c r="N624" s="3">
        <f>IFERROR(__xludf.DUMMYFUNCTION("""COMPUTED_VALUE"""),45100.66666666667)</f>
        <v>45100.66667</v>
      </c>
      <c r="O624" s="2">
        <f>IFERROR(__xludf.DUMMYFUNCTION("""COMPUTED_VALUE"""),34.81)</f>
        <v>34.81</v>
      </c>
      <c r="Q624" s="3">
        <f>IFERROR(__xludf.DUMMYFUNCTION("""COMPUTED_VALUE"""),45100.66666666667)</f>
        <v>45100.66667</v>
      </c>
      <c r="R624" s="2">
        <f>IFERROR(__xludf.DUMMYFUNCTION("""COMPUTED_VALUE"""),148.46)</f>
        <v>148.46</v>
      </c>
    </row>
    <row r="625">
      <c r="B625" s="3">
        <f>IFERROR(__xludf.DUMMYFUNCTION("""COMPUTED_VALUE"""),45103.66666666667)</f>
        <v>45103.66667</v>
      </c>
      <c r="C625" s="2">
        <f>IFERROR(__xludf.DUMMYFUNCTION("""COMPUTED_VALUE"""),50.21)</f>
        <v>50.21</v>
      </c>
      <c r="K625" s="3">
        <f>IFERROR(__xludf.DUMMYFUNCTION("""COMPUTED_VALUE"""),45103.6875)</f>
        <v>45103.6875</v>
      </c>
      <c r="L625" s="2">
        <f>IFERROR(__xludf.DUMMYFUNCTION("""COMPUTED_VALUE"""),41.96)</f>
        <v>41.96</v>
      </c>
      <c r="N625" s="3">
        <f>IFERROR(__xludf.DUMMYFUNCTION("""COMPUTED_VALUE"""),45103.66666666667)</f>
        <v>45103.66667</v>
      </c>
      <c r="O625" s="2">
        <f>IFERROR(__xludf.DUMMYFUNCTION("""COMPUTED_VALUE"""),35.24)</f>
        <v>35.24</v>
      </c>
      <c r="Q625" s="3">
        <f>IFERROR(__xludf.DUMMYFUNCTION("""COMPUTED_VALUE"""),45103.66666666667)</f>
        <v>45103.66667</v>
      </c>
      <c r="R625" s="2">
        <f>IFERROR(__xludf.DUMMYFUNCTION("""COMPUTED_VALUE"""),148.61)</f>
        <v>148.61</v>
      </c>
    </row>
    <row r="626">
      <c r="B626" s="3">
        <f>IFERROR(__xludf.DUMMYFUNCTION("""COMPUTED_VALUE"""),45104.66666666667)</f>
        <v>45104.66667</v>
      </c>
      <c r="C626" s="2">
        <f>IFERROR(__xludf.DUMMYFUNCTION("""COMPUTED_VALUE"""),50.86)</f>
        <v>50.86</v>
      </c>
      <c r="K626" s="3">
        <f>IFERROR(__xludf.DUMMYFUNCTION("""COMPUTED_VALUE"""),45104.6875)</f>
        <v>45104.6875</v>
      </c>
      <c r="L626" s="2">
        <f>IFERROR(__xludf.DUMMYFUNCTION("""COMPUTED_VALUE"""),42.5)</f>
        <v>42.5</v>
      </c>
      <c r="N626" s="3">
        <f>IFERROR(__xludf.DUMMYFUNCTION("""COMPUTED_VALUE"""),45104.66666666667)</f>
        <v>45104.66667</v>
      </c>
      <c r="O626" s="2">
        <f>IFERROR(__xludf.DUMMYFUNCTION("""COMPUTED_VALUE"""),34.85)</f>
        <v>34.85</v>
      </c>
      <c r="Q626" s="3">
        <f>IFERROR(__xludf.DUMMYFUNCTION("""COMPUTED_VALUE"""),45104.66666666667)</f>
        <v>45104.66667</v>
      </c>
      <c r="R626" s="2">
        <f>IFERROR(__xludf.DUMMYFUNCTION("""COMPUTED_VALUE"""),150.02)</f>
        <v>150.02</v>
      </c>
    </row>
    <row r="627">
      <c r="B627" s="3">
        <f>IFERROR(__xludf.DUMMYFUNCTION("""COMPUTED_VALUE"""),45105.66666666667)</f>
        <v>45105.66667</v>
      </c>
      <c r="C627" s="2">
        <f>IFERROR(__xludf.DUMMYFUNCTION("""COMPUTED_VALUE"""),50.87)</f>
        <v>50.87</v>
      </c>
      <c r="K627" s="3">
        <f>IFERROR(__xludf.DUMMYFUNCTION("""COMPUTED_VALUE"""),45105.6875)</f>
        <v>45105.6875</v>
      </c>
      <c r="L627" s="2">
        <f>IFERROR(__xludf.DUMMYFUNCTION("""COMPUTED_VALUE"""),42.65)</f>
        <v>42.65</v>
      </c>
      <c r="N627" s="3">
        <f>IFERROR(__xludf.DUMMYFUNCTION("""COMPUTED_VALUE"""),45105.66666666667)</f>
        <v>45105.66667</v>
      </c>
      <c r="O627" s="2">
        <f>IFERROR(__xludf.DUMMYFUNCTION("""COMPUTED_VALUE"""),34.89)</f>
        <v>34.89</v>
      </c>
      <c r="Q627" s="3">
        <f>IFERROR(__xludf.DUMMYFUNCTION("""COMPUTED_VALUE"""),45105.66666666667)</f>
        <v>45105.66667</v>
      </c>
      <c r="R627" s="2">
        <f>IFERROR(__xludf.DUMMYFUNCTION("""COMPUTED_VALUE"""),149.99)</f>
        <v>149.99</v>
      </c>
    </row>
    <row r="628">
      <c r="B628" s="3">
        <f>IFERROR(__xludf.DUMMYFUNCTION("""COMPUTED_VALUE"""),45106.66666666667)</f>
        <v>45106.66667</v>
      </c>
      <c r="C628" s="2">
        <f>IFERROR(__xludf.DUMMYFUNCTION("""COMPUTED_VALUE"""),51.21)</f>
        <v>51.21</v>
      </c>
      <c r="K628" s="3">
        <f>IFERROR(__xludf.DUMMYFUNCTION("""COMPUTED_VALUE"""),45106.6875)</f>
        <v>45106.6875</v>
      </c>
      <c r="L628" s="2">
        <f>IFERROR(__xludf.DUMMYFUNCTION("""COMPUTED_VALUE"""),42.77)</f>
        <v>42.77</v>
      </c>
      <c r="N628" s="3">
        <f>IFERROR(__xludf.DUMMYFUNCTION("""COMPUTED_VALUE"""),45106.66666666667)</f>
        <v>45106.66667</v>
      </c>
      <c r="O628" s="2">
        <f>IFERROR(__xludf.DUMMYFUNCTION("""COMPUTED_VALUE"""),34.97)</f>
        <v>34.97</v>
      </c>
      <c r="Q628" s="3">
        <f>IFERROR(__xludf.DUMMYFUNCTION("""COMPUTED_VALUE"""),45106.66666666667)</f>
        <v>45106.66667</v>
      </c>
      <c r="R628" s="2">
        <f>IFERROR(__xludf.DUMMYFUNCTION("""COMPUTED_VALUE"""),149.38)</f>
        <v>149.38</v>
      </c>
    </row>
    <row r="629">
      <c r="B629" s="3">
        <f>IFERROR(__xludf.DUMMYFUNCTION("""COMPUTED_VALUE"""),45107.66666666667)</f>
        <v>45107.66667</v>
      </c>
      <c r="C629" s="2">
        <f>IFERROR(__xludf.DUMMYFUNCTION("""COMPUTED_VALUE"""),51.74)</f>
        <v>51.74</v>
      </c>
      <c r="K629" s="3">
        <f>IFERROR(__xludf.DUMMYFUNCTION("""COMPUTED_VALUE"""),45107.6875)</f>
        <v>45107.6875</v>
      </c>
      <c r="L629" s="2">
        <f>IFERROR(__xludf.DUMMYFUNCTION("""COMPUTED_VALUE"""),43.59)</f>
        <v>43.59</v>
      </c>
      <c r="N629" s="3">
        <f>IFERROR(__xludf.DUMMYFUNCTION("""COMPUTED_VALUE"""),45107.66666666667)</f>
        <v>45107.66667</v>
      </c>
      <c r="O629" s="2">
        <f>IFERROR(__xludf.DUMMYFUNCTION("""COMPUTED_VALUE"""),35.29)</f>
        <v>35.29</v>
      </c>
      <c r="Q629" s="3">
        <f>IFERROR(__xludf.DUMMYFUNCTION("""COMPUTED_VALUE"""),45107.66666666667)</f>
        <v>45107.66667</v>
      </c>
      <c r="R629" s="2">
        <f>IFERROR(__xludf.DUMMYFUNCTION("""COMPUTED_VALUE"""),151.74)</f>
        <v>151.74</v>
      </c>
    </row>
    <row r="630">
      <c r="B630" s="3">
        <f>IFERROR(__xludf.DUMMYFUNCTION("""COMPUTED_VALUE"""),45110.54513888889)</f>
        <v>45110.54514</v>
      </c>
      <c r="C630" s="2">
        <f>IFERROR(__xludf.DUMMYFUNCTION("""COMPUTED_VALUE"""),51.82)</f>
        <v>51.82</v>
      </c>
      <c r="K630" s="3">
        <f>IFERROR(__xludf.DUMMYFUNCTION("""COMPUTED_VALUE"""),45110.6875)</f>
        <v>45110.6875</v>
      </c>
      <c r="L630" s="2">
        <f>IFERROR(__xludf.DUMMYFUNCTION("""COMPUTED_VALUE"""),44.23)</f>
        <v>44.23</v>
      </c>
      <c r="N630" s="3">
        <f>IFERROR(__xludf.DUMMYFUNCTION("""COMPUTED_VALUE"""),45110.54166666667)</f>
        <v>45110.54167</v>
      </c>
      <c r="O630" s="2">
        <f>IFERROR(__xludf.DUMMYFUNCTION("""COMPUTED_VALUE"""),35.93)</f>
        <v>35.93</v>
      </c>
      <c r="Q630" s="3">
        <f>IFERROR(__xludf.DUMMYFUNCTION("""COMPUTED_VALUE"""),45110.54166666667)</f>
        <v>45110.54167</v>
      </c>
      <c r="R630" s="2">
        <f>IFERROR(__xludf.DUMMYFUNCTION("""COMPUTED_VALUE"""),152.5)</f>
        <v>152.5</v>
      </c>
    </row>
    <row r="631">
      <c r="B631" s="3">
        <f>IFERROR(__xludf.DUMMYFUNCTION("""COMPUTED_VALUE"""),45112.66666666667)</f>
        <v>45112.66667</v>
      </c>
      <c r="C631" s="2">
        <f>IFERROR(__xludf.DUMMYFUNCTION("""COMPUTED_VALUE"""),51.51)</f>
        <v>51.51</v>
      </c>
      <c r="K631" s="3">
        <f>IFERROR(__xludf.DUMMYFUNCTION("""COMPUTED_VALUE"""),45111.6875)</f>
        <v>45111.6875</v>
      </c>
      <c r="L631" s="2">
        <f>IFERROR(__xludf.DUMMYFUNCTION("""COMPUTED_VALUE"""),43.88)</f>
        <v>43.88</v>
      </c>
      <c r="N631" s="3">
        <f>IFERROR(__xludf.DUMMYFUNCTION("""COMPUTED_VALUE"""),45112.66666666667)</f>
        <v>45112.66667</v>
      </c>
      <c r="O631" s="2">
        <f>IFERROR(__xludf.DUMMYFUNCTION("""COMPUTED_VALUE"""),35.3)</f>
        <v>35.3</v>
      </c>
      <c r="Q631" s="3">
        <f>IFERROR(__xludf.DUMMYFUNCTION("""COMPUTED_VALUE"""),45112.66666666667)</f>
        <v>45112.66667</v>
      </c>
      <c r="R631" s="2">
        <f>IFERROR(__xludf.DUMMYFUNCTION("""COMPUTED_VALUE"""),152.24)</f>
        <v>152.24</v>
      </c>
    </row>
    <row r="632">
      <c r="B632" s="3">
        <f>IFERROR(__xludf.DUMMYFUNCTION("""COMPUTED_VALUE"""),45113.66666666667)</f>
        <v>45113.66667</v>
      </c>
      <c r="C632" s="2">
        <f>IFERROR(__xludf.DUMMYFUNCTION("""COMPUTED_VALUE"""),51.11)</f>
        <v>51.11</v>
      </c>
      <c r="K632" s="3">
        <f>IFERROR(__xludf.DUMMYFUNCTION("""COMPUTED_VALUE"""),45112.6875)</f>
        <v>45112.6875</v>
      </c>
      <c r="L632" s="2">
        <f>IFERROR(__xludf.DUMMYFUNCTION("""COMPUTED_VALUE"""),43.83)</f>
        <v>43.83</v>
      </c>
      <c r="N632" s="3">
        <f>IFERROR(__xludf.DUMMYFUNCTION("""COMPUTED_VALUE"""),45113.66666666667)</f>
        <v>45113.66667</v>
      </c>
      <c r="O632" s="2">
        <f>IFERROR(__xludf.DUMMYFUNCTION("""COMPUTED_VALUE"""),34.79)</f>
        <v>34.79</v>
      </c>
      <c r="Q632" s="3">
        <f>IFERROR(__xludf.DUMMYFUNCTION("""COMPUTED_VALUE"""),45113.66666666667)</f>
        <v>45113.66667</v>
      </c>
      <c r="R632" s="2">
        <f>IFERROR(__xludf.DUMMYFUNCTION("""COMPUTED_VALUE"""),151.99)</f>
        <v>151.99</v>
      </c>
    </row>
    <row r="633">
      <c r="B633" s="3">
        <f>IFERROR(__xludf.DUMMYFUNCTION("""COMPUTED_VALUE"""),45114.66666666667)</f>
        <v>45114.66667</v>
      </c>
      <c r="C633" s="2">
        <f>IFERROR(__xludf.DUMMYFUNCTION("""COMPUTED_VALUE"""),50.99)</f>
        <v>50.99</v>
      </c>
      <c r="K633" s="3">
        <f>IFERROR(__xludf.DUMMYFUNCTION("""COMPUTED_VALUE"""),45113.6875)</f>
        <v>45113.6875</v>
      </c>
      <c r="L633" s="2">
        <f>IFERROR(__xludf.DUMMYFUNCTION("""COMPUTED_VALUE"""),43.3)</f>
        <v>43.3</v>
      </c>
      <c r="N633" s="3">
        <f>IFERROR(__xludf.DUMMYFUNCTION("""COMPUTED_VALUE"""),45114.66666666667)</f>
        <v>45114.66667</v>
      </c>
      <c r="O633" s="2">
        <f>IFERROR(__xludf.DUMMYFUNCTION("""COMPUTED_VALUE"""),35.25)</f>
        <v>35.25</v>
      </c>
      <c r="Q633" s="3">
        <f>IFERROR(__xludf.DUMMYFUNCTION("""COMPUTED_VALUE"""),45114.66666666667)</f>
        <v>45114.66667</v>
      </c>
      <c r="R633" s="2">
        <f>IFERROR(__xludf.DUMMYFUNCTION("""COMPUTED_VALUE"""),148.8)</f>
        <v>148.8</v>
      </c>
    </row>
    <row r="634">
      <c r="B634" s="3">
        <f>IFERROR(__xludf.DUMMYFUNCTION("""COMPUTED_VALUE"""),45117.66666666667)</f>
        <v>45117.66667</v>
      </c>
      <c r="C634" s="2">
        <f>IFERROR(__xludf.DUMMYFUNCTION("""COMPUTED_VALUE"""),51.4)</f>
        <v>51.4</v>
      </c>
      <c r="K634" s="3">
        <f>IFERROR(__xludf.DUMMYFUNCTION("""COMPUTED_VALUE"""),45114.6875)</f>
        <v>45114.6875</v>
      </c>
      <c r="L634" s="2">
        <f>IFERROR(__xludf.DUMMYFUNCTION("""COMPUTED_VALUE"""),43.1)</f>
        <v>43.1</v>
      </c>
      <c r="N634" s="3">
        <f>IFERROR(__xludf.DUMMYFUNCTION("""COMPUTED_VALUE"""),45117.66666666667)</f>
        <v>45117.66667</v>
      </c>
      <c r="O634" s="2">
        <f>IFERROR(__xludf.DUMMYFUNCTION("""COMPUTED_VALUE"""),35.21)</f>
        <v>35.21</v>
      </c>
      <c r="Q634" s="3">
        <f>IFERROR(__xludf.DUMMYFUNCTION("""COMPUTED_VALUE"""),45117.66666666667)</f>
        <v>45117.66667</v>
      </c>
      <c r="R634" s="2">
        <f>IFERROR(__xludf.DUMMYFUNCTION("""COMPUTED_VALUE"""),148.86)</f>
        <v>148.86</v>
      </c>
    </row>
    <row r="635">
      <c r="B635" s="3">
        <f>IFERROR(__xludf.DUMMYFUNCTION("""COMPUTED_VALUE"""),45118.66666666667)</f>
        <v>45118.66667</v>
      </c>
      <c r="C635" s="2">
        <f>IFERROR(__xludf.DUMMYFUNCTION("""COMPUTED_VALUE"""),52.12)</f>
        <v>52.12</v>
      </c>
      <c r="K635" s="3">
        <f>IFERROR(__xludf.DUMMYFUNCTION("""COMPUTED_VALUE"""),45117.6875)</f>
        <v>45117.6875</v>
      </c>
      <c r="L635" s="2">
        <f>IFERROR(__xludf.DUMMYFUNCTION("""COMPUTED_VALUE"""),43.05)</f>
        <v>43.05</v>
      </c>
      <c r="N635" s="3">
        <f>IFERROR(__xludf.DUMMYFUNCTION("""COMPUTED_VALUE"""),45118.66666666667)</f>
        <v>45118.66667</v>
      </c>
      <c r="O635" s="2">
        <f>IFERROR(__xludf.DUMMYFUNCTION("""COMPUTED_VALUE"""),35.91)</f>
        <v>35.91</v>
      </c>
      <c r="Q635" s="3">
        <f>IFERROR(__xludf.DUMMYFUNCTION("""COMPUTED_VALUE"""),45118.66666666667)</f>
        <v>45118.66667</v>
      </c>
      <c r="R635" s="2">
        <f>IFERROR(__xludf.DUMMYFUNCTION("""COMPUTED_VALUE"""),148.08)</f>
        <v>148.08</v>
      </c>
    </row>
    <row r="636">
      <c r="B636" s="3">
        <f>IFERROR(__xludf.DUMMYFUNCTION("""COMPUTED_VALUE"""),45119.66666666667)</f>
        <v>45119.66667</v>
      </c>
      <c r="C636" s="2">
        <f>IFERROR(__xludf.DUMMYFUNCTION("""COMPUTED_VALUE"""),50.74)</f>
        <v>50.74</v>
      </c>
      <c r="K636" s="3">
        <f>IFERROR(__xludf.DUMMYFUNCTION("""COMPUTED_VALUE"""),45118.6875)</f>
        <v>45118.6875</v>
      </c>
      <c r="L636" s="2">
        <f>IFERROR(__xludf.DUMMYFUNCTION("""COMPUTED_VALUE"""),43.37)</f>
        <v>43.37</v>
      </c>
      <c r="N636" s="3">
        <f>IFERROR(__xludf.DUMMYFUNCTION("""COMPUTED_VALUE"""),45119.66666666667)</f>
        <v>45119.66667</v>
      </c>
      <c r="O636" s="2">
        <f>IFERROR(__xludf.DUMMYFUNCTION("""COMPUTED_VALUE"""),36.31)</f>
        <v>36.31</v>
      </c>
      <c r="Q636" s="3">
        <f>IFERROR(__xludf.DUMMYFUNCTION("""COMPUTED_VALUE"""),45119.66666666667)</f>
        <v>45119.66667</v>
      </c>
      <c r="R636" s="2">
        <f>IFERROR(__xludf.DUMMYFUNCTION("""COMPUTED_VALUE"""),148.85)</f>
        <v>148.85</v>
      </c>
    </row>
    <row r="637">
      <c r="B637" s="3">
        <f>IFERROR(__xludf.DUMMYFUNCTION("""COMPUTED_VALUE"""),45120.66666666667)</f>
        <v>45120.66667</v>
      </c>
      <c r="C637" s="2">
        <f>IFERROR(__xludf.DUMMYFUNCTION("""COMPUTED_VALUE"""),51.53)</f>
        <v>51.53</v>
      </c>
      <c r="K637" s="3">
        <f>IFERROR(__xludf.DUMMYFUNCTION("""COMPUTED_VALUE"""),45119.6875)</f>
        <v>45119.6875</v>
      </c>
      <c r="L637" s="2">
        <f>IFERROR(__xludf.DUMMYFUNCTION("""COMPUTED_VALUE"""),44.53)</f>
        <v>44.53</v>
      </c>
      <c r="N637" s="3">
        <f>IFERROR(__xludf.DUMMYFUNCTION("""COMPUTED_VALUE"""),45120.66666666667)</f>
        <v>45120.66667</v>
      </c>
      <c r="O637" s="2">
        <f>IFERROR(__xludf.DUMMYFUNCTION("""COMPUTED_VALUE"""),36.53)</f>
        <v>36.53</v>
      </c>
      <c r="Q637" s="3">
        <f>IFERROR(__xludf.DUMMYFUNCTION("""COMPUTED_VALUE"""),45120.66666666667)</f>
        <v>45120.66667</v>
      </c>
      <c r="R637" s="2">
        <f>IFERROR(__xludf.DUMMYFUNCTION("""COMPUTED_VALUE"""),148.95)</f>
        <v>148.95</v>
      </c>
    </row>
    <row r="638">
      <c r="B638" s="3">
        <f>IFERROR(__xludf.DUMMYFUNCTION("""COMPUTED_VALUE"""),45121.66666666667)</f>
        <v>45121.66667</v>
      </c>
      <c r="C638" s="2">
        <f>IFERROR(__xludf.DUMMYFUNCTION("""COMPUTED_VALUE"""),50.38)</f>
        <v>50.38</v>
      </c>
      <c r="K638" s="3">
        <f>IFERROR(__xludf.DUMMYFUNCTION("""COMPUTED_VALUE"""),45120.6875)</f>
        <v>45120.6875</v>
      </c>
      <c r="L638" s="2">
        <f>IFERROR(__xludf.DUMMYFUNCTION("""COMPUTED_VALUE"""),44.73)</f>
        <v>44.73</v>
      </c>
      <c r="N638" s="3">
        <f>IFERROR(__xludf.DUMMYFUNCTION("""COMPUTED_VALUE"""),45121.66666666667)</f>
        <v>45121.66667</v>
      </c>
      <c r="O638" s="2">
        <f>IFERROR(__xludf.DUMMYFUNCTION("""COMPUTED_VALUE"""),35.52)</f>
        <v>35.52</v>
      </c>
      <c r="Q638" s="3">
        <f>IFERROR(__xludf.DUMMYFUNCTION("""COMPUTED_VALUE"""),45121.66666666667)</f>
        <v>45121.66667</v>
      </c>
      <c r="R638" s="2">
        <f>IFERROR(__xludf.DUMMYFUNCTION("""COMPUTED_VALUE"""),150.05)</f>
        <v>150.05</v>
      </c>
    </row>
    <row r="639">
      <c r="B639" s="3">
        <f>IFERROR(__xludf.DUMMYFUNCTION("""COMPUTED_VALUE"""),45124.66666666667)</f>
        <v>45124.66667</v>
      </c>
      <c r="C639" s="2">
        <f>IFERROR(__xludf.DUMMYFUNCTION("""COMPUTED_VALUE"""),50.81)</f>
        <v>50.81</v>
      </c>
      <c r="K639" s="3">
        <f>IFERROR(__xludf.DUMMYFUNCTION("""COMPUTED_VALUE"""),45121.6875)</f>
        <v>45121.6875</v>
      </c>
      <c r="L639" s="2">
        <f>IFERROR(__xludf.DUMMYFUNCTION("""COMPUTED_VALUE"""),44.36)</f>
        <v>44.36</v>
      </c>
      <c r="N639" s="3">
        <f>IFERROR(__xludf.DUMMYFUNCTION("""COMPUTED_VALUE"""),45124.66666666667)</f>
        <v>45124.66667</v>
      </c>
      <c r="O639" s="2">
        <f>IFERROR(__xludf.DUMMYFUNCTION("""COMPUTED_VALUE"""),35.32)</f>
        <v>35.32</v>
      </c>
      <c r="Q639" s="3">
        <f>IFERROR(__xludf.DUMMYFUNCTION("""COMPUTED_VALUE"""),45124.66666666667)</f>
        <v>45124.66667</v>
      </c>
      <c r="R639" s="2">
        <f>IFERROR(__xludf.DUMMYFUNCTION("""COMPUTED_VALUE"""),148.99)</f>
        <v>148.99</v>
      </c>
    </row>
    <row r="640">
      <c r="B640" s="3">
        <f>IFERROR(__xludf.DUMMYFUNCTION("""COMPUTED_VALUE"""),45125.66666666667)</f>
        <v>45125.66667</v>
      </c>
      <c r="C640" s="2">
        <f>IFERROR(__xludf.DUMMYFUNCTION("""COMPUTED_VALUE"""),51.24)</f>
        <v>51.24</v>
      </c>
      <c r="K640" s="3">
        <f>IFERROR(__xludf.DUMMYFUNCTION("""COMPUTED_VALUE"""),45124.6875)</f>
        <v>45124.6875</v>
      </c>
      <c r="L640" s="2">
        <f>IFERROR(__xludf.DUMMYFUNCTION("""COMPUTED_VALUE"""),44.84)</f>
        <v>44.84</v>
      </c>
      <c r="N640" s="3">
        <f>IFERROR(__xludf.DUMMYFUNCTION("""COMPUTED_VALUE"""),45125.66666666667)</f>
        <v>45125.66667</v>
      </c>
      <c r="O640" s="2">
        <f>IFERROR(__xludf.DUMMYFUNCTION("""COMPUTED_VALUE"""),35.79)</f>
        <v>35.79</v>
      </c>
      <c r="Q640" s="3">
        <f>IFERROR(__xludf.DUMMYFUNCTION("""COMPUTED_VALUE"""),45125.66666666667)</f>
        <v>45125.66667</v>
      </c>
      <c r="R640" s="2">
        <f>IFERROR(__xludf.DUMMYFUNCTION("""COMPUTED_VALUE"""),149.27)</f>
        <v>149.27</v>
      </c>
    </row>
    <row r="641">
      <c r="B641" s="3">
        <f>IFERROR(__xludf.DUMMYFUNCTION("""COMPUTED_VALUE"""),45126.66666666667)</f>
        <v>45126.66667</v>
      </c>
      <c r="C641" s="2">
        <f>IFERROR(__xludf.DUMMYFUNCTION("""COMPUTED_VALUE"""),52.43)</f>
        <v>52.43</v>
      </c>
      <c r="K641" s="3">
        <f>IFERROR(__xludf.DUMMYFUNCTION("""COMPUTED_VALUE"""),45125.6875)</f>
        <v>45125.6875</v>
      </c>
      <c r="L641" s="2">
        <f>IFERROR(__xludf.DUMMYFUNCTION("""COMPUTED_VALUE"""),45.69)</f>
        <v>45.69</v>
      </c>
      <c r="N641" s="3">
        <f>IFERROR(__xludf.DUMMYFUNCTION("""COMPUTED_VALUE"""),45126.66666666667)</f>
        <v>45126.66667</v>
      </c>
      <c r="O641" s="2">
        <f>IFERROR(__xludf.DUMMYFUNCTION("""COMPUTED_VALUE"""),36.15)</f>
        <v>36.15</v>
      </c>
      <c r="Q641" s="3">
        <f>IFERROR(__xludf.DUMMYFUNCTION("""COMPUTED_VALUE"""),45126.66666666667)</f>
        <v>45126.66667</v>
      </c>
      <c r="R641" s="2">
        <f>IFERROR(__xludf.DUMMYFUNCTION("""COMPUTED_VALUE"""),150.29)</f>
        <v>150.29</v>
      </c>
    </row>
    <row r="642">
      <c r="B642" s="3">
        <f>IFERROR(__xludf.DUMMYFUNCTION("""COMPUTED_VALUE"""),45127.66666666667)</f>
        <v>45127.66667</v>
      </c>
      <c r="C642" s="2">
        <f>IFERROR(__xludf.DUMMYFUNCTION("""COMPUTED_VALUE"""),52.37)</f>
        <v>52.37</v>
      </c>
      <c r="K642" s="3">
        <f>IFERROR(__xludf.DUMMYFUNCTION("""COMPUTED_VALUE"""),45126.6875)</f>
        <v>45126.6875</v>
      </c>
      <c r="L642" s="2">
        <f>IFERROR(__xludf.DUMMYFUNCTION("""COMPUTED_VALUE"""),46.7)</f>
        <v>46.7</v>
      </c>
      <c r="N642" s="3">
        <f>IFERROR(__xludf.DUMMYFUNCTION("""COMPUTED_VALUE"""),45127.66666666667)</f>
        <v>45127.66667</v>
      </c>
      <c r="O642" s="2">
        <f>IFERROR(__xludf.DUMMYFUNCTION("""COMPUTED_VALUE"""),36.54)</f>
        <v>36.54</v>
      </c>
      <c r="Q642" s="3">
        <f>IFERROR(__xludf.DUMMYFUNCTION("""COMPUTED_VALUE"""),45127.66666666667)</f>
        <v>45127.66667</v>
      </c>
      <c r="R642" s="2">
        <f>IFERROR(__xludf.DUMMYFUNCTION("""COMPUTED_VALUE"""),150.56)</f>
        <v>150.56</v>
      </c>
    </row>
    <row r="643">
      <c r="B643" s="3">
        <f>IFERROR(__xludf.DUMMYFUNCTION("""COMPUTED_VALUE"""),45128.66666666667)</f>
        <v>45128.66667</v>
      </c>
      <c r="C643" s="2">
        <f>IFERROR(__xludf.DUMMYFUNCTION("""COMPUTED_VALUE"""),52.63)</f>
        <v>52.63</v>
      </c>
      <c r="K643" s="3">
        <f>IFERROR(__xludf.DUMMYFUNCTION("""COMPUTED_VALUE"""),45127.6875)</f>
        <v>45127.6875</v>
      </c>
      <c r="L643" s="2">
        <f>IFERROR(__xludf.DUMMYFUNCTION("""COMPUTED_VALUE"""),46.34)</f>
        <v>46.34</v>
      </c>
      <c r="N643" s="3">
        <f>IFERROR(__xludf.DUMMYFUNCTION("""COMPUTED_VALUE"""),45128.66666666667)</f>
        <v>45128.66667</v>
      </c>
      <c r="O643" s="2">
        <f>IFERROR(__xludf.DUMMYFUNCTION("""COMPUTED_VALUE"""),36.7)</f>
        <v>36.7</v>
      </c>
      <c r="Q643" s="3">
        <f>IFERROR(__xludf.DUMMYFUNCTION("""COMPUTED_VALUE"""),45128.66666666667)</f>
        <v>45128.66667</v>
      </c>
      <c r="R643" s="2">
        <f>IFERROR(__xludf.DUMMYFUNCTION("""COMPUTED_VALUE"""),152.93)</f>
        <v>152.93</v>
      </c>
    </row>
    <row r="644">
      <c r="B644" s="3">
        <f>IFERROR(__xludf.DUMMYFUNCTION("""COMPUTED_VALUE"""),45131.66666666667)</f>
        <v>45131.66667</v>
      </c>
      <c r="C644" s="2">
        <f>IFERROR(__xludf.DUMMYFUNCTION("""COMPUTED_VALUE"""),53.11)</f>
        <v>53.11</v>
      </c>
      <c r="K644" s="3">
        <f>IFERROR(__xludf.DUMMYFUNCTION("""COMPUTED_VALUE"""),45128.6875)</f>
        <v>45128.6875</v>
      </c>
      <c r="L644" s="2">
        <f>IFERROR(__xludf.DUMMYFUNCTION("""COMPUTED_VALUE"""),45.86)</f>
        <v>45.86</v>
      </c>
      <c r="N644" s="3">
        <f>IFERROR(__xludf.DUMMYFUNCTION("""COMPUTED_VALUE"""),45131.66666666667)</f>
        <v>45131.66667</v>
      </c>
      <c r="O644" s="2">
        <f>IFERROR(__xludf.DUMMYFUNCTION("""COMPUTED_VALUE"""),37.18)</f>
        <v>37.18</v>
      </c>
      <c r="Q644" s="3">
        <f>IFERROR(__xludf.DUMMYFUNCTION("""COMPUTED_VALUE"""),45131.66666666667)</f>
        <v>45131.66667</v>
      </c>
      <c r="R644" s="2">
        <f>IFERROR(__xludf.DUMMYFUNCTION("""COMPUTED_VALUE"""),153.42)</f>
        <v>153.42</v>
      </c>
    </row>
    <row r="645">
      <c r="B645" s="3">
        <f>IFERROR(__xludf.DUMMYFUNCTION("""COMPUTED_VALUE"""),45132.66666666667)</f>
        <v>45132.66667</v>
      </c>
      <c r="C645" s="2">
        <f>IFERROR(__xludf.DUMMYFUNCTION("""COMPUTED_VALUE"""),53.6)</f>
        <v>53.6</v>
      </c>
      <c r="K645" s="3">
        <f>IFERROR(__xludf.DUMMYFUNCTION("""COMPUTED_VALUE"""),45131.6875)</f>
        <v>45131.6875</v>
      </c>
      <c r="L645" s="2">
        <f>IFERROR(__xludf.DUMMYFUNCTION("""COMPUTED_VALUE"""),46.05)</f>
        <v>46.05</v>
      </c>
      <c r="N645" s="3">
        <f>IFERROR(__xludf.DUMMYFUNCTION("""COMPUTED_VALUE"""),45132.66666666667)</f>
        <v>45132.66667</v>
      </c>
      <c r="O645" s="2">
        <f>IFERROR(__xludf.DUMMYFUNCTION("""COMPUTED_VALUE"""),37.23)</f>
        <v>37.23</v>
      </c>
      <c r="Q645" s="3">
        <f>IFERROR(__xludf.DUMMYFUNCTION("""COMPUTED_VALUE"""),45132.66666666667)</f>
        <v>45132.66667</v>
      </c>
      <c r="R645" s="2">
        <f>IFERROR(__xludf.DUMMYFUNCTION("""COMPUTED_VALUE"""),153.78)</f>
        <v>153.78</v>
      </c>
    </row>
    <row r="646">
      <c r="B646" s="3">
        <f>IFERROR(__xludf.DUMMYFUNCTION("""COMPUTED_VALUE"""),45133.66666666667)</f>
        <v>45133.66667</v>
      </c>
      <c r="C646" s="2">
        <f>IFERROR(__xludf.DUMMYFUNCTION("""COMPUTED_VALUE"""),53.22)</f>
        <v>53.22</v>
      </c>
      <c r="K646" s="3">
        <f>IFERROR(__xludf.DUMMYFUNCTION("""COMPUTED_VALUE"""),45132.6875)</f>
        <v>45132.6875</v>
      </c>
      <c r="L646" s="2">
        <f>IFERROR(__xludf.DUMMYFUNCTION("""COMPUTED_VALUE"""),46.1)</f>
        <v>46.1</v>
      </c>
      <c r="N646" s="3">
        <f>IFERROR(__xludf.DUMMYFUNCTION("""COMPUTED_VALUE"""),45133.66666666667)</f>
        <v>45133.66667</v>
      </c>
      <c r="O646" s="2">
        <f>IFERROR(__xludf.DUMMYFUNCTION("""COMPUTED_VALUE"""),37.1)</f>
        <v>37.1</v>
      </c>
      <c r="Q646" s="3">
        <f>IFERROR(__xludf.DUMMYFUNCTION("""COMPUTED_VALUE"""),45133.66666666667)</f>
        <v>45133.66667</v>
      </c>
      <c r="R646" s="2">
        <f>IFERROR(__xludf.DUMMYFUNCTION("""COMPUTED_VALUE"""),153.94)</f>
        <v>153.94</v>
      </c>
    </row>
    <row r="647">
      <c r="B647" s="3">
        <f>IFERROR(__xludf.DUMMYFUNCTION("""COMPUTED_VALUE"""),45134.66666666667)</f>
        <v>45134.66667</v>
      </c>
      <c r="C647" s="2">
        <f>IFERROR(__xludf.DUMMYFUNCTION("""COMPUTED_VALUE"""),53.0)</f>
        <v>53</v>
      </c>
      <c r="K647" s="3">
        <f>IFERROR(__xludf.DUMMYFUNCTION("""COMPUTED_VALUE"""),45133.6875)</f>
        <v>45133.6875</v>
      </c>
      <c r="L647" s="2">
        <f>IFERROR(__xludf.DUMMYFUNCTION("""COMPUTED_VALUE"""),45.33)</f>
        <v>45.33</v>
      </c>
      <c r="N647" s="3">
        <f>IFERROR(__xludf.DUMMYFUNCTION("""COMPUTED_VALUE"""),45134.66666666667)</f>
        <v>45134.66667</v>
      </c>
      <c r="O647" s="2">
        <f>IFERROR(__xludf.DUMMYFUNCTION("""COMPUTED_VALUE"""),36.66)</f>
        <v>36.66</v>
      </c>
      <c r="Q647" s="3">
        <f>IFERROR(__xludf.DUMMYFUNCTION("""COMPUTED_VALUE"""),45134.66666666667)</f>
        <v>45134.66667</v>
      </c>
      <c r="R647" s="2">
        <f>IFERROR(__xludf.DUMMYFUNCTION("""COMPUTED_VALUE"""),152.11)</f>
        <v>152.11</v>
      </c>
    </row>
    <row r="648">
      <c r="B648" s="3">
        <f>IFERROR(__xludf.DUMMYFUNCTION("""COMPUTED_VALUE"""),45135.66666666667)</f>
        <v>45135.66667</v>
      </c>
      <c r="C648" s="2">
        <f>IFERROR(__xludf.DUMMYFUNCTION("""COMPUTED_VALUE"""),52.09)</f>
        <v>52.09</v>
      </c>
      <c r="K648" s="3">
        <f>IFERROR(__xludf.DUMMYFUNCTION("""COMPUTED_VALUE"""),45134.6875)</f>
        <v>45134.6875</v>
      </c>
      <c r="L648" s="2">
        <f>IFERROR(__xludf.DUMMYFUNCTION("""COMPUTED_VALUE"""),45.05)</f>
        <v>45.05</v>
      </c>
      <c r="N648" s="3">
        <f>IFERROR(__xludf.DUMMYFUNCTION("""COMPUTED_VALUE"""),45135.66666666667)</f>
        <v>45135.66667</v>
      </c>
      <c r="O648" s="2">
        <f>IFERROR(__xludf.DUMMYFUNCTION("""COMPUTED_VALUE"""),36.71)</f>
        <v>36.71</v>
      </c>
      <c r="Q648" s="3">
        <f>IFERROR(__xludf.DUMMYFUNCTION("""COMPUTED_VALUE"""),45135.66666666667)</f>
        <v>45135.66667</v>
      </c>
      <c r="R648" s="2">
        <f>IFERROR(__xludf.DUMMYFUNCTION("""COMPUTED_VALUE"""),156.41)</f>
        <v>156.41</v>
      </c>
    </row>
    <row r="649">
      <c r="B649" s="3">
        <f>IFERROR(__xludf.DUMMYFUNCTION("""COMPUTED_VALUE"""),45138.66666666667)</f>
        <v>45138.66667</v>
      </c>
      <c r="C649" s="2">
        <f>IFERROR(__xludf.DUMMYFUNCTION("""COMPUTED_VALUE"""),52.04)</f>
        <v>52.04</v>
      </c>
      <c r="K649" s="3">
        <f>IFERROR(__xludf.DUMMYFUNCTION("""COMPUTED_VALUE"""),45135.6875)</f>
        <v>45135.6875</v>
      </c>
      <c r="L649" s="2">
        <f>IFERROR(__xludf.DUMMYFUNCTION("""COMPUTED_VALUE"""),45.13)</f>
        <v>45.13</v>
      </c>
      <c r="N649" s="3">
        <f>IFERROR(__xludf.DUMMYFUNCTION("""COMPUTED_VALUE"""),45138.66666666667)</f>
        <v>45138.66667</v>
      </c>
      <c r="O649" s="2">
        <f>IFERROR(__xludf.DUMMYFUNCTION("""COMPUTED_VALUE"""),37.3)</f>
        <v>37.3</v>
      </c>
      <c r="Q649" s="3">
        <f>IFERROR(__xludf.DUMMYFUNCTION("""COMPUTED_VALUE"""),45138.66666666667)</f>
        <v>45138.66667</v>
      </c>
      <c r="R649" s="2">
        <f>IFERROR(__xludf.DUMMYFUNCTION("""COMPUTED_VALUE"""),156.3)</f>
        <v>156.3</v>
      </c>
    </row>
    <row r="650">
      <c r="B650" s="3">
        <f>IFERROR(__xludf.DUMMYFUNCTION("""COMPUTED_VALUE"""),45139.66666666667)</f>
        <v>45139.66667</v>
      </c>
      <c r="C650" s="2">
        <f>IFERROR(__xludf.DUMMYFUNCTION("""COMPUTED_VALUE"""),52.66)</f>
        <v>52.66</v>
      </c>
      <c r="K650" s="3">
        <f>IFERROR(__xludf.DUMMYFUNCTION("""COMPUTED_VALUE"""),45138.6875)</f>
        <v>45138.6875</v>
      </c>
      <c r="L650" s="2">
        <f>IFERROR(__xludf.DUMMYFUNCTION("""COMPUTED_VALUE"""),44.94)</f>
        <v>44.94</v>
      </c>
      <c r="N650" s="3">
        <f>IFERROR(__xludf.DUMMYFUNCTION("""COMPUTED_VALUE"""),45139.66666666667)</f>
        <v>45139.66667</v>
      </c>
      <c r="O650" s="2">
        <f>IFERROR(__xludf.DUMMYFUNCTION("""COMPUTED_VALUE"""),36.96)</f>
        <v>36.96</v>
      </c>
      <c r="Q650" s="3">
        <f>IFERROR(__xludf.DUMMYFUNCTION("""COMPUTED_VALUE"""),45139.66666666667)</f>
        <v>45139.66667</v>
      </c>
      <c r="R650" s="2">
        <f>IFERROR(__xludf.DUMMYFUNCTION("""COMPUTED_VALUE"""),156.25)</f>
        <v>156.25</v>
      </c>
    </row>
    <row r="651">
      <c r="B651" s="3">
        <f>IFERROR(__xludf.DUMMYFUNCTION("""COMPUTED_VALUE"""),45140.66666666667)</f>
        <v>45140.66667</v>
      </c>
      <c r="C651" s="2">
        <f>IFERROR(__xludf.DUMMYFUNCTION("""COMPUTED_VALUE"""),52.58)</f>
        <v>52.58</v>
      </c>
      <c r="K651" s="3">
        <f>IFERROR(__xludf.DUMMYFUNCTION("""COMPUTED_VALUE"""),45139.6875)</f>
        <v>45139.6875</v>
      </c>
      <c r="L651" s="2">
        <f>IFERROR(__xludf.DUMMYFUNCTION("""COMPUTED_VALUE"""),44.34)</f>
        <v>44.34</v>
      </c>
      <c r="N651" s="3">
        <f>IFERROR(__xludf.DUMMYFUNCTION("""COMPUTED_VALUE"""),45140.66666666667)</f>
        <v>45140.66667</v>
      </c>
      <c r="O651" s="2">
        <f>IFERROR(__xludf.DUMMYFUNCTION("""COMPUTED_VALUE"""),36.03)</f>
        <v>36.03</v>
      </c>
      <c r="Q651" s="3">
        <f>IFERROR(__xludf.DUMMYFUNCTION("""COMPUTED_VALUE"""),45140.66666666667)</f>
        <v>45140.66667</v>
      </c>
      <c r="R651" s="2">
        <f>IFERROR(__xludf.DUMMYFUNCTION("""COMPUTED_VALUE"""),156.59)</f>
        <v>156.59</v>
      </c>
    </row>
    <row r="652">
      <c r="B652" s="3">
        <f>IFERROR(__xludf.DUMMYFUNCTION("""COMPUTED_VALUE"""),45141.66666666667)</f>
        <v>45141.66667</v>
      </c>
      <c r="C652" s="2">
        <f>IFERROR(__xludf.DUMMYFUNCTION("""COMPUTED_VALUE"""),53.15)</f>
        <v>53.15</v>
      </c>
      <c r="K652" s="3">
        <f>IFERROR(__xludf.DUMMYFUNCTION("""COMPUTED_VALUE"""),45140.6875)</f>
        <v>45140.6875</v>
      </c>
      <c r="L652" s="2">
        <f>IFERROR(__xludf.DUMMYFUNCTION("""COMPUTED_VALUE"""),43.26)</f>
        <v>43.26</v>
      </c>
      <c r="N652" s="3">
        <f>IFERROR(__xludf.DUMMYFUNCTION("""COMPUTED_VALUE"""),45141.66666666667)</f>
        <v>45141.66667</v>
      </c>
      <c r="O652" s="2">
        <f>IFERROR(__xludf.DUMMYFUNCTION("""COMPUTED_VALUE"""),36.46)</f>
        <v>36.46</v>
      </c>
      <c r="Q652" s="3">
        <f>IFERROR(__xludf.DUMMYFUNCTION("""COMPUTED_VALUE"""),45141.66666666667)</f>
        <v>45141.66667</v>
      </c>
      <c r="R652" s="2">
        <f>IFERROR(__xludf.DUMMYFUNCTION("""COMPUTED_VALUE"""),157.0)</f>
        <v>157</v>
      </c>
    </row>
    <row r="653">
      <c r="B653" s="3">
        <f>IFERROR(__xludf.DUMMYFUNCTION("""COMPUTED_VALUE"""),45142.66666666667)</f>
        <v>45142.66667</v>
      </c>
      <c r="C653" s="2">
        <f>IFERROR(__xludf.DUMMYFUNCTION("""COMPUTED_VALUE"""),52.63)</f>
        <v>52.63</v>
      </c>
      <c r="K653" s="3">
        <f>IFERROR(__xludf.DUMMYFUNCTION("""COMPUTED_VALUE"""),45141.6875)</f>
        <v>45141.6875</v>
      </c>
      <c r="L653" s="2">
        <f>IFERROR(__xludf.DUMMYFUNCTION("""COMPUTED_VALUE"""),42.93)</f>
        <v>42.93</v>
      </c>
      <c r="N653" s="3">
        <f>IFERROR(__xludf.DUMMYFUNCTION("""COMPUTED_VALUE"""),45142.66666666667)</f>
        <v>45142.66667</v>
      </c>
      <c r="O653" s="2">
        <f>IFERROR(__xludf.DUMMYFUNCTION("""COMPUTED_VALUE"""),36.8)</f>
        <v>36.8</v>
      </c>
      <c r="Q653" s="3">
        <f>IFERROR(__xludf.DUMMYFUNCTION("""COMPUTED_VALUE"""),45142.66666666667)</f>
        <v>45142.66667</v>
      </c>
      <c r="R653" s="2">
        <f>IFERROR(__xludf.DUMMYFUNCTION("""COMPUTED_VALUE"""),155.28)</f>
        <v>155.28</v>
      </c>
    </row>
    <row r="654">
      <c r="B654" s="3">
        <f>IFERROR(__xludf.DUMMYFUNCTION("""COMPUTED_VALUE"""),45145.66666666667)</f>
        <v>45145.66667</v>
      </c>
      <c r="C654" s="2">
        <f>IFERROR(__xludf.DUMMYFUNCTION("""COMPUTED_VALUE"""),53.01)</f>
        <v>53.01</v>
      </c>
      <c r="K654" s="3">
        <f>IFERROR(__xludf.DUMMYFUNCTION("""COMPUTED_VALUE"""),45142.6875)</f>
        <v>45142.6875</v>
      </c>
      <c r="L654" s="2">
        <f>IFERROR(__xludf.DUMMYFUNCTION("""COMPUTED_VALUE"""),43.14)</f>
        <v>43.14</v>
      </c>
      <c r="N654" s="3">
        <f>IFERROR(__xludf.DUMMYFUNCTION("""COMPUTED_VALUE"""),45145.66666666667)</f>
        <v>45145.66667</v>
      </c>
      <c r="O654" s="2">
        <f>IFERROR(__xludf.DUMMYFUNCTION("""COMPUTED_VALUE"""),37.04)</f>
        <v>37.04</v>
      </c>
      <c r="Q654" s="3">
        <f>IFERROR(__xludf.DUMMYFUNCTION("""COMPUTED_VALUE"""),45145.66666666667)</f>
        <v>45145.66667</v>
      </c>
      <c r="R654" s="2">
        <f>IFERROR(__xludf.DUMMYFUNCTION("""COMPUTED_VALUE"""),156.92)</f>
        <v>156.92</v>
      </c>
    </row>
    <row r="655">
      <c r="B655" s="3">
        <f>IFERROR(__xludf.DUMMYFUNCTION("""COMPUTED_VALUE"""),45146.66666666667)</f>
        <v>45146.66667</v>
      </c>
      <c r="C655" s="2">
        <f>IFERROR(__xludf.DUMMYFUNCTION("""COMPUTED_VALUE"""),53.06)</f>
        <v>53.06</v>
      </c>
      <c r="K655" s="3">
        <f>IFERROR(__xludf.DUMMYFUNCTION("""COMPUTED_VALUE"""),45145.6875)</f>
        <v>45145.6875</v>
      </c>
      <c r="L655" s="2">
        <f>IFERROR(__xludf.DUMMYFUNCTION("""COMPUTED_VALUE"""),43.17)</f>
        <v>43.17</v>
      </c>
      <c r="N655" s="3">
        <f>IFERROR(__xludf.DUMMYFUNCTION("""COMPUTED_VALUE"""),45146.66666666667)</f>
        <v>45146.66667</v>
      </c>
      <c r="O655" s="2">
        <f>IFERROR(__xludf.DUMMYFUNCTION("""COMPUTED_VALUE"""),36.97)</f>
        <v>36.97</v>
      </c>
      <c r="Q655" s="3">
        <f>IFERROR(__xludf.DUMMYFUNCTION("""COMPUTED_VALUE"""),45146.66666666667)</f>
        <v>45146.66667</v>
      </c>
      <c r="R655" s="2">
        <f>IFERROR(__xludf.DUMMYFUNCTION("""COMPUTED_VALUE"""),157.09)</f>
        <v>157.09</v>
      </c>
    </row>
    <row r="656">
      <c r="B656" s="3">
        <f>IFERROR(__xludf.DUMMYFUNCTION("""COMPUTED_VALUE"""),45147.66666666667)</f>
        <v>45147.66667</v>
      </c>
      <c r="C656" s="2">
        <f>IFERROR(__xludf.DUMMYFUNCTION("""COMPUTED_VALUE"""),52.99)</f>
        <v>52.99</v>
      </c>
      <c r="K656" s="3">
        <f>IFERROR(__xludf.DUMMYFUNCTION("""COMPUTED_VALUE"""),45146.6875)</f>
        <v>45146.6875</v>
      </c>
      <c r="L656" s="2">
        <f>IFERROR(__xludf.DUMMYFUNCTION("""COMPUTED_VALUE"""),42.69)</f>
        <v>42.69</v>
      </c>
      <c r="N656" s="3">
        <f>IFERROR(__xludf.DUMMYFUNCTION("""COMPUTED_VALUE"""),45147.66666666667)</f>
        <v>45147.66667</v>
      </c>
      <c r="O656" s="2">
        <f>IFERROR(__xludf.DUMMYFUNCTION("""COMPUTED_VALUE"""),37.42)</f>
        <v>37.42</v>
      </c>
      <c r="Q656" s="3">
        <f>IFERROR(__xludf.DUMMYFUNCTION("""COMPUTED_VALUE"""),45147.66666666667)</f>
        <v>45147.66667</v>
      </c>
      <c r="R656" s="2">
        <f>IFERROR(__xludf.DUMMYFUNCTION("""COMPUTED_VALUE"""),156.89)</f>
        <v>156.89</v>
      </c>
    </row>
    <row r="657">
      <c r="B657" s="3">
        <f>IFERROR(__xludf.DUMMYFUNCTION("""COMPUTED_VALUE"""),45148.66666666667)</f>
        <v>45148.66667</v>
      </c>
      <c r="C657" s="2">
        <f>IFERROR(__xludf.DUMMYFUNCTION("""COMPUTED_VALUE"""),53.37)</f>
        <v>53.37</v>
      </c>
      <c r="K657" s="3">
        <f>IFERROR(__xludf.DUMMYFUNCTION("""COMPUTED_VALUE"""),45147.6875)</f>
        <v>45147.6875</v>
      </c>
      <c r="L657" s="2">
        <f>IFERROR(__xludf.DUMMYFUNCTION("""COMPUTED_VALUE"""),42.78)</f>
        <v>42.78</v>
      </c>
      <c r="N657" s="3">
        <f>IFERROR(__xludf.DUMMYFUNCTION("""COMPUTED_VALUE"""),45148.66666666667)</f>
        <v>45148.66667</v>
      </c>
      <c r="O657" s="2">
        <f>IFERROR(__xludf.DUMMYFUNCTION("""COMPUTED_VALUE"""),37.08)</f>
        <v>37.08</v>
      </c>
      <c r="Q657" s="3">
        <f>IFERROR(__xludf.DUMMYFUNCTION("""COMPUTED_VALUE"""),45148.66666666667)</f>
        <v>45148.66667</v>
      </c>
      <c r="R657" s="2">
        <f>IFERROR(__xludf.DUMMYFUNCTION("""COMPUTED_VALUE"""),156.11)</f>
        <v>156.11</v>
      </c>
    </row>
    <row r="658">
      <c r="B658" s="3">
        <f>IFERROR(__xludf.DUMMYFUNCTION("""COMPUTED_VALUE"""),45149.66666666667)</f>
        <v>45149.66667</v>
      </c>
      <c r="C658" s="2">
        <f>IFERROR(__xludf.DUMMYFUNCTION("""COMPUTED_VALUE"""),53.79)</f>
        <v>53.79</v>
      </c>
      <c r="K658" s="3">
        <f>IFERROR(__xludf.DUMMYFUNCTION("""COMPUTED_VALUE"""),45148.6875)</f>
        <v>45148.6875</v>
      </c>
      <c r="L658" s="2">
        <f>IFERROR(__xludf.DUMMYFUNCTION("""COMPUTED_VALUE"""),43.0)</f>
        <v>43</v>
      </c>
      <c r="N658" s="3">
        <f>IFERROR(__xludf.DUMMYFUNCTION("""COMPUTED_VALUE"""),45149.66666666667)</f>
        <v>45149.66667</v>
      </c>
      <c r="O658" s="2">
        <f>IFERROR(__xludf.DUMMYFUNCTION("""COMPUTED_VALUE"""),37.1)</f>
        <v>37.1</v>
      </c>
      <c r="Q658" s="3">
        <f>IFERROR(__xludf.DUMMYFUNCTION("""COMPUTED_VALUE"""),45149.66666666667)</f>
        <v>45149.66667</v>
      </c>
      <c r="R658" s="2">
        <f>IFERROR(__xludf.DUMMYFUNCTION("""COMPUTED_VALUE"""),157.02)</f>
        <v>157.02</v>
      </c>
    </row>
    <row r="659">
      <c r="B659" s="3">
        <f>IFERROR(__xludf.DUMMYFUNCTION("""COMPUTED_VALUE"""),45152.66666666667)</f>
        <v>45152.66667</v>
      </c>
      <c r="C659" s="2">
        <f>IFERROR(__xludf.DUMMYFUNCTION("""COMPUTED_VALUE"""),53.88)</f>
        <v>53.88</v>
      </c>
      <c r="K659" s="3">
        <f>IFERROR(__xludf.DUMMYFUNCTION("""COMPUTED_VALUE"""),45149.6875)</f>
        <v>45149.6875</v>
      </c>
      <c r="L659" s="2">
        <f>IFERROR(__xludf.DUMMYFUNCTION("""COMPUTED_VALUE"""),42.95)</f>
        <v>42.95</v>
      </c>
      <c r="N659" s="3">
        <f>IFERROR(__xludf.DUMMYFUNCTION("""COMPUTED_VALUE"""),45152.66666666667)</f>
        <v>45152.66667</v>
      </c>
      <c r="O659" s="2">
        <f>IFERROR(__xludf.DUMMYFUNCTION("""COMPUTED_VALUE"""),36.68)</f>
        <v>36.68</v>
      </c>
      <c r="Q659" s="3">
        <f>IFERROR(__xludf.DUMMYFUNCTION("""COMPUTED_VALUE"""),45152.66666666667)</f>
        <v>45152.66667</v>
      </c>
      <c r="R659" s="2">
        <f>IFERROR(__xludf.DUMMYFUNCTION("""COMPUTED_VALUE"""),155.79)</f>
        <v>155.79</v>
      </c>
    </row>
    <row r="660">
      <c r="B660" s="3">
        <f>IFERROR(__xludf.DUMMYFUNCTION("""COMPUTED_VALUE"""),45153.66666666667)</f>
        <v>45153.66667</v>
      </c>
      <c r="C660" s="2">
        <f>IFERROR(__xludf.DUMMYFUNCTION("""COMPUTED_VALUE"""),53.35)</f>
        <v>53.35</v>
      </c>
      <c r="K660" s="3">
        <f>IFERROR(__xludf.DUMMYFUNCTION("""COMPUTED_VALUE"""),45152.6875)</f>
        <v>45152.6875</v>
      </c>
      <c r="L660" s="2">
        <f>IFERROR(__xludf.DUMMYFUNCTION("""COMPUTED_VALUE"""),42.84)</f>
        <v>42.84</v>
      </c>
      <c r="N660" s="3">
        <f>IFERROR(__xludf.DUMMYFUNCTION("""COMPUTED_VALUE"""),45153.66666666667)</f>
        <v>45153.66667</v>
      </c>
      <c r="O660" s="2">
        <f>IFERROR(__xludf.DUMMYFUNCTION("""COMPUTED_VALUE"""),36.07)</f>
        <v>36.07</v>
      </c>
      <c r="Q660" s="3">
        <f>IFERROR(__xludf.DUMMYFUNCTION("""COMPUTED_VALUE"""),45153.66666666667)</f>
        <v>45153.66667</v>
      </c>
      <c r="R660" s="2">
        <f>IFERROR(__xludf.DUMMYFUNCTION("""COMPUTED_VALUE"""),154.79)</f>
        <v>154.79</v>
      </c>
    </row>
    <row r="661">
      <c r="B661" s="3">
        <f>IFERROR(__xludf.DUMMYFUNCTION("""COMPUTED_VALUE"""),45154.66666666667)</f>
        <v>45154.66667</v>
      </c>
      <c r="C661" s="2">
        <f>IFERROR(__xludf.DUMMYFUNCTION("""COMPUTED_VALUE"""),52.96)</f>
        <v>52.96</v>
      </c>
      <c r="K661" s="3">
        <f>IFERROR(__xludf.DUMMYFUNCTION("""COMPUTED_VALUE"""),45153.6875)</f>
        <v>45153.6875</v>
      </c>
      <c r="L661" s="2">
        <f>IFERROR(__xludf.DUMMYFUNCTION("""COMPUTED_VALUE"""),42.48)</f>
        <v>42.48</v>
      </c>
      <c r="N661" s="3">
        <f>IFERROR(__xludf.DUMMYFUNCTION("""COMPUTED_VALUE"""),45154.66666666667)</f>
        <v>45154.66667</v>
      </c>
      <c r="O661" s="2">
        <f>IFERROR(__xludf.DUMMYFUNCTION("""COMPUTED_VALUE"""),35.89)</f>
        <v>35.89</v>
      </c>
      <c r="Q661" s="3">
        <f>IFERROR(__xludf.DUMMYFUNCTION("""COMPUTED_VALUE"""),45154.66666666667)</f>
        <v>45154.66667</v>
      </c>
      <c r="R661" s="2">
        <f>IFERROR(__xludf.DUMMYFUNCTION("""COMPUTED_VALUE"""),153.21)</f>
        <v>153.21</v>
      </c>
    </row>
    <row r="662">
      <c r="B662" s="3">
        <f>IFERROR(__xludf.DUMMYFUNCTION("""COMPUTED_VALUE"""),45155.66666666667)</f>
        <v>45155.66667</v>
      </c>
      <c r="C662" s="2">
        <f>IFERROR(__xludf.DUMMYFUNCTION("""COMPUTED_VALUE"""),54.73)</f>
        <v>54.73</v>
      </c>
      <c r="K662" s="3">
        <f>IFERROR(__xludf.DUMMYFUNCTION("""COMPUTED_VALUE"""),45154.6875)</f>
        <v>45154.6875</v>
      </c>
      <c r="L662" s="2">
        <f>IFERROR(__xludf.DUMMYFUNCTION("""COMPUTED_VALUE"""),42.09)</f>
        <v>42.09</v>
      </c>
      <c r="N662" s="3">
        <f>IFERROR(__xludf.DUMMYFUNCTION("""COMPUTED_VALUE"""),45155.66666666667)</f>
        <v>45155.66667</v>
      </c>
      <c r="O662" s="2">
        <f>IFERROR(__xludf.DUMMYFUNCTION("""COMPUTED_VALUE"""),36.09)</f>
        <v>36.09</v>
      </c>
      <c r="Q662" s="3">
        <f>IFERROR(__xludf.DUMMYFUNCTION("""COMPUTED_VALUE"""),45155.66666666667)</f>
        <v>45155.66667</v>
      </c>
      <c r="R662" s="2">
        <f>IFERROR(__xludf.DUMMYFUNCTION("""COMPUTED_VALUE"""),152.11)</f>
        <v>152.11</v>
      </c>
    </row>
    <row r="663">
      <c r="B663" s="3">
        <f>IFERROR(__xludf.DUMMYFUNCTION("""COMPUTED_VALUE"""),45156.66666666667)</f>
        <v>45156.66667</v>
      </c>
      <c r="C663" s="2">
        <f>IFERROR(__xludf.DUMMYFUNCTION("""COMPUTED_VALUE"""),55.04)</f>
        <v>55.04</v>
      </c>
      <c r="K663" s="3">
        <f>IFERROR(__xludf.DUMMYFUNCTION("""COMPUTED_VALUE"""),45155.6875)</f>
        <v>45155.6875</v>
      </c>
      <c r="L663" s="2">
        <f>IFERROR(__xludf.DUMMYFUNCTION("""COMPUTED_VALUE"""),42.42)</f>
        <v>42.42</v>
      </c>
      <c r="N663" s="3">
        <f>IFERROR(__xludf.DUMMYFUNCTION("""COMPUTED_VALUE"""),45156.66666666667)</f>
        <v>45156.66667</v>
      </c>
      <c r="O663" s="2">
        <f>IFERROR(__xludf.DUMMYFUNCTION("""COMPUTED_VALUE"""),36.24)</f>
        <v>36.24</v>
      </c>
      <c r="Q663" s="3">
        <f>IFERROR(__xludf.DUMMYFUNCTION("""COMPUTED_VALUE"""),45156.66666666667)</f>
        <v>45156.66667</v>
      </c>
      <c r="R663" s="2">
        <f>IFERROR(__xludf.DUMMYFUNCTION("""COMPUTED_VALUE"""),152.54)</f>
        <v>152.54</v>
      </c>
    </row>
    <row r="664">
      <c r="B664" s="3">
        <f>IFERROR(__xludf.DUMMYFUNCTION("""COMPUTED_VALUE"""),45159.66666666667)</f>
        <v>45159.66667</v>
      </c>
      <c r="C664" s="2">
        <f>IFERROR(__xludf.DUMMYFUNCTION("""COMPUTED_VALUE"""),55.44)</f>
        <v>55.44</v>
      </c>
      <c r="K664" s="3">
        <f>IFERROR(__xludf.DUMMYFUNCTION("""COMPUTED_VALUE"""),45156.6875)</f>
        <v>45156.6875</v>
      </c>
      <c r="L664" s="2">
        <f>IFERROR(__xludf.DUMMYFUNCTION("""COMPUTED_VALUE"""),42.25)</f>
        <v>42.25</v>
      </c>
      <c r="N664" s="3">
        <f>IFERROR(__xludf.DUMMYFUNCTION("""COMPUTED_VALUE"""),45159.66666666667)</f>
        <v>45159.66667</v>
      </c>
      <c r="O664" s="2">
        <f>IFERROR(__xludf.DUMMYFUNCTION("""COMPUTED_VALUE"""),36.58)</f>
        <v>36.58</v>
      </c>
      <c r="Q664" s="3">
        <f>IFERROR(__xludf.DUMMYFUNCTION("""COMPUTED_VALUE"""),45159.66666666667)</f>
        <v>45159.66667</v>
      </c>
      <c r="R664" s="2">
        <f>IFERROR(__xludf.DUMMYFUNCTION("""COMPUTED_VALUE"""),151.77)</f>
        <v>151.77</v>
      </c>
    </row>
    <row r="665">
      <c r="B665" s="3">
        <f>IFERROR(__xludf.DUMMYFUNCTION("""COMPUTED_VALUE"""),45160.66666666667)</f>
        <v>45160.66667</v>
      </c>
      <c r="C665" s="2">
        <f>IFERROR(__xludf.DUMMYFUNCTION("""COMPUTED_VALUE"""),55.46)</f>
        <v>55.46</v>
      </c>
      <c r="K665" s="3">
        <f>IFERROR(__xludf.DUMMYFUNCTION("""COMPUTED_VALUE"""),45159.6875)</f>
        <v>45159.6875</v>
      </c>
      <c r="L665" s="2">
        <f>IFERROR(__xludf.DUMMYFUNCTION("""COMPUTED_VALUE"""),42.09)</f>
        <v>42.09</v>
      </c>
      <c r="N665" s="3">
        <f>IFERROR(__xludf.DUMMYFUNCTION("""COMPUTED_VALUE"""),45160.66666666667)</f>
        <v>45160.66667</v>
      </c>
      <c r="O665" s="2">
        <f>IFERROR(__xludf.DUMMYFUNCTION("""COMPUTED_VALUE"""),36.37)</f>
        <v>36.37</v>
      </c>
      <c r="Q665" s="3">
        <f>IFERROR(__xludf.DUMMYFUNCTION("""COMPUTED_VALUE"""),45160.66666666667)</f>
        <v>45160.66667</v>
      </c>
      <c r="R665" s="2">
        <f>IFERROR(__xludf.DUMMYFUNCTION("""COMPUTED_VALUE"""),151.83)</f>
        <v>151.83</v>
      </c>
    </row>
    <row r="666">
      <c r="B666" s="3">
        <f>IFERROR(__xludf.DUMMYFUNCTION("""COMPUTED_VALUE"""),45161.66666666667)</f>
        <v>45161.66667</v>
      </c>
      <c r="C666" s="2">
        <f>IFERROR(__xludf.DUMMYFUNCTION("""COMPUTED_VALUE"""),55.98)</f>
        <v>55.98</v>
      </c>
      <c r="K666" s="3">
        <f>IFERROR(__xludf.DUMMYFUNCTION("""COMPUTED_VALUE"""),45160.6875)</f>
        <v>45160.6875</v>
      </c>
      <c r="L666" s="2">
        <f>IFERROR(__xludf.DUMMYFUNCTION("""COMPUTED_VALUE"""),41.73)</f>
        <v>41.73</v>
      </c>
      <c r="N666" s="3">
        <f>IFERROR(__xludf.DUMMYFUNCTION("""COMPUTED_VALUE"""),45161.66666666667)</f>
        <v>45161.66667</v>
      </c>
      <c r="O666" s="2">
        <f>IFERROR(__xludf.DUMMYFUNCTION("""COMPUTED_VALUE"""),36.0)</f>
        <v>36</v>
      </c>
      <c r="Q666" s="3">
        <f>IFERROR(__xludf.DUMMYFUNCTION("""COMPUTED_VALUE"""),45161.66666666667)</f>
        <v>45161.66667</v>
      </c>
      <c r="R666" s="2">
        <f>IFERROR(__xludf.DUMMYFUNCTION("""COMPUTED_VALUE"""),153.25)</f>
        <v>153.25</v>
      </c>
    </row>
    <row r="667">
      <c r="B667" s="3">
        <f>IFERROR(__xludf.DUMMYFUNCTION("""COMPUTED_VALUE"""),45162.66666666667)</f>
        <v>45162.66667</v>
      </c>
      <c r="C667" s="2">
        <f>IFERROR(__xludf.DUMMYFUNCTION("""COMPUTED_VALUE"""),55.24)</f>
        <v>55.24</v>
      </c>
      <c r="K667" s="3">
        <f>IFERROR(__xludf.DUMMYFUNCTION("""COMPUTED_VALUE"""),45161.6875)</f>
        <v>45161.6875</v>
      </c>
      <c r="L667" s="2">
        <f>IFERROR(__xludf.DUMMYFUNCTION("""COMPUTED_VALUE"""),41.87)</f>
        <v>41.87</v>
      </c>
      <c r="N667" s="3">
        <f>IFERROR(__xludf.DUMMYFUNCTION("""COMPUTED_VALUE"""),45162.66666666667)</f>
        <v>45162.66667</v>
      </c>
      <c r="O667" s="2">
        <f>IFERROR(__xludf.DUMMYFUNCTION("""COMPUTED_VALUE"""),35.77)</f>
        <v>35.77</v>
      </c>
      <c r="Q667" s="3">
        <f>IFERROR(__xludf.DUMMYFUNCTION("""COMPUTED_VALUE"""),45162.66666666667)</f>
        <v>45162.66667</v>
      </c>
      <c r="R667" s="2">
        <f>IFERROR(__xludf.DUMMYFUNCTION("""COMPUTED_VALUE"""),152.54)</f>
        <v>152.54</v>
      </c>
    </row>
    <row r="668">
      <c r="B668" s="3">
        <f>IFERROR(__xludf.DUMMYFUNCTION("""COMPUTED_VALUE"""),45163.66666666667)</f>
        <v>45163.66667</v>
      </c>
      <c r="C668" s="2">
        <f>IFERROR(__xludf.DUMMYFUNCTION("""COMPUTED_VALUE"""),55.7)</f>
        <v>55.7</v>
      </c>
      <c r="K668" s="3">
        <f>IFERROR(__xludf.DUMMYFUNCTION("""COMPUTED_VALUE"""),45162.6875)</f>
        <v>45162.6875</v>
      </c>
      <c r="L668" s="2">
        <f>IFERROR(__xludf.DUMMYFUNCTION("""COMPUTED_VALUE"""),42.13)</f>
        <v>42.13</v>
      </c>
      <c r="N668" s="3">
        <f>IFERROR(__xludf.DUMMYFUNCTION("""COMPUTED_VALUE"""),45163.66666666667)</f>
        <v>45163.66667</v>
      </c>
      <c r="O668" s="2">
        <f>IFERROR(__xludf.DUMMYFUNCTION("""COMPUTED_VALUE"""),36.15)</f>
        <v>36.15</v>
      </c>
      <c r="Q668" s="3">
        <f>IFERROR(__xludf.DUMMYFUNCTION("""COMPUTED_VALUE"""),45163.66666666667)</f>
        <v>45163.66667</v>
      </c>
      <c r="R668" s="2">
        <f>IFERROR(__xludf.DUMMYFUNCTION("""COMPUTED_VALUE"""),153.54)</f>
        <v>153.54</v>
      </c>
    </row>
    <row r="669">
      <c r="B669" s="3">
        <f>IFERROR(__xludf.DUMMYFUNCTION("""COMPUTED_VALUE"""),45166.66666666667)</f>
        <v>45166.66667</v>
      </c>
      <c r="C669" s="2">
        <f>IFERROR(__xludf.DUMMYFUNCTION("""COMPUTED_VALUE"""),56.2)</f>
        <v>56.2</v>
      </c>
      <c r="K669" s="3">
        <f>IFERROR(__xludf.DUMMYFUNCTION("""COMPUTED_VALUE"""),45163.6875)</f>
        <v>45163.6875</v>
      </c>
      <c r="L669" s="2">
        <f>IFERROR(__xludf.DUMMYFUNCTION("""COMPUTED_VALUE"""),41.8)</f>
        <v>41.8</v>
      </c>
      <c r="N669" s="3">
        <f>IFERROR(__xludf.DUMMYFUNCTION("""COMPUTED_VALUE"""),45166.66666666667)</f>
        <v>45166.66667</v>
      </c>
      <c r="O669" s="2">
        <f>IFERROR(__xludf.DUMMYFUNCTION("""COMPUTED_VALUE"""),36.64)</f>
        <v>36.64</v>
      </c>
      <c r="Q669" s="3">
        <f>IFERROR(__xludf.DUMMYFUNCTION("""COMPUTED_VALUE"""),45166.66666666667)</f>
        <v>45166.66667</v>
      </c>
      <c r="R669" s="2">
        <f>IFERROR(__xludf.DUMMYFUNCTION("""COMPUTED_VALUE"""),153.78)</f>
        <v>153.78</v>
      </c>
    </row>
    <row r="670">
      <c r="B670" s="3">
        <f>IFERROR(__xludf.DUMMYFUNCTION("""COMPUTED_VALUE"""),45167.66666666667)</f>
        <v>45167.66667</v>
      </c>
      <c r="C670" s="2">
        <f>IFERROR(__xludf.DUMMYFUNCTION("""COMPUTED_VALUE"""),56.56)</f>
        <v>56.56</v>
      </c>
      <c r="K670" s="3">
        <f>IFERROR(__xludf.DUMMYFUNCTION("""COMPUTED_VALUE"""),45167.6875)</f>
        <v>45167.6875</v>
      </c>
      <c r="L670" s="2">
        <f>IFERROR(__xludf.DUMMYFUNCTION("""COMPUTED_VALUE"""),42.91)</f>
        <v>42.91</v>
      </c>
      <c r="N670" s="3">
        <f>IFERROR(__xludf.DUMMYFUNCTION("""COMPUTED_VALUE"""),45167.66666666667)</f>
        <v>45167.66667</v>
      </c>
      <c r="O670" s="2">
        <f>IFERROR(__xludf.DUMMYFUNCTION("""COMPUTED_VALUE"""),37.1)</f>
        <v>37.1</v>
      </c>
      <c r="Q670" s="3">
        <f>IFERROR(__xludf.DUMMYFUNCTION("""COMPUTED_VALUE"""),45167.66666666667)</f>
        <v>45167.66667</v>
      </c>
      <c r="R670" s="2">
        <f>IFERROR(__xludf.DUMMYFUNCTION("""COMPUTED_VALUE"""),153.87)</f>
        <v>153.87</v>
      </c>
    </row>
    <row r="671">
      <c r="B671" s="3">
        <f>IFERROR(__xludf.DUMMYFUNCTION("""COMPUTED_VALUE"""),45168.66666666667)</f>
        <v>45168.66667</v>
      </c>
      <c r="C671" s="2">
        <f>IFERROR(__xludf.DUMMYFUNCTION("""COMPUTED_VALUE"""),56.81)</f>
        <v>56.81</v>
      </c>
      <c r="K671" s="3">
        <f>IFERROR(__xludf.DUMMYFUNCTION("""COMPUTED_VALUE"""),45168.6875)</f>
        <v>45168.6875</v>
      </c>
      <c r="L671" s="2">
        <f>IFERROR(__xludf.DUMMYFUNCTION("""COMPUTED_VALUE"""),42.83)</f>
        <v>42.83</v>
      </c>
      <c r="N671" s="3">
        <f>IFERROR(__xludf.DUMMYFUNCTION("""COMPUTED_VALUE"""),45168.66666666667)</f>
        <v>45168.66667</v>
      </c>
      <c r="O671" s="2">
        <f>IFERROR(__xludf.DUMMYFUNCTION("""COMPUTED_VALUE"""),37.29)</f>
        <v>37.29</v>
      </c>
      <c r="Q671" s="3">
        <f>IFERROR(__xludf.DUMMYFUNCTION("""COMPUTED_VALUE"""),45168.66666666667)</f>
        <v>45168.66667</v>
      </c>
      <c r="R671" s="2">
        <f>IFERROR(__xludf.DUMMYFUNCTION("""COMPUTED_VALUE"""),154.04)</f>
        <v>154.04</v>
      </c>
    </row>
    <row r="672">
      <c r="B672" s="3">
        <f>IFERROR(__xludf.DUMMYFUNCTION("""COMPUTED_VALUE"""),45169.66666666667)</f>
        <v>45169.66667</v>
      </c>
      <c r="C672" s="2">
        <f>IFERROR(__xludf.DUMMYFUNCTION("""COMPUTED_VALUE"""),57.35)</f>
        <v>57.35</v>
      </c>
      <c r="K672" s="3">
        <f>IFERROR(__xludf.DUMMYFUNCTION("""COMPUTED_VALUE"""),45169.6875)</f>
        <v>45169.6875</v>
      </c>
      <c r="L672" s="2">
        <f>IFERROR(__xludf.DUMMYFUNCTION("""COMPUTED_VALUE"""),42.36)</f>
        <v>42.36</v>
      </c>
      <c r="N672" s="3">
        <f>IFERROR(__xludf.DUMMYFUNCTION("""COMPUTED_VALUE"""),45169.66666666667)</f>
        <v>45169.66667</v>
      </c>
      <c r="O672" s="2">
        <f>IFERROR(__xludf.DUMMYFUNCTION("""COMPUTED_VALUE"""),37.18)</f>
        <v>37.18</v>
      </c>
      <c r="Q672" s="3">
        <f>IFERROR(__xludf.DUMMYFUNCTION("""COMPUTED_VALUE"""),45169.66666666667)</f>
        <v>45169.66667</v>
      </c>
      <c r="R672" s="2">
        <f>IFERROR(__xludf.DUMMYFUNCTION("""COMPUTED_VALUE"""),154.34)</f>
        <v>154.34</v>
      </c>
    </row>
    <row r="673">
      <c r="B673" s="3">
        <f>IFERROR(__xludf.DUMMYFUNCTION("""COMPUTED_VALUE"""),45170.66666666667)</f>
        <v>45170.66667</v>
      </c>
      <c r="C673" s="2">
        <f>IFERROR(__xludf.DUMMYFUNCTION("""COMPUTED_VALUE"""),57.84)</f>
        <v>57.84</v>
      </c>
      <c r="K673" s="3">
        <f>IFERROR(__xludf.DUMMYFUNCTION("""COMPUTED_VALUE"""),45170.6875)</f>
        <v>45170.6875</v>
      </c>
      <c r="L673" s="2">
        <f>IFERROR(__xludf.DUMMYFUNCTION("""COMPUTED_VALUE"""),42.12)</f>
        <v>42.12</v>
      </c>
      <c r="N673" s="3">
        <f>IFERROR(__xludf.DUMMYFUNCTION("""COMPUTED_VALUE"""),45170.66666666667)</f>
        <v>45170.66667</v>
      </c>
      <c r="O673" s="2">
        <f>IFERROR(__xludf.DUMMYFUNCTION("""COMPUTED_VALUE"""),38.13)</f>
        <v>38.13</v>
      </c>
      <c r="Q673" s="3">
        <f>IFERROR(__xludf.DUMMYFUNCTION("""COMPUTED_VALUE"""),45170.66666666667)</f>
        <v>45170.66667</v>
      </c>
      <c r="R673" s="2">
        <f>IFERROR(__xludf.DUMMYFUNCTION("""COMPUTED_VALUE"""),154.51)</f>
        <v>154.51</v>
      </c>
    </row>
    <row r="674">
      <c r="B674" s="3">
        <f>IFERROR(__xludf.DUMMYFUNCTION("""COMPUTED_VALUE"""),45174.66666666667)</f>
        <v>45174.66667</v>
      </c>
      <c r="C674" s="2">
        <f>IFERROR(__xludf.DUMMYFUNCTION("""COMPUTED_VALUE"""),57.26)</f>
        <v>57.26</v>
      </c>
      <c r="K674" s="3">
        <f>IFERROR(__xludf.DUMMYFUNCTION("""COMPUTED_VALUE"""),45173.6875)</f>
        <v>45173.6875</v>
      </c>
      <c r="L674" s="2">
        <f>IFERROR(__xludf.DUMMYFUNCTION("""COMPUTED_VALUE"""),41.98)</f>
        <v>41.98</v>
      </c>
      <c r="N674" s="3">
        <f>IFERROR(__xludf.DUMMYFUNCTION("""COMPUTED_VALUE"""),45174.66666666667)</f>
        <v>45174.66667</v>
      </c>
      <c r="O674" s="2">
        <f>IFERROR(__xludf.DUMMYFUNCTION("""COMPUTED_VALUE"""),38.4)</f>
        <v>38.4</v>
      </c>
      <c r="Q674" s="3">
        <f>IFERROR(__xludf.DUMMYFUNCTION("""COMPUTED_VALUE"""),45174.66666666667)</f>
        <v>45174.66667</v>
      </c>
      <c r="R674" s="2">
        <f>IFERROR(__xludf.DUMMYFUNCTION("""COMPUTED_VALUE"""),152.44)</f>
        <v>152.44</v>
      </c>
    </row>
    <row r="675">
      <c r="B675" s="3">
        <f>IFERROR(__xludf.DUMMYFUNCTION("""COMPUTED_VALUE"""),45175.66666666667)</f>
        <v>45175.66667</v>
      </c>
      <c r="C675" s="2">
        <f>IFERROR(__xludf.DUMMYFUNCTION("""COMPUTED_VALUE"""),57.16)</f>
        <v>57.16</v>
      </c>
      <c r="K675" s="3">
        <f>IFERROR(__xludf.DUMMYFUNCTION("""COMPUTED_VALUE"""),45174.6875)</f>
        <v>45174.6875</v>
      </c>
      <c r="L675" s="2">
        <f>IFERROR(__xludf.DUMMYFUNCTION("""COMPUTED_VALUE"""),41.76)</f>
        <v>41.76</v>
      </c>
      <c r="N675" s="3">
        <f>IFERROR(__xludf.DUMMYFUNCTION("""COMPUTED_VALUE"""),45175.66666666667)</f>
        <v>45175.66667</v>
      </c>
      <c r="O675" s="2">
        <f>IFERROR(__xludf.DUMMYFUNCTION("""COMPUTED_VALUE"""),38.83)</f>
        <v>38.83</v>
      </c>
      <c r="Q675" s="3">
        <f>IFERROR(__xludf.DUMMYFUNCTION("""COMPUTED_VALUE"""),45175.66666666667)</f>
        <v>45175.66667</v>
      </c>
      <c r="R675" s="2">
        <f>IFERROR(__xludf.DUMMYFUNCTION("""COMPUTED_VALUE"""),152.14)</f>
        <v>152.14</v>
      </c>
    </row>
    <row r="676">
      <c r="B676" s="3">
        <f>IFERROR(__xludf.DUMMYFUNCTION("""COMPUTED_VALUE"""),45176.66666666667)</f>
        <v>45176.66667</v>
      </c>
      <c r="C676" s="2">
        <f>IFERROR(__xludf.DUMMYFUNCTION("""COMPUTED_VALUE"""),56.79)</f>
        <v>56.79</v>
      </c>
      <c r="K676" s="3">
        <f>IFERROR(__xludf.DUMMYFUNCTION("""COMPUTED_VALUE"""),45175.6875)</f>
        <v>45175.6875</v>
      </c>
      <c r="L676" s="2">
        <f>IFERROR(__xludf.DUMMYFUNCTION("""COMPUTED_VALUE"""),41.5)</f>
        <v>41.5</v>
      </c>
      <c r="N676" s="3">
        <f>IFERROR(__xludf.DUMMYFUNCTION("""COMPUTED_VALUE"""),45176.66666666667)</f>
        <v>45176.66667</v>
      </c>
      <c r="O676" s="2">
        <f>IFERROR(__xludf.DUMMYFUNCTION("""COMPUTED_VALUE"""),38.51)</f>
        <v>38.51</v>
      </c>
      <c r="Q676" s="3">
        <f>IFERROR(__xludf.DUMMYFUNCTION("""COMPUTED_VALUE"""),45176.66666666667)</f>
        <v>45176.66667</v>
      </c>
      <c r="R676" s="2">
        <f>IFERROR(__xludf.DUMMYFUNCTION("""COMPUTED_VALUE"""),153.59)</f>
        <v>153.59</v>
      </c>
    </row>
    <row r="677">
      <c r="B677" s="3">
        <f>IFERROR(__xludf.DUMMYFUNCTION("""COMPUTED_VALUE"""),45177.66666666667)</f>
        <v>45177.66667</v>
      </c>
      <c r="C677" s="2">
        <f>IFERROR(__xludf.DUMMYFUNCTION("""COMPUTED_VALUE"""),56.67)</f>
        <v>56.67</v>
      </c>
      <c r="K677" s="3">
        <f>IFERROR(__xludf.DUMMYFUNCTION("""COMPUTED_VALUE"""),45176.6875)</f>
        <v>45176.6875</v>
      </c>
      <c r="L677" s="2">
        <f>IFERROR(__xludf.DUMMYFUNCTION("""COMPUTED_VALUE"""),41.03)</f>
        <v>41.03</v>
      </c>
      <c r="N677" s="3">
        <f>IFERROR(__xludf.DUMMYFUNCTION("""COMPUTED_VALUE"""),45177.66666666667)</f>
        <v>45177.66667</v>
      </c>
      <c r="O677" s="2">
        <f>IFERROR(__xludf.DUMMYFUNCTION("""COMPUTED_VALUE"""),38.67)</f>
        <v>38.67</v>
      </c>
      <c r="Q677" s="3">
        <f>IFERROR(__xludf.DUMMYFUNCTION("""COMPUTED_VALUE"""),45177.66666666667)</f>
        <v>45177.66667</v>
      </c>
      <c r="R677" s="2">
        <f>IFERROR(__xludf.DUMMYFUNCTION("""COMPUTED_VALUE"""),152.93)</f>
        <v>152.93</v>
      </c>
    </row>
    <row r="678">
      <c r="B678" s="3">
        <f>IFERROR(__xludf.DUMMYFUNCTION("""COMPUTED_VALUE"""),45180.66666666667)</f>
        <v>45180.66667</v>
      </c>
      <c r="C678" s="2">
        <f>IFERROR(__xludf.DUMMYFUNCTION("""COMPUTED_VALUE"""),56.84)</f>
        <v>56.84</v>
      </c>
      <c r="K678" s="3">
        <f>IFERROR(__xludf.DUMMYFUNCTION("""COMPUTED_VALUE"""),45177.6875)</f>
        <v>45177.6875</v>
      </c>
      <c r="L678" s="2">
        <f>IFERROR(__xludf.DUMMYFUNCTION("""COMPUTED_VALUE"""),41.34)</f>
        <v>41.34</v>
      </c>
      <c r="N678" s="3">
        <f>IFERROR(__xludf.DUMMYFUNCTION("""COMPUTED_VALUE"""),45180.66666666667)</f>
        <v>45180.66667</v>
      </c>
      <c r="O678" s="2">
        <f>IFERROR(__xludf.DUMMYFUNCTION("""COMPUTED_VALUE"""),38.61)</f>
        <v>38.61</v>
      </c>
      <c r="Q678" s="3">
        <f>IFERROR(__xludf.DUMMYFUNCTION("""COMPUTED_VALUE"""),45180.66666666667)</f>
        <v>45180.66667</v>
      </c>
      <c r="R678" s="2">
        <f>IFERROR(__xludf.DUMMYFUNCTION("""COMPUTED_VALUE"""),154.75)</f>
        <v>154.75</v>
      </c>
    </row>
    <row r="679">
      <c r="B679" s="3">
        <f>IFERROR(__xludf.DUMMYFUNCTION("""COMPUTED_VALUE"""),45181.66666666667)</f>
        <v>45181.66667</v>
      </c>
      <c r="C679" s="2">
        <f>IFERROR(__xludf.DUMMYFUNCTION("""COMPUTED_VALUE"""),56.39)</f>
        <v>56.39</v>
      </c>
      <c r="K679" s="3">
        <f>IFERROR(__xludf.DUMMYFUNCTION("""COMPUTED_VALUE"""),45180.6875)</f>
        <v>45180.6875</v>
      </c>
      <c r="L679" s="2">
        <f>IFERROR(__xludf.DUMMYFUNCTION("""COMPUTED_VALUE"""),41.58)</f>
        <v>41.58</v>
      </c>
      <c r="N679" s="3">
        <f>IFERROR(__xludf.DUMMYFUNCTION("""COMPUTED_VALUE"""),45181.66666666667)</f>
        <v>45181.66667</v>
      </c>
      <c r="O679" s="2">
        <f>IFERROR(__xludf.DUMMYFUNCTION("""COMPUTED_VALUE"""),38.1)</f>
        <v>38.1</v>
      </c>
      <c r="Q679" s="3">
        <f>IFERROR(__xludf.DUMMYFUNCTION("""COMPUTED_VALUE"""),45181.66666666667)</f>
        <v>45181.66667</v>
      </c>
      <c r="R679" s="2">
        <f>IFERROR(__xludf.DUMMYFUNCTION("""COMPUTED_VALUE"""),152.03)</f>
        <v>152.03</v>
      </c>
    </row>
    <row r="680">
      <c r="B680" s="3">
        <f>IFERROR(__xludf.DUMMYFUNCTION("""COMPUTED_VALUE"""),45182.66666666667)</f>
        <v>45182.66667</v>
      </c>
      <c r="C680" s="2">
        <f>IFERROR(__xludf.DUMMYFUNCTION("""COMPUTED_VALUE"""),56.28)</f>
        <v>56.28</v>
      </c>
      <c r="K680" s="3">
        <f>IFERROR(__xludf.DUMMYFUNCTION("""COMPUTED_VALUE"""),45181.6875)</f>
        <v>45181.6875</v>
      </c>
      <c r="L680" s="2">
        <f>IFERROR(__xludf.DUMMYFUNCTION("""COMPUTED_VALUE"""),42.48)</f>
        <v>42.48</v>
      </c>
      <c r="N680" s="3">
        <f>IFERROR(__xludf.DUMMYFUNCTION("""COMPUTED_VALUE"""),45182.66666666667)</f>
        <v>45182.66667</v>
      </c>
      <c r="O680" s="2">
        <f>IFERROR(__xludf.DUMMYFUNCTION("""COMPUTED_VALUE"""),38.26)</f>
        <v>38.26</v>
      </c>
      <c r="Q680" s="3">
        <f>IFERROR(__xludf.DUMMYFUNCTION("""COMPUTED_VALUE"""),45182.66666666667)</f>
        <v>45182.66667</v>
      </c>
      <c r="R680" s="2">
        <f>IFERROR(__xludf.DUMMYFUNCTION("""COMPUTED_VALUE"""),153.09)</f>
        <v>153.09</v>
      </c>
    </row>
    <row r="681">
      <c r="B681" s="3">
        <f>IFERROR(__xludf.DUMMYFUNCTION("""COMPUTED_VALUE"""),45183.66666666667)</f>
        <v>45183.66667</v>
      </c>
      <c r="C681" s="2">
        <f>IFERROR(__xludf.DUMMYFUNCTION("""COMPUTED_VALUE"""),56.37)</f>
        <v>56.37</v>
      </c>
      <c r="K681" s="3">
        <f>IFERROR(__xludf.DUMMYFUNCTION("""COMPUTED_VALUE"""),45182.6875)</f>
        <v>45182.6875</v>
      </c>
      <c r="L681" s="2">
        <f>IFERROR(__xludf.DUMMYFUNCTION("""COMPUTED_VALUE"""),42.6)</f>
        <v>42.6</v>
      </c>
      <c r="N681" s="3">
        <f>IFERROR(__xludf.DUMMYFUNCTION("""COMPUTED_VALUE"""),45183.66666666667)</f>
        <v>45183.66667</v>
      </c>
      <c r="O681" s="2">
        <f>IFERROR(__xludf.DUMMYFUNCTION("""COMPUTED_VALUE"""),39.1)</f>
        <v>39.1</v>
      </c>
      <c r="Q681" s="3">
        <f>IFERROR(__xludf.DUMMYFUNCTION("""COMPUTED_VALUE"""),45183.66666666667)</f>
        <v>45183.66667</v>
      </c>
      <c r="R681" s="2">
        <f>IFERROR(__xludf.DUMMYFUNCTION("""COMPUTED_VALUE"""),154.77)</f>
        <v>154.77</v>
      </c>
    </row>
    <row r="682">
      <c r="B682" s="3">
        <f>IFERROR(__xludf.DUMMYFUNCTION("""COMPUTED_VALUE"""),45184.66666666667)</f>
        <v>45184.66667</v>
      </c>
      <c r="C682" s="2">
        <f>IFERROR(__xludf.DUMMYFUNCTION("""COMPUTED_VALUE"""),56.04)</f>
        <v>56.04</v>
      </c>
      <c r="K682" s="3">
        <f>IFERROR(__xludf.DUMMYFUNCTION("""COMPUTED_VALUE"""),45183.6875)</f>
        <v>45183.6875</v>
      </c>
      <c r="L682" s="2">
        <f>IFERROR(__xludf.DUMMYFUNCTION("""COMPUTED_VALUE"""),43.23)</f>
        <v>43.23</v>
      </c>
      <c r="N682" s="3">
        <f>IFERROR(__xludf.DUMMYFUNCTION("""COMPUTED_VALUE"""),45184.66666666667)</f>
        <v>45184.66667</v>
      </c>
      <c r="O682" s="2">
        <f>IFERROR(__xludf.DUMMYFUNCTION("""COMPUTED_VALUE"""),38.75)</f>
        <v>38.75</v>
      </c>
      <c r="Q682" s="3">
        <f>IFERROR(__xludf.DUMMYFUNCTION("""COMPUTED_VALUE"""),45184.66666666667)</f>
        <v>45184.66667</v>
      </c>
      <c r="R682" s="2">
        <f>IFERROR(__xludf.DUMMYFUNCTION("""COMPUTED_VALUE"""),153.47)</f>
        <v>153.47</v>
      </c>
    </row>
    <row r="683">
      <c r="B683" s="3">
        <f>IFERROR(__xludf.DUMMYFUNCTION("""COMPUTED_VALUE"""),45187.66666666667)</f>
        <v>45187.66667</v>
      </c>
      <c r="C683" s="2">
        <f>IFERROR(__xludf.DUMMYFUNCTION("""COMPUTED_VALUE"""),56.11)</f>
        <v>56.11</v>
      </c>
      <c r="K683" s="3">
        <f>IFERROR(__xludf.DUMMYFUNCTION("""COMPUTED_VALUE"""),45184.6875)</f>
        <v>45184.6875</v>
      </c>
      <c r="L683" s="2">
        <f>IFERROR(__xludf.DUMMYFUNCTION("""COMPUTED_VALUE"""),43.2)</f>
        <v>43.2</v>
      </c>
      <c r="N683" s="3">
        <f>IFERROR(__xludf.DUMMYFUNCTION("""COMPUTED_VALUE"""),45187.66666666667)</f>
        <v>45187.66667</v>
      </c>
      <c r="O683" s="2">
        <f>IFERROR(__xludf.DUMMYFUNCTION("""COMPUTED_VALUE"""),38.56)</f>
        <v>38.56</v>
      </c>
      <c r="Q683" s="3">
        <f>IFERROR(__xludf.DUMMYFUNCTION("""COMPUTED_VALUE"""),45187.66666666667)</f>
        <v>45187.66667</v>
      </c>
      <c r="R683" s="2">
        <f>IFERROR(__xludf.DUMMYFUNCTION("""COMPUTED_VALUE"""),154.05)</f>
        <v>154.05</v>
      </c>
    </row>
    <row r="684">
      <c r="B684" s="3">
        <f>IFERROR(__xludf.DUMMYFUNCTION("""COMPUTED_VALUE"""),45188.66666666667)</f>
        <v>45188.66667</v>
      </c>
      <c r="C684" s="2">
        <f>IFERROR(__xludf.DUMMYFUNCTION("""COMPUTED_VALUE"""),55.84)</f>
        <v>55.84</v>
      </c>
      <c r="K684" s="3">
        <f>IFERROR(__xludf.DUMMYFUNCTION("""COMPUTED_VALUE"""),45187.6875)</f>
        <v>45187.6875</v>
      </c>
      <c r="L684" s="2">
        <f>IFERROR(__xludf.DUMMYFUNCTION("""COMPUTED_VALUE"""),42.16)</f>
        <v>42.16</v>
      </c>
      <c r="N684" s="3">
        <f>IFERROR(__xludf.DUMMYFUNCTION("""COMPUTED_VALUE"""),45188.66666666667)</f>
        <v>45188.66667</v>
      </c>
      <c r="O684" s="2">
        <f>IFERROR(__xludf.DUMMYFUNCTION("""COMPUTED_VALUE"""),38.82)</f>
        <v>38.82</v>
      </c>
      <c r="Q684" s="3">
        <f>IFERROR(__xludf.DUMMYFUNCTION("""COMPUTED_VALUE"""),45188.66666666667)</f>
        <v>45188.66667</v>
      </c>
      <c r="R684" s="2">
        <f>IFERROR(__xludf.DUMMYFUNCTION("""COMPUTED_VALUE"""),153.6)</f>
        <v>153.6</v>
      </c>
    </row>
    <row r="685">
      <c r="B685" s="3">
        <f>IFERROR(__xludf.DUMMYFUNCTION("""COMPUTED_VALUE"""),45189.66666666667)</f>
        <v>45189.66667</v>
      </c>
      <c r="C685" s="2">
        <f>IFERROR(__xludf.DUMMYFUNCTION("""COMPUTED_VALUE"""),55.5)</f>
        <v>55.5</v>
      </c>
      <c r="K685" s="3">
        <f>IFERROR(__xludf.DUMMYFUNCTION("""COMPUTED_VALUE"""),45188.6875)</f>
        <v>45188.6875</v>
      </c>
      <c r="L685" s="2">
        <f>IFERROR(__xludf.DUMMYFUNCTION("""COMPUTED_VALUE"""),42.9)</f>
        <v>42.9</v>
      </c>
      <c r="N685" s="3">
        <f>IFERROR(__xludf.DUMMYFUNCTION("""COMPUTED_VALUE"""),45189.66666666667)</f>
        <v>45189.66667</v>
      </c>
      <c r="O685" s="2">
        <f>IFERROR(__xludf.DUMMYFUNCTION("""COMPUTED_VALUE"""),38.62)</f>
        <v>38.62</v>
      </c>
      <c r="Q685" s="3">
        <f>IFERROR(__xludf.DUMMYFUNCTION("""COMPUTED_VALUE"""),45189.66666666667)</f>
        <v>45189.66667</v>
      </c>
      <c r="R685" s="2">
        <f>IFERROR(__xludf.DUMMYFUNCTION("""COMPUTED_VALUE"""),153.47)</f>
        <v>153.47</v>
      </c>
    </row>
    <row r="686">
      <c r="B686" s="3">
        <f>IFERROR(__xludf.DUMMYFUNCTION("""COMPUTED_VALUE"""),45190.66666666667)</f>
        <v>45190.66667</v>
      </c>
      <c r="C686" s="2">
        <f>IFERROR(__xludf.DUMMYFUNCTION("""COMPUTED_VALUE"""),53.34)</f>
        <v>53.34</v>
      </c>
      <c r="K686" s="3">
        <f>IFERROR(__xludf.DUMMYFUNCTION("""COMPUTED_VALUE"""),45189.6875)</f>
        <v>45189.6875</v>
      </c>
      <c r="L686" s="2">
        <f>IFERROR(__xludf.DUMMYFUNCTION("""COMPUTED_VALUE"""),44.56)</f>
        <v>44.56</v>
      </c>
      <c r="N686" s="3">
        <f>IFERROR(__xludf.DUMMYFUNCTION("""COMPUTED_VALUE"""),45190.66666666667)</f>
        <v>45190.66667</v>
      </c>
      <c r="O686" s="2">
        <f>IFERROR(__xludf.DUMMYFUNCTION("""COMPUTED_VALUE"""),38.11)</f>
        <v>38.11</v>
      </c>
      <c r="Q686" s="3">
        <f>IFERROR(__xludf.DUMMYFUNCTION("""COMPUTED_VALUE"""),45190.66666666667)</f>
        <v>45190.66667</v>
      </c>
      <c r="R686" s="2">
        <f>IFERROR(__xludf.DUMMYFUNCTION("""COMPUTED_VALUE"""),152.14)</f>
        <v>152.14</v>
      </c>
    </row>
    <row r="687">
      <c r="B687" s="3">
        <f>IFERROR(__xludf.DUMMYFUNCTION("""COMPUTED_VALUE"""),45191.66666666667)</f>
        <v>45191.66667</v>
      </c>
      <c r="C687" s="2">
        <f>IFERROR(__xludf.DUMMYFUNCTION("""COMPUTED_VALUE"""),53.57)</f>
        <v>53.57</v>
      </c>
      <c r="K687" s="3">
        <f>IFERROR(__xludf.DUMMYFUNCTION("""COMPUTED_VALUE"""),45190.6875)</f>
        <v>45190.6875</v>
      </c>
      <c r="L687" s="2">
        <f>IFERROR(__xludf.DUMMYFUNCTION("""COMPUTED_VALUE"""),44.43)</f>
        <v>44.43</v>
      </c>
      <c r="N687" s="3">
        <f>IFERROR(__xludf.DUMMYFUNCTION("""COMPUTED_VALUE"""),45191.66666666667)</f>
        <v>45191.66667</v>
      </c>
      <c r="O687" s="2">
        <f>IFERROR(__xludf.DUMMYFUNCTION("""COMPUTED_VALUE"""),38.44)</f>
        <v>38.44</v>
      </c>
      <c r="Q687" s="3">
        <f>IFERROR(__xludf.DUMMYFUNCTION("""COMPUTED_VALUE"""),45191.66666666667)</f>
        <v>45191.66667</v>
      </c>
      <c r="R687" s="2">
        <f>IFERROR(__xludf.DUMMYFUNCTION("""COMPUTED_VALUE"""),151.58)</f>
        <v>151.58</v>
      </c>
    </row>
    <row r="688">
      <c r="B688" s="3">
        <f>IFERROR(__xludf.DUMMYFUNCTION("""COMPUTED_VALUE"""),45194.66666666667)</f>
        <v>45194.66667</v>
      </c>
      <c r="C688" s="2">
        <f>IFERROR(__xludf.DUMMYFUNCTION("""COMPUTED_VALUE"""),53.48)</f>
        <v>53.48</v>
      </c>
      <c r="K688" s="3">
        <f>IFERROR(__xludf.DUMMYFUNCTION("""COMPUTED_VALUE"""),45191.6875)</f>
        <v>45191.6875</v>
      </c>
      <c r="L688" s="2">
        <f>IFERROR(__xludf.DUMMYFUNCTION("""COMPUTED_VALUE"""),45.34)</f>
        <v>45.34</v>
      </c>
      <c r="N688" s="3">
        <f>IFERROR(__xludf.DUMMYFUNCTION("""COMPUTED_VALUE"""),45194.66666666667)</f>
        <v>45194.66667</v>
      </c>
      <c r="O688" s="2">
        <f>IFERROR(__xludf.DUMMYFUNCTION("""COMPUTED_VALUE"""),38.75)</f>
        <v>38.75</v>
      </c>
      <c r="Q688" s="3">
        <f>IFERROR(__xludf.DUMMYFUNCTION("""COMPUTED_VALUE"""),45194.66666666667)</f>
        <v>45194.66667</v>
      </c>
      <c r="R688" s="2">
        <f>IFERROR(__xludf.DUMMYFUNCTION("""COMPUTED_VALUE"""),150.66)</f>
        <v>150.66</v>
      </c>
    </row>
    <row r="689">
      <c r="B689" s="3">
        <f>IFERROR(__xludf.DUMMYFUNCTION("""COMPUTED_VALUE"""),45195.66666666667)</f>
        <v>45195.66667</v>
      </c>
      <c r="C689" s="2">
        <f>IFERROR(__xludf.DUMMYFUNCTION("""COMPUTED_VALUE"""),52.71)</f>
        <v>52.71</v>
      </c>
      <c r="K689" s="3">
        <f>IFERROR(__xludf.DUMMYFUNCTION("""COMPUTED_VALUE"""),45194.6875)</f>
        <v>45194.6875</v>
      </c>
      <c r="L689" s="2">
        <f>IFERROR(__xludf.DUMMYFUNCTION("""COMPUTED_VALUE"""),44.75)</f>
        <v>44.75</v>
      </c>
      <c r="N689" s="3">
        <f>IFERROR(__xludf.DUMMYFUNCTION("""COMPUTED_VALUE"""),45195.66666666667)</f>
        <v>45195.66667</v>
      </c>
      <c r="O689" s="2">
        <f>IFERROR(__xludf.DUMMYFUNCTION("""COMPUTED_VALUE"""),38.64)</f>
        <v>38.64</v>
      </c>
      <c r="Q689" s="3">
        <f>IFERROR(__xludf.DUMMYFUNCTION("""COMPUTED_VALUE"""),45195.66666666667)</f>
        <v>45195.66667</v>
      </c>
      <c r="R689" s="2">
        <f>IFERROR(__xludf.DUMMYFUNCTION("""COMPUTED_VALUE"""),149.32)</f>
        <v>149.32</v>
      </c>
    </row>
    <row r="690">
      <c r="B690" s="3">
        <f>IFERROR(__xludf.DUMMYFUNCTION("""COMPUTED_VALUE"""),45196.66666666667)</f>
        <v>45196.66667</v>
      </c>
      <c r="C690" s="2">
        <f>IFERROR(__xludf.DUMMYFUNCTION("""COMPUTED_VALUE"""),53.2)</f>
        <v>53.2</v>
      </c>
      <c r="K690" s="3">
        <f>IFERROR(__xludf.DUMMYFUNCTION("""COMPUTED_VALUE"""),45195.6875)</f>
        <v>45195.6875</v>
      </c>
      <c r="L690" s="2">
        <f>IFERROR(__xludf.DUMMYFUNCTION("""COMPUTED_VALUE"""),44.93)</f>
        <v>44.93</v>
      </c>
      <c r="N690" s="3">
        <f>IFERROR(__xludf.DUMMYFUNCTION("""COMPUTED_VALUE"""),45196.66666666667)</f>
        <v>45196.66667</v>
      </c>
      <c r="O690" s="2">
        <f>IFERROR(__xludf.DUMMYFUNCTION("""COMPUTED_VALUE"""),39.48)</f>
        <v>39.48</v>
      </c>
      <c r="Q690" s="3">
        <f>IFERROR(__xludf.DUMMYFUNCTION("""COMPUTED_VALUE"""),45196.66666666667)</f>
        <v>45196.66667</v>
      </c>
      <c r="R690" s="2">
        <f>IFERROR(__xludf.DUMMYFUNCTION("""COMPUTED_VALUE"""),147.34)</f>
        <v>147.34</v>
      </c>
    </row>
    <row r="691">
      <c r="B691" s="3">
        <f>IFERROR(__xludf.DUMMYFUNCTION("""COMPUTED_VALUE"""),45197.66666666667)</f>
        <v>45197.66667</v>
      </c>
      <c r="C691" s="2">
        <f>IFERROR(__xludf.DUMMYFUNCTION("""COMPUTED_VALUE"""),53.88)</f>
        <v>53.88</v>
      </c>
      <c r="K691" s="3">
        <f>IFERROR(__xludf.DUMMYFUNCTION("""COMPUTED_VALUE"""),45196.6875)</f>
        <v>45196.6875</v>
      </c>
      <c r="L691" s="2">
        <f>IFERROR(__xludf.DUMMYFUNCTION("""COMPUTED_VALUE"""),44.57)</f>
        <v>44.57</v>
      </c>
      <c r="N691" s="3">
        <f>IFERROR(__xludf.DUMMYFUNCTION("""COMPUTED_VALUE"""),45197.66666666667)</f>
        <v>45197.66667</v>
      </c>
      <c r="O691" s="2">
        <f>IFERROR(__xludf.DUMMYFUNCTION("""COMPUTED_VALUE"""),39.43)</f>
        <v>39.43</v>
      </c>
      <c r="Q691" s="3">
        <f>IFERROR(__xludf.DUMMYFUNCTION("""COMPUTED_VALUE"""),45197.66666666667)</f>
        <v>45197.66667</v>
      </c>
      <c r="R691" s="2">
        <f>IFERROR(__xludf.DUMMYFUNCTION("""COMPUTED_VALUE"""),146.34)</f>
        <v>146.34</v>
      </c>
    </row>
    <row r="692">
      <c r="B692" s="3">
        <f>IFERROR(__xludf.DUMMYFUNCTION("""COMPUTED_VALUE"""),45198.66666666667)</f>
        <v>45198.66667</v>
      </c>
      <c r="C692" s="2">
        <f>IFERROR(__xludf.DUMMYFUNCTION("""COMPUTED_VALUE"""),53.76)</f>
        <v>53.76</v>
      </c>
      <c r="K692" s="3">
        <f>IFERROR(__xludf.DUMMYFUNCTION("""COMPUTED_VALUE"""),45197.6875)</f>
        <v>45197.6875</v>
      </c>
      <c r="L692" s="2">
        <f>IFERROR(__xludf.DUMMYFUNCTION("""COMPUTED_VALUE"""),44.26)</f>
        <v>44.26</v>
      </c>
      <c r="N692" s="3">
        <f>IFERROR(__xludf.DUMMYFUNCTION("""COMPUTED_VALUE"""),45198.66666666667)</f>
        <v>45198.66667</v>
      </c>
      <c r="O692" s="2">
        <f>IFERROR(__xludf.DUMMYFUNCTION("""COMPUTED_VALUE"""),38.72)</f>
        <v>38.72</v>
      </c>
      <c r="Q692" s="3">
        <f>IFERROR(__xludf.DUMMYFUNCTION("""COMPUTED_VALUE"""),45198.66666666667)</f>
        <v>45198.66667</v>
      </c>
      <c r="R692" s="2">
        <f>IFERROR(__xludf.DUMMYFUNCTION("""COMPUTED_VALUE"""),145.86)</f>
        <v>145.86</v>
      </c>
    </row>
    <row r="693">
      <c r="B693" s="3">
        <f>IFERROR(__xludf.DUMMYFUNCTION("""COMPUTED_VALUE"""),45201.66666666667)</f>
        <v>45201.66667</v>
      </c>
      <c r="C693" s="2">
        <f>IFERROR(__xludf.DUMMYFUNCTION("""COMPUTED_VALUE"""),54.39)</f>
        <v>54.39</v>
      </c>
      <c r="K693" s="3">
        <f>IFERROR(__xludf.DUMMYFUNCTION("""COMPUTED_VALUE"""),45198.6875)</f>
        <v>45198.6875</v>
      </c>
      <c r="L693" s="2">
        <f>IFERROR(__xludf.DUMMYFUNCTION("""COMPUTED_VALUE"""),44.37)</f>
        <v>44.37</v>
      </c>
      <c r="N693" s="3">
        <f>IFERROR(__xludf.DUMMYFUNCTION("""COMPUTED_VALUE"""),45201.66666666667)</f>
        <v>45201.66667</v>
      </c>
      <c r="O693" s="2">
        <f>IFERROR(__xludf.DUMMYFUNCTION("""COMPUTED_VALUE"""),37.82)</f>
        <v>37.82</v>
      </c>
      <c r="Q693" s="3">
        <f>IFERROR(__xludf.DUMMYFUNCTION("""COMPUTED_VALUE"""),45201.66666666667)</f>
        <v>45201.66667</v>
      </c>
      <c r="R693" s="2">
        <f>IFERROR(__xludf.DUMMYFUNCTION("""COMPUTED_VALUE"""),145.19)</f>
        <v>145.19</v>
      </c>
    </row>
    <row r="694">
      <c r="B694" s="3">
        <f>IFERROR(__xludf.DUMMYFUNCTION("""COMPUTED_VALUE"""),45202.66666666667)</f>
        <v>45202.66667</v>
      </c>
      <c r="C694" s="2">
        <f>IFERROR(__xludf.DUMMYFUNCTION("""COMPUTED_VALUE"""),53.65)</f>
        <v>53.65</v>
      </c>
      <c r="K694" s="3">
        <f>IFERROR(__xludf.DUMMYFUNCTION("""COMPUTED_VALUE"""),45201.6875)</f>
        <v>45201.6875</v>
      </c>
      <c r="L694" s="2">
        <f>IFERROR(__xludf.DUMMYFUNCTION("""COMPUTED_VALUE"""),43.27)</f>
        <v>43.27</v>
      </c>
      <c r="N694" s="3">
        <f>IFERROR(__xludf.DUMMYFUNCTION("""COMPUTED_VALUE"""),45202.66666666667)</f>
        <v>45202.66667</v>
      </c>
      <c r="O694" s="2">
        <f>IFERROR(__xludf.DUMMYFUNCTION("""COMPUTED_VALUE"""),37.6)</f>
        <v>37.6</v>
      </c>
      <c r="Q694" s="3">
        <f>IFERROR(__xludf.DUMMYFUNCTION("""COMPUTED_VALUE"""),45202.66666666667)</f>
        <v>45202.66667</v>
      </c>
      <c r="R694" s="2">
        <f>IFERROR(__xludf.DUMMYFUNCTION("""COMPUTED_VALUE"""),145.49)</f>
        <v>145.49</v>
      </c>
    </row>
    <row r="695">
      <c r="B695" s="3">
        <f>IFERROR(__xludf.DUMMYFUNCTION("""COMPUTED_VALUE"""),45203.66666666667)</f>
        <v>45203.66667</v>
      </c>
      <c r="C695" s="2">
        <f>IFERROR(__xludf.DUMMYFUNCTION("""COMPUTED_VALUE"""),53.45)</f>
        <v>53.45</v>
      </c>
      <c r="K695" s="3">
        <f>IFERROR(__xludf.DUMMYFUNCTION("""COMPUTED_VALUE"""),45202.6875)</f>
        <v>45202.6875</v>
      </c>
      <c r="L695" s="2">
        <f>IFERROR(__xludf.DUMMYFUNCTION("""COMPUTED_VALUE"""),42.82)</f>
        <v>42.82</v>
      </c>
      <c r="N695" s="3">
        <f>IFERROR(__xludf.DUMMYFUNCTION("""COMPUTED_VALUE"""),45203.66666666667)</f>
        <v>45203.66667</v>
      </c>
      <c r="O695" s="2">
        <f>IFERROR(__xludf.DUMMYFUNCTION("""COMPUTED_VALUE"""),36.31)</f>
        <v>36.31</v>
      </c>
      <c r="Q695" s="3">
        <f>IFERROR(__xludf.DUMMYFUNCTION("""COMPUTED_VALUE"""),45203.66666666667)</f>
        <v>45203.66667</v>
      </c>
      <c r="R695" s="2">
        <f>IFERROR(__xludf.DUMMYFUNCTION("""COMPUTED_VALUE"""),145.97)</f>
        <v>145.97</v>
      </c>
    </row>
    <row r="696">
      <c r="B696" s="3">
        <f>IFERROR(__xludf.DUMMYFUNCTION("""COMPUTED_VALUE"""),45204.66666666667)</f>
        <v>45204.66667</v>
      </c>
      <c r="C696" s="2">
        <f>IFERROR(__xludf.DUMMYFUNCTION("""COMPUTED_VALUE"""),53.07)</f>
        <v>53.07</v>
      </c>
      <c r="K696" s="3">
        <f>IFERROR(__xludf.DUMMYFUNCTION("""COMPUTED_VALUE"""),45203.6875)</f>
        <v>45203.6875</v>
      </c>
      <c r="L696" s="2">
        <f>IFERROR(__xludf.DUMMYFUNCTION("""COMPUTED_VALUE"""),42.46)</f>
        <v>42.46</v>
      </c>
      <c r="N696" s="3">
        <f>IFERROR(__xludf.DUMMYFUNCTION("""COMPUTED_VALUE"""),45204.66666666667)</f>
        <v>45204.66667</v>
      </c>
      <c r="O696" s="2">
        <f>IFERROR(__xludf.DUMMYFUNCTION("""COMPUTED_VALUE"""),36.41)</f>
        <v>36.41</v>
      </c>
      <c r="Q696" s="3">
        <f>IFERROR(__xludf.DUMMYFUNCTION("""COMPUTED_VALUE"""),45204.66666666667)</f>
        <v>45204.66667</v>
      </c>
      <c r="R696" s="2">
        <f>IFERROR(__xludf.DUMMYFUNCTION("""COMPUTED_VALUE"""),143.8)</f>
        <v>143.8</v>
      </c>
    </row>
    <row r="697">
      <c r="B697" s="3">
        <f>IFERROR(__xludf.DUMMYFUNCTION("""COMPUTED_VALUE"""),45205.66666666667)</f>
        <v>45205.66667</v>
      </c>
      <c r="C697" s="2">
        <f>IFERROR(__xludf.DUMMYFUNCTION("""COMPUTED_VALUE"""),53.45)</f>
        <v>53.45</v>
      </c>
      <c r="K697" s="3">
        <f>IFERROR(__xludf.DUMMYFUNCTION("""COMPUTED_VALUE"""),45204.6875)</f>
        <v>45204.6875</v>
      </c>
      <c r="L697" s="2">
        <f>IFERROR(__xludf.DUMMYFUNCTION("""COMPUTED_VALUE"""),42.17)</f>
        <v>42.17</v>
      </c>
      <c r="N697" s="3">
        <f>IFERROR(__xludf.DUMMYFUNCTION("""COMPUTED_VALUE"""),45205.66666666667)</f>
        <v>45205.66667</v>
      </c>
      <c r="O697" s="2">
        <f>IFERROR(__xludf.DUMMYFUNCTION("""COMPUTED_VALUE"""),37.27)</f>
        <v>37.27</v>
      </c>
      <c r="Q697" s="3">
        <f>IFERROR(__xludf.DUMMYFUNCTION("""COMPUTED_VALUE"""),45205.66666666667)</f>
        <v>45205.66667</v>
      </c>
      <c r="R697" s="2">
        <f>IFERROR(__xludf.DUMMYFUNCTION("""COMPUTED_VALUE"""),144.09)</f>
        <v>144.09</v>
      </c>
    </row>
    <row r="698">
      <c r="B698" s="3">
        <f>IFERROR(__xludf.DUMMYFUNCTION("""COMPUTED_VALUE"""),45208.66666666667)</f>
        <v>45208.66667</v>
      </c>
      <c r="C698" s="2">
        <f>IFERROR(__xludf.DUMMYFUNCTION("""COMPUTED_VALUE"""),53.92)</f>
        <v>53.92</v>
      </c>
      <c r="K698" s="3">
        <f>IFERROR(__xludf.DUMMYFUNCTION("""COMPUTED_VALUE"""),45205.6875)</f>
        <v>45205.6875</v>
      </c>
      <c r="L698" s="2">
        <f>IFERROR(__xludf.DUMMYFUNCTION("""COMPUTED_VALUE"""),42.63)</f>
        <v>42.63</v>
      </c>
      <c r="N698" s="3">
        <f>IFERROR(__xludf.DUMMYFUNCTION("""COMPUTED_VALUE"""),45208.66666666667)</f>
        <v>45208.66667</v>
      </c>
      <c r="O698" s="2">
        <f>IFERROR(__xludf.DUMMYFUNCTION("""COMPUTED_VALUE"""),38.38)</f>
        <v>38.38</v>
      </c>
      <c r="Q698" s="3">
        <f>IFERROR(__xludf.DUMMYFUNCTION("""COMPUTED_VALUE"""),45208.66666666667)</f>
        <v>45208.66667</v>
      </c>
      <c r="R698" s="2">
        <f>IFERROR(__xludf.DUMMYFUNCTION("""COMPUTED_VALUE"""),143.36)</f>
        <v>143.36</v>
      </c>
    </row>
    <row r="699">
      <c r="B699" s="3">
        <f>IFERROR(__xludf.DUMMYFUNCTION("""COMPUTED_VALUE"""),45209.66666666667)</f>
        <v>45209.66667</v>
      </c>
      <c r="C699" s="2">
        <f>IFERROR(__xludf.DUMMYFUNCTION("""COMPUTED_VALUE"""),53.87)</f>
        <v>53.87</v>
      </c>
      <c r="K699" s="3">
        <f>IFERROR(__xludf.DUMMYFUNCTION("""COMPUTED_VALUE"""),45208.6875)</f>
        <v>45208.6875</v>
      </c>
      <c r="L699" s="2">
        <f>IFERROR(__xludf.DUMMYFUNCTION("""COMPUTED_VALUE"""),42.11)</f>
        <v>42.11</v>
      </c>
      <c r="N699" s="3">
        <f>IFERROR(__xludf.DUMMYFUNCTION("""COMPUTED_VALUE"""),45209.66666666667)</f>
        <v>45209.66667</v>
      </c>
      <c r="O699" s="2">
        <f>IFERROR(__xludf.DUMMYFUNCTION("""COMPUTED_VALUE"""),38.62)</f>
        <v>38.62</v>
      </c>
      <c r="Q699" s="3">
        <f>IFERROR(__xludf.DUMMYFUNCTION("""COMPUTED_VALUE"""),45209.66666666667)</f>
        <v>45209.66667</v>
      </c>
      <c r="R699" s="2">
        <f>IFERROR(__xludf.DUMMYFUNCTION("""COMPUTED_VALUE"""),144.78)</f>
        <v>144.78</v>
      </c>
    </row>
    <row r="700">
      <c r="B700" s="3">
        <f>IFERROR(__xludf.DUMMYFUNCTION("""COMPUTED_VALUE"""),45210.66666666667)</f>
        <v>45210.66667</v>
      </c>
      <c r="C700" s="2">
        <f>IFERROR(__xludf.DUMMYFUNCTION("""COMPUTED_VALUE"""),53.66)</f>
        <v>53.66</v>
      </c>
      <c r="K700" s="3">
        <f>IFERROR(__xludf.DUMMYFUNCTION("""COMPUTED_VALUE"""),45209.6875)</f>
        <v>45209.6875</v>
      </c>
      <c r="L700" s="2">
        <f>IFERROR(__xludf.DUMMYFUNCTION("""COMPUTED_VALUE"""),43.37)</f>
        <v>43.37</v>
      </c>
      <c r="N700" s="3">
        <f>IFERROR(__xludf.DUMMYFUNCTION("""COMPUTED_VALUE"""),45210.66666666667)</f>
        <v>45210.66667</v>
      </c>
      <c r="O700" s="2">
        <f>IFERROR(__xludf.DUMMYFUNCTION("""COMPUTED_VALUE"""),38.65)</f>
        <v>38.65</v>
      </c>
      <c r="Q700" s="3">
        <f>IFERROR(__xludf.DUMMYFUNCTION("""COMPUTED_VALUE"""),45210.66666666667)</f>
        <v>45210.66667</v>
      </c>
      <c r="R700" s="2">
        <f>IFERROR(__xludf.DUMMYFUNCTION("""COMPUTED_VALUE"""),143.0)</f>
        <v>143</v>
      </c>
    </row>
    <row r="701">
      <c r="B701" s="3">
        <f>IFERROR(__xludf.DUMMYFUNCTION("""COMPUTED_VALUE"""),45211.66666666667)</f>
        <v>45211.66667</v>
      </c>
      <c r="C701" s="2">
        <f>IFERROR(__xludf.DUMMYFUNCTION("""COMPUTED_VALUE"""),53.85)</f>
        <v>53.85</v>
      </c>
      <c r="K701" s="3">
        <f>IFERROR(__xludf.DUMMYFUNCTION("""COMPUTED_VALUE"""),45210.6875)</f>
        <v>45210.6875</v>
      </c>
      <c r="L701" s="2">
        <f>IFERROR(__xludf.DUMMYFUNCTION("""COMPUTED_VALUE"""),43.28)</f>
        <v>43.28</v>
      </c>
      <c r="N701" s="3">
        <f>IFERROR(__xludf.DUMMYFUNCTION("""COMPUTED_VALUE"""),45211.66666666667)</f>
        <v>45211.66667</v>
      </c>
      <c r="O701" s="2">
        <f>IFERROR(__xludf.DUMMYFUNCTION("""COMPUTED_VALUE"""),39.29)</f>
        <v>39.29</v>
      </c>
      <c r="Q701" s="3">
        <f>IFERROR(__xludf.DUMMYFUNCTION("""COMPUTED_VALUE"""),45211.66666666667)</f>
        <v>45211.66667</v>
      </c>
      <c r="R701" s="2">
        <f>IFERROR(__xludf.DUMMYFUNCTION("""COMPUTED_VALUE"""),143.32)</f>
        <v>143.32</v>
      </c>
    </row>
    <row r="702">
      <c r="B702" s="3">
        <f>IFERROR(__xludf.DUMMYFUNCTION("""COMPUTED_VALUE"""),45212.66666666667)</f>
        <v>45212.66667</v>
      </c>
      <c r="C702" s="2">
        <f>IFERROR(__xludf.DUMMYFUNCTION("""COMPUTED_VALUE"""),53.77)</f>
        <v>53.77</v>
      </c>
      <c r="K702" s="3">
        <f>IFERROR(__xludf.DUMMYFUNCTION("""COMPUTED_VALUE"""),45211.6875)</f>
        <v>45211.6875</v>
      </c>
      <c r="L702" s="2">
        <f>IFERROR(__xludf.DUMMYFUNCTION("""COMPUTED_VALUE"""),43.42)</f>
        <v>43.42</v>
      </c>
      <c r="N702" s="3">
        <f>IFERROR(__xludf.DUMMYFUNCTION("""COMPUTED_VALUE"""),45212.66666666667)</f>
        <v>45212.66667</v>
      </c>
      <c r="O702" s="2">
        <f>IFERROR(__xludf.DUMMYFUNCTION("""COMPUTED_VALUE"""),40.01)</f>
        <v>40.01</v>
      </c>
      <c r="Q702" s="3">
        <f>IFERROR(__xludf.DUMMYFUNCTION("""COMPUTED_VALUE"""),45212.66666666667)</f>
        <v>45212.66667</v>
      </c>
      <c r="R702" s="2">
        <f>IFERROR(__xludf.DUMMYFUNCTION("""COMPUTED_VALUE"""),144.69)</f>
        <v>144.69</v>
      </c>
    </row>
    <row r="703">
      <c r="B703" s="3">
        <f>IFERROR(__xludf.DUMMYFUNCTION("""COMPUTED_VALUE"""),45215.66666666667)</f>
        <v>45215.66667</v>
      </c>
      <c r="C703" s="2">
        <f>IFERROR(__xludf.DUMMYFUNCTION("""COMPUTED_VALUE"""),54.16)</f>
        <v>54.16</v>
      </c>
      <c r="K703" s="3">
        <f>IFERROR(__xludf.DUMMYFUNCTION("""COMPUTED_VALUE"""),45212.6875)</f>
        <v>45212.6875</v>
      </c>
      <c r="L703" s="2">
        <f>IFERROR(__xludf.DUMMYFUNCTION("""COMPUTED_VALUE"""),43.23)</f>
        <v>43.23</v>
      </c>
      <c r="N703" s="3">
        <f>IFERROR(__xludf.DUMMYFUNCTION("""COMPUTED_VALUE"""),45215.66666666667)</f>
        <v>45215.66667</v>
      </c>
      <c r="O703" s="2">
        <f>IFERROR(__xludf.DUMMYFUNCTION("""COMPUTED_VALUE"""),40.22)</f>
        <v>40.22</v>
      </c>
      <c r="Q703" s="3">
        <f>IFERROR(__xludf.DUMMYFUNCTION("""COMPUTED_VALUE"""),45215.66666666667)</f>
        <v>45215.66667</v>
      </c>
      <c r="R703" s="2">
        <f>IFERROR(__xludf.DUMMYFUNCTION("""COMPUTED_VALUE"""),146.07)</f>
        <v>146.07</v>
      </c>
    </row>
    <row r="704">
      <c r="B704" s="3">
        <f>IFERROR(__xludf.DUMMYFUNCTION("""COMPUTED_VALUE"""),45216.66666666667)</f>
        <v>45216.66667</v>
      </c>
      <c r="C704" s="2">
        <f>IFERROR(__xludf.DUMMYFUNCTION("""COMPUTED_VALUE"""),53.94)</f>
        <v>53.94</v>
      </c>
      <c r="K704" s="3">
        <f>IFERROR(__xludf.DUMMYFUNCTION("""COMPUTED_VALUE"""),45215.6875)</f>
        <v>45215.6875</v>
      </c>
      <c r="L704" s="2">
        <f>IFERROR(__xludf.DUMMYFUNCTION("""COMPUTED_VALUE"""),43.51)</f>
        <v>43.51</v>
      </c>
      <c r="N704" s="3">
        <f>IFERROR(__xludf.DUMMYFUNCTION("""COMPUTED_VALUE"""),45216.66666666667)</f>
        <v>45216.66667</v>
      </c>
      <c r="O704" s="2">
        <f>IFERROR(__xludf.DUMMYFUNCTION("""COMPUTED_VALUE"""),40.81)</f>
        <v>40.81</v>
      </c>
      <c r="Q704" s="3">
        <f>IFERROR(__xludf.DUMMYFUNCTION("""COMPUTED_VALUE"""),45216.66666666667)</f>
        <v>45216.66667</v>
      </c>
      <c r="R704" s="2">
        <f>IFERROR(__xludf.DUMMYFUNCTION("""COMPUTED_VALUE"""),146.26)</f>
        <v>146.26</v>
      </c>
    </row>
    <row r="705">
      <c r="B705" s="3">
        <f>IFERROR(__xludf.DUMMYFUNCTION("""COMPUTED_VALUE"""),45217.66666666667)</f>
        <v>45217.66667</v>
      </c>
      <c r="C705" s="2">
        <f>IFERROR(__xludf.DUMMYFUNCTION("""COMPUTED_VALUE"""),53.77)</f>
        <v>53.77</v>
      </c>
      <c r="K705" s="3">
        <f>IFERROR(__xludf.DUMMYFUNCTION("""COMPUTED_VALUE"""),45216.6875)</f>
        <v>45216.6875</v>
      </c>
      <c r="L705" s="2">
        <f>IFERROR(__xludf.DUMMYFUNCTION("""COMPUTED_VALUE"""),43.8)</f>
        <v>43.8</v>
      </c>
      <c r="N705" s="3">
        <f>IFERROR(__xludf.DUMMYFUNCTION("""COMPUTED_VALUE"""),45217.66666666667)</f>
        <v>45217.66667</v>
      </c>
      <c r="O705" s="2">
        <f>IFERROR(__xludf.DUMMYFUNCTION("""COMPUTED_VALUE"""),40.72)</f>
        <v>40.72</v>
      </c>
      <c r="Q705" s="3">
        <f>IFERROR(__xludf.DUMMYFUNCTION("""COMPUTED_VALUE"""),45217.66666666667)</f>
        <v>45217.66667</v>
      </c>
      <c r="R705" s="2">
        <f>IFERROR(__xludf.DUMMYFUNCTION("""COMPUTED_VALUE"""),150.03)</f>
        <v>150.03</v>
      </c>
    </row>
    <row r="706">
      <c r="B706" s="3">
        <f>IFERROR(__xludf.DUMMYFUNCTION("""COMPUTED_VALUE"""),45218.66666666667)</f>
        <v>45218.66667</v>
      </c>
      <c r="C706" s="2">
        <f>IFERROR(__xludf.DUMMYFUNCTION("""COMPUTED_VALUE"""),53.32)</f>
        <v>53.32</v>
      </c>
      <c r="K706" s="3">
        <f>IFERROR(__xludf.DUMMYFUNCTION("""COMPUTED_VALUE"""),45217.6875)</f>
        <v>45217.6875</v>
      </c>
      <c r="L706" s="2">
        <f>IFERROR(__xludf.DUMMYFUNCTION("""COMPUTED_VALUE"""),42.85)</f>
        <v>42.85</v>
      </c>
      <c r="N706" s="3">
        <f>IFERROR(__xludf.DUMMYFUNCTION("""COMPUTED_VALUE"""),45218.66666666667)</f>
        <v>45218.66667</v>
      </c>
      <c r="O706" s="2">
        <f>IFERROR(__xludf.DUMMYFUNCTION("""COMPUTED_VALUE"""),40.33)</f>
        <v>40.33</v>
      </c>
      <c r="Q706" s="3">
        <f>IFERROR(__xludf.DUMMYFUNCTION("""COMPUTED_VALUE"""),45218.66666666667)</f>
        <v>45218.66667</v>
      </c>
      <c r="R706" s="2">
        <f>IFERROR(__xludf.DUMMYFUNCTION("""COMPUTED_VALUE"""),148.25)</f>
        <v>148.25</v>
      </c>
    </row>
    <row r="707">
      <c r="B707" s="3">
        <f>IFERROR(__xludf.DUMMYFUNCTION("""COMPUTED_VALUE"""),45219.66666666667)</f>
        <v>45219.66667</v>
      </c>
      <c r="C707" s="2">
        <f>IFERROR(__xludf.DUMMYFUNCTION("""COMPUTED_VALUE"""),52.93)</f>
        <v>52.93</v>
      </c>
      <c r="K707" s="3">
        <f>IFERROR(__xludf.DUMMYFUNCTION("""COMPUTED_VALUE"""),45218.6875)</f>
        <v>45218.6875</v>
      </c>
      <c r="L707" s="2">
        <f>IFERROR(__xludf.DUMMYFUNCTION("""COMPUTED_VALUE"""),41.88)</f>
        <v>41.88</v>
      </c>
      <c r="N707" s="3">
        <f>IFERROR(__xludf.DUMMYFUNCTION("""COMPUTED_VALUE"""),45219.66666666667)</f>
        <v>45219.66667</v>
      </c>
      <c r="O707" s="2">
        <f>IFERROR(__xludf.DUMMYFUNCTION("""COMPUTED_VALUE"""),39.61)</f>
        <v>39.61</v>
      </c>
      <c r="Q707" s="3">
        <f>IFERROR(__xludf.DUMMYFUNCTION("""COMPUTED_VALUE"""),45219.66666666667)</f>
        <v>45219.66667</v>
      </c>
      <c r="R707" s="2">
        <f>IFERROR(__xludf.DUMMYFUNCTION("""COMPUTED_VALUE"""),148.05)</f>
        <v>148.05</v>
      </c>
    </row>
    <row r="708">
      <c r="B708" s="3">
        <f>IFERROR(__xludf.DUMMYFUNCTION("""COMPUTED_VALUE"""),45222.66666666667)</f>
        <v>45222.66667</v>
      </c>
      <c r="C708" s="2">
        <f>IFERROR(__xludf.DUMMYFUNCTION("""COMPUTED_VALUE"""),52.2)</f>
        <v>52.2</v>
      </c>
      <c r="K708" s="3">
        <f>IFERROR(__xludf.DUMMYFUNCTION("""COMPUTED_VALUE"""),45219.6875)</f>
        <v>45219.6875</v>
      </c>
      <c r="L708" s="2">
        <f>IFERROR(__xludf.DUMMYFUNCTION("""COMPUTED_VALUE"""),41.59)</f>
        <v>41.59</v>
      </c>
      <c r="N708" s="3">
        <f>IFERROR(__xludf.DUMMYFUNCTION("""COMPUTED_VALUE"""),45222.66666666667)</f>
        <v>45222.66667</v>
      </c>
      <c r="O708" s="2">
        <f>IFERROR(__xludf.DUMMYFUNCTION("""COMPUTED_VALUE"""),38.9)</f>
        <v>38.9</v>
      </c>
      <c r="Q708" s="3">
        <f>IFERROR(__xludf.DUMMYFUNCTION("""COMPUTED_VALUE"""),45222.66666666667)</f>
        <v>45222.66667</v>
      </c>
      <c r="R708" s="2">
        <f>IFERROR(__xludf.DUMMYFUNCTION("""COMPUTED_VALUE"""),148.15)</f>
        <v>148.15</v>
      </c>
    </row>
    <row r="709">
      <c r="B709" s="3">
        <f>IFERROR(__xludf.DUMMYFUNCTION("""COMPUTED_VALUE"""),45223.66666666667)</f>
        <v>45223.66667</v>
      </c>
      <c r="C709" s="2">
        <f>IFERROR(__xludf.DUMMYFUNCTION("""COMPUTED_VALUE"""),53.01)</f>
        <v>53.01</v>
      </c>
      <c r="K709" s="3">
        <f>IFERROR(__xludf.DUMMYFUNCTION("""COMPUTED_VALUE"""),45222.6875)</f>
        <v>45222.6875</v>
      </c>
      <c r="L709" s="2">
        <f>IFERROR(__xludf.DUMMYFUNCTION("""COMPUTED_VALUE"""),41.42)</f>
        <v>41.42</v>
      </c>
      <c r="N709" s="3">
        <f>IFERROR(__xludf.DUMMYFUNCTION("""COMPUTED_VALUE"""),45223.66666666667)</f>
        <v>45223.66667</v>
      </c>
      <c r="O709" s="2">
        <f>IFERROR(__xludf.DUMMYFUNCTION("""COMPUTED_VALUE"""),38.79)</f>
        <v>38.79</v>
      </c>
      <c r="Q709" s="3">
        <f>IFERROR(__xludf.DUMMYFUNCTION("""COMPUTED_VALUE"""),45223.66666666667)</f>
        <v>45223.66667</v>
      </c>
      <c r="R709" s="2">
        <f>IFERROR(__xludf.DUMMYFUNCTION("""COMPUTED_VALUE"""),149.9)</f>
        <v>149.9</v>
      </c>
    </row>
    <row r="710">
      <c r="B710" s="3">
        <f>IFERROR(__xludf.DUMMYFUNCTION("""COMPUTED_VALUE"""),45224.66666666667)</f>
        <v>45224.66667</v>
      </c>
      <c r="C710" s="2">
        <f>IFERROR(__xludf.DUMMYFUNCTION("""COMPUTED_VALUE"""),52.4)</f>
        <v>52.4</v>
      </c>
      <c r="K710" s="3">
        <f>IFERROR(__xludf.DUMMYFUNCTION("""COMPUTED_VALUE"""),45223.6875)</f>
        <v>45223.6875</v>
      </c>
      <c r="L710" s="2">
        <f>IFERROR(__xludf.DUMMYFUNCTION("""COMPUTED_VALUE"""),40.58)</f>
        <v>40.58</v>
      </c>
      <c r="N710" s="3">
        <f>IFERROR(__xludf.DUMMYFUNCTION("""COMPUTED_VALUE"""),45224.66666666667)</f>
        <v>45224.66667</v>
      </c>
      <c r="O710" s="2">
        <f>IFERROR(__xludf.DUMMYFUNCTION("""COMPUTED_VALUE"""),39.06)</f>
        <v>39.06</v>
      </c>
      <c r="Q710" s="3">
        <f>IFERROR(__xludf.DUMMYFUNCTION("""COMPUTED_VALUE"""),45224.66666666667)</f>
        <v>45224.66667</v>
      </c>
      <c r="R710" s="2">
        <f>IFERROR(__xludf.DUMMYFUNCTION("""COMPUTED_VALUE"""),150.6)</f>
        <v>150.6</v>
      </c>
    </row>
    <row r="711">
      <c r="B711" s="3">
        <f>IFERROR(__xludf.DUMMYFUNCTION("""COMPUTED_VALUE"""),45225.66666666667)</f>
        <v>45225.66667</v>
      </c>
      <c r="C711" s="2">
        <f>IFERROR(__xludf.DUMMYFUNCTION("""COMPUTED_VALUE"""),51.37)</f>
        <v>51.37</v>
      </c>
      <c r="K711" s="3">
        <f>IFERROR(__xludf.DUMMYFUNCTION("""COMPUTED_VALUE"""),45224.6875)</f>
        <v>45224.6875</v>
      </c>
      <c r="L711" s="2">
        <f>IFERROR(__xludf.DUMMYFUNCTION("""COMPUTED_VALUE"""),41.46)</f>
        <v>41.46</v>
      </c>
      <c r="N711" s="3">
        <f>IFERROR(__xludf.DUMMYFUNCTION("""COMPUTED_VALUE"""),45225.66666666667)</f>
        <v>45225.66667</v>
      </c>
      <c r="O711" s="2">
        <f>IFERROR(__xludf.DUMMYFUNCTION("""COMPUTED_VALUE"""),38.82)</f>
        <v>38.82</v>
      </c>
      <c r="Q711" s="3">
        <f>IFERROR(__xludf.DUMMYFUNCTION("""COMPUTED_VALUE"""),45225.66666666667)</f>
        <v>45225.66667</v>
      </c>
      <c r="R711" s="2">
        <f>IFERROR(__xludf.DUMMYFUNCTION("""COMPUTED_VALUE"""),149.8)</f>
        <v>149.8</v>
      </c>
    </row>
    <row r="712">
      <c r="B712" s="3">
        <f>IFERROR(__xludf.DUMMYFUNCTION("""COMPUTED_VALUE"""),45226.66666666667)</f>
        <v>45226.66667</v>
      </c>
      <c r="C712" s="2">
        <f>IFERROR(__xludf.DUMMYFUNCTION("""COMPUTED_VALUE"""),51.56)</f>
        <v>51.56</v>
      </c>
      <c r="K712" s="3">
        <f>IFERROR(__xludf.DUMMYFUNCTION("""COMPUTED_VALUE"""),45225.6875)</f>
        <v>45225.6875</v>
      </c>
      <c r="L712" s="2">
        <f>IFERROR(__xludf.DUMMYFUNCTION("""COMPUTED_VALUE"""),41.17)</f>
        <v>41.17</v>
      </c>
      <c r="N712" s="3">
        <f>IFERROR(__xludf.DUMMYFUNCTION("""COMPUTED_VALUE"""),45226.66666666667)</f>
        <v>45226.66667</v>
      </c>
      <c r="O712" s="2">
        <f>IFERROR(__xludf.DUMMYFUNCTION("""COMPUTED_VALUE"""),38.64)</f>
        <v>38.64</v>
      </c>
      <c r="Q712" s="3">
        <f>IFERROR(__xludf.DUMMYFUNCTION("""COMPUTED_VALUE"""),45226.66666666667)</f>
        <v>45226.66667</v>
      </c>
      <c r="R712" s="2">
        <f>IFERROR(__xludf.DUMMYFUNCTION("""COMPUTED_VALUE"""),147.16)</f>
        <v>147.16</v>
      </c>
    </row>
    <row r="713">
      <c r="B713" s="3">
        <f>IFERROR(__xludf.DUMMYFUNCTION("""COMPUTED_VALUE"""),45229.66666666667)</f>
        <v>45229.66667</v>
      </c>
      <c r="C713" s="2">
        <f>IFERROR(__xludf.DUMMYFUNCTION("""COMPUTED_VALUE"""),51.57)</f>
        <v>51.57</v>
      </c>
      <c r="K713" s="3">
        <f>IFERROR(__xludf.DUMMYFUNCTION("""COMPUTED_VALUE"""),45226.6875)</f>
        <v>45226.6875</v>
      </c>
      <c r="L713" s="2">
        <f>IFERROR(__xludf.DUMMYFUNCTION("""COMPUTED_VALUE"""),39.76)</f>
        <v>39.76</v>
      </c>
      <c r="N713" s="3">
        <f>IFERROR(__xludf.DUMMYFUNCTION("""COMPUTED_VALUE"""),45229.66666666667)</f>
        <v>45229.66667</v>
      </c>
      <c r="O713" s="2">
        <f>IFERROR(__xludf.DUMMYFUNCTION("""COMPUTED_VALUE"""),38.35)</f>
        <v>38.35</v>
      </c>
      <c r="Q713" s="3">
        <f>IFERROR(__xludf.DUMMYFUNCTION("""COMPUTED_VALUE"""),45229.66666666667)</f>
        <v>45229.66667</v>
      </c>
      <c r="R713" s="2">
        <f>IFERROR(__xludf.DUMMYFUNCTION("""COMPUTED_VALUE"""),149.26)</f>
        <v>149.26</v>
      </c>
    </row>
    <row r="714">
      <c r="B714" s="3">
        <f>IFERROR(__xludf.DUMMYFUNCTION("""COMPUTED_VALUE"""),45230.66666666667)</f>
        <v>45230.66667</v>
      </c>
      <c r="C714" s="2">
        <f>IFERROR(__xludf.DUMMYFUNCTION("""COMPUTED_VALUE"""),52.13)</f>
        <v>52.13</v>
      </c>
      <c r="K714" s="3">
        <f>IFERROR(__xludf.DUMMYFUNCTION("""COMPUTED_VALUE"""),45229.6875)</f>
        <v>45229.6875</v>
      </c>
      <c r="L714" s="2">
        <f>IFERROR(__xludf.DUMMYFUNCTION("""COMPUTED_VALUE"""),40.03)</f>
        <v>40.03</v>
      </c>
      <c r="N714" s="3">
        <f>IFERROR(__xludf.DUMMYFUNCTION("""COMPUTED_VALUE"""),45230.66666666667)</f>
        <v>45230.66667</v>
      </c>
      <c r="O714" s="2">
        <f>IFERROR(__xludf.DUMMYFUNCTION("""COMPUTED_VALUE"""),36.58)</f>
        <v>36.58</v>
      </c>
      <c r="Q714" s="3">
        <f>IFERROR(__xludf.DUMMYFUNCTION("""COMPUTED_VALUE"""),45230.66666666667)</f>
        <v>45230.66667</v>
      </c>
      <c r="R714" s="2">
        <f>IFERROR(__xludf.DUMMYFUNCTION("""COMPUTED_VALUE"""),150.03)</f>
        <v>150.03</v>
      </c>
    </row>
    <row r="715">
      <c r="B715" s="3">
        <f>IFERROR(__xludf.DUMMYFUNCTION("""COMPUTED_VALUE"""),45231.66666666667)</f>
        <v>45231.66667</v>
      </c>
      <c r="C715" s="2">
        <f>IFERROR(__xludf.DUMMYFUNCTION("""COMPUTED_VALUE"""),52.19)</f>
        <v>52.19</v>
      </c>
      <c r="K715" s="3">
        <f>IFERROR(__xludf.DUMMYFUNCTION("""COMPUTED_VALUE"""),45230.6875)</f>
        <v>45230.6875</v>
      </c>
      <c r="L715" s="2">
        <f>IFERROR(__xludf.DUMMYFUNCTION("""COMPUTED_VALUE"""),39.94)</f>
        <v>39.94</v>
      </c>
      <c r="N715" s="3">
        <f>IFERROR(__xludf.DUMMYFUNCTION("""COMPUTED_VALUE"""),45231.66666666667)</f>
        <v>45231.66667</v>
      </c>
      <c r="O715" s="2">
        <f>IFERROR(__xludf.DUMMYFUNCTION("""COMPUTED_VALUE"""),36.09)</f>
        <v>36.09</v>
      </c>
      <c r="Q715" s="3">
        <f>IFERROR(__xludf.DUMMYFUNCTION("""COMPUTED_VALUE"""),45231.66666666667)</f>
        <v>45231.66667</v>
      </c>
      <c r="R715" s="2">
        <f>IFERROR(__xludf.DUMMYFUNCTION("""COMPUTED_VALUE"""),149.61)</f>
        <v>149.61</v>
      </c>
    </row>
    <row r="716">
      <c r="B716" s="3">
        <f>IFERROR(__xludf.DUMMYFUNCTION("""COMPUTED_VALUE"""),45232.66666666667)</f>
        <v>45232.66667</v>
      </c>
      <c r="C716" s="2">
        <f>IFERROR(__xludf.DUMMYFUNCTION("""COMPUTED_VALUE"""),52.75)</f>
        <v>52.75</v>
      </c>
      <c r="K716" s="3">
        <f>IFERROR(__xludf.DUMMYFUNCTION("""COMPUTED_VALUE"""),45231.6875)</f>
        <v>45231.6875</v>
      </c>
      <c r="L716" s="2">
        <f>IFERROR(__xludf.DUMMYFUNCTION("""COMPUTED_VALUE"""),40.15)</f>
        <v>40.15</v>
      </c>
      <c r="N716" s="3">
        <f>IFERROR(__xludf.DUMMYFUNCTION("""COMPUTED_VALUE"""),45232.66666666667)</f>
        <v>45232.66667</v>
      </c>
      <c r="O716" s="2">
        <f>IFERROR(__xludf.DUMMYFUNCTION("""COMPUTED_VALUE"""),36.86)</f>
        <v>36.86</v>
      </c>
      <c r="Q716" s="3">
        <f>IFERROR(__xludf.DUMMYFUNCTION("""COMPUTED_VALUE"""),45232.66666666667)</f>
        <v>45232.66667</v>
      </c>
      <c r="R716" s="2">
        <f>IFERROR(__xludf.DUMMYFUNCTION("""COMPUTED_VALUE"""),151.44)</f>
        <v>151.44</v>
      </c>
    </row>
    <row r="717">
      <c r="B717" s="3">
        <f>IFERROR(__xludf.DUMMYFUNCTION("""COMPUTED_VALUE"""),45233.66666666667)</f>
        <v>45233.66667</v>
      </c>
      <c r="C717" s="2">
        <f>IFERROR(__xludf.DUMMYFUNCTION("""COMPUTED_VALUE"""),53.01)</f>
        <v>53.01</v>
      </c>
      <c r="K717" s="3">
        <f>IFERROR(__xludf.DUMMYFUNCTION("""COMPUTED_VALUE"""),45232.6875)</f>
        <v>45232.6875</v>
      </c>
      <c r="L717" s="2">
        <f>IFERROR(__xludf.DUMMYFUNCTION("""COMPUTED_VALUE"""),41.78)</f>
        <v>41.78</v>
      </c>
      <c r="N717" s="3">
        <f>IFERROR(__xludf.DUMMYFUNCTION("""COMPUTED_VALUE"""),45233.66666666667)</f>
        <v>45233.66667</v>
      </c>
      <c r="O717" s="2">
        <f>IFERROR(__xludf.DUMMYFUNCTION("""COMPUTED_VALUE"""),36.2)</f>
        <v>36.2</v>
      </c>
      <c r="Q717" s="3">
        <f>IFERROR(__xludf.DUMMYFUNCTION("""COMPUTED_VALUE"""),45233.66666666667)</f>
        <v>45233.66667</v>
      </c>
      <c r="R717" s="2">
        <f>IFERROR(__xludf.DUMMYFUNCTION("""COMPUTED_VALUE"""),150.07)</f>
        <v>150.07</v>
      </c>
    </row>
    <row r="718">
      <c r="B718" s="3">
        <f>IFERROR(__xludf.DUMMYFUNCTION("""COMPUTED_VALUE"""),45236.66666666667)</f>
        <v>45236.66667</v>
      </c>
      <c r="C718" s="2">
        <f>IFERROR(__xludf.DUMMYFUNCTION("""COMPUTED_VALUE"""),53.29)</f>
        <v>53.29</v>
      </c>
      <c r="K718" s="3">
        <f>IFERROR(__xludf.DUMMYFUNCTION("""COMPUTED_VALUE"""),45233.6875)</f>
        <v>45233.6875</v>
      </c>
      <c r="L718" s="2">
        <f>IFERROR(__xludf.DUMMYFUNCTION("""COMPUTED_VALUE"""),42.44)</f>
        <v>42.44</v>
      </c>
      <c r="N718" s="3">
        <f>IFERROR(__xludf.DUMMYFUNCTION("""COMPUTED_VALUE"""),45236.66666666667)</f>
        <v>45236.66667</v>
      </c>
      <c r="O718" s="2">
        <f>IFERROR(__xludf.DUMMYFUNCTION("""COMPUTED_VALUE"""),36.3)</f>
        <v>36.3</v>
      </c>
      <c r="Q718" s="3">
        <f>IFERROR(__xludf.DUMMYFUNCTION("""COMPUTED_VALUE"""),45236.66666666667)</f>
        <v>45236.66667</v>
      </c>
      <c r="R718" s="2">
        <f>IFERROR(__xludf.DUMMYFUNCTION("""COMPUTED_VALUE"""),150.94)</f>
        <v>150.94</v>
      </c>
    </row>
    <row r="719">
      <c r="B719" s="3">
        <f>IFERROR(__xludf.DUMMYFUNCTION("""COMPUTED_VALUE"""),45237.66666666667)</f>
        <v>45237.66667</v>
      </c>
      <c r="C719" s="2">
        <f>IFERROR(__xludf.DUMMYFUNCTION("""COMPUTED_VALUE"""),53.13)</f>
        <v>53.13</v>
      </c>
      <c r="K719" s="3">
        <f>IFERROR(__xludf.DUMMYFUNCTION("""COMPUTED_VALUE"""),45236.6875)</f>
        <v>45236.6875</v>
      </c>
      <c r="L719" s="2">
        <f>IFERROR(__xludf.DUMMYFUNCTION("""COMPUTED_VALUE"""),42.13)</f>
        <v>42.13</v>
      </c>
      <c r="N719" s="3">
        <f>IFERROR(__xludf.DUMMYFUNCTION("""COMPUTED_VALUE"""),45237.66666666667)</f>
        <v>45237.66667</v>
      </c>
      <c r="O719" s="2">
        <f>IFERROR(__xludf.DUMMYFUNCTION("""COMPUTED_VALUE"""),35.47)</f>
        <v>35.47</v>
      </c>
      <c r="Q719" s="3">
        <f>IFERROR(__xludf.DUMMYFUNCTION("""COMPUTED_VALUE"""),45237.66666666667)</f>
        <v>45237.66667</v>
      </c>
      <c r="R719" s="2">
        <f>IFERROR(__xludf.DUMMYFUNCTION("""COMPUTED_VALUE"""),150.59)</f>
        <v>150.59</v>
      </c>
    </row>
    <row r="720">
      <c r="B720" s="3">
        <f>IFERROR(__xludf.DUMMYFUNCTION("""COMPUTED_VALUE"""),45238.66666666667)</f>
        <v>45238.66667</v>
      </c>
      <c r="C720" s="2">
        <f>IFERROR(__xludf.DUMMYFUNCTION("""COMPUTED_VALUE"""),53.0)</f>
        <v>53</v>
      </c>
      <c r="K720" s="3">
        <f>IFERROR(__xludf.DUMMYFUNCTION("""COMPUTED_VALUE"""),45237.6875)</f>
        <v>45237.6875</v>
      </c>
      <c r="L720" s="2">
        <f>IFERROR(__xludf.DUMMYFUNCTION("""COMPUTED_VALUE"""),42.05)</f>
        <v>42.05</v>
      </c>
      <c r="N720" s="3">
        <f>IFERROR(__xludf.DUMMYFUNCTION("""COMPUTED_VALUE"""),45238.66666666667)</f>
        <v>45238.66667</v>
      </c>
      <c r="O720" s="2">
        <f>IFERROR(__xludf.DUMMYFUNCTION("""COMPUTED_VALUE"""),34.9)</f>
        <v>34.9</v>
      </c>
      <c r="Q720" s="3">
        <f>IFERROR(__xludf.DUMMYFUNCTION("""COMPUTED_VALUE"""),45238.66666666667)</f>
        <v>45238.66667</v>
      </c>
      <c r="R720" s="2">
        <f>IFERROR(__xludf.DUMMYFUNCTION("""COMPUTED_VALUE"""),150.01)</f>
        <v>150.01</v>
      </c>
    </row>
    <row r="721">
      <c r="B721" s="3">
        <f>IFERROR(__xludf.DUMMYFUNCTION("""COMPUTED_VALUE"""),45239.66666666667)</f>
        <v>45239.66667</v>
      </c>
      <c r="C721" s="2">
        <f>IFERROR(__xludf.DUMMYFUNCTION("""COMPUTED_VALUE"""),52.0)</f>
        <v>52</v>
      </c>
      <c r="K721" s="3">
        <f>IFERROR(__xludf.DUMMYFUNCTION("""COMPUTED_VALUE"""),45238.6875)</f>
        <v>45238.6875</v>
      </c>
      <c r="L721" s="2">
        <f>IFERROR(__xludf.DUMMYFUNCTION("""COMPUTED_VALUE"""),41.99)</f>
        <v>41.99</v>
      </c>
      <c r="N721" s="3">
        <f>IFERROR(__xludf.DUMMYFUNCTION("""COMPUTED_VALUE"""),45239.66666666667)</f>
        <v>45239.66667</v>
      </c>
      <c r="O721" s="2">
        <f>IFERROR(__xludf.DUMMYFUNCTION("""COMPUTED_VALUE"""),34.68)</f>
        <v>34.68</v>
      </c>
      <c r="Q721" s="3">
        <f>IFERROR(__xludf.DUMMYFUNCTION("""COMPUTED_VALUE"""),45239.66666666667)</f>
        <v>45239.66667</v>
      </c>
      <c r="R721" s="2">
        <f>IFERROR(__xludf.DUMMYFUNCTION("""COMPUTED_VALUE"""),150.35)</f>
        <v>150.35</v>
      </c>
    </row>
    <row r="722">
      <c r="B722" s="3">
        <f>IFERROR(__xludf.DUMMYFUNCTION("""COMPUTED_VALUE"""),45240.66666666667)</f>
        <v>45240.66667</v>
      </c>
      <c r="C722" s="2">
        <f>IFERROR(__xludf.DUMMYFUNCTION("""COMPUTED_VALUE"""),52.59)</f>
        <v>52.59</v>
      </c>
      <c r="K722" s="3">
        <f>IFERROR(__xludf.DUMMYFUNCTION("""COMPUTED_VALUE"""),45239.6875)</f>
        <v>45239.6875</v>
      </c>
      <c r="L722" s="2">
        <f>IFERROR(__xludf.DUMMYFUNCTION("""COMPUTED_VALUE"""),42.28)</f>
        <v>42.28</v>
      </c>
      <c r="N722" s="3">
        <f>IFERROR(__xludf.DUMMYFUNCTION("""COMPUTED_VALUE"""),45240.66666666667)</f>
        <v>45240.66667</v>
      </c>
      <c r="O722" s="2">
        <f>IFERROR(__xludf.DUMMYFUNCTION("""COMPUTED_VALUE"""),35.08)</f>
        <v>35.08</v>
      </c>
      <c r="Q722" s="3">
        <f>IFERROR(__xludf.DUMMYFUNCTION("""COMPUTED_VALUE"""),45240.66666666667)</f>
        <v>45240.66667</v>
      </c>
      <c r="R722" s="2">
        <f>IFERROR(__xludf.DUMMYFUNCTION("""COMPUTED_VALUE"""),151.41)</f>
        <v>151.41</v>
      </c>
    </row>
    <row r="723">
      <c r="B723" s="3">
        <f>IFERROR(__xludf.DUMMYFUNCTION("""COMPUTED_VALUE"""),45243.66666666667)</f>
        <v>45243.66667</v>
      </c>
      <c r="C723" s="2">
        <f>IFERROR(__xludf.DUMMYFUNCTION("""COMPUTED_VALUE"""),52.23)</f>
        <v>52.23</v>
      </c>
      <c r="K723" s="3">
        <f>IFERROR(__xludf.DUMMYFUNCTION("""COMPUTED_VALUE"""),45240.6875)</f>
        <v>45240.6875</v>
      </c>
      <c r="L723" s="2">
        <f>IFERROR(__xludf.DUMMYFUNCTION("""COMPUTED_VALUE"""),41.75)</f>
        <v>41.75</v>
      </c>
      <c r="N723" s="3">
        <f>IFERROR(__xludf.DUMMYFUNCTION("""COMPUTED_VALUE"""),45243.66666666667)</f>
        <v>45243.66667</v>
      </c>
      <c r="O723" s="2">
        <f>IFERROR(__xludf.DUMMYFUNCTION("""COMPUTED_VALUE"""),35.7)</f>
        <v>35.7</v>
      </c>
      <c r="Q723" s="3">
        <f>IFERROR(__xludf.DUMMYFUNCTION("""COMPUTED_VALUE"""),45243.66666666667)</f>
        <v>45243.66667</v>
      </c>
      <c r="R723" s="2">
        <f>IFERROR(__xludf.DUMMYFUNCTION("""COMPUTED_VALUE"""),152.46)</f>
        <v>152.46</v>
      </c>
    </row>
    <row r="724">
      <c r="B724" s="3">
        <f>IFERROR(__xludf.DUMMYFUNCTION("""COMPUTED_VALUE"""),45244.66666666667)</f>
        <v>45244.66667</v>
      </c>
      <c r="C724" s="2">
        <f>IFERROR(__xludf.DUMMYFUNCTION("""COMPUTED_VALUE"""),53.17)</f>
        <v>53.17</v>
      </c>
      <c r="K724" s="3">
        <f>IFERROR(__xludf.DUMMYFUNCTION("""COMPUTED_VALUE"""),45243.6875)</f>
        <v>45243.6875</v>
      </c>
      <c r="L724" s="2">
        <f>IFERROR(__xludf.DUMMYFUNCTION("""COMPUTED_VALUE"""),42.02)</f>
        <v>42.02</v>
      </c>
      <c r="N724" s="3">
        <f>IFERROR(__xludf.DUMMYFUNCTION("""COMPUTED_VALUE"""),45244.66666666667)</f>
        <v>45244.66667</v>
      </c>
      <c r="O724" s="2">
        <f>IFERROR(__xludf.DUMMYFUNCTION("""COMPUTED_VALUE"""),35.85)</f>
        <v>35.85</v>
      </c>
      <c r="Q724" s="3">
        <f>IFERROR(__xludf.DUMMYFUNCTION("""COMPUTED_VALUE"""),45244.66666666667)</f>
        <v>45244.66667</v>
      </c>
      <c r="R724" s="2">
        <f>IFERROR(__xludf.DUMMYFUNCTION("""COMPUTED_VALUE"""),152.12)</f>
        <v>152.12</v>
      </c>
    </row>
    <row r="725">
      <c r="B725" s="3">
        <f>IFERROR(__xludf.DUMMYFUNCTION("""COMPUTED_VALUE"""),45245.66666666667)</f>
        <v>45245.66667</v>
      </c>
      <c r="C725" s="2">
        <f>IFERROR(__xludf.DUMMYFUNCTION("""COMPUTED_VALUE"""),53.28)</f>
        <v>53.28</v>
      </c>
      <c r="K725" s="3">
        <f>IFERROR(__xludf.DUMMYFUNCTION("""COMPUTED_VALUE"""),45244.6875)</f>
        <v>45244.6875</v>
      </c>
      <c r="L725" s="2">
        <f>IFERROR(__xludf.DUMMYFUNCTION("""COMPUTED_VALUE"""),42.26)</f>
        <v>42.26</v>
      </c>
      <c r="N725" s="3">
        <f>IFERROR(__xludf.DUMMYFUNCTION("""COMPUTED_VALUE"""),45245.66666666667)</f>
        <v>45245.66667</v>
      </c>
      <c r="O725" s="2">
        <f>IFERROR(__xludf.DUMMYFUNCTION("""COMPUTED_VALUE"""),35.59)</f>
        <v>35.59</v>
      </c>
      <c r="Q725" s="3">
        <f>IFERROR(__xludf.DUMMYFUNCTION("""COMPUTED_VALUE"""),45245.66666666667)</f>
        <v>45245.66667</v>
      </c>
      <c r="R725" s="2">
        <f>IFERROR(__xludf.DUMMYFUNCTION("""COMPUTED_VALUE"""),151.42)</f>
        <v>151.42</v>
      </c>
    </row>
    <row r="726">
      <c r="B726" s="3">
        <f>IFERROR(__xludf.DUMMYFUNCTION("""COMPUTED_VALUE"""),45246.66666666667)</f>
        <v>45246.66667</v>
      </c>
      <c r="C726" s="2">
        <f>IFERROR(__xludf.DUMMYFUNCTION("""COMPUTED_VALUE"""),48.04)</f>
        <v>48.04</v>
      </c>
      <c r="K726" s="3">
        <f>IFERROR(__xludf.DUMMYFUNCTION("""COMPUTED_VALUE"""),45245.6875)</f>
        <v>45245.6875</v>
      </c>
      <c r="L726" s="2">
        <f>IFERROR(__xludf.DUMMYFUNCTION("""COMPUTED_VALUE"""),43.1)</f>
        <v>43.1</v>
      </c>
      <c r="N726" s="3">
        <f>IFERROR(__xludf.DUMMYFUNCTION("""COMPUTED_VALUE"""),45246.66666666667)</f>
        <v>45246.66667</v>
      </c>
      <c r="O726" s="2">
        <f>IFERROR(__xludf.DUMMYFUNCTION("""COMPUTED_VALUE"""),35.02)</f>
        <v>35.02</v>
      </c>
      <c r="Q726" s="3">
        <f>IFERROR(__xludf.DUMMYFUNCTION("""COMPUTED_VALUE"""),45246.66666666667)</f>
        <v>45246.66667</v>
      </c>
      <c r="R726" s="2">
        <f>IFERROR(__xludf.DUMMYFUNCTION("""COMPUTED_VALUE"""),152.83)</f>
        <v>152.83</v>
      </c>
    </row>
    <row r="727">
      <c r="B727" s="3">
        <f>IFERROR(__xludf.DUMMYFUNCTION("""COMPUTED_VALUE"""),45247.66666666667)</f>
        <v>45247.66667</v>
      </c>
      <c r="C727" s="2">
        <f>IFERROR(__xludf.DUMMYFUNCTION("""COMPUTED_VALUE"""),47.76)</f>
        <v>47.76</v>
      </c>
      <c r="K727" s="3">
        <f>IFERROR(__xludf.DUMMYFUNCTION("""COMPUTED_VALUE"""),45246.6875)</f>
        <v>45246.6875</v>
      </c>
      <c r="L727" s="2">
        <f>IFERROR(__xludf.DUMMYFUNCTION("""COMPUTED_VALUE"""),42.78)</f>
        <v>42.78</v>
      </c>
      <c r="N727" s="3">
        <f>IFERROR(__xludf.DUMMYFUNCTION("""COMPUTED_VALUE"""),45247.66666666667)</f>
        <v>45247.66667</v>
      </c>
      <c r="O727" s="2">
        <f>IFERROR(__xludf.DUMMYFUNCTION("""COMPUTED_VALUE"""),35.61)</f>
        <v>35.61</v>
      </c>
      <c r="Q727" s="3">
        <f>IFERROR(__xludf.DUMMYFUNCTION("""COMPUTED_VALUE"""),45247.66666666667)</f>
        <v>45247.66667</v>
      </c>
      <c r="R727" s="2">
        <f>IFERROR(__xludf.DUMMYFUNCTION("""COMPUTED_VALUE"""),151.07)</f>
        <v>151.07</v>
      </c>
    </row>
    <row r="728">
      <c r="B728" s="3">
        <f>IFERROR(__xludf.DUMMYFUNCTION("""COMPUTED_VALUE"""),45250.66666666667)</f>
        <v>45250.66667</v>
      </c>
      <c r="C728" s="2">
        <f>IFERROR(__xludf.DUMMYFUNCTION("""COMPUTED_VALUE"""),48.27)</f>
        <v>48.27</v>
      </c>
      <c r="K728" s="3">
        <f>IFERROR(__xludf.DUMMYFUNCTION("""COMPUTED_VALUE"""),45247.6875)</f>
        <v>45247.6875</v>
      </c>
      <c r="L728" s="2">
        <f>IFERROR(__xludf.DUMMYFUNCTION("""COMPUTED_VALUE"""),43.38)</f>
        <v>43.38</v>
      </c>
      <c r="N728" s="3">
        <f>IFERROR(__xludf.DUMMYFUNCTION("""COMPUTED_VALUE"""),45250.66666666667)</f>
        <v>45250.66667</v>
      </c>
      <c r="O728" s="2">
        <f>IFERROR(__xludf.DUMMYFUNCTION("""COMPUTED_VALUE"""),35.88)</f>
        <v>35.88</v>
      </c>
      <c r="Q728" s="3">
        <f>IFERROR(__xludf.DUMMYFUNCTION("""COMPUTED_VALUE"""),45250.66666666667)</f>
        <v>45250.66667</v>
      </c>
      <c r="R728" s="2">
        <f>IFERROR(__xludf.DUMMYFUNCTION("""COMPUTED_VALUE"""),150.27)</f>
        <v>150.27</v>
      </c>
    </row>
    <row r="729">
      <c r="B729" s="3">
        <f>IFERROR(__xludf.DUMMYFUNCTION("""COMPUTED_VALUE"""),45251.66666666667)</f>
        <v>45251.66667</v>
      </c>
      <c r="C729" s="2">
        <f>IFERROR(__xludf.DUMMYFUNCTION("""COMPUTED_VALUE"""),47.8)</f>
        <v>47.8</v>
      </c>
      <c r="K729" s="3">
        <f>IFERROR(__xludf.DUMMYFUNCTION("""COMPUTED_VALUE"""),45250.6875)</f>
        <v>45250.6875</v>
      </c>
      <c r="L729" s="2">
        <f>IFERROR(__xludf.DUMMYFUNCTION("""COMPUTED_VALUE"""),43.05)</f>
        <v>43.05</v>
      </c>
      <c r="N729" s="3">
        <f>IFERROR(__xludf.DUMMYFUNCTION("""COMPUTED_VALUE"""),45251.66666666667)</f>
        <v>45251.66667</v>
      </c>
      <c r="O729" s="2">
        <f>IFERROR(__xludf.DUMMYFUNCTION("""COMPUTED_VALUE"""),35.74)</f>
        <v>35.74</v>
      </c>
      <c r="Q729" s="3">
        <f>IFERROR(__xludf.DUMMYFUNCTION("""COMPUTED_VALUE"""),45251.66666666667)</f>
        <v>45251.66667</v>
      </c>
      <c r="R729" s="2">
        <f>IFERROR(__xludf.DUMMYFUNCTION("""COMPUTED_VALUE"""),149.61)</f>
        <v>149.61</v>
      </c>
    </row>
    <row r="730">
      <c r="B730" s="3">
        <f>IFERROR(__xludf.DUMMYFUNCTION("""COMPUTED_VALUE"""),45252.66666666667)</f>
        <v>45252.66667</v>
      </c>
      <c r="C730" s="2">
        <f>IFERROR(__xludf.DUMMYFUNCTION("""COMPUTED_VALUE"""),48.08)</f>
        <v>48.08</v>
      </c>
      <c r="K730" s="3">
        <f>IFERROR(__xludf.DUMMYFUNCTION("""COMPUTED_VALUE"""),45251.6875)</f>
        <v>45251.6875</v>
      </c>
      <c r="L730" s="2">
        <f>IFERROR(__xludf.DUMMYFUNCTION("""COMPUTED_VALUE"""),42.55)</f>
        <v>42.55</v>
      </c>
      <c r="N730" s="3">
        <f>IFERROR(__xludf.DUMMYFUNCTION("""COMPUTED_VALUE"""),45252.66666666667)</f>
        <v>45252.66667</v>
      </c>
      <c r="O730" s="2">
        <f>IFERROR(__xludf.DUMMYFUNCTION("""COMPUTED_VALUE"""),35.27)</f>
        <v>35.27</v>
      </c>
      <c r="Q730" s="3">
        <f>IFERROR(__xludf.DUMMYFUNCTION("""COMPUTED_VALUE"""),45252.66666666667)</f>
        <v>45252.66667</v>
      </c>
      <c r="R730" s="2">
        <f>IFERROR(__xludf.DUMMYFUNCTION("""COMPUTED_VALUE"""),151.02)</f>
        <v>151.02</v>
      </c>
    </row>
    <row r="731">
      <c r="B731" s="3">
        <f>IFERROR(__xludf.DUMMYFUNCTION("""COMPUTED_VALUE"""),45254.54513888889)</f>
        <v>45254.54514</v>
      </c>
      <c r="C731" s="2">
        <f>IFERROR(__xludf.DUMMYFUNCTION("""COMPUTED_VALUE"""),48.36)</f>
        <v>48.36</v>
      </c>
      <c r="K731" s="3">
        <f>IFERROR(__xludf.DUMMYFUNCTION("""COMPUTED_VALUE"""),45252.6875)</f>
        <v>45252.6875</v>
      </c>
      <c r="L731" s="2">
        <f>IFERROR(__xludf.DUMMYFUNCTION("""COMPUTED_VALUE"""),42.3)</f>
        <v>42.3</v>
      </c>
      <c r="N731" s="3">
        <f>IFERROR(__xludf.DUMMYFUNCTION("""COMPUTED_VALUE"""),45254.54166666667)</f>
        <v>45254.54167</v>
      </c>
      <c r="O731" s="2">
        <f>IFERROR(__xludf.DUMMYFUNCTION("""COMPUTED_VALUE"""),35.82)</f>
        <v>35.82</v>
      </c>
      <c r="Q731" s="3">
        <f>IFERROR(__xludf.DUMMYFUNCTION("""COMPUTED_VALUE"""),45254.54166666667)</f>
        <v>45254.54167</v>
      </c>
      <c r="R731" s="2">
        <f>IFERROR(__xludf.DUMMYFUNCTION("""COMPUTED_VALUE"""),151.38)</f>
        <v>151.38</v>
      </c>
    </row>
    <row r="732">
      <c r="B732" s="3">
        <f>IFERROR(__xludf.DUMMYFUNCTION("""COMPUTED_VALUE"""),45257.66666666667)</f>
        <v>45257.66667</v>
      </c>
      <c r="C732" s="2">
        <f>IFERROR(__xludf.DUMMYFUNCTION("""COMPUTED_VALUE"""),47.93)</f>
        <v>47.93</v>
      </c>
      <c r="K732" s="3">
        <f>IFERROR(__xludf.DUMMYFUNCTION("""COMPUTED_VALUE"""),45253.6875)</f>
        <v>45253.6875</v>
      </c>
      <c r="L732" s="2">
        <f>IFERROR(__xludf.DUMMYFUNCTION("""COMPUTED_VALUE"""),42.35)</f>
        <v>42.35</v>
      </c>
      <c r="N732" s="3">
        <f>IFERROR(__xludf.DUMMYFUNCTION("""COMPUTED_VALUE"""),45257.66666666667)</f>
        <v>45257.66667</v>
      </c>
      <c r="O732" s="2">
        <f>IFERROR(__xludf.DUMMYFUNCTION("""COMPUTED_VALUE"""),35.94)</f>
        <v>35.94</v>
      </c>
      <c r="Q732" s="3">
        <f>IFERROR(__xludf.DUMMYFUNCTION("""COMPUTED_VALUE"""),45257.66666666667)</f>
        <v>45257.66667</v>
      </c>
      <c r="R732" s="2">
        <f>IFERROR(__xludf.DUMMYFUNCTION("""COMPUTED_VALUE"""),151.24)</f>
        <v>151.24</v>
      </c>
    </row>
    <row r="733">
      <c r="B733" s="3">
        <f>IFERROR(__xludf.DUMMYFUNCTION("""COMPUTED_VALUE"""),45258.66666666667)</f>
        <v>45258.66667</v>
      </c>
      <c r="C733" s="2">
        <f>IFERROR(__xludf.DUMMYFUNCTION("""COMPUTED_VALUE"""),47.85)</f>
        <v>47.85</v>
      </c>
      <c r="K733" s="3">
        <f>IFERROR(__xludf.DUMMYFUNCTION("""COMPUTED_VALUE"""),45254.6875)</f>
        <v>45254.6875</v>
      </c>
      <c r="L733" s="2">
        <f>IFERROR(__xludf.DUMMYFUNCTION("""COMPUTED_VALUE"""),42.48)</f>
        <v>42.48</v>
      </c>
      <c r="N733" s="3">
        <f>IFERROR(__xludf.DUMMYFUNCTION("""COMPUTED_VALUE"""),45258.66666666667)</f>
        <v>45258.66667</v>
      </c>
      <c r="O733" s="2">
        <f>IFERROR(__xludf.DUMMYFUNCTION("""COMPUTED_VALUE"""),35.94)</f>
        <v>35.94</v>
      </c>
      <c r="Q733" s="3">
        <f>IFERROR(__xludf.DUMMYFUNCTION("""COMPUTED_VALUE"""),45258.66666666667)</f>
        <v>45258.66667</v>
      </c>
      <c r="R733" s="2">
        <f>IFERROR(__xludf.DUMMYFUNCTION("""COMPUTED_VALUE"""),152.29)</f>
        <v>152.29</v>
      </c>
    </row>
    <row r="734">
      <c r="B734" s="3">
        <f>IFERROR(__xludf.DUMMYFUNCTION("""COMPUTED_VALUE"""),45259.66666666667)</f>
        <v>45259.66667</v>
      </c>
      <c r="C734" s="2">
        <f>IFERROR(__xludf.DUMMYFUNCTION("""COMPUTED_VALUE"""),48.05)</f>
        <v>48.05</v>
      </c>
      <c r="K734" s="3">
        <f>IFERROR(__xludf.DUMMYFUNCTION("""COMPUTED_VALUE"""),45257.6875)</f>
        <v>45257.6875</v>
      </c>
      <c r="L734" s="2">
        <f>IFERROR(__xludf.DUMMYFUNCTION("""COMPUTED_VALUE"""),42.05)</f>
        <v>42.05</v>
      </c>
      <c r="N734" s="3">
        <f>IFERROR(__xludf.DUMMYFUNCTION("""COMPUTED_VALUE"""),45259.66666666667)</f>
        <v>45259.66667</v>
      </c>
      <c r="O734" s="2">
        <f>IFERROR(__xludf.DUMMYFUNCTION("""COMPUTED_VALUE"""),36.07)</f>
        <v>36.07</v>
      </c>
      <c r="Q734" s="3">
        <f>IFERROR(__xludf.DUMMYFUNCTION("""COMPUTED_VALUE"""),45259.66666666667)</f>
        <v>45259.66667</v>
      </c>
      <c r="R734" s="2">
        <f>IFERROR(__xludf.DUMMYFUNCTION("""COMPUTED_VALUE"""),151.13)</f>
        <v>151.13</v>
      </c>
    </row>
    <row r="735">
      <c r="B735" s="3">
        <f>IFERROR(__xludf.DUMMYFUNCTION("""COMPUTED_VALUE"""),45260.66666666667)</f>
        <v>45260.66667</v>
      </c>
      <c r="C735" s="2">
        <f>IFERROR(__xludf.DUMMYFUNCTION("""COMPUTED_VALUE"""),48.38)</f>
        <v>48.38</v>
      </c>
      <c r="K735" s="3">
        <f>IFERROR(__xludf.DUMMYFUNCTION("""COMPUTED_VALUE"""),45258.6875)</f>
        <v>45258.6875</v>
      </c>
      <c r="L735" s="2">
        <f>IFERROR(__xludf.DUMMYFUNCTION("""COMPUTED_VALUE"""),42.45)</f>
        <v>42.45</v>
      </c>
      <c r="N735" s="3">
        <f>IFERROR(__xludf.DUMMYFUNCTION("""COMPUTED_VALUE"""),45260.66666666667)</f>
        <v>45260.66667</v>
      </c>
      <c r="O735" s="2">
        <f>IFERROR(__xludf.DUMMYFUNCTION("""COMPUTED_VALUE"""),36.29)</f>
        <v>36.29</v>
      </c>
      <c r="Q735" s="3">
        <f>IFERROR(__xludf.DUMMYFUNCTION("""COMPUTED_VALUE"""),45260.66666666667)</f>
        <v>45260.66667</v>
      </c>
      <c r="R735" s="2">
        <f>IFERROR(__xludf.DUMMYFUNCTION("""COMPUTED_VALUE"""),153.52)</f>
        <v>153.52</v>
      </c>
    </row>
    <row r="736">
      <c r="B736" s="3">
        <f>IFERROR(__xludf.DUMMYFUNCTION("""COMPUTED_VALUE"""),45261.66666666667)</f>
        <v>45261.66667</v>
      </c>
      <c r="C736" s="2">
        <f>IFERROR(__xludf.DUMMYFUNCTION("""COMPUTED_VALUE"""),48.47)</f>
        <v>48.47</v>
      </c>
      <c r="K736" s="3">
        <f>IFERROR(__xludf.DUMMYFUNCTION("""COMPUTED_VALUE"""),45259.6875)</f>
        <v>45259.6875</v>
      </c>
      <c r="L736" s="2">
        <f>IFERROR(__xludf.DUMMYFUNCTION("""COMPUTED_VALUE"""),43.45)</f>
        <v>43.45</v>
      </c>
      <c r="N736" s="3">
        <f>IFERROR(__xludf.DUMMYFUNCTION("""COMPUTED_VALUE"""),45261.66666666667)</f>
        <v>45261.66667</v>
      </c>
      <c r="O736" s="2">
        <f>IFERROR(__xludf.DUMMYFUNCTION("""COMPUTED_VALUE"""),35.98)</f>
        <v>35.98</v>
      </c>
      <c r="Q736" s="3">
        <f>IFERROR(__xludf.DUMMYFUNCTION("""COMPUTED_VALUE"""),45261.66666666667)</f>
        <v>45261.66667</v>
      </c>
      <c r="R736" s="2">
        <f>IFERROR(__xludf.DUMMYFUNCTION("""COMPUTED_VALUE"""),152.66)</f>
        <v>152.66</v>
      </c>
    </row>
    <row r="737">
      <c r="B737" s="3">
        <f>IFERROR(__xludf.DUMMYFUNCTION("""COMPUTED_VALUE"""),45264.66666666667)</f>
        <v>45264.66667</v>
      </c>
      <c r="C737" s="2">
        <f>IFERROR(__xludf.DUMMYFUNCTION("""COMPUTED_VALUE"""),48.05)</f>
        <v>48.05</v>
      </c>
      <c r="K737" s="3">
        <f>IFERROR(__xludf.DUMMYFUNCTION("""COMPUTED_VALUE"""),45260.6875)</f>
        <v>45260.6875</v>
      </c>
      <c r="L737" s="2">
        <f>IFERROR(__xludf.DUMMYFUNCTION("""COMPUTED_VALUE"""),43.47)</f>
        <v>43.47</v>
      </c>
      <c r="N737" s="3">
        <f>IFERROR(__xludf.DUMMYFUNCTION("""COMPUTED_VALUE"""),45264.66666666667)</f>
        <v>45264.66667</v>
      </c>
      <c r="O737" s="2">
        <f>IFERROR(__xludf.DUMMYFUNCTION("""COMPUTED_VALUE"""),35.59)</f>
        <v>35.59</v>
      </c>
      <c r="Q737" s="3">
        <f>IFERROR(__xludf.DUMMYFUNCTION("""COMPUTED_VALUE"""),45264.66666666667)</f>
        <v>45264.66667</v>
      </c>
      <c r="R737" s="2">
        <f>IFERROR(__xludf.DUMMYFUNCTION("""COMPUTED_VALUE"""),152.06)</f>
        <v>152.06</v>
      </c>
    </row>
    <row r="738">
      <c r="B738" s="3">
        <f>IFERROR(__xludf.DUMMYFUNCTION("""COMPUTED_VALUE"""),45265.66666666667)</f>
        <v>45265.66667</v>
      </c>
      <c r="C738" s="2">
        <f>IFERROR(__xludf.DUMMYFUNCTION("""COMPUTED_VALUE"""),47.93)</f>
        <v>47.93</v>
      </c>
      <c r="K738" s="3">
        <f>IFERROR(__xludf.DUMMYFUNCTION("""COMPUTED_VALUE"""),45261.6875)</f>
        <v>45261.6875</v>
      </c>
      <c r="L738" s="2">
        <f>IFERROR(__xludf.DUMMYFUNCTION("""COMPUTED_VALUE"""),44.49)</f>
        <v>44.49</v>
      </c>
      <c r="N738" s="3">
        <f>IFERROR(__xludf.DUMMYFUNCTION("""COMPUTED_VALUE"""),45265.66666666667)</f>
        <v>45265.66667</v>
      </c>
      <c r="O738" s="2">
        <f>IFERROR(__xludf.DUMMYFUNCTION("""COMPUTED_VALUE"""),35.29)</f>
        <v>35.29</v>
      </c>
      <c r="Q738" s="3">
        <f>IFERROR(__xludf.DUMMYFUNCTION("""COMPUTED_VALUE"""),45265.66666666667)</f>
        <v>45265.66667</v>
      </c>
      <c r="R738" s="2">
        <f>IFERROR(__xludf.DUMMYFUNCTION("""COMPUTED_VALUE"""),146.76)</f>
        <v>146.76</v>
      </c>
    </row>
    <row r="739">
      <c r="B739" s="3">
        <f>IFERROR(__xludf.DUMMYFUNCTION("""COMPUTED_VALUE"""),45266.66666666667)</f>
        <v>45266.66667</v>
      </c>
      <c r="C739" s="2">
        <f>IFERROR(__xludf.DUMMYFUNCTION("""COMPUTED_VALUE"""),47.7)</f>
        <v>47.7</v>
      </c>
      <c r="K739" s="3">
        <f>IFERROR(__xludf.DUMMYFUNCTION("""COMPUTED_VALUE"""),45264.6875)</f>
        <v>45264.6875</v>
      </c>
      <c r="L739" s="2">
        <f>IFERROR(__xludf.DUMMYFUNCTION("""COMPUTED_VALUE"""),45.13)</f>
        <v>45.13</v>
      </c>
      <c r="N739" s="3">
        <f>IFERROR(__xludf.DUMMYFUNCTION("""COMPUTED_VALUE"""),45266.66666666667)</f>
        <v>45266.66667</v>
      </c>
      <c r="O739" s="2">
        <f>IFERROR(__xludf.DUMMYFUNCTION("""COMPUTED_VALUE"""),34.85)</f>
        <v>34.85</v>
      </c>
      <c r="Q739" s="3">
        <f>IFERROR(__xludf.DUMMYFUNCTION("""COMPUTED_VALUE"""),45266.66666666667)</f>
        <v>45266.66667</v>
      </c>
      <c r="R739" s="2">
        <f>IFERROR(__xludf.DUMMYFUNCTION("""COMPUTED_VALUE"""),146.65)</f>
        <v>146.65</v>
      </c>
    </row>
    <row r="740">
      <c r="B740" s="3">
        <f>IFERROR(__xludf.DUMMYFUNCTION("""COMPUTED_VALUE"""),45267.66666666667)</f>
        <v>45267.66667</v>
      </c>
      <c r="C740" s="2">
        <f>IFERROR(__xludf.DUMMYFUNCTION("""COMPUTED_VALUE"""),48.26)</f>
        <v>48.26</v>
      </c>
      <c r="K740" s="3">
        <f>IFERROR(__xludf.DUMMYFUNCTION("""COMPUTED_VALUE"""),45265.6875)</f>
        <v>45265.6875</v>
      </c>
      <c r="L740" s="2">
        <f>IFERROR(__xludf.DUMMYFUNCTION("""COMPUTED_VALUE"""),45.01)</f>
        <v>45.01</v>
      </c>
      <c r="N740" s="3">
        <f>IFERROR(__xludf.DUMMYFUNCTION("""COMPUTED_VALUE"""),45267.66666666667)</f>
        <v>45267.66667</v>
      </c>
      <c r="O740" s="2">
        <f>IFERROR(__xludf.DUMMYFUNCTION("""COMPUTED_VALUE"""),34.69)</f>
        <v>34.69</v>
      </c>
      <c r="Q740" s="3">
        <f>IFERROR(__xludf.DUMMYFUNCTION("""COMPUTED_VALUE"""),45267.66666666667)</f>
        <v>45267.66667</v>
      </c>
      <c r="R740" s="2">
        <f>IFERROR(__xludf.DUMMYFUNCTION("""COMPUTED_VALUE"""),146.5)</f>
        <v>146.5</v>
      </c>
    </row>
    <row r="741">
      <c r="B741" s="3">
        <f>IFERROR(__xludf.DUMMYFUNCTION("""COMPUTED_VALUE"""),45268.66666666667)</f>
        <v>45268.66667</v>
      </c>
      <c r="C741" s="2">
        <f>IFERROR(__xludf.DUMMYFUNCTION("""COMPUTED_VALUE"""),48.38)</f>
        <v>48.38</v>
      </c>
      <c r="K741" s="3">
        <f>IFERROR(__xludf.DUMMYFUNCTION("""COMPUTED_VALUE"""),45266.6875)</f>
        <v>45266.6875</v>
      </c>
      <c r="L741" s="2">
        <f>IFERROR(__xludf.DUMMYFUNCTION("""COMPUTED_VALUE"""),45.81)</f>
        <v>45.81</v>
      </c>
      <c r="N741" s="3">
        <f>IFERROR(__xludf.DUMMYFUNCTION("""COMPUTED_VALUE"""),45268.66666666667)</f>
        <v>45268.66667</v>
      </c>
      <c r="O741" s="2">
        <f>IFERROR(__xludf.DUMMYFUNCTION("""COMPUTED_VALUE"""),35.3)</f>
        <v>35.3</v>
      </c>
      <c r="Q741" s="3">
        <f>IFERROR(__xludf.DUMMYFUNCTION("""COMPUTED_VALUE"""),45268.66666666667)</f>
        <v>45268.66667</v>
      </c>
      <c r="R741" s="2">
        <f>IFERROR(__xludf.DUMMYFUNCTION("""COMPUTED_VALUE"""),145.15)</f>
        <v>145.15</v>
      </c>
    </row>
    <row r="742">
      <c r="B742" s="3">
        <f>IFERROR(__xludf.DUMMYFUNCTION("""COMPUTED_VALUE"""),45271.66666666667)</f>
        <v>45271.66667</v>
      </c>
      <c r="C742" s="2">
        <f>IFERROR(__xludf.DUMMYFUNCTION("""COMPUTED_VALUE"""),49.39)</f>
        <v>49.39</v>
      </c>
      <c r="K742" s="3">
        <f>IFERROR(__xludf.DUMMYFUNCTION("""COMPUTED_VALUE"""),45267.6875)</f>
        <v>45267.6875</v>
      </c>
      <c r="L742" s="2">
        <f>IFERROR(__xludf.DUMMYFUNCTION("""COMPUTED_VALUE"""),45.72)</f>
        <v>45.72</v>
      </c>
      <c r="N742" s="3">
        <f>IFERROR(__xludf.DUMMYFUNCTION("""COMPUTED_VALUE"""),45271.66666666667)</f>
        <v>45271.66667</v>
      </c>
      <c r="O742" s="2">
        <f>IFERROR(__xludf.DUMMYFUNCTION("""COMPUTED_VALUE"""),35.13)</f>
        <v>35.13</v>
      </c>
      <c r="Q742" s="3">
        <f>IFERROR(__xludf.DUMMYFUNCTION("""COMPUTED_VALUE"""),45271.66666666667)</f>
        <v>45271.66667</v>
      </c>
      <c r="R742" s="2">
        <f>IFERROR(__xludf.DUMMYFUNCTION("""COMPUTED_VALUE"""),145.82)</f>
        <v>145.82</v>
      </c>
    </row>
    <row r="743">
      <c r="B743" s="3">
        <f>IFERROR(__xludf.DUMMYFUNCTION("""COMPUTED_VALUE"""),45272.66666666667)</f>
        <v>45272.66667</v>
      </c>
      <c r="C743" s="2">
        <f>IFERROR(__xludf.DUMMYFUNCTION("""COMPUTED_VALUE"""),49.33)</f>
        <v>49.33</v>
      </c>
      <c r="K743" s="3">
        <f>IFERROR(__xludf.DUMMYFUNCTION("""COMPUTED_VALUE"""),45268.6875)</f>
        <v>45268.6875</v>
      </c>
      <c r="L743" s="2">
        <f>IFERROR(__xludf.DUMMYFUNCTION("""COMPUTED_VALUE"""),46.34)</f>
        <v>46.34</v>
      </c>
      <c r="N743" s="3">
        <f>IFERROR(__xludf.DUMMYFUNCTION("""COMPUTED_VALUE"""),45272.66666666667)</f>
        <v>45272.66667</v>
      </c>
      <c r="O743" s="2">
        <f>IFERROR(__xludf.DUMMYFUNCTION("""COMPUTED_VALUE"""),34.76)</f>
        <v>34.76</v>
      </c>
      <c r="Q743" s="3">
        <f>IFERROR(__xludf.DUMMYFUNCTION("""COMPUTED_VALUE"""),45272.66666666667)</f>
        <v>45272.66667</v>
      </c>
      <c r="R743" s="2">
        <f>IFERROR(__xludf.DUMMYFUNCTION("""COMPUTED_VALUE"""),145.94)</f>
        <v>145.94</v>
      </c>
    </row>
    <row r="744">
      <c r="B744" s="3">
        <f>IFERROR(__xludf.DUMMYFUNCTION("""COMPUTED_VALUE"""),45273.66666666667)</f>
        <v>45273.66667</v>
      </c>
      <c r="C744" s="2">
        <f>IFERROR(__xludf.DUMMYFUNCTION("""COMPUTED_VALUE"""),49.69)</f>
        <v>49.69</v>
      </c>
      <c r="K744" s="3">
        <f>IFERROR(__xludf.DUMMYFUNCTION("""COMPUTED_VALUE"""),45271.6875)</f>
        <v>45271.6875</v>
      </c>
      <c r="L744" s="2">
        <f>IFERROR(__xludf.DUMMYFUNCTION("""COMPUTED_VALUE"""),46.12)</f>
        <v>46.12</v>
      </c>
      <c r="N744" s="3">
        <f>IFERROR(__xludf.DUMMYFUNCTION("""COMPUTED_VALUE"""),45273.66666666667)</f>
        <v>45273.66667</v>
      </c>
      <c r="O744" s="2">
        <f>IFERROR(__xludf.DUMMYFUNCTION("""COMPUTED_VALUE"""),35.03)</f>
        <v>35.03</v>
      </c>
      <c r="Q744" s="3">
        <f>IFERROR(__xludf.DUMMYFUNCTION("""COMPUTED_VALUE"""),45273.66666666667)</f>
        <v>45273.66667</v>
      </c>
      <c r="R744" s="2">
        <f>IFERROR(__xludf.DUMMYFUNCTION("""COMPUTED_VALUE"""),148.58)</f>
        <v>148.58</v>
      </c>
    </row>
    <row r="745">
      <c r="B745" s="3">
        <f>IFERROR(__xludf.DUMMYFUNCTION("""COMPUTED_VALUE"""),45274.66666666667)</f>
        <v>45274.66667</v>
      </c>
      <c r="C745" s="2">
        <f>IFERROR(__xludf.DUMMYFUNCTION("""COMPUTED_VALUE"""),49.44)</f>
        <v>49.44</v>
      </c>
      <c r="K745" s="3">
        <f>IFERROR(__xludf.DUMMYFUNCTION("""COMPUTED_VALUE"""),45272.6875)</f>
        <v>45272.6875</v>
      </c>
      <c r="L745" s="2">
        <f>IFERROR(__xludf.DUMMYFUNCTION("""COMPUTED_VALUE"""),45.9)</f>
        <v>45.9</v>
      </c>
      <c r="N745" s="3">
        <f>IFERROR(__xludf.DUMMYFUNCTION("""COMPUTED_VALUE"""),45274.66666666667)</f>
        <v>45274.66667</v>
      </c>
      <c r="O745" s="2">
        <f>IFERROR(__xludf.DUMMYFUNCTION("""COMPUTED_VALUE"""),35.8)</f>
        <v>35.8</v>
      </c>
      <c r="Q745" s="3">
        <f>IFERROR(__xludf.DUMMYFUNCTION("""COMPUTED_VALUE"""),45274.66666666667)</f>
        <v>45274.66667</v>
      </c>
      <c r="R745" s="2">
        <f>IFERROR(__xludf.DUMMYFUNCTION("""COMPUTED_VALUE"""),144.66)</f>
        <v>144.66</v>
      </c>
    </row>
    <row r="746">
      <c r="B746" s="3">
        <f>IFERROR(__xludf.DUMMYFUNCTION("""COMPUTED_VALUE"""),45275.66666666667)</f>
        <v>45275.66667</v>
      </c>
      <c r="C746" s="2">
        <f>IFERROR(__xludf.DUMMYFUNCTION("""COMPUTED_VALUE"""),49.87)</f>
        <v>49.87</v>
      </c>
      <c r="K746" s="3">
        <f>IFERROR(__xludf.DUMMYFUNCTION("""COMPUTED_VALUE"""),45273.6875)</f>
        <v>45273.6875</v>
      </c>
      <c r="L746" s="2">
        <f>IFERROR(__xludf.DUMMYFUNCTION("""COMPUTED_VALUE"""),46.19)</f>
        <v>46.19</v>
      </c>
      <c r="N746" s="3">
        <f>IFERROR(__xludf.DUMMYFUNCTION("""COMPUTED_VALUE"""),45275.66666666667)</f>
        <v>45275.66667</v>
      </c>
      <c r="O746" s="2">
        <f>IFERROR(__xludf.DUMMYFUNCTION("""COMPUTED_VALUE"""),34.81)</f>
        <v>34.81</v>
      </c>
      <c r="Q746" s="3">
        <f>IFERROR(__xludf.DUMMYFUNCTION("""COMPUTED_VALUE"""),45275.66666666667)</f>
        <v>45275.66667</v>
      </c>
      <c r="R746" s="2">
        <f>IFERROR(__xludf.DUMMYFUNCTION("""COMPUTED_VALUE"""),143.96)</f>
        <v>143.96</v>
      </c>
    </row>
    <row r="747">
      <c r="B747" s="3">
        <f>IFERROR(__xludf.DUMMYFUNCTION("""COMPUTED_VALUE"""),45278.66666666667)</f>
        <v>45278.66667</v>
      </c>
      <c r="C747" s="2">
        <f>IFERROR(__xludf.DUMMYFUNCTION("""COMPUTED_VALUE"""),50.24)</f>
        <v>50.24</v>
      </c>
      <c r="K747" s="3">
        <f>IFERROR(__xludf.DUMMYFUNCTION("""COMPUTED_VALUE"""),45274.6875)</f>
        <v>45274.6875</v>
      </c>
      <c r="L747" s="2">
        <f>IFERROR(__xludf.DUMMYFUNCTION("""COMPUTED_VALUE"""),47.54)</f>
        <v>47.54</v>
      </c>
      <c r="N747" s="3">
        <f>IFERROR(__xludf.DUMMYFUNCTION("""COMPUTED_VALUE"""),45278.66666666667)</f>
        <v>45278.66667</v>
      </c>
      <c r="O747" s="2">
        <f>IFERROR(__xludf.DUMMYFUNCTION("""COMPUTED_VALUE"""),35.12)</f>
        <v>35.12</v>
      </c>
      <c r="Q747" s="3">
        <f>IFERROR(__xludf.DUMMYFUNCTION("""COMPUTED_VALUE"""),45278.66666666667)</f>
        <v>45278.66667</v>
      </c>
      <c r="R747" s="2">
        <f>IFERROR(__xludf.DUMMYFUNCTION("""COMPUTED_VALUE"""),146.17)</f>
        <v>146.17</v>
      </c>
    </row>
    <row r="748">
      <c r="B748" s="3">
        <f>IFERROR(__xludf.DUMMYFUNCTION("""COMPUTED_VALUE"""),45279.66666666667)</f>
        <v>45279.66667</v>
      </c>
      <c r="C748" s="2">
        <f>IFERROR(__xludf.DUMMYFUNCTION("""COMPUTED_VALUE"""),50.18)</f>
        <v>50.18</v>
      </c>
      <c r="K748" s="3">
        <f>IFERROR(__xludf.DUMMYFUNCTION("""COMPUTED_VALUE"""),45275.6875)</f>
        <v>45275.6875</v>
      </c>
      <c r="L748" s="2">
        <f>IFERROR(__xludf.DUMMYFUNCTION("""COMPUTED_VALUE"""),47.02)</f>
        <v>47.02</v>
      </c>
      <c r="N748" s="3">
        <f>IFERROR(__xludf.DUMMYFUNCTION("""COMPUTED_VALUE"""),45279.66666666667)</f>
        <v>45279.66667</v>
      </c>
      <c r="O748" s="2">
        <f>IFERROR(__xludf.DUMMYFUNCTION("""COMPUTED_VALUE"""),35.4)</f>
        <v>35.4</v>
      </c>
      <c r="Q748" s="3">
        <f>IFERROR(__xludf.DUMMYFUNCTION("""COMPUTED_VALUE"""),45279.66666666667)</f>
        <v>45279.66667</v>
      </c>
      <c r="R748" s="2">
        <f>IFERROR(__xludf.DUMMYFUNCTION("""COMPUTED_VALUE"""),146.17)</f>
        <v>146.17</v>
      </c>
    </row>
    <row r="749">
      <c r="B749" s="3">
        <f>IFERROR(__xludf.DUMMYFUNCTION("""COMPUTED_VALUE"""),45280.66666666667)</f>
        <v>45280.66667</v>
      </c>
      <c r="C749" s="2">
        <f>IFERROR(__xludf.DUMMYFUNCTION("""COMPUTED_VALUE"""),49.8)</f>
        <v>49.8</v>
      </c>
      <c r="K749" s="3">
        <f>IFERROR(__xludf.DUMMYFUNCTION("""COMPUTED_VALUE"""),45278.6875)</f>
        <v>45278.6875</v>
      </c>
      <c r="L749" s="2">
        <f>IFERROR(__xludf.DUMMYFUNCTION("""COMPUTED_VALUE"""),47.0)</f>
        <v>47</v>
      </c>
      <c r="N749" s="3">
        <f>IFERROR(__xludf.DUMMYFUNCTION("""COMPUTED_VALUE"""),45280.66666666667)</f>
        <v>45280.66667</v>
      </c>
      <c r="O749" s="2">
        <f>IFERROR(__xludf.DUMMYFUNCTION("""COMPUTED_VALUE"""),35.02)</f>
        <v>35.02</v>
      </c>
      <c r="Q749" s="3">
        <f>IFERROR(__xludf.DUMMYFUNCTION("""COMPUTED_VALUE"""),45280.66666666667)</f>
        <v>45280.66667</v>
      </c>
      <c r="R749" s="2">
        <f>IFERROR(__xludf.DUMMYFUNCTION("""COMPUTED_VALUE"""),143.91)</f>
        <v>143.91</v>
      </c>
    </row>
    <row r="750">
      <c r="B750" s="3">
        <f>IFERROR(__xludf.DUMMYFUNCTION("""COMPUTED_VALUE"""),45281.66666666667)</f>
        <v>45281.66667</v>
      </c>
      <c r="C750" s="2">
        <f>IFERROR(__xludf.DUMMYFUNCTION("""COMPUTED_VALUE"""),49.7)</f>
        <v>49.7</v>
      </c>
      <c r="K750" s="3">
        <f>IFERROR(__xludf.DUMMYFUNCTION("""COMPUTED_VALUE"""),45279.6875)</f>
        <v>45279.6875</v>
      </c>
      <c r="L750" s="2">
        <f>IFERROR(__xludf.DUMMYFUNCTION("""COMPUTED_VALUE"""),46.73)</f>
        <v>46.73</v>
      </c>
      <c r="N750" s="3">
        <f>IFERROR(__xludf.DUMMYFUNCTION("""COMPUTED_VALUE"""),45281.66666666667)</f>
        <v>45281.66667</v>
      </c>
      <c r="O750" s="2">
        <f>IFERROR(__xludf.DUMMYFUNCTION("""COMPUTED_VALUE"""),35.46)</f>
        <v>35.46</v>
      </c>
      <c r="Q750" s="3">
        <f>IFERROR(__xludf.DUMMYFUNCTION("""COMPUTED_VALUE"""),45281.66666666667)</f>
        <v>45281.66667</v>
      </c>
      <c r="R750" s="2">
        <f>IFERROR(__xludf.DUMMYFUNCTION("""COMPUTED_VALUE"""),144.26)</f>
        <v>144.26</v>
      </c>
    </row>
    <row r="751">
      <c r="B751" s="3">
        <f>IFERROR(__xludf.DUMMYFUNCTION("""COMPUTED_VALUE"""),45282.66666666667)</f>
        <v>45282.66667</v>
      </c>
      <c r="C751" s="2">
        <f>IFERROR(__xludf.DUMMYFUNCTION("""COMPUTED_VALUE"""),50.09)</f>
        <v>50.09</v>
      </c>
      <c r="K751" s="3">
        <f>IFERROR(__xludf.DUMMYFUNCTION("""COMPUTED_VALUE"""),45280.6875)</f>
        <v>45280.6875</v>
      </c>
      <c r="L751" s="2">
        <f>IFERROR(__xludf.DUMMYFUNCTION("""COMPUTED_VALUE"""),47.47)</f>
        <v>47.47</v>
      </c>
      <c r="N751" s="3">
        <f>IFERROR(__xludf.DUMMYFUNCTION("""COMPUTED_VALUE"""),45282.66666666667)</f>
        <v>45282.66667</v>
      </c>
      <c r="O751" s="2">
        <f>IFERROR(__xludf.DUMMYFUNCTION("""COMPUTED_VALUE"""),35.33)</f>
        <v>35.33</v>
      </c>
      <c r="Q751" s="3">
        <f>IFERROR(__xludf.DUMMYFUNCTION("""COMPUTED_VALUE"""),45282.66666666667)</f>
        <v>45282.66667</v>
      </c>
      <c r="R751" s="2">
        <f>IFERROR(__xludf.DUMMYFUNCTION("""COMPUTED_VALUE"""),145.28)</f>
        <v>145.28</v>
      </c>
    </row>
    <row r="752">
      <c r="B752" s="3">
        <f>IFERROR(__xludf.DUMMYFUNCTION("""COMPUTED_VALUE"""),45286.66666666667)</f>
        <v>45286.66667</v>
      </c>
      <c r="C752" s="2">
        <f>IFERROR(__xludf.DUMMYFUNCTION("""COMPUTED_VALUE"""),50.28)</f>
        <v>50.28</v>
      </c>
      <c r="K752" s="3">
        <f>IFERROR(__xludf.DUMMYFUNCTION("""COMPUTED_VALUE"""),45281.6875)</f>
        <v>45281.6875</v>
      </c>
      <c r="L752" s="2">
        <f>IFERROR(__xludf.DUMMYFUNCTION("""COMPUTED_VALUE"""),47.19)</f>
        <v>47.19</v>
      </c>
      <c r="N752" s="3">
        <f>IFERROR(__xludf.DUMMYFUNCTION("""COMPUTED_VALUE"""),45286.66666666667)</f>
        <v>45286.66667</v>
      </c>
      <c r="O752" s="2">
        <f>IFERROR(__xludf.DUMMYFUNCTION("""COMPUTED_VALUE"""),35.67)</f>
        <v>35.67</v>
      </c>
      <c r="Q752" s="3">
        <f>IFERROR(__xludf.DUMMYFUNCTION("""COMPUTED_VALUE"""),45286.66666666667)</f>
        <v>45286.66667</v>
      </c>
      <c r="R752" s="2">
        <f>IFERROR(__xludf.DUMMYFUNCTION("""COMPUTED_VALUE"""),145.94)</f>
        <v>145.94</v>
      </c>
    </row>
    <row r="753">
      <c r="B753" s="3">
        <f>IFERROR(__xludf.DUMMYFUNCTION("""COMPUTED_VALUE"""),45287.66666666667)</f>
        <v>45287.66667</v>
      </c>
      <c r="C753" s="2">
        <f>IFERROR(__xludf.DUMMYFUNCTION("""COMPUTED_VALUE"""),50.44)</f>
        <v>50.44</v>
      </c>
      <c r="K753" s="3">
        <f>IFERROR(__xludf.DUMMYFUNCTION("""COMPUTED_VALUE"""),45282.52083333333)</f>
        <v>45282.52083</v>
      </c>
      <c r="L753" s="2">
        <f>IFERROR(__xludf.DUMMYFUNCTION("""COMPUTED_VALUE"""),48.05)</f>
        <v>48.05</v>
      </c>
      <c r="N753" s="3">
        <f>IFERROR(__xludf.DUMMYFUNCTION("""COMPUTED_VALUE"""),45287.66666666667)</f>
        <v>45287.66667</v>
      </c>
      <c r="O753" s="2">
        <f>IFERROR(__xludf.DUMMYFUNCTION("""COMPUTED_VALUE"""),35.73)</f>
        <v>35.73</v>
      </c>
      <c r="Q753" s="3">
        <f>IFERROR(__xludf.DUMMYFUNCTION("""COMPUTED_VALUE"""),45287.66666666667)</f>
        <v>45287.66667</v>
      </c>
      <c r="R753" s="2">
        <f>IFERROR(__xludf.DUMMYFUNCTION("""COMPUTED_VALUE"""),146.06)</f>
        <v>146.06</v>
      </c>
    </row>
    <row r="754">
      <c r="B754" s="3">
        <f>IFERROR(__xludf.DUMMYFUNCTION("""COMPUTED_VALUE"""),45288.66666666667)</f>
        <v>45288.66667</v>
      </c>
      <c r="C754" s="2">
        <f>IFERROR(__xludf.DUMMYFUNCTION("""COMPUTED_VALUE"""),50.48)</f>
        <v>50.48</v>
      </c>
      <c r="K754" s="3">
        <f>IFERROR(__xludf.DUMMYFUNCTION("""COMPUTED_VALUE"""),45287.6875)</f>
        <v>45287.6875</v>
      </c>
      <c r="L754" s="2">
        <f>IFERROR(__xludf.DUMMYFUNCTION("""COMPUTED_VALUE"""),48.13)</f>
        <v>48.13</v>
      </c>
      <c r="N754" s="3">
        <f>IFERROR(__xludf.DUMMYFUNCTION("""COMPUTED_VALUE"""),45288.66666666667)</f>
        <v>45288.66667</v>
      </c>
      <c r="O754" s="2">
        <f>IFERROR(__xludf.DUMMYFUNCTION("""COMPUTED_VALUE"""),35.33)</f>
        <v>35.33</v>
      </c>
      <c r="Q754" s="3">
        <f>IFERROR(__xludf.DUMMYFUNCTION("""COMPUTED_VALUE"""),45288.66666666667)</f>
        <v>45288.66667</v>
      </c>
      <c r="R754" s="2">
        <f>IFERROR(__xludf.DUMMYFUNCTION("""COMPUTED_VALUE"""),145.73)</f>
        <v>145.73</v>
      </c>
    </row>
    <row r="755">
      <c r="B755" s="3">
        <f>IFERROR(__xludf.DUMMYFUNCTION("""COMPUTED_VALUE"""),45289.66666666667)</f>
        <v>45289.66667</v>
      </c>
      <c r="C755" s="2">
        <f>IFERROR(__xludf.DUMMYFUNCTION("""COMPUTED_VALUE"""),50.52)</f>
        <v>50.52</v>
      </c>
      <c r="K755" s="3">
        <f>IFERROR(__xludf.DUMMYFUNCTION("""COMPUTED_VALUE"""),45288.6875)</f>
        <v>45288.6875</v>
      </c>
      <c r="L755" s="2">
        <f>IFERROR(__xludf.DUMMYFUNCTION("""COMPUTED_VALUE"""),47.97)</f>
        <v>47.97</v>
      </c>
      <c r="N755" s="3">
        <f>IFERROR(__xludf.DUMMYFUNCTION("""COMPUTED_VALUE"""),45289.66666666667)</f>
        <v>45289.66667</v>
      </c>
      <c r="O755" s="2">
        <f>IFERROR(__xludf.DUMMYFUNCTION("""COMPUTED_VALUE"""),35.4)</f>
        <v>35.4</v>
      </c>
      <c r="Q755" s="3">
        <f>IFERROR(__xludf.DUMMYFUNCTION("""COMPUTED_VALUE"""),45289.66666666667)</f>
        <v>45289.66667</v>
      </c>
      <c r="R755" s="2">
        <f>IFERROR(__xludf.DUMMYFUNCTION("""COMPUTED_VALUE"""),146.54)</f>
        <v>146.54</v>
      </c>
    </row>
    <row r="756">
      <c r="B756" s="3">
        <f>IFERROR(__xludf.DUMMYFUNCTION("""COMPUTED_VALUE"""),45293.66666666667)</f>
        <v>45293.66667</v>
      </c>
      <c r="C756" s="2">
        <f>IFERROR(__xludf.DUMMYFUNCTION("""COMPUTED_VALUE"""),50.51)</f>
        <v>50.51</v>
      </c>
      <c r="K756" s="3">
        <f>IFERROR(__xludf.DUMMYFUNCTION("""COMPUTED_VALUE"""),45289.52083333333)</f>
        <v>45289.52083</v>
      </c>
      <c r="L756" s="2">
        <f>IFERROR(__xludf.DUMMYFUNCTION("""COMPUTED_VALUE"""),47.71)</f>
        <v>47.71</v>
      </c>
      <c r="N756" s="3">
        <f>IFERROR(__xludf.DUMMYFUNCTION("""COMPUTED_VALUE"""),45293.66666666667)</f>
        <v>45293.66667</v>
      </c>
      <c r="O756" s="2">
        <f>IFERROR(__xludf.DUMMYFUNCTION("""COMPUTED_VALUE"""),35.5)</f>
        <v>35.5</v>
      </c>
      <c r="Q756" s="3">
        <f>IFERROR(__xludf.DUMMYFUNCTION("""COMPUTED_VALUE"""),45293.66666666667)</f>
        <v>45293.66667</v>
      </c>
      <c r="R756" s="2">
        <f>IFERROR(__xludf.DUMMYFUNCTION("""COMPUTED_VALUE"""),148.74)</f>
        <v>148.74</v>
      </c>
    </row>
    <row r="757">
      <c r="B757" s="3">
        <f>IFERROR(__xludf.DUMMYFUNCTION("""COMPUTED_VALUE"""),45294.66666666667)</f>
        <v>45294.66667</v>
      </c>
      <c r="C757" s="2">
        <f>IFERROR(__xludf.DUMMYFUNCTION("""COMPUTED_VALUE"""),50.51)</f>
        <v>50.51</v>
      </c>
      <c r="K757" s="3">
        <f>IFERROR(__xludf.DUMMYFUNCTION("""COMPUTED_VALUE"""),45293.6875)</f>
        <v>45293.6875</v>
      </c>
      <c r="L757" s="2">
        <f>IFERROR(__xludf.DUMMYFUNCTION("""COMPUTED_VALUE"""),48.07)</f>
        <v>48.07</v>
      </c>
      <c r="N757" s="3">
        <f>IFERROR(__xludf.DUMMYFUNCTION("""COMPUTED_VALUE"""),45294.66666666667)</f>
        <v>45294.66667</v>
      </c>
      <c r="O757" s="2">
        <f>IFERROR(__xludf.DUMMYFUNCTION("""COMPUTED_VALUE"""),36.0)</f>
        <v>36</v>
      </c>
      <c r="Q757" s="3">
        <f>IFERROR(__xludf.DUMMYFUNCTION("""COMPUTED_VALUE"""),45294.66666666667)</f>
        <v>45294.66667</v>
      </c>
      <c r="R757" s="2">
        <f>IFERROR(__xludf.DUMMYFUNCTION("""COMPUTED_VALUE"""),147.84)</f>
        <v>147.84</v>
      </c>
    </row>
    <row r="758">
      <c r="B758" s="3">
        <f>IFERROR(__xludf.DUMMYFUNCTION("""COMPUTED_VALUE"""),45295.66666666667)</f>
        <v>45295.66667</v>
      </c>
      <c r="C758" s="2">
        <f>IFERROR(__xludf.DUMMYFUNCTION("""COMPUTED_VALUE"""),50.08)</f>
        <v>50.08</v>
      </c>
      <c r="K758" s="3">
        <f>IFERROR(__xludf.DUMMYFUNCTION("""COMPUTED_VALUE"""),45294.6875)</f>
        <v>45294.6875</v>
      </c>
      <c r="L758" s="2">
        <f>IFERROR(__xludf.DUMMYFUNCTION("""COMPUTED_VALUE"""),47.46)</f>
        <v>47.46</v>
      </c>
      <c r="N758" s="3">
        <f>IFERROR(__xludf.DUMMYFUNCTION("""COMPUTED_VALUE"""),45295.66666666667)</f>
        <v>45295.66667</v>
      </c>
      <c r="O758" s="2">
        <f>IFERROR(__xludf.DUMMYFUNCTION("""COMPUTED_VALUE"""),35.76)</f>
        <v>35.76</v>
      </c>
      <c r="Q758" s="3">
        <f>IFERROR(__xludf.DUMMYFUNCTION("""COMPUTED_VALUE"""),45295.66666666667)</f>
        <v>45295.66667</v>
      </c>
      <c r="R758" s="2">
        <f>IFERROR(__xludf.DUMMYFUNCTION("""COMPUTED_VALUE"""),148.65)</f>
        <v>148.65</v>
      </c>
    </row>
    <row r="759">
      <c r="B759" s="3">
        <f>IFERROR(__xludf.DUMMYFUNCTION("""COMPUTED_VALUE"""),45296.66666666667)</f>
        <v>45296.66667</v>
      </c>
      <c r="C759" s="2">
        <f>IFERROR(__xludf.DUMMYFUNCTION("""COMPUTED_VALUE"""),50.09)</f>
        <v>50.09</v>
      </c>
      <c r="K759" s="3">
        <f>IFERROR(__xludf.DUMMYFUNCTION("""COMPUTED_VALUE"""),45295.6875)</f>
        <v>45295.6875</v>
      </c>
      <c r="L759" s="2">
        <f>IFERROR(__xludf.DUMMYFUNCTION("""COMPUTED_VALUE"""),47.57)</f>
        <v>47.57</v>
      </c>
      <c r="N759" s="3">
        <f>IFERROR(__xludf.DUMMYFUNCTION("""COMPUTED_VALUE"""),45296.66666666667)</f>
        <v>45296.66667</v>
      </c>
      <c r="O759" s="2">
        <f>IFERROR(__xludf.DUMMYFUNCTION("""COMPUTED_VALUE"""),36.03)</f>
        <v>36.03</v>
      </c>
      <c r="Q759" s="3">
        <f>IFERROR(__xludf.DUMMYFUNCTION("""COMPUTED_VALUE"""),45296.66666666667)</f>
        <v>45296.66667</v>
      </c>
      <c r="R759" s="2">
        <f>IFERROR(__xludf.DUMMYFUNCTION("""COMPUTED_VALUE"""),147.42)</f>
        <v>147.42</v>
      </c>
    </row>
    <row r="760">
      <c r="B760" s="3">
        <f>IFERROR(__xludf.DUMMYFUNCTION("""COMPUTED_VALUE"""),45299.66666666667)</f>
        <v>45299.66667</v>
      </c>
      <c r="C760" s="2">
        <f>IFERROR(__xludf.DUMMYFUNCTION("""COMPUTED_VALUE"""),50.46)</f>
        <v>50.46</v>
      </c>
      <c r="K760" s="3">
        <f>IFERROR(__xludf.DUMMYFUNCTION("""COMPUTED_VALUE"""),45296.6875)</f>
        <v>45296.6875</v>
      </c>
      <c r="L760" s="2">
        <f>IFERROR(__xludf.DUMMYFUNCTION("""COMPUTED_VALUE"""),47.26)</f>
        <v>47.26</v>
      </c>
      <c r="N760" s="3">
        <f>IFERROR(__xludf.DUMMYFUNCTION("""COMPUTED_VALUE"""),45299.66666666667)</f>
        <v>45299.66667</v>
      </c>
      <c r="O760" s="2">
        <f>IFERROR(__xludf.DUMMYFUNCTION("""COMPUTED_VALUE"""),35.43)</f>
        <v>35.43</v>
      </c>
      <c r="Q760" s="3">
        <f>IFERROR(__xludf.DUMMYFUNCTION("""COMPUTED_VALUE"""),45299.66666666667)</f>
        <v>45299.66667</v>
      </c>
      <c r="R760" s="2">
        <f>IFERROR(__xludf.DUMMYFUNCTION("""COMPUTED_VALUE"""),148.69)</f>
        <v>148.69</v>
      </c>
    </row>
    <row r="761">
      <c r="B761" s="3">
        <f>IFERROR(__xludf.DUMMYFUNCTION("""COMPUTED_VALUE"""),45300.66666666667)</f>
        <v>45300.66667</v>
      </c>
      <c r="C761" s="2">
        <f>IFERROR(__xludf.DUMMYFUNCTION("""COMPUTED_VALUE"""),49.91)</f>
        <v>49.91</v>
      </c>
      <c r="K761" s="3">
        <f>IFERROR(__xludf.DUMMYFUNCTION("""COMPUTED_VALUE"""),45299.6875)</f>
        <v>45299.6875</v>
      </c>
      <c r="L761" s="2">
        <f>IFERROR(__xludf.DUMMYFUNCTION("""COMPUTED_VALUE"""),47.57)</f>
        <v>47.57</v>
      </c>
      <c r="N761" s="3">
        <f>IFERROR(__xludf.DUMMYFUNCTION("""COMPUTED_VALUE"""),45300.66666666667)</f>
        <v>45300.66667</v>
      </c>
      <c r="O761" s="2">
        <f>IFERROR(__xludf.DUMMYFUNCTION("""COMPUTED_VALUE"""),34.89)</f>
        <v>34.89</v>
      </c>
      <c r="Q761" s="3">
        <f>IFERROR(__xludf.DUMMYFUNCTION("""COMPUTED_VALUE"""),45300.66666666667)</f>
        <v>45300.66667</v>
      </c>
      <c r="R761" s="2">
        <f>IFERROR(__xludf.DUMMYFUNCTION("""COMPUTED_VALUE"""),149.3)</f>
        <v>149.3</v>
      </c>
    </row>
    <row r="762">
      <c r="B762" s="3">
        <f>IFERROR(__xludf.DUMMYFUNCTION("""COMPUTED_VALUE"""),45301.66666666667)</f>
        <v>45301.66667</v>
      </c>
      <c r="C762" s="2">
        <f>IFERROR(__xludf.DUMMYFUNCTION("""COMPUTED_VALUE"""),50.24)</f>
        <v>50.24</v>
      </c>
      <c r="K762" s="3">
        <f>IFERROR(__xludf.DUMMYFUNCTION("""COMPUTED_VALUE"""),45300.6875)</f>
        <v>45300.6875</v>
      </c>
      <c r="L762" s="2">
        <f>IFERROR(__xludf.DUMMYFUNCTION("""COMPUTED_VALUE"""),47.6)</f>
        <v>47.6</v>
      </c>
      <c r="N762" s="3">
        <f>IFERROR(__xludf.DUMMYFUNCTION("""COMPUTED_VALUE"""),45301.66666666667)</f>
        <v>45301.66667</v>
      </c>
      <c r="O762" s="2">
        <f>IFERROR(__xludf.DUMMYFUNCTION("""COMPUTED_VALUE"""),34.7)</f>
        <v>34.7</v>
      </c>
      <c r="Q762" s="3">
        <f>IFERROR(__xludf.DUMMYFUNCTION("""COMPUTED_VALUE"""),45301.66666666667)</f>
        <v>45301.66667</v>
      </c>
      <c r="R762" s="2">
        <f>IFERROR(__xludf.DUMMYFUNCTION("""COMPUTED_VALUE"""),149.94)</f>
        <v>149.94</v>
      </c>
    </row>
    <row r="763">
      <c r="B763" s="3">
        <f>IFERROR(__xludf.DUMMYFUNCTION("""COMPUTED_VALUE"""),45302.66666666667)</f>
        <v>45302.66667</v>
      </c>
      <c r="C763" s="2">
        <f>IFERROR(__xludf.DUMMYFUNCTION("""COMPUTED_VALUE"""),50.44)</f>
        <v>50.44</v>
      </c>
      <c r="K763" s="3">
        <f>IFERROR(__xludf.DUMMYFUNCTION("""COMPUTED_VALUE"""),45301.6875)</f>
        <v>45301.6875</v>
      </c>
      <c r="L763" s="2">
        <f>IFERROR(__xludf.DUMMYFUNCTION("""COMPUTED_VALUE"""),47.0)</f>
        <v>47</v>
      </c>
      <c r="N763" s="3">
        <f>IFERROR(__xludf.DUMMYFUNCTION("""COMPUTED_VALUE"""),45302.66666666667)</f>
        <v>45302.66667</v>
      </c>
      <c r="O763" s="2">
        <f>IFERROR(__xludf.DUMMYFUNCTION("""COMPUTED_VALUE"""),34.61)</f>
        <v>34.61</v>
      </c>
      <c r="Q763" s="3">
        <f>IFERROR(__xludf.DUMMYFUNCTION("""COMPUTED_VALUE"""),45302.66666666667)</f>
        <v>45302.66667</v>
      </c>
      <c r="R763" s="2">
        <f>IFERROR(__xludf.DUMMYFUNCTION("""COMPUTED_VALUE"""),150.51)</f>
        <v>150.51</v>
      </c>
    </row>
    <row r="764">
      <c r="B764" s="3">
        <f>IFERROR(__xludf.DUMMYFUNCTION("""COMPUTED_VALUE"""),45303.66666666667)</f>
        <v>45303.66667</v>
      </c>
      <c r="C764" s="2">
        <f>IFERROR(__xludf.DUMMYFUNCTION("""COMPUTED_VALUE"""),50.34)</f>
        <v>50.34</v>
      </c>
      <c r="K764" s="3">
        <f>IFERROR(__xludf.DUMMYFUNCTION("""COMPUTED_VALUE"""),45302.6875)</f>
        <v>45302.6875</v>
      </c>
      <c r="L764" s="2">
        <f>IFERROR(__xludf.DUMMYFUNCTION("""COMPUTED_VALUE"""),45.24)</f>
        <v>45.24</v>
      </c>
      <c r="N764" s="3">
        <f>IFERROR(__xludf.DUMMYFUNCTION("""COMPUTED_VALUE"""),45303.66666666667)</f>
        <v>45303.66667</v>
      </c>
      <c r="O764" s="2">
        <f>IFERROR(__xludf.DUMMYFUNCTION("""COMPUTED_VALUE"""),34.86)</f>
        <v>34.86</v>
      </c>
      <c r="Q764" s="3">
        <f>IFERROR(__xludf.DUMMYFUNCTION("""COMPUTED_VALUE"""),45303.66666666667)</f>
        <v>45303.66667</v>
      </c>
      <c r="R764" s="2">
        <f>IFERROR(__xludf.DUMMYFUNCTION("""COMPUTED_VALUE"""),150.6)</f>
        <v>150.6</v>
      </c>
    </row>
    <row r="765">
      <c r="B765" s="3">
        <f>IFERROR(__xludf.DUMMYFUNCTION("""COMPUTED_VALUE"""),45307.66666666667)</f>
        <v>45307.66667</v>
      </c>
      <c r="C765" s="2">
        <f>IFERROR(__xludf.DUMMYFUNCTION("""COMPUTED_VALUE"""),50.59)</f>
        <v>50.59</v>
      </c>
      <c r="K765" s="3">
        <f>IFERROR(__xludf.DUMMYFUNCTION("""COMPUTED_VALUE"""),45303.6875)</f>
        <v>45303.6875</v>
      </c>
      <c r="L765" s="2">
        <f>IFERROR(__xludf.DUMMYFUNCTION("""COMPUTED_VALUE"""),44.98)</f>
        <v>44.98</v>
      </c>
      <c r="N765" s="3">
        <f>IFERROR(__xludf.DUMMYFUNCTION("""COMPUTED_VALUE"""),45307.66666666667)</f>
        <v>45307.66667</v>
      </c>
      <c r="O765" s="2">
        <f>IFERROR(__xludf.DUMMYFUNCTION("""COMPUTED_VALUE"""),34.28)</f>
        <v>34.28</v>
      </c>
      <c r="Q765" s="3">
        <f>IFERROR(__xludf.DUMMYFUNCTION("""COMPUTED_VALUE"""),45307.66666666667)</f>
        <v>45307.66667</v>
      </c>
      <c r="R765" s="2">
        <f>IFERROR(__xludf.DUMMYFUNCTION("""COMPUTED_VALUE"""),149.79)</f>
        <v>149.79</v>
      </c>
    </row>
    <row r="766">
      <c r="B766" s="3">
        <f>IFERROR(__xludf.DUMMYFUNCTION("""COMPUTED_VALUE"""),45308.66666666667)</f>
        <v>45308.66667</v>
      </c>
      <c r="C766" s="2">
        <f>IFERROR(__xludf.DUMMYFUNCTION("""COMPUTED_VALUE"""),50.3)</f>
        <v>50.3</v>
      </c>
      <c r="K766" s="3">
        <f>IFERROR(__xludf.DUMMYFUNCTION("""COMPUTED_VALUE"""),45306.6875)</f>
        <v>45306.6875</v>
      </c>
      <c r="L766" s="2">
        <f>IFERROR(__xludf.DUMMYFUNCTION("""COMPUTED_VALUE"""),43.83)</f>
        <v>43.83</v>
      </c>
      <c r="N766" s="3">
        <f>IFERROR(__xludf.DUMMYFUNCTION("""COMPUTED_VALUE"""),45308.66666666667)</f>
        <v>45308.66667</v>
      </c>
      <c r="O766" s="2">
        <f>IFERROR(__xludf.DUMMYFUNCTION("""COMPUTED_VALUE"""),33.9)</f>
        <v>33.9</v>
      </c>
      <c r="Q766" s="3">
        <f>IFERROR(__xludf.DUMMYFUNCTION("""COMPUTED_VALUE"""),45308.66666666667)</f>
        <v>45308.66667</v>
      </c>
      <c r="R766" s="2">
        <f>IFERROR(__xludf.DUMMYFUNCTION("""COMPUTED_VALUE"""),149.94)</f>
        <v>149.94</v>
      </c>
    </row>
    <row r="767">
      <c r="B767" s="3">
        <f>IFERROR(__xludf.DUMMYFUNCTION("""COMPUTED_VALUE"""),45309.66666666667)</f>
        <v>45309.66667</v>
      </c>
      <c r="C767" s="2">
        <f>IFERROR(__xludf.DUMMYFUNCTION("""COMPUTED_VALUE"""),50.75)</f>
        <v>50.75</v>
      </c>
      <c r="K767" s="3">
        <f>IFERROR(__xludf.DUMMYFUNCTION("""COMPUTED_VALUE"""),45307.6875)</f>
        <v>45307.6875</v>
      </c>
      <c r="L767" s="2">
        <f>IFERROR(__xludf.DUMMYFUNCTION("""COMPUTED_VALUE"""),43.12)</f>
        <v>43.12</v>
      </c>
      <c r="N767" s="3">
        <f>IFERROR(__xludf.DUMMYFUNCTION("""COMPUTED_VALUE"""),45309.66666666667)</f>
        <v>45309.66667</v>
      </c>
      <c r="O767" s="2">
        <f>IFERROR(__xludf.DUMMYFUNCTION("""COMPUTED_VALUE"""),34.03)</f>
        <v>34.03</v>
      </c>
      <c r="Q767" s="3">
        <f>IFERROR(__xludf.DUMMYFUNCTION("""COMPUTED_VALUE"""),45309.66666666667)</f>
        <v>45309.66667</v>
      </c>
      <c r="R767" s="2">
        <f>IFERROR(__xludf.DUMMYFUNCTION("""COMPUTED_VALUE"""),148.14)</f>
        <v>148.14</v>
      </c>
    </row>
    <row r="768">
      <c r="B768" s="3">
        <f>IFERROR(__xludf.DUMMYFUNCTION("""COMPUTED_VALUE"""),45310.66666666667)</f>
        <v>45310.66667</v>
      </c>
      <c r="C768" s="2">
        <f>IFERROR(__xludf.DUMMYFUNCTION("""COMPUTED_VALUE"""),51.27)</f>
        <v>51.27</v>
      </c>
      <c r="K768" s="3">
        <f>IFERROR(__xludf.DUMMYFUNCTION("""COMPUTED_VALUE"""),45308.6875)</f>
        <v>45308.6875</v>
      </c>
      <c r="L768" s="2">
        <f>IFERROR(__xludf.DUMMYFUNCTION("""COMPUTED_VALUE"""),42.27)</f>
        <v>42.27</v>
      </c>
      <c r="N768" s="3">
        <f>IFERROR(__xludf.DUMMYFUNCTION("""COMPUTED_VALUE"""),45310.66666666667)</f>
        <v>45310.66667</v>
      </c>
      <c r="O768" s="2">
        <f>IFERROR(__xludf.DUMMYFUNCTION("""COMPUTED_VALUE"""),33.85)</f>
        <v>33.85</v>
      </c>
      <c r="Q768" s="3">
        <f>IFERROR(__xludf.DUMMYFUNCTION("""COMPUTED_VALUE"""),45310.66666666667)</f>
        <v>45310.66667</v>
      </c>
      <c r="R768" s="2">
        <f>IFERROR(__xludf.DUMMYFUNCTION("""COMPUTED_VALUE"""),147.57)</f>
        <v>147.57</v>
      </c>
    </row>
    <row r="769">
      <c r="B769" s="3">
        <f>IFERROR(__xludf.DUMMYFUNCTION("""COMPUTED_VALUE"""),45313.66666666667)</f>
        <v>45313.66667</v>
      </c>
      <c r="C769" s="2">
        <f>IFERROR(__xludf.DUMMYFUNCTION("""COMPUTED_VALUE"""),51.57)</f>
        <v>51.57</v>
      </c>
      <c r="K769" s="3">
        <f>IFERROR(__xludf.DUMMYFUNCTION("""COMPUTED_VALUE"""),45309.6875)</f>
        <v>45309.6875</v>
      </c>
      <c r="L769" s="2">
        <f>IFERROR(__xludf.DUMMYFUNCTION("""COMPUTED_VALUE"""),42.5)</f>
        <v>42.5</v>
      </c>
      <c r="N769" s="3">
        <f>IFERROR(__xludf.DUMMYFUNCTION("""COMPUTED_VALUE"""),45313.66666666667)</f>
        <v>45313.66667</v>
      </c>
      <c r="O769" s="2">
        <f>IFERROR(__xludf.DUMMYFUNCTION("""COMPUTED_VALUE"""),34.25)</f>
        <v>34.25</v>
      </c>
      <c r="Q769" s="3">
        <f>IFERROR(__xludf.DUMMYFUNCTION("""COMPUTED_VALUE"""),45313.66666666667)</f>
        <v>45313.66667</v>
      </c>
      <c r="R769" s="2">
        <f>IFERROR(__xludf.DUMMYFUNCTION("""COMPUTED_VALUE"""),147.86)</f>
        <v>147.86</v>
      </c>
    </row>
    <row r="770">
      <c r="B770" s="3">
        <f>IFERROR(__xludf.DUMMYFUNCTION("""COMPUTED_VALUE"""),45314.66666666667)</f>
        <v>45314.66667</v>
      </c>
      <c r="C770" s="2">
        <f>IFERROR(__xludf.DUMMYFUNCTION("""COMPUTED_VALUE"""),51.76)</f>
        <v>51.76</v>
      </c>
      <c r="K770" s="3">
        <f>IFERROR(__xludf.DUMMYFUNCTION("""COMPUTED_VALUE"""),45310.6875)</f>
        <v>45310.6875</v>
      </c>
      <c r="L770" s="2">
        <f>IFERROR(__xludf.DUMMYFUNCTION("""COMPUTED_VALUE"""),42.67)</f>
        <v>42.67</v>
      </c>
      <c r="N770" s="3">
        <f>IFERROR(__xludf.DUMMYFUNCTION("""COMPUTED_VALUE"""),45314.66666666667)</f>
        <v>45314.66667</v>
      </c>
      <c r="O770" s="2">
        <f>IFERROR(__xludf.DUMMYFUNCTION("""COMPUTED_VALUE"""),34.25)</f>
        <v>34.25</v>
      </c>
      <c r="Q770" s="3">
        <f>IFERROR(__xludf.DUMMYFUNCTION("""COMPUTED_VALUE"""),45314.66666666667)</f>
        <v>45314.66667</v>
      </c>
      <c r="R770" s="2">
        <f>IFERROR(__xludf.DUMMYFUNCTION("""COMPUTED_VALUE"""),153.98)</f>
        <v>153.98</v>
      </c>
    </row>
    <row r="771">
      <c r="B771" s="3">
        <f>IFERROR(__xludf.DUMMYFUNCTION("""COMPUTED_VALUE"""),45315.66666666667)</f>
        <v>45315.66667</v>
      </c>
      <c r="C771" s="2">
        <f>IFERROR(__xludf.DUMMYFUNCTION("""COMPUTED_VALUE"""),51.31)</f>
        <v>51.31</v>
      </c>
      <c r="K771" s="3">
        <f>IFERROR(__xludf.DUMMYFUNCTION("""COMPUTED_VALUE"""),45313.6875)</f>
        <v>45313.6875</v>
      </c>
      <c r="L771" s="2">
        <f>IFERROR(__xludf.DUMMYFUNCTION("""COMPUTED_VALUE"""),43.42)</f>
        <v>43.42</v>
      </c>
      <c r="N771" s="3">
        <f>IFERROR(__xludf.DUMMYFUNCTION("""COMPUTED_VALUE"""),45315.66666666667)</f>
        <v>45315.66667</v>
      </c>
      <c r="O771" s="2">
        <f>IFERROR(__xludf.DUMMYFUNCTION("""COMPUTED_VALUE"""),34.56)</f>
        <v>34.56</v>
      </c>
      <c r="Q771" s="3">
        <f>IFERROR(__xludf.DUMMYFUNCTION("""COMPUTED_VALUE"""),45315.66666666667)</f>
        <v>45315.66667</v>
      </c>
      <c r="R771" s="2">
        <f>IFERROR(__xludf.DUMMYFUNCTION("""COMPUTED_VALUE"""),152.12)</f>
        <v>152.12</v>
      </c>
    </row>
    <row r="772">
      <c r="B772" s="3">
        <f>IFERROR(__xludf.DUMMYFUNCTION("""COMPUTED_VALUE"""),45316.66666666667)</f>
        <v>45316.66667</v>
      </c>
      <c r="C772" s="2">
        <f>IFERROR(__xludf.DUMMYFUNCTION("""COMPUTED_VALUE"""),52.33)</f>
        <v>52.33</v>
      </c>
      <c r="K772" s="3">
        <f>IFERROR(__xludf.DUMMYFUNCTION("""COMPUTED_VALUE"""),45314.6875)</f>
        <v>45314.6875</v>
      </c>
      <c r="L772" s="2">
        <f>IFERROR(__xludf.DUMMYFUNCTION("""COMPUTED_VALUE"""),43.06)</f>
        <v>43.06</v>
      </c>
      <c r="N772" s="3">
        <f>IFERROR(__xludf.DUMMYFUNCTION("""COMPUTED_VALUE"""),45316.66666666667)</f>
        <v>45316.66667</v>
      </c>
      <c r="O772" s="2">
        <f>IFERROR(__xludf.DUMMYFUNCTION("""COMPUTED_VALUE"""),35.15)</f>
        <v>35.15</v>
      </c>
      <c r="Q772" s="3">
        <f>IFERROR(__xludf.DUMMYFUNCTION("""COMPUTED_VALUE"""),45316.66666666667)</f>
        <v>45316.66667</v>
      </c>
      <c r="R772" s="2">
        <f>IFERROR(__xludf.DUMMYFUNCTION("""COMPUTED_VALUE"""),155.62)</f>
        <v>155.62</v>
      </c>
    </row>
    <row r="773">
      <c r="B773" s="3">
        <f>IFERROR(__xludf.DUMMYFUNCTION("""COMPUTED_VALUE"""),45317.66666666667)</f>
        <v>45317.66667</v>
      </c>
      <c r="C773" s="2">
        <f>IFERROR(__xludf.DUMMYFUNCTION("""COMPUTED_VALUE"""),52.14)</f>
        <v>52.14</v>
      </c>
      <c r="K773" s="3">
        <f>IFERROR(__xludf.DUMMYFUNCTION("""COMPUTED_VALUE"""),45315.6875)</f>
        <v>45315.6875</v>
      </c>
      <c r="L773" s="2">
        <f>IFERROR(__xludf.DUMMYFUNCTION("""COMPUTED_VALUE"""),42.16)</f>
        <v>42.16</v>
      </c>
      <c r="N773" s="3">
        <f>IFERROR(__xludf.DUMMYFUNCTION("""COMPUTED_VALUE"""),45317.66666666667)</f>
        <v>45317.66667</v>
      </c>
      <c r="O773" s="2">
        <f>IFERROR(__xludf.DUMMYFUNCTION("""COMPUTED_VALUE"""),35.63)</f>
        <v>35.63</v>
      </c>
      <c r="Q773" s="3">
        <f>IFERROR(__xludf.DUMMYFUNCTION("""COMPUTED_VALUE"""),45317.66666666667)</f>
        <v>45317.66667</v>
      </c>
      <c r="R773" s="2">
        <f>IFERROR(__xludf.DUMMYFUNCTION("""COMPUTED_VALUE"""),156.14)</f>
        <v>156.14</v>
      </c>
    </row>
    <row r="774">
      <c r="B774" s="3">
        <f>IFERROR(__xludf.DUMMYFUNCTION("""COMPUTED_VALUE"""),45320.66666666667)</f>
        <v>45320.66667</v>
      </c>
      <c r="C774" s="2">
        <f>IFERROR(__xludf.DUMMYFUNCTION("""COMPUTED_VALUE"""),52.29)</f>
        <v>52.29</v>
      </c>
      <c r="K774" s="3">
        <f>IFERROR(__xludf.DUMMYFUNCTION("""COMPUTED_VALUE"""),45316.6875)</f>
        <v>45316.6875</v>
      </c>
      <c r="L774" s="2">
        <f>IFERROR(__xludf.DUMMYFUNCTION("""COMPUTED_VALUE"""),41.53)</f>
        <v>41.53</v>
      </c>
      <c r="N774" s="3">
        <f>IFERROR(__xludf.DUMMYFUNCTION("""COMPUTED_VALUE"""),45320.66666666667)</f>
        <v>45320.66667</v>
      </c>
      <c r="O774" s="2">
        <f>IFERROR(__xludf.DUMMYFUNCTION("""COMPUTED_VALUE"""),35.63)</f>
        <v>35.63</v>
      </c>
      <c r="Q774" s="3">
        <f>IFERROR(__xludf.DUMMYFUNCTION("""COMPUTED_VALUE"""),45320.66666666667)</f>
        <v>45320.66667</v>
      </c>
      <c r="R774" s="2">
        <f>IFERROR(__xludf.DUMMYFUNCTION("""COMPUTED_VALUE"""),156.16)</f>
        <v>156.16</v>
      </c>
    </row>
    <row r="775">
      <c r="B775" s="3">
        <f>IFERROR(__xludf.DUMMYFUNCTION("""COMPUTED_VALUE"""),45321.66666666667)</f>
        <v>45321.66667</v>
      </c>
      <c r="C775" s="2">
        <f>IFERROR(__xludf.DUMMYFUNCTION("""COMPUTED_VALUE"""),52.24)</f>
        <v>52.24</v>
      </c>
      <c r="K775" s="3">
        <f>IFERROR(__xludf.DUMMYFUNCTION("""COMPUTED_VALUE"""),45317.6875)</f>
        <v>45317.6875</v>
      </c>
      <c r="L775" s="2">
        <f>IFERROR(__xludf.DUMMYFUNCTION("""COMPUTED_VALUE"""),42.1)</f>
        <v>42.1</v>
      </c>
      <c r="N775" s="3">
        <f>IFERROR(__xludf.DUMMYFUNCTION("""COMPUTED_VALUE"""),45321.66666666667)</f>
        <v>45321.66667</v>
      </c>
      <c r="O775" s="2">
        <f>IFERROR(__xludf.DUMMYFUNCTION("""COMPUTED_VALUE"""),35.89)</f>
        <v>35.89</v>
      </c>
      <c r="Q775" s="3">
        <f>IFERROR(__xludf.DUMMYFUNCTION("""COMPUTED_VALUE"""),45321.66666666667)</f>
        <v>45321.66667</v>
      </c>
      <c r="R775" s="2">
        <f>IFERROR(__xludf.DUMMYFUNCTION("""COMPUTED_VALUE"""),157.49)</f>
        <v>157.49</v>
      </c>
    </row>
    <row r="776">
      <c r="B776" s="3">
        <f>IFERROR(__xludf.DUMMYFUNCTION("""COMPUTED_VALUE"""),45322.66666666667)</f>
        <v>45322.66667</v>
      </c>
      <c r="C776" s="2">
        <f>IFERROR(__xludf.DUMMYFUNCTION("""COMPUTED_VALUE"""),50.18)</f>
        <v>50.18</v>
      </c>
      <c r="K776" s="3">
        <f>IFERROR(__xludf.DUMMYFUNCTION("""COMPUTED_VALUE"""),45320.6875)</f>
        <v>45320.6875</v>
      </c>
      <c r="L776" s="2">
        <f>IFERROR(__xludf.DUMMYFUNCTION("""COMPUTED_VALUE"""),42.28)</f>
        <v>42.28</v>
      </c>
      <c r="N776" s="3">
        <f>IFERROR(__xludf.DUMMYFUNCTION("""COMPUTED_VALUE"""),45322.66666666667)</f>
        <v>45322.66667</v>
      </c>
      <c r="O776" s="2">
        <f>IFERROR(__xludf.DUMMYFUNCTION("""COMPUTED_VALUE"""),35.1)</f>
        <v>35.1</v>
      </c>
      <c r="Q776" s="3">
        <f>IFERROR(__xludf.DUMMYFUNCTION("""COMPUTED_VALUE"""),45322.66666666667)</f>
        <v>45322.66667</v>
      </c>
      <c r="R776" s="2">
        <f>IFERROR(__xludf.DUMMYFUNCTION("""COMPUTED_VALUE"""),157.14)</f>
        <v>157.14</v>
      </c>
    </row>
    <row r="777">
      <c r="B777" s="3">
        <f>IFERROR(__xludf.DUMMYFUNCTION("""COMPUTED_VALUE"""),45323.66666666667)</f>
        <v>45323.66667</v>
      </c>
      <c r="C777" s="2">
        <f>IFERROR(__xludf.DUMMYFUNCTION("""COMPUTED_VALUE"""),50.18)</f>
        <v>50.18</v>
      </c>
      <c r="K777" s="3">
        <f>IFERROR(__xludf.DUMMYFUNCTION("""COMPUTED_VALUE"""),45321.6875)</f>
        <v>45321.6875</v>
      </c>
      <c r="L777" s="2">
        <f>IFERROR(__xludf.DUMMYFUNCTION("""COMPUTED_VALUE"""),43.02)</f>
        <v>43.02</v>
      </c>
      <c r="N777" s="3">
        <f>IFERROR(__xludf.DUMMYFUNCTION("""COMPUTED_VALUE"""),45323.66666666667)</f>
        <v>45323.66667</v>
      </c>
      <c r="O777" s="2">
        <f>IFERROR(__xludf.DUMMYFUNCTION("""COMPUTED_VALUE"""),35.13)</f>
        <v>35.13</v>
      </c>
      <c r="Q777" s="3">
        <f>IFERROR(__xludf.DUMMYFUNCTION("""COMPUTED_VALUE"""),45323.66666666667)</f>
        <v>45323.66667</v>
      </c>
      <c r="R777" s="2">
        <f>IFERROR(__xludf.DUMMYFUNCTION("""COMPUTED_VALUE"""),159.18)</f>
        <v>159.18</v>
      </c>
    </row>
    <row r="778">
      <c r="B778" s="3">
        <f>IFERROR(__xludf.DUMMYFUNCTION("""COMPUTED_VALUE"""),45324.66666666667)</f>
        <v>45324.66667</v>
      </c>
      <c r="C778" s="2">
        <f>IFERROR(__xludf.DUMMYFUNCTION("""COMPUTED_VALUE"""),50.18)</f>
        <v>50.18</v>
      </c>
      <c r="K778" s="3">
        <f>IFERROR(__xludf.DUMMYFUNCTION("""COMPUTED_VALUE"""),45322.6875)</f>
        <v>45322.6875</v>
      </c>
      <c r="L778" s="2">
        <f>IFERROR(__xludf.DUMMYFUNCTION("""COMPUTED_VALUE"""),42.54)</f>
        <v>42.54</v>
      </c>
      <c r="N778" s="3">
        <f>IFERROR(__xludf.DUMMYFUNCTION("""COMPUTED_VALUE"""),45324.66666666667)</f>
        <v>45324.66667</v>
      </c>
      <c r="O778" s="2">
        <f>IFERROR(__xludf.DUMMYFUNCTION("""COMPUTED_VALUE"""),34.64)</f>
        <v>34.64</v>
      </c>
      <c r="Q778" s="3">
        <f>IFERROR(__xludf.DUMMYFUNCTION("""COMPUTED_VALUE"""),45324.66666666667)</f>
        <v>45324.66667</v>
      </c>
      <c r="R778" s="2">
        <f>IFERROR(__xludf.DUMMYFUNCTION("""COMPUTED_VALUE"""),158.09)</f>
        <v>158.09</v>
      </c>
    </row>
    <row r="779">
      <c r="B779" s="3">
        <f>IFERROR(__xludf.DUMMYFUNCTION("""COMPUTED_VALUE"""),45327.66666666667)</f>
        <v>45327.66667</v>
      </c>
      <c r="C779" s="2">
        <f>IFERROR(__xludf.DUMMYFUNCTION("""COMPUTED_VALUE"""),49.51)</f>
        <v>49.51</v>
      </c>
      <c r="K779" s="3">
        <f>IFERROR(__xludf.DUMMYFUNCTION("""COMPUTED_VALUE"""),45323.6875)</f>
        <v>45323.6875</v>
      </c>
      <c r="L779" s="2">
        <f>IFERROR(__xludf.DUMMYFUNCTION("""COMPUTED_VALUE"""),42.33)</f>
        <v>42.33</v>
      </c>
      <c r="N779" s="3">
        <f>IFERROR(__xludf.DUMMYFUNCTION("""COMPUTED_VALUE"""),45327.66666666667)</f>
        <v>45327.66667</v>
      </c>
      <c r="O779" s="2">
        <f>IFERROR(__xludf.DUMMYFUNCTION("""COMPUTED_VALUE"""),34.24)</f>
        <v>34.24</v>
      </c>
      <c r="Q779" s="3">
        <f>IFERROR(__xludf.DUMMYFUNCTION("""COMPUTED_VALUE"""),45327.66666666667)</f>
        <v>45327.66667</v>
      </c>
      <c r="R779" s="2">
        <f>IFERROR(__xludf.DUMMYFUNCTION("""COMPUTED_VALUE"""),158.21)</f>
        <v>158.21</v>
      </c>
    </row>
    <row r="780">
      <c r="B780" s="3">
        <f>IFERROR(__xludf.DUMMYFUNCTION("""COMPUTED_VALUE"""),45328.66666666667)</f>
        <v>45328.66667</v>
      </c>
      <c r="C780" s="2">
        <f>IFERROR(__xludf.DUMMYFUNCTION("""COMPUTED_VALUE"""),49.98)</f>
        <v>49.98</v>
      </c>
      <c r="K780" s="3">
        <f>IFERROR(__xludf.DUMMYFUNCTION("""COMPUTED_VALUE"""),45324.6875)</f>
        <v>45324.6875</v>
      </c>
      <c r="L780" s="2">
        <f>IFERROR(__xludf.DUMMYFUNCTION("""COMPUTED_VALUE"""),42.32)</f>
        <v>42.32</v>
      </c>
      <c r="N780" s="3">
        <f>IFERROR(__xludf.DUMMYFUNCTION("""COMPUTED_VALUE"""),45328.66666666667)</f>
        <v>45328.66667</v>
      </c>
      <c r="O780" s="2">
        <f>IFERROR(__xludf.DUMMYFUNCTION("""COMPUTED_VALUE"""),36.39)</f>
        <v>36.39</v>
      </c>
      <c r="Q780" s="3">
        <f>IFERROR(__xludf.DUMMYFUNCTION("""COMPUTED_VALUE"""),45328.66666666667)</f>
        <v>45328.66667</v>
      </c>
      <c r="R780" s="2">
        <f>IFERROR(__xludf.DUMMYFUNCTION("""COMPUTED_VALUE"""),158.96)</f>
        <v>158.96</v>
      </c>
    </row>
    <row r="781">
      <c r="B781" s="3">
        <f>IFERROR(__xludf.DUMMYFUNCTION("""COMPUTED_VALUE"""),45329.66666666667)</f>
        <v>45329.66667</v>
      </c>
      <c r="C781" s="2">
        <f>IFERROR(__xludf.DUMMYFUNCTION("""COMPUTED_VALUE"""),49.77)</f>
        <v>49.77</v>
      </c>
      <c r="K781" s="3">
        <f>IFERROR(__xludf.DUMMYFUNCTION("""COMPUTED_VALUE"""),45327.6875)</f>
        <v>45327.6875</v>
      </c>
      <c r="L781" s="2">
        <f>IFERROR(__xludf.DUMMYFUNCTION("""COMPUTED_VALUE"""),41.89)</f>
        <v>41.89</v>
      </c>
      <c r="N781" s="3">
        <f>IFERROR(__xludf.DUMMYFUNCTION("""COMPUTED_VALUE"""),45329.66666666667)</f>
        <v>45329.66667</v>
      </c>
      <c r="O781" s="2">
        <f>IFERROR(__xludf.DUMMYFUNCTION("""COMPUTED_VALUE"""),36.17)</f>
        <v>36.17</v>
      </c>
      <c r="Q781" s="3">
        <f>IFERROR(__xludf.DUMMYFUNCTION("""COMPUTED_VALUE"""),45329.66666666667)</f>
        <v>45329.66667</v>
      </c>
      <c r="R781" s="2">
        <f>IFERROR(__xludf.DUMMYFUNCTION("""COMPUTED_VALUE"""),159.12)</f>
        <v>159.12</v>
      </c>
    </row>
    <row r="782">
      <c r="B782" s="3">
        <f>IFERROR(__xludf.DUMMYFUNCTION("""COMPUTED_VALUE"""),45330.66666666667)</f>
        <v>45330.66667</v>
      </c>
      <c r="C782" s="2">
        <f>IFERROR(__xludf.DUMMYFUNCTION("""COMPUTED_VALUE"""),49.95)</f>
        <v>49.95</v>
      </c>
      <c r="K782" s="3">
        <f>IFERROR(__xludf.DUMMYFUNCTION("""COMPUTED_VALUE"""),45328.6875)</f>
        <v>45328.6875</v>
      </c>
      <c r="L782" s="2">
        <f>IFERROR(__xludf.DUMMYFUNCTION("""COMPUTED_VALUE"""),41.88)</f>
        <v>41.88</v>
      </c>
      <c r="N782" s="3">
        <f>IFERROR(__xludf.DUMMYFUNCTION("""COMPUTED_VALUE"""),45330.66666666667)</f>
        <v>45330.66667</v>
      </c>
      <c r="O782" s="2">
        <f>IFERROR(__xludf.DUMMYFUNCTION("""COMPUTED_VALUE"""),36.21)</f>
        <v>36.21</v>
      </c>
      <c r="Q782" s="3">
        <f>IFERROR(__xludf.DUMMYFUNCTION("""COMPUTED_VALUE"""),45330.66666666667)</f>
        <v>45330.66667</v>
      </c>
      <c r="R782" s="2">
        <f>IFERROR(__xludf.DUMMYFUNCTION("""COMPUTED_VALUE"""),158.64)</f>
        <v>158.64</v>
      </c>
    </row>
    <row r="783">
      <c r="B783" s="3">
        <f>IFERROR(__xludf.DUMMYFUNCTION("""COMPUTED_VALUE"""),45331.66666666667)</f>
        <v>45331.66667</v>
      </c>
      <c r="C783" s="2">
        <f>IFERROR(__xludf.DUMMYFUNCTION("""COMPUTED_VALUE"""),50.13)</f>
        <v>50.13</v>
      </c>
      <c r="K783" s="3">
        <f>IFERROR(__xludf.DUMMYFUNCTION("""COMPUTED_VALUE"""),45329.6875)</f>
        <v>45329.6875</v>
      </c>
      <c r="L783" s="2">
        <f>IFERROR(__xludf.DUMMYFUNCTION("""COMPUTED_VALUE"""),41.58)</f>
        <v>41.58</v>
      </c>
      <c r="N783" s="3">
        <f>IFERROR(__xludf.DUMMYFUNCTION("""COMPUTED_VALUE"""),45331.66666666667)</f>
        <v>45331.66667</v>
      </c>
      <c r="O783" s="2">
        <f>IFERROR(__xludf.DUMMYFUNCTION("""COMPUTED_VALUE"""),36.36)</f>
        <v>36.36</v>
      </c>
      <c r="Q783" s="3">
        <f>IFERROR(__xludf.DUMMYFUNCTION("""COMPUTED_VALUE"""),45331.66666666667)</f>
        <v>45331.66667</v>
      </c>
      <c r="R783" s="2">
        <f>IFERROR(__xludf.DUMMYFUNCTION("""COMPUTED_VALUE"""),157.42)</f>
        <v>157.42</v>
      </c>
    </row>
    <row r="784">
      <c r="B784" s="3">
        <f>IFERROR(__xludf.DUMMYFUNCTION("""COMPUTED_VALUE"""),45334.66666666667)</f>
        <v>45334.66667</v>
      </c>
      <c r="C784" s="2">
        <f>IFERROR(__xludf.DUMMYFUNCTION("""COMPUTED_VALUE"""),49.99)</f>
        <v>49.99</v>
      </c>
      <c r="K784" s="3">
        <f>IFERROR(__xludf.DUMMYFUNCTION("""COMPUTED_VALUE"""),45330.6875)</f>
        <v>45330.6875</v>
      </c>
      <c r="L784" s="2">
        <f>IFERROR(__xludf.DUMMYFUNCTION("""COMPUTED_VALUE"""),41.52)</f>
        <v>41.52</v>
      </c>
      <c r="N784" s="3">
        <f>IFERROR(__xludf.DUMMYFUNCTION("""COMPUTED_VALUE"""),45334.66666666667)</f>
        <v>45334.66667</v>
      </c>
      <c r="O784" s="2">
        <f>IFERROR(__xludf.DUMMYFUNCTION("""COMPUTED_VALUE"""),36.43)</f>
        <v>36.43</v>
      </c>
      <c r="Q784" s="3">
        <f>IFERROR(__xludf.DUMMYFUNCTION("""COMPUTED_VALUE"""),45334.66666666667)</f>
        <v>45334.66667</v>
      </c>
      <c r="R784" s="2">
        <f>IFERROR(__xludf.DUMMYFUNCTION("""COMPUTED_VALUE"""),157.11)</f>
        <v>157.11</v>
      </c>
    </row>
    <row r="785">
      <c r="B785" s="3">
        <f>IFERROR(__xludf.DUMMYFUNCTION("""COMPUTED_VALUE"""),45335.66666666667)</f>
        <v>45335.66667</v>
      </c>
      <c r="C785" s="2">
        <f>IFERROR(__xludf.DUMMYFUNCTION("""COMPUTED_VALUE"""),49.64)</f>
        <v>49.64</v>
      </c>
      <c r="K785" s="3">
        <f>IFERROR(__xludf.DUMMYFUNCTION("""COMPUTED_VALUE"""),45331.6875)</f>
        <v>45331.6875</v>
      </c>
      <c r="L785" s="2">
        <f>IFERROR(__xludf.DUMMYFUNCTION("""COMPUTED_VALUE"""),41.4)</f>
        <v>41.4</v>
      </c>
      <c r="N785" s="3">
        <f>IFERROR(__xludf.DUMMYFUNCTION("""COMPUTED_VALUE"""),45335.66666666667)</f>
        <v>45335.66667</v>
      </c>
      <c r="O785" s="2">
        <f>IFERROR(__xludf.DUMMYFUNCTION("""COMPUTED_VALUE"""),36.04)</f>
        <v>36.04</v>
      </c>
      <c r="Q785" s="3">
        <f>IFERROR(__xludf.DUMMYFUNCTION("""COMPUTED_VALUE"""),45335.66666666667)</f>
        <v>45335.66667</v>
      </c>
      <c r="R785" s="2">
        <f>IFERROR(__xludf.DUMMYFUNCTION("""COMPUTED_VALUE"""),156.27)</f>
        <v>156.27</v>
      </c>
    </row>
    <row r="786">
      <c r="B786" s="3">
        <f>IFERROR(__xludf.DUMMYFUNCTION("""COMPUTED_VALUE"""),45336.66666666667)</f>
        <v>45336.66667</v>
      </c>
      <c r="C786" s="2">
        <f>IFERROR(__xludf.DUMMYFUNCTION("""COMPUTED_VALUE"""),50.28)</f>
        <v>50.28</v>
      </c>
      <c r="K786" s="3">
        <f>IFERROR(__xludf.DUMMYFUNCTION("""COMPUTED_VALUE"""),45334.6875)</f>
        <v>45334.6875</v>
      </c>
      <c r="L786" s="2">
        <f>IFERROR(__xludf.DUMMYFUNCTION("""COMPUTED_VALUE"""),41.4)</f>
        <v>41.4</v>
      </c>
      <c r="N786" s="3">
        <f>IFERROR(__xludf.DUMMYFUNCTION("""COMPUTED_VALUE"""),45336.66666666667)</f>
        <v>45336.66667</v>
      </c>
      <c r="O786" s="2">
        <f>IFERROR(__xludf.DUMMYFUNCTION("""COMPUTED_VALUE"""),35.76)</f>
        <v>35.76</v>
      </c>
      <c r="Q786" s="3">
        <f>IFERROR(__xludf.DUMMYFUNCTION("""COMPUTED_VALUE"""),45336.66666666667)</f>
        <v>45336.66667</v>
      </c>
      <c r="R786" s="2">
        <f>IFERROR(__xludf.DUMMYFUNCTION("""COMPUTED_VALUE"""),155.63)</f>
        <v>155.63</v>
      </c>
    </row>
    <row r="787">
      <c r="B787" s="3">
        <f>IFERROR(__xludf.DUMMYFUNCTION("""COMPUTED_VALUE"""),45337.66666666667)</f>
        <v>45337.66667</v>
      </c>
      <c r="C787" s="2">
        <f>IFERROR(__xludf.DUMMYFUNCTION("""COMPUTED_VALUE"""),49.06)</f>
        <v>49.06</v>
      </c>
      <c r="K787" s="3">
        <f>IFERROR(__xludf.DUMMYFUNCTION("""COMPUTED_VALUE"""),45335.6875)</f>
        <v>45335.6875</v>
      </c>
      <c r="L787" s="2">
        <f>IFERROR(__xludf.DUMMYFUNCTION("""COMPUTED_VALUE"""),41.19)</f>
        <v>41.19</v>
      </c>
      <c r="N787" s="3">
        <f>IFERROR(__xludf.DUMMYFUNCTION("""COMPUTED_VALUE"""),45337.66666666667)</f>
        <v>45337.66667</v>
      </c>
      <c r="O787" s="2">
        <f>IFERROR(__xludf.DUMMYFUNCTION("""COMPUTED_VALUE"""),35.61)</f>
        <v>35.61</v>
      </c>
      <c r="Q787" s="3">
        <f>IFERROR(__xludf.DUMMYFUNCTION("""COMPUTED_VALUE"""),45337.66666666667)</f>
        <v>45337.66667</v>
      </c>
      <c r="R787" s="2">
        <f>IFERROR(__xludf.DUMMYFUNCTION("""COMPUTED_VALUE"""),157.01)</f>
        <v>157.01</v>
      </c>
    </row>
    <row r="788">
      <c r="B788" s="3">
        <f>IFERROR(__xludf.DUMMYFUNCTION("""COMPUTED_VALUE"""),45338.66666666667)</f>
        <v>45338.66667</v>
      </c>
      <c r="C788" s="2">
        <f>IFERROR(__xludf.DUMMYFUNCTION("""COMPUTED_VALUE"""),48.44)</f>
        <v>48.44</v>
      </c>
      <c r="K788" s="3">
        <f>IFERROR(__xludf.DUMMYFUNCTION("""COMPUTED_VALUE"""),45336.6875)</f>
        <v>45336.6875</v>
      </c>
      <c r="L788" s="2">
        <f>IFERROR(__xludf.DUMMYFUNCTION("""COMPUTED_VALUE"""),41.44)</f>
        <v>41.44</v>
      </c>
      <c r="N788" s="3">
        <f>IFERROR(__xludf.DUMMYFUNCTION("""COMPUTED_VALUE"""),45338.66666666667)</f>
        <v>45338.66667</v>
      </c>
      <c r="O788" s="2">
        <f>IFERROR(__xludf.DUMMYFUNCTION("""COMPUTED_VALUE"""),35.45)</f>
        <v>35.45</v>
      </c>
      <c r="Q788" s="3">
        <f>IFERROR(__xludf.DUMMYFUNCTION("""COMPUTED_VALUE"""),45338.66666666667)</f>
        <v>45338.66667</v>
      </c>
      <c r="R788" s="2">
        <f>IFERROR(__xludf.DUMMYFUNCTION("""COMPUTED_VALUE"""),157.51)</f>
        <v>157.51</v>
      </c>
    </row>
    <row r="789">
      <c r="B789" s="3">
        <f>IFERROR(__xludf.DUMMYFUNCTION("""COMPUTED_VALUE"""),45342.66666666667)</f>
        <v>45342.66667</v>
      </c>
      <c r="C789" s="2">
        <f>IFERROR(__xludf.DUMMYFUNCTION("""COMPUTED_VALUE"""),48.28)</f>
        <v>48.28</v>
      </c>
      <c r="K789" s="3">
        <f>IFERROR(__xludf.DUMMYFUNCTION("""COMPUTED_VALUE"""),45337.6875)</f>
        <v>45337.6875</v>
      </c>
      <c r="L789" s="2">
        <f>IFERROR(__xludf.DUMMYFUNCTION("""COMPUTED_VALUE"""),41.58)</f>
        <v>41.58</v>
      </c>
      <c r="N789" s="3">
        <f>IFERROR(__xludf.DUMMYFUNCTION("""COMPUTED_VALUE"""),45342.66666666667)</f>
        <v>45342.66667</v>
      </c>
      <c r="O789" s="2">
        <f>IFERROR(__xludf.DUMMYFUNCTION("""COMPUTED_VALUE"""),35.38)</f>
        <v>35.38</v>
      </c>
      <c r="Q789" s="3">
        <f>IFERROR(__xludf.DUMMYFUNCTION("""COMPUTED_VALUE"""),45342.66666666667)</f>
        <v>45342.66667</v>
      </c>
      <c r="R789" s="2">
        <f>IFERROR(__xludf.DUMMYFUNCTION("""COMPUTED_VALUE"""),158.51)</f>
        <v>158.51</v>
      </c>
    </row>
    <row r="790">
      <c r="B790" s="3">
        <f>IFERROR(__xludf.DUMMYFUNCTION("""COMPUTED_VALUE"""),45343.66666666667)</f>
        <v>45343.66667</v>
      </c>
      <c r="C790" s="2">
        <f>IFERROR(__xludf.DUMMYFUNCTION("""COMPUTED_VALUE"""),48.48)</f>
        <v>48.48</v>
      </c>
      <c r="K790" s="3">
        <f>IFERROR(__xludf.DUMMYFUNCTION("""COMPUTED_VALUE"""),45338.6875)</f>
        <v>45338.6875</v>
      </c>
      <c r="L790" s="2">
        <f>IFERROR(__xludf.DUMMYFUNCTION("""COMPUTED_VALUE"""),43.2)</f>
        <v>43.2</v>
      </c>
      <c r="N790" s="3">
        <f>IFERROR(__xludf.DUMMYFUNCTION("""COMPUTED_VALUE"""),45343.66666666667)</f>
        <v>45343.66667</v>
      </c>
      <c r="O790" s="2">
        <f>IFERROR(__xludf.DUMMYFUNCTION("""COMPUTED_VALUE"""),35.7)</f>
        <v>35.7</v>
      </c>
      <c r="Q790" s="3">
        <f>IFERROR(__xludf.DUMMYFUNCTION("""COMPUTED_VALUE"""),45343.66666666667)</f>
        <v>45343.66667</v>
      </c>
      <c r="R790" s="2">
        <f>IFERROR(__xludf.DUMMYFUNCTION("""COMPUTED_VALUE"""),160.4)</f>
        <v>160.4</v>
      </c>
    </row>
    <row r="791">
      <c r="B791" s="3">
        <f>IFERROR(__xludf.DUMMYFUNCTION("""COMPUTED_VALUE"""),45344.66666666667)</f>
        <v>45344.66667</v>
      </c>
      <c r="C791" s="2">
        <f>IFERROR(__xludf.DUMMYFUNCTION("""COMPUTED_VALUE"""),48.57)</f>
        <v>48.57</v>
      </c>
      <c r="K791" s="3">
        <f>IFERROR(__xludf.DUMMYFUNCTION("""COMPUTED_VALUE"""),45341.6875)</f>
        <v>45341.6875</v>
      </c>
      <c r="L791" s="2">
        <f>IFERROR(__xludf.DUMMYFUNCTION("""COMPUTED_VALUE"""),42.88)</f>
        <v>42.88</v>
      </c>
      <c r="N791" s="3">
        <f>IFERROR(__xludf.DUMMYFUNCTION("""COMPUTED_VALUE"""),45344.66666666667)</f>
        <v>45344.66667</v>
      </c>
      <c r="O791" s="2">
        <f>IFERROR(__xludf.DUMMYFUNCTION("""COMPUTED_VALUE"""),35.49)</f>
        <v>35.49</v>
      </c>
      <c r="Q791" s="3">
        <f>IFERROR(__xludf.DUMMYFUNCTION("""COMPUTED_VALUE"""),45344.66666666667)</f>
        <v>45344.66667</v>
      </c>
      <c r="R791" s="2">
        <f>IFERROR(__xludf.DUMMYFUNCTION("""COMPUTED_VALUE"""),160.56)</f>
        <v>160.56</v>
      </c>
    </row>
    <row r="792">
      <c r="B792" s="3">
        <f>IFERROR(__xludf.DUMMYFUNCTION("""COMPUTED_VALUE"""),45345.66666666667)</f>
        <v>45345.66667</v>
      </c>
      <c r="C792" s="2">
        <f>IFERROR(__xludf.DUMMYFUNCTION("""COMPUTED_VALUE"""),48.86)</f>
        <v>48.86</v>
      </c>
      <c r="K792" s="3">
        <f>IFERROR(__xludf.DUMMYFUNCTION("""COMPUTED_VALUE"""),45342.6875)</f>
        <v>45342.6875</v>
      </c>
      <c r="L792" s="2">
        <f>IFERROR(__xludf.DUMMYFUNCTION("""COMPUTED_VALUE"""),43.65)</f>
        <v>43.65</v>
      </c>
      <c r="N792" s="3">
        <f>IFERROR(__xludf.DUMMYFUNCTION("""COMPUTED_VALUE"""),45345.66666666667)</f>
        <v>45345.66667</v>
      </c>
      <c r="O792" s="2">
        <f>IFERROR(__xludf.DUMMYFUNCTION("""COMPUTED_VALUE"""),35.38)</f>
        <v>35.38</v>
      </c>
      <c r="Q792" s="3">
        <f>IFERROR(__xludf.DUMMYFUNCTION("""COMPUTED_VALUE"""),45345.66666666667)</f>
        <v>45345.66667</v>
      </c>
      <c r="R792" s="2">
        <f>IFERROR(__xludf.DUMMYFUNCTION("""COMPUTED_VALUE"""),161.03)</f>
        <v>161.03</v>
      </c>
    </row>
    <row r="793">
      <c r="B793" s="3">
        <f>IFERROR(__xludf.DUMMYFUNCTION("""COMPUTED_VALUE"""),45348.66666666667)</f>
        <v>45348.66667</v>
      </c>
      <c r="C793" s="2">
        <f>IFERROR(__xludf.DUMMYFUNCTION("""COMPUTED_VALUE"""),48.4)</f>
        <v>48.4</v>
      </c>
      <c r="K793" s="3">
        <f>IFERROR(__xludf.DUMMYFUNCTION("""COMPUTED_VALUE"""),45343.6875)</f>
        <v>45343.6875</v>
      </c>
      <c r="L793" s="2">
        <f>IFERROR(__xludf.DUMMYFUNCTION("""COMPUTED_VALUE"""),43.29)</f>
        <v>43.29</v>
      </c>
      <c r="N793" s="3">
        <f>IFERROR(__xludf.DUMMYFUNCTION("""COMPUTED_VALUE"""),45348.66666666667)</f>
        <v>45348.66667</v>
      </c>
      <c r="O793" s="2">
        <f>IFERROR(__xludf.DUMMYFUNCTION("""COMPUTED_VALUE"""),35.32)</f>
        <v>35.32</v>
      </c>
      <c r="Q793" s="3">
        <f>IFERROR(__xludf.DUMMYFUNCTION("""COMPUTED_VALUE"""),45348.66666666667)</f>
        <v>45348.66667</v>
      </c>
      <c r="R793" s="2">
        <f>IFERROR(__xludf.DUMMYFUNCTION("""COMPUTED_VALUE"""),160.22)</f>
        <v>160.22</v>
      </c>
    </row>
    <row r="794">
      <c r="B794" s="3">
        <f>IFERROR(__xludf.DUMMYFUNCTION("""COMPUTED_VALUE"""),45349.66666666667)</f>
        <v>45349.66667</v>
      </c>
      <c r="C794" s="2">
        <f>IFERROR(__xludf.DUMMYFUNCTION("""COMPUTED_VALUE"""),48.31)</f>
        <v>48.31</v>
      </c>
      <c r="K794" s="3">
        <f>IFERROR(__xludf.DUMMYFUNCTION("""COMPUTED_VALUE"""),45344.6875)</f>
        <v>45344.6875</v>
      </c>
      <c r="L794" s="2">
        <f>IFERROR(__xludf.DUMMYFUNCTION("""COMPUTED_VALUE"""),45.96)</f>
        <v>45.96</v>
      </c>
      <c r="N794" s="3">
        <f>IFERROR(__xludf.DUMMYFUNCTION("""COMPUTED_VALUE"""),45349.66666666667)</f>
        <v>45349.66667</v>
      </c>
      <c r="O794" s="2">
        <f>IFERROR(__xludf.DUMMYFUNCTION("""COMPUTED_VALUE"""),35.42)</f>
        <v>35.42</v>
      </c>
      <c r="Q794" s="3">
        <f>IFERROR(__xludf.DUMMYFUNCTION("""COMPUTED_VALUE"""),45349.66666666667)</f>
        <v>45349.66667</v>
      </c>
      <c r="R794" s="2">
        <f>IFERROR(__xludf.DUMMYFUNCTION("""COMPUTED_VALUE"""),159.3)</f>
        <v>159.3</v>
      </c>
    </row>
    <row r="795">
      <c r="B795" s="3">
        <f>IFERROR(__xludf.DUMMYFUNCTION("""COMPUTED_VALUE"""),45350.66666666667)</f>
        <v>45350.66667</v>
      </c>
      <c r="C795" s="2">
        <f>IFERROR(__xludf.DUMMYFUNCTION("""COMPUTED_VALUE"""),48.06)</f>
        <v>48.06</v>
      </c>
      <c r="K795" s="3">
        <f>IFERROR(__xludf.DUMMYFUNCTION("""COMPUTED_VALUE"""),45345.6875)</f>
        <v>45345.6875</v>
      </c>
      <c r="L795" s="2">
        <f>IFERROR(__xludf.DUMMYFUNCTION("""COMPUTED_VALUE"""),45.5)</f>
        <v>45.5</v>
      </c>
      <c r="N795" s="3">
        <f>IFERROR(__xludf.DUMMYFUNCTION("""COMPUTED_VALUE"""),45350.66666666667)</f>
        <v>45350.66667</v>
      </c>
      <c r="O795" s="2">
        <f>IFERROR(__xludf.DUMMYFUNCTION("""COMPUTED_VALUE"""),34.96)</f>
        <v>34.96</v>
      </c>
      <c r="Q795" s="3">
        <f>IFERROR(__xludf.DUMMYFUNCTION("""COMPUTED_VALUE"""),45350.66666666667)</f>
        <v>45350.66667</v>
      </c>
      <c r="R795" s="2">
        <f>IFERROR(__xludf.DUMMYFUNCTION("""COMPUTED_VALUE"""),160.05)</f>
        <v>160.05</v>
      </c>
    </row>
    <row r="796">
      <c r="B796" s="3">
        <f>IFERROR(__xludf.DUMMYFUNCTION("""COMPUTED_VALUE"""),45351.66666666667)</f>
        <v>45351.66667</v>
      </c>
      <c r="C796" s="2">
        <f>IFERROR(__xludf.DUMMYFUNCTION("""COMPUTED_VALUE"""),48.37)</f>
        <v>48.37</v>
      </c>
      <c r="K796" s="3">
        <f>IFERROR(__xludf.DUMMYFUNCTION("""COMPUTED_VALUE"""),45348.6875)</f>
        <v>45348.6875</v>
      </c>
      <c r="L796" s="2">
        <f>IFERROR(__xludf.DUMMYFUNCTION("""COMPUTED_VALUE"""),45.92)</f>
        <v>45.92</v>
      </c>
      <c r="N796" s="3">
        <f>IFERROR(__xludf.DUMMYFUNCTION("""COMPUTED_VALUE"""),45351.66666666667)</f>
        <v>45351.66667</v>
      </c>
      <c r="O796" s="2">
        <f>IFERROR(__xludf.DUMMYFUNCTION("""COMPUTED_VALUE"""),34.99)</f>
        <v>34.99</v>
      </c>
      <c r="Q796" s="3">
        <f>IFERROR(__xludf.DUMMYFUNCTION("""COMPUTED_VALUE"""),45351.66666666667)</f>
        <v>45351.66667</v>
      </c>
      <c r="R796" s="2">
        <f>IFERROR(__xludf.DUMMYFUNCTION("""COMPUTED_VALUE"""),158.94)</f>
        <v>158.94</v>
      </c>
    </row>
    <row r="797">
      <c r="B797" s="3">
        <f>IFERROR(__xludf.DUMMYFUNCTION("""COMPUTED_VALUE"""),45352.66666666667)</f>
        <v>45352.66667</v>
      </c>
      <c r="C797" s="2">
        <f>IFERROR(__xludf.DUMMYFUNCTION("""COMPUTED_VALUE"""),48.4)</f>
        <v>48.4</v>
      </c>
      <c r="K797" s="3">
        <f>IFERROR(__xludf.DUMMYFUNCTION("""COMPUTED_VALUE"""),45349.6875)</f>
        <v>45349.6875</v>
      </c>
      <c r="L797" s="2">
        <f>IFERROR(__xludf.DUMMYFUNCTION("""COMPUTED_VALUE"""),46.31)</f>
        <v>46.31</v>
      </c>
      <c r="N797" s="3">
        <f>IFERROR(__xludf.DUMMYFUNCTION("""COMPUTED_VALUE"""),45352.66666666667)</f>
        <v>45352.66667</v>
      </c>
      <c r="O797" s="2">
        <f>IFERROR(__xludf.DUMMYFUNCTION("""COMPUTED_VALUE"""),35.64)</f>
        <v>35.64</v>
      </c>
      <c r="Q797" s="3">
        <f>IFERROR(__xludf.DUMMYFUNCTION("""COMPUTED_VALUE"""),45352.66666666667)</f>
        <v>45352.66667</v>
      </c>
      <c r="R797" s="2">
        <f>IFERROR(__xludf.DUMMYFUNCTION("""COMPUTED_VALUE"""),158.85)</f>
        <v>158.85</v>
      </c>
    </row>
    <row r="798">
      <c r="B798" s="3">
        <f>IFERROR(__xludf.DUMMYFUNCTION("""COMPUTED_VALUE"""),45355.66666666667)</f>
        <v>45355.66667</v>
      </c>
      <c r="C798" s="2">
        <f>IFERROR(__xludf.DUMMYFUNCTION("""COMPUTED_VALUE"""),49.13)</f>
        <v>49.13</v>
      </c>
      <c r="K798" s="3">
        <f>IFERROR(__xludf.DUMMYFUNCTION("""COMPUTED_VALUE"""),45350.6875)</f>
        <v>45350.6875</v>
      </c>
      <c r="L798" s="2">
        <f>IFERROR(__xludf.DUMMYFUNCTION("""COMPUTED_VALUE"""),46.58)</f>
        <v>46.58</v>
      </c>
      <c r="N798" s="3">
        <f>IFERROR(__xludf.DUMMYFUNCTION("""COMPUTED_VALUE"""),45355.66666666667)</f>
        <v>45355.66667</v>
      </c>
      <c r="O798" s="2">
        <f>IFERROR(__xludf.DUMMYFUNCTION("""COMPUTED_VALUE"""),35.67)</f>
        <v>35.67</v>
      </c>
      <c r="Q798" s="3">
        <f>IFERROR(__xludf.DUMMYFUNCTION("""COMPUTED_VALUE"""),45355.66666666667)</f>
        <v>45355.66667</v>
      </c>
      <c r="R798" s="2">
        <f>IFERROR(__xludf.DUMMYFUNCTION("""COMPUTED_VALUE"""),159.56)</f>
        <v>159.56</v>
      </c>
    </row>
    <row r="799">
      <c r="B799" s="3">
        <f>IFERROR(__xludf.DUMMYFUNCTION("""COMPUTED_VALUE"""),45356.66666666667)</f>
        <v>45356.66667</v>
      </c>
      <c r="C799" s="2">
        <f>IFERROR(__xludf.DUMMYFUNCTION("""COMPUTED_VALUE"""),48.95)</f>
        <v>48.95</v>
      </c>
      <c r="K799" s="3">
        <f>IFERROR(__xludf.DUMMYFUNCTION("""COMPUTED_VALUE"""),45351.6875)</f>
        <v>45351.6875</v>
      </c>
      <c r="L799" s="2">
        <f>IFERROR(__xludf.DUMMYFUNCTION("""COMPUTED_VALUE"""),46.57)</f>
        <v>46.57</v>
      </c>
      <c r="N799" s="3">
        <f>IFERROR(__xludf.DUMMYFUNCTION("""COMPUTED_VALUE"""),45356.66666666667)</f>
        <v>45356.66667</v>
      </c>
      <c r="O799" s="2">
        <f>IFERROR(__xludf.DUMMYFUNCTION("""COMPUTED_VALUE"""),35.8)</f>
        <v>35.8</v>
      </c>
      <c r="Q799" s="3">
        <f>IFERROR(__xludf.DUMMYFUNCTION("""COMPUTED_VALUE"""),45356.66666666667)</f>
        <v>45356.66667</v>
      </c>
      <c r="R799" s="2">
        <f>IFERROR(__xludf.DUMMYFUNCTION("""COMPUTED_VALUE"""),159.32)</f>
        <v>159.32</v>
      </c>
    </row>
    <row r="800">
      <c r="B800" s="3">
        <f>IFERROR(__xludf.DUMMYFUNCTION("""COMPUTED_VALUE"""),45357.66666666667)</f>
        <v>45357.66667</v>
      </c>
      <c r="C800" s="2">
        <f>IFERROR(__xludf.DUMMYFUNCTION("""COMPUTED_VALUE"""),49.17)</f>
        <v>49.17</v>
      </c>
      <c r="K800" s="3">
        <f>IFERROR(__xludf.DUMMYFUNCTION("""COMPUTED_VALUE"""),45352.6875)</f>
        <v>45352.6875</v>
      </c>
      <c r="L800" s="2">
        <f>IFERROR(__xludf.DUMMYFUNCTION("""COMPUTED_VALUE"""),47.37)</f>
        <v>47.37</v>
      </c>
      <c r="N800" s="3">
        <f>IFERROR(__xludf.DUMMYFUNCTION("""COMPUTED_VALUE"""),45357.66666666667)</f>
        <v>45357.66667</v>
      </c>
      <c r="O800" s="2">
        <f>IFERROR(__xludf.DUMMYFUNCTION("""COMPUTED_VALUE"""),36.42)</f>
        <v>36.42</v>
      </c>
      <c r="Q800" s="3">
        <f>IFERROR(__xludf.DUMMYFUNCTION("""COMPUTED_VALUE"""),45357.66666666667)</f>
        <v>45357.66667</v>
      </c>
      <c r="R800" s="2">
        <f>IFERROR(__xludf.DUMMYFUNCTION("""COMPUTED_VALUE"""),159.57)</f>
        <v>159.57</v>
      </c>
    </row>
    <row r="801">
      <c r="B801" s="3">
        <f>IFERROR(__xludf.DUMMYFUNCTION("""COMPUTED_VALUE"""),45358.66666666667)</f>
        <v>45358.66667</v>
      </c>
      <c r="C801" s="2">
        <f>IFERROR(__xludf.DUMMYFUNCTION("""COMPUTED_VALUE"""),48.9)</f>
        <v>48.9</v>
      </c>
      <c r="K801" s="3">
        <f>IFERROR(__xludf.DUMMYFUNCTION("""COMPUTED_VALUE"""),45355.6875)</f>
        <v>45355.6875</v>
      </c>
      <c r="L801" s="2">
        <f>IFERROR(__xludf.DUMMYFUNCTION("""COMPUTED_VALUE"""),47.4)</f>
        <v>47.4</v>
      </c>
      <c r="N801" s="3">
        <f>IFERROR(__xludf.DUMMYFUNCTION("""COMPUTED_VALUE"""),45358.66666666667)</f>
        <v>45358.66667</v>
      </c>
      <c r="O801" s="2">
        <f>IFERROR(__xludf.DUMMYFUNCTION("""COMPUTED_VALUE"""),36.43)</f>
        <v>36.43</v>
      </c>
      <c r="Q801" s="3">
        <f>IFERROR(__xludf.DUMMYFUNCTION("""COMPUTED_VALUE"""),45358.66666666667)</f>
        <v>45358.66667</v>
      </c>
      <c r="R801" s="2">
        <f>IFERROR(__xludf.DUMMYFUNCTION("""COMPUTED_VALUE"""),160.62)</f>
        <v>160.62</v>
      </c>
    </row>
    <row r="802">
      <c r="B802" s="3">
        <f>IFERROR(__xludf.DUMMYFUNCTION("""COMPUTED_VALUE"""),45359.66666666667)</f>
        <v>45359.66667</v>
      </c>
      <c r="C802" s="2">
        <f>IFERROR(__xludf.DUMMYFUNCTION("""COMPUTED_VALUE"""),49.5)</f>
        <v>49.5</v>
      </c>
      <c r="K802" s="3">
        <f>IFERROR(__xludf.DUMMYFUNCTION("""COMPUTED_VALUE"""),45356.6875)</f>
        <v>45356.6875</v>
      </c>
      <c r="L802" s="2">
        <f>IFERROR(__xludf.DUMMYFUNCTION("""COMPUTED_VALUE"""),47.8)</f>
        <v>47.8</v>
      </c>
      <c r="N802" s="3">
        <f>IFERROR(__xludf.DUMMYFUNCTION("""COMPUTED_VALUE"""),45359.66666666667)</f>
        <v>45359.66667</v>
      </c>
      <c r="O802" s="2">
        <f>IFERROR(__xludf.DUMMYFUNCTION("""COMPUTED_VALUE"""),36.41)</f>
        <v>36.41</v>
      </c>
      <c r="Q802" s="3">
        <f>IFERROR(__xludf.DUMMYFUNCTION("""COMPUTED_VALUE"""),45359.66666666667)</f>
        <v>45359.66667</v>
      </c>
      <c r="R802" s="2">
        <f>IFERROR(__xludf.DUMMYFUNCTION("""COMPUTED_VALUE"""),160.35)</f>
        <v>160.35</v>
      </c>
    </row>
    <row r="803">
      <c r="B803" s="3">
        <f>IFERROR(__xludf.DUMMYFUNCTION("""COMPUTED_VALUE"""),45362.66666666667)</f>
        <v>45362.66667</v>
      </c>
      <c r="C803" s="2">
        <f>IFERROR(__xludf.DUMMYFUNCTION("""COMPUTED_VALUE"""),50.22)</f>
        <v>50.22</v>
      </c>
      <c r="K803" s="3">
        <f>IFERROR(__xludf.DUMMYFUNCTION("""COMPUTED_VALUE"""),45357.6875)</f>
        <v>45357.6875</v>
      </c>
      <c r="L803" s="2">
        <f>IFERROR(__xludf.DUMMYFUNCTION("""COMPUTED_VALUE"""),48.4)</f>
        <v>48.4</v>
      </c>
      <c r="N803" s="3">
        <f>IFERROR(__xludf.DUMMYFUNCTION("""COMPUTED_VALUE"""),45362.66666666667)</f>
        <v>45362.66667</v>
      </c>
      <c r="O803" s="2">
        <f>IFERROR(__xludf.DUMMYFUNCTION("""COMPUTED_VALUE"""),36.49)</f>
        <v>36.49</v>
      </c>
      <c r="Q803" s="3">
        <f>IFERROR(__xludf.DUMMYFUNCTION("""COMPUTED_VALUE"""),45362.66666666667)</f>
        <v>45362.66667</v>
      </c>
      <c r="R803" s="2">
        <f>IFERROR(__xludf.DUMMYFUNCTION("""COMPUTED_VALUE"""),161.55)</f>
        <v>161.55</v>
      </c>
    </row>
    <row r="804">
      <c r="B804" s="3">
        <f>IFERROR(__xludf.DUMMYFUNCTION("""COMPUTED_VALUE"""),45363.66666666667)</f>
        <v>45363.66667</v>
      </c>
      <c r="C804" s="2">
        <f>IFERROR(__xludf.DUMMYFUNCTION("""COMPUTED_VALUE"""),50.07)</f>
        <v>50.07</v>
      </c>
      <c r="K804" s="3">
        <f>IFERROR(__xludf.DUMMYFUNCTION("""COMPUTED_VALUE"""),45358.6875)</f>
        <v>45358.6875</v>
      </c>
      <c r="L804" s="2">
        <f>IFERROR(__xludf.DUMMYFUNCTION("""COMPUTED_VALUE"""),48.61)</f>
        <v>48.61</v>
      </c>
      <c r="N804" s="3">
        <f>IFERROR(__xludf.DUMMYFUNCTION("""COMPUTED_VALUE"""),45363.66666666667)</f>
        <v>45363.66667</v>
      </c>
      <c r="O804" s="2">
        <f>IFERROR(__xludf.DUMMYFUNCTION("""COMPUTED_VALUE"""),36.65)</f>
        <v>36.65</v>
      </c>
      <c r="Q804" s="3">
        <f>IFERROR(__xludf.DUMMYFUNCTION("""COMPUTED_VALUE"""),45363.66666666667)</f>
        <v>45363.66667</v>
      </c>
      <c r="R804" s="2">
        <f>IFERROR(__xludf.DUMMYFUNCTION("""COMPUTED_VALUE"""),161.93)</f>
        <v>161.93</v>
      </c>
    </row>
    <row r="805">
      <c r="B805" s="3">
        <f>IFERROR(__xludf.DUMMYFUNCTION("""COMPUTED_VALUE"""),45364.66666666667)</f>
        <v>45364.66667</v>
      </c>
      <c r="C805" s="2">
        <f>IFERROR(__xludf.DUMMYFUNCTION("""COMPUTED_VALUE"""),50.11)</f>
        <v>50.11</v>
      </c>
      <c r="K805" s="3">
        <f>IFERROR(__xludf.DUMMYFUNCTION("""COMPUTED_VALUE"""),45359.6875)</f>
        <v>45359.6875</v>
      </c>
      <c r="L805" s="2">
        <f>IFERROR(__xludf.DUMMYFUNCTION("""COMPUTED_VALUE"""),48.56)</f>
        <v>48.56</v>
      </c>
      <c r="N805" s="3">
        <f>IFERROR(__xludf.DUMMYFUNCTION("""COMPUTED_VALUE"""),45364.66666666667)</f>
        <v>45364.66667</v>
      </c>
      <c r="O805" s="2">
        <f>IFERROR(__xludf.DUMMYFUNCTION("""COMPUTED_VALUE"""),37.32)</f>
        <v>37.32</v>
      </c>
      <c r="Q805" s="3">
        <f>IFERROR(__xludf.DUMMYFUNCTION("""COMPUTED_VALUE"""),45364.66666666667)</f>
        <v>45364.66667</v>
      </c>
      <c r="R805" s="2">
        <f>IFERROR(__xludf.DUMMYFUNCTION("""COMPUTED_VALUE"""),162.3)</f>
        <v>162.3</v>
      </c>
    </row>
    <row r="806">
      <c r="B806" s="3">
        <f>IFERROR(__xludf.DUMMYFUNCTION("""COMPUTED_VALUE"""),45365.66666666667)</f>
        <v>45365.66667</v>
      </c>
      <c r="C806" s="2">
        <f>IFERROR(__xludf.DUMMYFUNCTION("""COMPUTED_VALUE"""),49.79)</f>
        <v>49.79</v>
      </c>
      <c r="K806" s="3">
        <f>IFERROR(__xludf.DUMMYFUNCTION("""COMPUTED_VALUE"""),45362.6875)</f>
        <v>45362.6875</v>
      </c>
      <c r="L806" s="2">
        <f>IFERROR(__xludf.DUMMYFUNCTION("""COMPUTED_VALUE"""),49.05)</f>
        <v>49.05</v>
      </c>
      <c r="N806" s="3">
        <f>IFERROR(__xludf.DUMMYFUNCTION("""COMPUTED_VALUE"""),45365.66666666667)</f>
        <v>45365.66667</v>
      </c>
      <c r="O806" s="2">
        <f>IFERROR(__xludf.DUMMYFUNCTION("""COMPUTED_VALUE"""),37.49)</f>
        <v>37.49</v>
      </c>
      <c r="Q806" s="3">
        <f>IFERROR(__xludf.DUMMYFUNCTION("""COMPUTED_VALUE"""),45365.66666666667)</f>
        <v>45365.66667</v>
      </c>
      <c r="R806" s="2">
        <f>IFERROR(__xludf.DUMMYFUNCTION("""COMPUTED_VALUE"""),161.5)</f>
        <v>161.5</v>
      </c>
    </row>
    <row r="807">
      <c r="B807" s="3">
        <f>IFERROR(__xludf.DUMMYFUNCTION("""COMPUTED_VALUE"""),45366.66666666667)</f>
        <v>45366.66667</v>
      </c>
      <c r="C807" s="2">
        <f>IFERROR(__xludf.DUMMYFUNCTION("""COMPUTED_VALUE"""),48.93)</f>
        <v>48.93</v>
      </c>
      <c r="K807" s="3">
        <f>IFERROR(__xludf.DUMMYFUNCTION("""COMPUTED_VALUE"""),45363.6875)</f>
        <v>45363.6875</v>
      </c>
      <c r="L807" s="2">
        <f>IFERROR(__xludf.DUMMYFUNCTION("""COMPUTED_VALUE"""),49.55)</f>
        <v>49.55</v>
      </c>
      <c r="N807" s="3">
        <f>IFERROR(__xludf.DUMMYFUNCTION("""COMPUTED_VALUE"""),45366.66666666667)</f>
        <v>45366.66667</v>
      </c>
      <c r="O807" s="2">
        <f>IFERROR(__xludf.DUMMYFUNCTION("""COMPUTED_VALUE"""),37.49)</f>
        <v>37.49</v>
      </c>
      <c r="Q807" s="3">
        <f>IFERROR(__xludf.DUMMYFUNCTION("""COMPUTED_VALUE"""),45366.66666666667)</f>
        <v>45366.66667</v>
      </c>
      <c r="R807" s="2">
        <f>IFERROR(__xludf.DUMMYFUNCTION("""COMPUTED_VALUE"""),161.38)</f>
        <v>161.38</v>
      </c>
    </row>
    <row r="808">
      <c r="B808" s="3">
        <f>IFERROR(__xludf.DUMMYFUNCTION("""COMPUTED_VALUE"""),45369.66666666667)</f>
        <v>45369.66667</v>
      </c>
      <c r="C808" s="2">
        <f>IFERROR(__xludf.DUMMYFUNCTION("""COMPUTED_VALUE"""),49.27)</f>
        <v>49.27</v>
      </c>
      <c r="K808" s="3">
        <f>IFERROR(__xludf.DUMMYFUNCTION("""COMPUTED_VALUE"""),45364.6875)</f>
        <v>45364.6875</v>
      </c>
      <c r="L808" s="2">
        <f>IFERROR(__xludf.DUMMYFUNCTION("""COMPUTED_VALUE"""),49.26)</f>
        <v>49.26</v>
      </c>
      <c r="N808" s="3">
        <f>IFERROR(__xludf.DUMMYFUNCTION("""COMPUTED_VALUE"""),45369.66666666667)</f>
        <v>45369.66667</v>
      </c>
      <c r="O808" s="2">
        <f>IFERROR(__xludf.DUMMYFUNCTION("""COMPUTED_VALUE"""),37.79)</f>
        <v>37.79</v>
      </c>
      <c r="Q808" s="3">
        <f>IFERROR(__xludf.DUMMYFUNCTION("""COMPUTED_VALUE"""),45369.66666666667)</f>
        <v>45369.66667</v>
      </c>
      <c r="R808" s="2">
        <f>IFERROR(__xludf.DUMMYFUNCTION("""COMPUTED_VALUE"""),161.21)</f>
        <v>161.21</v>
      </c>
    </row>
    <row r="809">
      <c r="B809" s="3">
        <f>IFERROR(__xludf.DUMMYFUNCTION("""COMPUTED_VALUE"""),45370.66666666667)</f>
        <v>45370.66667</v>
      </c>
      <c r="C809" s="2">
        <f>IFERROR(__xludf.DUMMYFUNCTION("""COMPUTED_VALUE"""),49.14)</f>
        <v>49.14</v>
      </c>
      <c r="K809" s="3">
        <f>IFERROR(__xludf.DUMMYFUNCTION("""COMPUTED_VALUE"""),45365.6875)</f>
        <v>45365.6875</v>
      </c>
      <c r="L809" s="2">
        <f>IFERROR(__xludf.DUMMYFUNCTION("""COMPUTED_VALUE"""),49.33)</f>
        <v>49.33</v>
      </c>
      <c r="N809" s="3">
        <f>IFERROR(__xludf.DUMMYFUNCTION("""COMPUTED_VALUE"""),45370.66666666667)</f>
        <v>45370.66667</v>
      </c>
      <c r="O809" s="2">
        <f>IFERROR(__xludf.DUMMYFUNCTION("""COMPUTED_VALUE"""),37.84)</f>
        <v>37.84</v>
      </c>
      <c r="Q809" s="3">
        <f>IFERROR(__xludf.DUMMYFUNCTION("""COMPUTED_VALUE"""),45370.66666666667)</f>
        <v>45370.66667</v>
      </c>
      <c r="R809" s="2">
        <f>IFERROR(__xludf.DUMMYFUNCTION("""COMPUTED_VALUE"""),161.83)</f>
        <v>161.83</v>
      </c>
    </row>
    <row r="810">
      <c r="B810" s="3">
        <f>IFERROR(__xludf.DUMMYFUNCTION("""COMPUTED_VALUE"""),45371.66666666667)</f>
        <v>45371.66667</v>
      </c>
      <c r="C810" s="2">
        <f>IFERROR(__xludf.DUMMYFUNCTION("""COMPUTED_VALUE"""),49.55)</f>
        <v>49.55</v>
      </c>
      <c r="K810" s="3">
        <f>IFERROR(__xludf.DUMMYFUNCTION("""COMPUTED_VALUE"""),45366.6875)</f>
        <v>45366.6875</v>
      </c>
      <c r="L810" s="2">
        <f>IFERROR(__xludf.DUMMYFUNCTION("""COMPUTED_VALUE"""),49.57)</f>
        <v>49.57</v>
      </c>
      <c r="N810" s="3">
        <f>IFERROR(__xludf.DUMMYFUNCTION("""COMPUTED_VALUE"""),45371.66666666667)</f>
        <v>45371.66667</v>
      </c>
      <c r="O810" s="2">
        <f>IFERROR(__xludf.DUMMYFUNCTION("""COMPUTED_VALUE"""),37.89)</f>
        <v>37.89</v>
      </c>
      <c r="Q810" s="3">
        <f>IFERROR(__xludf.DUMMYFUNCTION("""COMPUTED_VALUE"""),45371.66666666667)</f>
        <v>45371.66667</v>
      </c>
      <c r="R810" s="2">
        <f>IFERROR(__xludf.DUMMYFUNCTION("""COMPUTED_VALUE"""),161.99)</f>
        <v>161.99</v>
      </c>
    </row>
    <row r="811">
      <c r="B811" s="3">
        <f>IFERROR(__xludf.DUMMYFUNCTION("""COMPUTED_VALUE"""),45372.66666666667)</f>
        <v>45372.66667</v>
      </c>
      <c r="C811" s="2">
        <f>IFERROR(__xludf.DUMMYFUNCTION("""COMPUTED_VALUE"""),49.88)</f>
        <v>49.88</v>
      </c>
      <c r="K811" s="3">
        <f>IFERROR(__xludf.DUMMYFUNCTION("""COMPUTED_VALUE"""),45369.6875)</f>
        <v>45369.6875</v>
      </c>
      <c r="L811" s="2">
        <f>IFERROR(__xludf.DUMMYFUNCTION("""COMPUTED_VALUE"""),49.39)</f>
        <v>49.39</v>
      </c>
      <c r="N811" s="3">
        <f>IFERROR(__xludf.DUMMYFUNCTION("""COMPUTED_VALUE"""),45372.66666666667)</f>
        <v>45372.66667</v>
      </c>
      <c r="O811" s="2">
        <f>IFERROR(__xludf.DUMMYFUNCTION("""COMPUTED_VALUE"""),37.73)</f>
        <v>37.73</v>
      </c>
      <c r="Q811" s="3">
        <f>IFERROR(__xludf.DUMMYFUNCTION("""COMPUTED_VALUE"""),45372.66666666667)</f>
        <v>45372.66667</v>
      </c>
      <c r="R811" s="2">
        <f>IFERROR(__xludf.DUMMYFUNCTION("""COMPUTED_VALUE"""),161.86)</f>
        <v>161.86</v>
      </c>
    </row>
    <row r="812">
      <c r="B812" s="3">
        <f>IFERROR(__xludf.DUMMYFUNCTION("""COMPUTED_VALUE"""),45373.66666666667)</f>
        <v>45373.66667</v>
      </c>
      <c r="C812" s="2">
        <f>IFERROR(__xludf.DUMMYFUNCTION("""COMPUTED_VALUE"""),49.78)</f>
        <v>49.78</v>
      </c>
      <c r="K812" s="3">
        <f>IFERROR(__xludf.DUMMYFUNCTION("""COMPUTED_VALUE"""),45370.6875)</f>
        <v>45370.6875</v>
      </c>
      <c r="L812" s="2">
        <f>IFERROR(__xludf.DUMMYFUNCTION("""COMPUTED_VALUE"""),49.55)</f>
        <v>49.55</v>
      </c>
      <c r="N812" s="3">
        <f>IFERROR(__xludf.DUMMYFUNCTION("""COMPUTED_VALUE"""),45373.66666666667)</f>
        <v>45373.66667</v>
      </c>
      <c r="O812" s="2">
        <f>IFERROR(__xludf.DUMMYFUNCTION("""COMPUTED_VALUE"""),37.8)</f>
        <v>37.8</v>
      </c>
      <c r="Q812" s="3">
        <f>IFERROR(__xludf.DUMMYFUNCTION("""COMPUTED_VALUE"""),45373.66666666667)</f>
        <v>45373.66667</v>
      </c>
      <c r="R812" s="2">
        <f>IFERROR(__xludf.DUMMYFUNCTION("""COMPUTED_VALUE"""),161.66)</f>
        <v>161.66</v>
      </c>
    </row>
    <row r="813">
      <c r="B813" s="3">
        <f>IFERROR(__xludf.DUMMYFUNCTION("""COMPUTED_VALUE"""),45376.66666666667)</f>
        <v>45376.66667</v>
      </c>
      <c r="C813" s="2">
        <f>IFERROR(__xludf.DUMMYFUNCTION("""COMPUTED_VALUE"""),49.68)</f>
        <v>49.68</v>
      </c>
      <c r="K813" s="3">
        <f>IFERROR(__xludf.DUMMYFUNCTION("""COMPUTED_VALUE"""),45371.6875)</f>
        <v>45371.6875</v>
      </c>
      <c r="L813" s="2">
        <f>IFERROR(__xludf.DUMMYFUNCTION("""COMPUTED_VALUE"""),50.04)</f>
        <v>50.04</v>
      </c>
      <c r="N813" s="3">
        <f>IFERROR(__xludf.DUMMYFUNCTION("""COMPUTED_VALUE"""),45376.66666666667)</f>
        <v>45376.66667</v>
      </c>
      <c r="O813" s="2">
        <f>IFERROR(__xludf.DUMMYFUNCTION("""COMPUTED_VALUE"""),38.26)</f>
        <v>38.26</v>
      </c>
      <c r="Q813" s="3">
        <f>IFERROR(__xludf.DUMMYFUNCTION("""COMPUTED_VALUE"""),45376.66666666667)</f>
        <v>45376.66667</v>
      </c>
      <c r="R813" s="2">
        <f>IFERROR(__xludf.DUMMYFUNCTION("""COMPUTED_VALUE"""),160.19)</f>
        <v>160.19</v>
      </c>
    </row>
    <row r="814">
      <c r="B814" s="3">
        <f>IFERROR(__xludf.DUMMYFUNCTION("""COMPUTED_VALUE"""),45377.66666666667)</f>
        <v>45377.66667</v>
      </c>
      <c r="C814" s="2">
        <f>IFERROR(__xludf.DUMMYFUNCTION("""COMPUTED_VALUE"""),49.55)</f>
        <v>49.55</v>
      </c>
      <c r="K814" s="3">
        <f>IFERROR(__xludf.DUMMYFUNCTION("""COMPUTED_VALUE"""),45372.6875)</f>
        <v>45372.6875</v>
      </c>
      <c r="L814" s="2">
        <f>IFERROR(__xludf.DUMMYFUNCTION("""COMPUTED_VALUE"""),51.49)</f>
        <v>51.49</v>
      </c>
      <c r="N814" s="3">
        <f>IFERROR(__xludf.DUMMYFUNCTION("""COMPUTED_VALUE"""),45377.66666666667)</f>
        <v>45377.66667</v>
      </c>
      <c r="O814" s="2">
        <f>IFERROR(__xludf.DUMMYFUNCTION("""COMPUTED_VALUE"""),37.57)</f>
        <v>37.57</v>
      </c>
      <c r="Q814" s="3">
        <f>IFERROR(__xludf.DUMMYFUNCTION("""COMPUTED_VALUE"""),45377.66666666667)</f>
        <v>45377.66667</v>
      </c>
      <c r="R814" s="2">
        <f>IFERROR(__xludf.DUMMYFUNCTION("""COMPUTED_VALUE"""),160.55)</f>
        <v>160.55</v>
      </c>
    </row>
    <row r="815">
      <c r="B815" s="3">
        <f>IFERROR(__xludf.DUMMYFUNCTION("""COMPUTED_VALUE"""),45378.66666666667)</f>
        <v>45378.66667</v>
      </c>
      <c r="C815" s="2">
        <f>IFERROR(__xludf.DUMMYFUNCTION("""COMPUTED_VALUE"""),49.77)</f>
        <v>49.77</v>
      </c>
      <c r="K815" s="3">
        <f>IFERROR(__xludf.DUMMYFUNCTION("""COMPUTED_VALUE"""),45373.6875)</f>
        <v>45373.6875</v>
      </c>
      <c r="L815" s="2">
        <f>IFERROR(__xludf.DUMMYFUNCTION("""COMPUTED_VALUE"""),52.18)</f>
        <v>52.18</v>
      </c>
      <c r="N815" s="3">
        <f>IFERROR(__xludf.DUMMYFUNCTION("""COMPUTED_VALUE"""),45378.66666666667)</f>
        <v>45378.66667</v>
      </c>
      <c r="O815" s="2">
        <f>IFERROR(__xludf.DUMMYFUNCTION("""COMPUTED_VALUE"""),37.46)</f>
        <v>37.46</v>
      </c>
      <c r="Q815" s="3">
        <f>IFERROR(__xludf.DUMMYFUNCTION("""COMPUTED_VALUE"""),45378.66666666667)</f>
        <v>45378.66667</v>
      </c>
      <c r="R815" s="2">
        <f>IFERROR(__xludf.DUMMYFUNCTION("""COMPUTED_VALUE"""),162.61)</f>
        <v>162.61</v>
      </c>
    </row>
    <row r="816">
      <c r="B816" s="3">
        <f>IFERROR(__xludf.DUMMYFUNCTION("""COMPUTED_VALUE"""),45379.66666666667)</f>
        <v>45379.66667</v>
      </c>
      <c r="C816" s="2">
        <f>IFERROR(__xludf.DUMMYFUNCTION("""COMPUTED_VALUE"""),49.91)</f>
        <v>49.91</v>
      </c>
      <c r="K816" s="3">
        <f>IFERROR(__xludf.DUMMYFUNCTION("""COMPUTED_VALUE"""),45376.6875)</f>
        <v>45376.6875</v>
      </c>
      <c r="L816" s="2">
        <f>IFERROR(__xludf.DUMMYFUNCTION("""COMPUTED_VALUE"""),51.73)</f>
        <v>51.73</v>
      </c>
      <c r="N816" s="3">
        <f>IFERROR(__xludf.DUMMYFUNCTION("""COMPUTED_VALUE"""),45379.66666666667)</f>
        <v>45379.66667</v>
      </c>
      <c r="O816" s="2">
        <f>IFERROR(__xludf.DUMMYFUNCTION("""COMPUTED_VALUE"""),37.68)</f>
        <v>37.68</v>
      </c>
      <c r="Q816" s="3">
        <f>IFERROR(__xludf.DUMMYFUNCTION("""COMPUTED_VALUE"""),45379.66666666667)</f>
        <v>45379.66667</v>
      </c>
      <c r="R816" s="2">
        <f>IFERROR(__xludf.DUMMYFUNCTION("""COMPUTED_VALUE"""),162.25)</f>
        <v>162.25</v>
      </c>
    </row>
    <row r="817">
      <c r="B817" s="3">
        <f>IFERROR(__xludf.DUMMYFUNCTION("""COMPUTED_VALUE"""),45383.66666666667)</f>
        <v>45383.66667</v>
      </c>
      <c r="C817" s="2">
        <f>IFERROR(__xludf.DUMMYFUNCTION("""COMPUTED_VALUE"""),50.04)</f>
        <v>50.04</v>
      </c>
      <c r="K817" s="3">
        <f>IFERROR(__xludf.DUMMYFUNCTION("""COMPUTED_VALUE"""),45377.6875)</f>
        <v>45377.6875</v>
      </c>
      <c r="L817" s="2">
        <f>IFERROR(__xludf.DUMMYFUNCTION("""COMPUTED_VALUE"""),51.61)</f>
        <v>51.61</v>
      </c>
      <c r="N817" s="3">
        <f>IFERROR(__xludf.DUMMYFUNCTION("""COMPUTED_VALUE"""),45383.66666666667)</f>
        <v>45383.66667</v>
      </c>
      <c r="O817" s="2">
        <f>IFERROR(__xludf.DUMMYFUNCTION("""COMPUTED_VALUE"""),37.94)</f>
        <v>37.94</v>
      </c>
      <c r="Q817" s="3">
        <f>IFERROR(__xludf.DUMMYFUNCTION("""COMPUTED_VALUE"""),45383.66666666667)</f>
        <v>45383.66667</v>
      </c>
      <c r="R817" s="2">
        <f>IFERROR(__xludf.DUMMYFUNCTION("""COMPUTED_VALUE"""),160.58)</f>
        <v>160.58</v>
      </c>
    </row>
    <row r="818">
      <c r="B818" s="3">
        <f>IFERROR(__xludf.DUMMYFUNCTION("""COMPUTED_VALUE"""),45384.66666666667)</f>
        <v>45384.66667</v>
      </c>
      <c r="C818" s="2">
        <f>IFERROR(__xludf.DUMMYFUNCTION("""COMPUTED_VALUE"""),49.36)</f>
        <v>49.36</v>
      </c>
      <c r="K818" s="3">
        <f>IFERROR(__xludf.DUMMYFUNCTION("""COMPUTED_VALUE"""),45378.6875)</f>
        <v>45378.6875</v>
      </c>
      <c r="L818" s="2">
        <f>IFERROR(__xludf.DUMMYFUNCTION("""COMPUTED_VALUE"""),51.67)</f>
        <v>51.67</v>
      </c>
      <c r="N818" s="3">
        <f>IFERROR(__xludf.DUMMYFUNCTION("""COMPUTED_VALUE"""),45384.66666666667)</f>
        <v>45384.66667</v>
      </c>
      <c r="O818" s="2">
        <f>IFERROR(__xludf.DUMMYFUNCTION("""COMPUTED_VALUE"""),38.65)</f>
        <v>38.65</v>
      </c>
      <c r="Q818" s="3">
        <f>IFERROR(__xludf.DUMMYFUNCTION("""COMPUTED_VALUE"""),45384.66666666667)</f>
        <v>45384.66667</v>
      </c>
      <c r="R818" s="2">
        <f>IFERROR(__xludf.DUMMYFUNCTION("""COMPUTED_VALUE"""),160.57)</f>
        <v>160.57</v>
      </c>
    </row>
    <row r="819">
      <c r="B819" s="3">
        <f>IFERROR(__xludf.DUMMYFUNCTION("""COMPUTED_VALUE"""),45385.66666666667)</f>
        <v>45385.66667</v>
      </c>
      <c r="C819" s="2">
        <f>IFERROR(__xludf.DUMMYFUNCTION("""COMPUTED_VALUE"""),48.74)</f>
        <v>48.74</v>
      </c>
      <c r="K819" s="3">
        <f>IFERROR(__xludf.DUMMYFUNCTION("""COMPUTED_VALUE"""),45379.6875)</f>
        <v>45379.6875</v>
      </c>
      <c r="L819" s="2">
        <f>IFERROR(__xludf.DUMMYFUNCTION("""COMPUTED_VALUE"""),51.76)</f>
        <v>51.76</v>
      </c>
      <c r="N819" s="3">
        <f>IFERROR(__xludf.DUMMYFUNCTION("""COMPUTED_VALUE"""),45385.66666666667)</f>
        <v>45385.66667</v>
      </c>
      <c r="O819" s="2">
        <f>IFERROR(__xludf.DUMMYFUNCTION("""COMPUTED_VALUE"""),38.81)</f>
        <v>38.81</v>
      </c>
      <c r="Q819" s="3">
        <f>IFERROR(__xludf.DUMMYFUNCTION("""COMPUTED_VALUE"""),45385.66666666667)</f>
        <v>45385.66667</v>
      </c>
      <c r="R819" s="2">
        <f>IFERROR(__xludf.DUMMYFUNCTION("""COMPUTED_VALUE"""),156.15)</f>
        <v>156.15</v>
      </c>
    </row>
    <row r="820">
      <c r="B820" s="3">
        <f>IFERROR(__xludf.DUMMYFUNCTION("""COMPUTED_VALUE"""),45386.66666666667)</f>
        <v>45386.66667</v>
      </c>
      <c r="C820" s="2">
        <f>IFERROR(__xludf.DUMMYFUNCTION("""COMPUTED_VALUE"""),48.11)</f>
        <v>48.11</v>
      </c>
      <c r="K820" s="3">
        <f>IFERROR(__xludf.DUMMYFUNCTION("""COMPUTED_VALUE"""),45384.6875)</f>
        <v>45384.6875</v>
      </c>
      <c r="L820" s="2">
        <f>IFERROR(__xludf.DUMMYFUNCTION("""COMPUTED_VALUE"""),51.96)</f>
        <v>51.96</v>
      </c>
      <c r="N820" s="3">
        <f>IFERROR(__xludf.DUMMYFUNCTION("""COMPUTED_VALUE"""),45386.66666666667)</f>
        <v>45386.66667</v>
      </c>
      <c r="O820" s="2">
        <f>IFERROR(__xludf.DUMMYFUNCTION("""COMPUTED_VALUE"""),38.4)</f>
        <v>38.4</v>
      </c>
      <c r="Q820" s="3">
        <f>IFERROR(__xludf.DUMMYFUNCTION("""COMPUTED_VALUE"""),45386.66666666667)</f>
        <v>45386.66667</v>
      </c>
      <c r="R820" s="2">
        <f>IFERROR(__xludf.DUMMYFUNCTION("""COMPUTED_VALUE"""),155.45)</f>
        <v>155.45</v>
      </c>
    </row>
    <row r="821">
      <c r="B821" s="3">
        <f>IFERROR(__xludf.DUMMYFUNCTION("""COMPUTED_VALUE"""),45387.66666666667)</f>
        <v>45387.66667</v>
      </c>
      <c r="C821" s="2">
        <f>IFERROR(__xludf.DUMMYFUNCTION("""COMPUTED_VALUE"""),48.55)</f>
        <v>48.55</v>
      </c>
      <c r="K821" s="3">
        <f>IFERROR(__xludf.DUMMYFUNCTION("""COMPUTED_VALUE"""),45385.6875)</f>
        <v>45385.6875</v>
      </c>
      <c r="L821" s="2">
        <f>IFERROR(__xludf.DUMMYFUNCTION("""COMPUTED_VALUE"""),52.38)</f>
        <v>52.38</v>
      </c>
      <c r="N821" s="3">
        <f>IFERROR(__xludf.DUMMYFUNCTION("""COMPUTED_VALUE"""),45387.66666666667)</f>
        <v>45387.66667</v>
      </c>
      <c r="O821" s="2">
        <f>IFERROR(__xludf.DUMMYFUNCTION("""COMPUTED_VALUE"""),38.66)</f>
        <v>38.66</v>
      </c>
      <c r="Q821" s="3">
        <f>IFERROR(__xludf.DUMMYFUNCTION("""COMPUTED_VALUE"""),45387.66666666667)</f>
        <v>45387.66667</v>
      </c>
      <c r="R821" s="2">
        <f>IFERROR(__xludf.DUMMYFUNCTION("""COMPUTED_VALUE"""),156.1)</f>
        <v>156.1</v>
      </c>
    </row>
    <row r="822">
      <c r="B822" s="3">
        <f>IFERROR(__xludf.DUMMYFUNCTION("""COMPUTED_VALUE"""),45390.66666666667)</f>
        <v>45390.66667</v>
      </c>
      <c r="C822" s="2">
        <f>IFERROR(__xludf.DUMMYFUNCTION("""COMPUTED_VALUE"""),48.24)</f>
        <v>48.24</v>
      </c>
      <c r="K822" s="3">
        <f>IFERROR(__xludf.DUMMYFUNCTION("""COMPUTED_VALUE"""),45386.6875)</f>
        <v>45386.6875</v>
      </c>
      <c r="L822" s="2">
        <f>IFERROR(__xludf.DUMMYFUNCTION("""COMPUTED_VALUE"""),53.96)</f>
        <v>53.96</v>
      </c>
      <c r="N822" s="3">
        <f>IFERROR(__xludf.DUMMYFUNCTION("""COMPUTED_VALUE"""),45390.66666666667)</f>
        <v>45390.66667</v>
      </c>
      <c r="O822" s="2">
        <f>IFERROR(__xludf.DUMMYFUNCTION("""COMPUTED_VALUE"""),38.91)</f>
        <v>38.91</v>
      </c>
      <c r="Q822" s="3">
        <f>IFERROR(__xludf.DUMMYFUNCTION("""COMPUTED_VALUE"""),45390.66666666667)</f>
        <v>45390.66667</v>
      </c>
      <c r="R822" s="2">
        <f>IFERROR(__xludf.DUMMYFUNCTION("""COMPUTED_VALUE"""),156.04)</f>
        <v>156.04</v>
      </c>
    </row>
    <row r="823">
      <c r="B823" s="3">
        <f>IFERROR(__xludf.DUMMYFUNCTION("""COMPUTED_VALUE"""),45391.66666666667)</f>
        <v>45391.66667</v>
      </c>
      <c r="C823" s="2">
        <f>IFERROR(__xludf.DUMMYFUNCTION("""COMPUTED_VALUE"""),50.01)</f>
        <v>50.01</v>
      </c>
      <c r="K823" s="3">
        <f>IFERROR(__xludf.DUMMYFUNCTION("""COMPUTED_VALUE"""),45387.6875)</f>
        <v>45387.6875</v>
      </c>
      <c r="L823" s="2">
        <f>IFERROR(__xludf.DUMMYFUNCTION("""COMPUTED_VALUE"""),53.32)</f>
        <v>53.32</v>
      </c>
      <c r="N823" s="3">
        <f>IFERROR(__xludf.DUMMYFUNCTION("""COMPUTED_VALUE"""),45391.66666666667)</f>
        <v>45391.66667</v>
      </c>
      <c r="O823" s="2">
        <f>IFERROR(__xludf.DUMMYFUNCTION("""COMPUTED_VALUE"""),39.29)</f>
        <v>39.29</v>
      </c>
      <c r="Q823" s="3">
        <f>IFERROR(__xludf.DUMMYFUNCTION("""COMPUTED_VALUE"""),45391.66666666667)</f>
        <v>45391.66667</v>
      </c>
      <c r="R823" s="2">
        <f>IFERROR(__xludf.DUMMYFUNCTION("""COMPUTED_VALUE"""),156.66)</f>
        <v>156.66</v>
      </c>
    </row>
    <row r="824">
      <c r="B824" s="3">
        <f>IFERROR(__xludf.DUMMYFUNCTION("""COMPUTED_VALUE"""),45392.66666666667)</f>
        <v>45392.66667</v>
      </c>
      <c r="C824" s="2">
        <f>IFERROR(__xludf.DUMMYFUNCTION("""COMPUTED_VALUE"""),49.21)</f>
        <v>49.21</v>
      </c>
      <c r="K824" s="3">
        <f>IFERROR(__xludf.DUMMYFUNCTION("""COMPUTED_VALUE"""),45390.6875)</f>
        <v>45390.6875</v>
      </c>
      <c r="L824" s="2">
        <f>IFERROR(__xludf.DUMMYFUNCTION("""COMPUTED_VALUE"""),53.72)</f>
        <v>53.72</v>
      </c>
      <c r="N824" s="3">
        <f>IFERROR(__xludf.DUMMYFUNCTION("""COMPUTED_VALUE"""),45392.66666666667)</f>
        <v>45392.66667</v>
      </c>
      <c r="O824" s="2">
        <f>IFERROR(__xludf.DUMMYFUNCTION("""COMPUTED_VALUE"""),39.42)</f>
        <v>39.42</v>
      </c>
      <c r="Q824" s="3">
        <f>IFERROR(__xludf.DUMMYFUNCTION("""COMPUTED_VALUE"""),45392.66666666667)</f>
        <v>45392.66667</v>
      </c>
      <c r="R824" s="2">
        <f>IFERROR(__xludf.DUMMYFUNCTION("""COMPUTED_VALUE"""),157.24)</f>
        <v>157.24</v>
      </c>
    </row>
    <row r="825">
      <c r="B825" s="3">
        <f>IFERROR(__xludf.DUMMYFUNCTION("""COMPUTED_VALUE"""),45393.66666666667)</f>
        <v>45393.66667</v>
      </c>
      <c r="C825" s="2">
        <f>IFERROR(__xludf.DUMMYFUNCTION("""COMPUTED_VALUE"""),49.53)</f>
        <v>49.53</v>
      </c>
      <c r="K825" s="3">
        <f>IFERROR(__xludf.DUMMYFUNCTION("""COMPUTED_VALUE"""),45391.6875)</f>
        <v>45391.6875</v>
      </c>
      <c r="L825" s="2">
        <f>IFERROR(__xludf.DUMMYFUNCTION("""COMPUTED_VALUE"""),52.86)</f>
        <v>52.86</v>
      </c>
      <c r="N825" s="3">
        <f>IFERROR(__xludf.DUMMYFUNCTION("""COMPUTED_VALUE"""),45393.66666666667)</f>
        <v>45393.66667</v>
      </c>
      <c r="O825" s="2">
        <f>IFERROR(__xludf.DUMMYFUNCTION("""COMPUTED_VALUE"""),39.65)</f>
        <v>39.65</v>
      </c>
      <c r="Q825" s="3">
        <f>IFERROR(__xludf.DUMMYFUNCTION("""COMPUTED_VALUE"""),45393.66666666667)</f>
        <v>45393.66667</v>
      </c>
      <c r="R825" s="2">
        <f>IFERROR(__xludf.DUMMYFUNCTION("""COMPUTED_VALUE"""),155.84)</f>
        <v>155.84</v>
      </c>
    </row>
    <row r="826">
      <c r="B826" s="3">
        <f>IFERROR(__xludf.DUMMYFUNCTION("""COMPUTED_VALUE"""),45394.66666666667)</f>
        <v>45394.66667</v>
      </c>
      <c r="C826" s="2">
        <f>IFERROR(__xludf.DUMMYFUNCTION("""COMPUTED_VALUE"""),48.49)</f>
        <v>48.49</v>
      </c>
      <c r="K826" s="3">
        <f>IFERROR(__xludf.DUMMYFUNCTION("""COMPUTED_VALUE"""),45392.6875)</f>
        <v>45392.6875</v>
      </c>
      <c r="L826" s="2">
        <f>IFERROR(__xludf.DUMMYFUNCTION("""COMPUTED_VALUE"""),53.12)</f>
        <v>53.12</v>
      </c>
      <c r="N826" s="3">
        <f>IFERROR(__xludf.DUMMYFUNCTION("""COMPUTED_VALUE"""),45394.66666666667)</f>
        <v>45394.66667</v>
      </c>
      <c r="O826" s="2">
        <f>IFERROR(__xludf.DUMMYFUNCTION("""COMPUTED_VALUE"""),39.44)</f>
        <v>39.44</v>
      </c>
      <c r="Q826" s="3">
        <f>IFERROR(__xludf.DUMMYFUNCTION("""COMPUTED_VALUE"""),45394.66666666667)</f>
        <v>45394.66667</v>
      </c>
      <c r="R826" s="2">
        <f>IFERROR(__xludf.DUMMYFUNCTION("""COMPUTED_VALUE"""),155.33)</f>
        <v>155.33</v>
      </c>
    </row>
    <row r="827">
      <c r="B827" s="3">
        <f>IFERROR(__xludf.DUMMYFUNCTION("""COMPUTED_VALUE"""),45397.66666666667)</f>
        <v>45397.66667</v>
      </c>
      <c r="C827" s="2">
        <f>IFERROR(__xludf.DUMMYFUNCTION("""COMPUTED_VALUE"""),48.24)</f>
        <v>48.24</v>
      </c>
      <c r="K827" s="3">
        <f>IFERROR(__xludf.DUMMYFUNCTION("""COMPUTED_VALUE"""),45393.6875)</f>
        <v>45393.6875</v>
      </c>
      <c r="L827" s="2">
        <f>IFERROR(__xludf.DUMMYFUNCTION("""COMPUTED_VALUE"""),50.66)</f>
        <v>50.66</v>
      </c>
      <c r="N827" s="3">
        <f>IFERROR(__xludf.DUMMYFUNCTION("""COMPUTED_VALUE"""),45397.66666666667)</f>
        <v>45397.66667</v>
      </c>
      <c r="O827" s="2">
        <f>IFERROR(__xludf.DUMMYFUNCTION("""COMPUTED_VALUE"""),39.07)</f>
        <v>39.07</v>
      </c>
      <c r="Q827" s="3">
        <f>IFERROR(__xludf.DUMMYFUNCTION("""COMPUTED_VALUE"""),45397.66666666667)</f>
        <v>45397.66667</v>
      </c>
      <c r="R827" s="2">
        <f>IFERROR(__xludf.DUMMYFUNCTION("""COMPUTED_VALUE"""),155.45)</f>
        <v>155.45</v>
      </c>
    </row>
    <row r="828">
      <c r="B828" s="3">
        <f>IFERROR(__xludf.DUMMYFUNCTION("""COMPUTED_VALUE"""),45398.66666666667)</f>
        <v>45398.66667</v>
      </c>
      <c r="C828" s="2">
        <f>IFERROR(__xludf.DUMMYFUNCTION("""COMPUTED_VALUE"""),47.92)</f>
        <v>47.92</v>
      </c>
      <c r="K828" s="3">
        <f>IFERROR(__xludf.DUMMYFUNCTION("""COMPUTED_VALUE"""),45394.6875)</f>
        <v>45394.6875</v>
      </c>
      <c r="L828" s="2">
        <f>IFERROR(__xludf.DUMMYFUNCTION("""COMPUTED_VALUE"""),50.98)</f>
        <v>50.98</v>
      </c>
      <c r="N828" s="3">
        <f>IFERROR(__xludf.DUMMYFUNCTION("""COMPUTED_VALUE"""),45398.66666666667)</f>
        <v>45398.66667</v>
      </c>
      <c r="O828" s="2">
        <f>IFERROR(__xludf.DUMMYFUNCTION("""COMPUTED_VALUE"""),38.63)</f>
        <v>38.63</v>
      </c>
      <c r="Q828" s="3">
        <f>IFERROR(__xludf.DUMMYFUNCTION("""COMPUTED_VALUE"""),45398.66666666667)</f>
        <v>45398.66667</v>
      </c>
      <c r="R828" s="2">
        <f>IFERROR(__xludf.DUMMYFUNCTION("""COMPUTED_VALUE"""),155.95)</f>
        <v>155.95</v>
      </c>
    </row>
    <row r="829">
      <c r="B829" s="3">
        <f>IFERROR(__xludf.DUMMYFUNCTION("""COMPUTED_VALUE"""),45399.66666666667)</f>
        <v>45399.66667</v>
      </c>
      <c r="C829" s="2">
        <f>IFERROR(__xludf.DUMMYFUNCTION("""COMPUTED_VALUE"""),47.79)</f>
        <v>47.79</v>
      </c>
      <c r="K829" s="3">
        <f>IFERROR(__xludf.DUMMYFUNCTION("""COMPUTED_VALUE"""),45397.6875)</f>
        <v>45397.6875</v>
      </c>
      <c r="L829" s="2">
        <f>IFERROR(__xludf.DUMMYFUNCTION("""COMPUTED_VALUE"""),51.16)</f>
        <v>51.16</v>
      </c>
      <c r="N829" s="3">
        <f>IFERROR(__xludf.DUMMYFUNCTION("""COMPUTED_VALUE"""),45399.66666666667)</f>
        <v>45399.66667</v>
      </c>
      <c r="O829" s="2">
        <f>IFERROR(__xludf.DUMMYFUNCTION("""COMPUTED_VALUE"""),38.37)</f>
        <v>38.37</v>
      </c>
      <c r="Q829" s="3">
        <f>IFERROR(__xludf.DUMMYFUNCTION("""COMPUTED_VALUE"""),45399.66666666667)</f>
        <v>45399.66667</v>
      </c>
      <c r="R829" s="2">
        <f>IFERROR(__xludf.DUMMYFUNCTION("""COMPUTED_VALUE"""),156.96)</f>
        <v>156.96</v>
      </c>
    </row>
    <row r="830">
      <c r="B830" s="3">
        <f>IFERROR(__xludf.DUMMYFUNCTION("""COMPUTED_VALUE"""),45400.66666666667)</f>
        <v>45400.66667</v>
      </c>
      <c r="C830" s="2">
        <f>IFERROR(__xludf.DUMMYFUNCTION("""COMPUTED_VALUE"""),48.11)</f>
        <v>48.11</v>
      </c>
      <c r="K830" s="3">
        <f>IFERROR(__xludf.DUMMYFUNCTION("""COMPUTED_VALUE"""),45398.6875)</f>
        <v>45398.6875</v>
      </c>
      <c r="L830" s="2">
        <f>IFERROR(__xludf.DUMMYFUNCTION("""COMPUTED_VALUE"""),49.7)</f>
        <v>49.7</v>
      </c>
      <c r="N830" s="3">
        <f>IFERROR(__xludf.DUMMYFUNCTION("""COMPUTED_VALUE"""),45400.66666666667)</f>
        <v>45400.66667</v>
      </c>
      <c r="O830" s="2">
        <f>IFERROR(__xludf.DUMMYFUNCTION("""COMPUTED_VALUE"""),37.92)</f>
        <v>37.92</v>
      </c>
      <c r="Q830" s="3">
        <f>IFERROR(__xludf.DUMMYFUNCTION("""COMPUTED_VALUE"""),45400.66666666667)</f>
        <v>45400.66667</v>
      </c>
      <c r="R830" s="2">
        <f>IFERROR(__xludf.DUMMYFUNCTION("""COMPUTED_VALUE"""),157.29)</f>
        <v>157.29</v>
      </c>
    </row>
    <row r="831">
      <c r="B831" s="3">
        <f>IFERROR(__xludf.DUMMYFUNCTION("""COMPUTED_VALUE"""),45401.66666666667)</f>
        <v>45401.66667</v>
      </c>
      <c r="C831" s="2">
        <f>IFERROR(__xludf.DUMMYFUNCTION("""COMPUTED_VALUE"""),48.32)</f>
        <v>48.32</v>
      </c>
      <c r="K831" s="3">
        <f>IFERROR(__xludf.DUMMYFUNCTION("""COMPUTED_VALUE"""),45399.6875)</f>
        <v>45399.6875</v>
      </c>
      <c r="L831" s="2">
        <f>IFERROR(__xludf.DUMMYFUNCTION("""COMPUTED_VALUE"""),50.42)</f>
        <v>50.42</v>
      </c>
      <c r="N831" s="3">
        <f>IFERROR(__xludf.DUMMYFUNCTION("""COMPUTED_VALUE"""),45401.66666666667)</f>
        <v>45401.66667</v>
      </c>
      <c r="O831" s="2">
        <f>IFERROR(__xludf.DUMMYFUNCTION("""COMPUTED_VALUE"""),38.52)</f>
        <v>38.52</v>
      </c>
      <c r="Q831" s="3">
        <f>IFERROR(__xludf.DUMMYFUNCTION("""COMPUTED_VALUE"""),45401.66666666667)</f>
        <v>45401.66667</v>
      </c>
      <c r="R831" s="2">
        <f>IFERROR(__xludf.DUMMYFUNCTION("""COMPUTED_VALUE"""),158.14)</f>
        <v>158.14</v>
      </c>
    </row>
    <row r="832">
      <c r="B832" s="3">
        <f>IFERROR(__xludf.DUMMYFUNCTION("""COMPUTED_VALUE"""),45404.66666666667)</f>
        <v>45404.66667</v>
      </c>
      <c r="C832" s="2">
        <f>IFERROR(__xludf.DUMMYFUNCTION("""COMPUTED_VALUE"""),48.14)</f>
        <v>48.14</v>
      </c>
      <c r="K832" s="3">
        <f>IFERROR(__xludf.DUMMYFUNCTION("""COMPUTED_VALUE"""),45400.6875)</f>
        <v>45400.6875</v>
      </c>
      <c r="L832" s="2">
        <f>IFERROR(__xludf.DUMMYFUNCTION("""COMPUTED_VALUE"""),51.0)</f>
        <v>51</v>
      </c>
      <c r="N832" s="3">
        <f>IFERROR(__xludf.DUMMYFUNCTION("""COMPUTED_VALUE"""),45404.66666666667)</f>
        <v>45404.66667</v>
      </c>
      <c r="O832" s="2">
        <f>IFERROR(__xludf.DUMMYFUNCTION("""COMPUTED_VALUE"""),38.91)</f>
        <v>38.91</v>
      </c>
      <c r="Q832" s="3">
        <f>IFERROR(__xludf.DUMMYFUNCTION("""COMPUTED_VALUE"""),45404.66666666667)</f>
        <v>45404.66667</v>
      </c>
      <c r="R832" s="2">
        <f>IFERROR(__xludf.DUMMYFUNCTION("""COMPUTED_VALUE"""),160.54)</f>
        <v>160.54</v>
      </c>
    </row>
    <row r="833">
      <c r="B833" s="3">
        <f>IFERROR(__xludf.DUMMYFUNCTION("""COMPUTED_VALUE"""),45405.66666666667)</f>
        <v>45405.66667</v>
      </c>
      <c r="C833" s="2">
        <f>IFERROR(__xludf.DUMMYFUNCTION("""COMPUTED_VALUE"""),48.32)</f>
        <v>48.32</v>
      </c>
      <c r="K833" s="3">
        <f>IFERROR(__xludf.DUMMYFUNCTION("""COMPUTED_VALUE"""),45401.6875)</f>
        <v>45401.6875</v>
      </c>
      <c r="L833" s="2">
        <f>IFERROR(__xludf.DUMMYFUNCTION("""COMPUTED_VALUE"""),50.92)</f>
        <v>50.92</v>
      </c>
      <c r="N833" s="3">
        <f>IFERROR(__xludf.DUMMYFUNCTION("""COMPUTED_VALUE"""),45405.66666666667)</f>
        <v>45405.66667</v>
      </c>
      <c r="O833" s="2">
        <f>IFERROR(__xludf.DUMMYFUNCTION("""COMPUTED_VALUE"""),39.29)</f>
        <v>39.29</v>
      </c>
      <c r="Q833" s="3">
        <f>IFERROR(__xludf.DUMMYFUNCTION("""COMPUTED_VALUE"""),45405.66666666667)</f>
        <v>45405.66667</v>
      </c>
      <c r="R833" s="2">
        <f>IFERROR(__xludf.DUMMYFUNCTION("""COMPUTED_VALUE"""),161.5)</f>
        <v>161.5</v>
      </c>
    </row>
    <row r="834">
      <c r="B834" s="3">
        <f>IFERROR(__xludf.DUMMYFUNCTION("""COMPUTED_VALUE"""),45406.66666666667)</f>
        <v>45406.66667</v>
      </c>
      <c r="C834" s="2">
        <f>IFERROR(__xludf.DUMMYFUNCTION("""COMPUTED_VALUE"""),48.35)</f>
        <v>48.35</v>
      </c>
      <c r="K834" s="3">
        <f>IFERROR(__xludf.DUMMYFUNCTION("""COMPUTED_VALUE"""),45404.6875)</f>
        <v>45404.6875</v>
      </c>
      <c r="L834" s="2">
        <f>IFERROR(__xludf.DUMMYFUNCTION("""COMPUTED_VALUE"""),51.14)</f>
        <v>51.14</v>
      </c>
      <c r="N834" s="3">
        <f>IFERROR(__xludf.DUMMYFUNCTION("""COMPUTED_VALUE"""),45406.66666666667)</f>
        <v>45406.66667</v>
      </c>
      <c r="O834" s="2">
        <f>IFERROR(__xludf.DUMMYFUNCTION("""COMPUTED_VALUE"""),39.34)</f>
        <v>39.34</v>
      </c>
      <c r="Q834" s="3">
        <f>IFERROR(__xludf.DUMMYFUNCTION("""COMPUTED_VALUE"""),45406.66666666667)</f>
        <v>45406.66667</v>
      </c>
      <c r="R834" s="2">
        <f>IFERROR(__xludf.DUMMYFUNCTION("""COMPUTED_VALUE"""),162.6)</f>
        <v>162.6</v>
      </c>
    </row>
    <row r="835">
      <c r="B835" s="3">
        <f>IFERROR(__xludf.DUMMYFUNCTION("""COMPUTED_VALUE"""),45407.66666666667)</f>
        <v>45407.66667</v>
      </c>
      <c r="C835" s="2">
        <f>IFERROR(__xludf.DUMMYFUNCTION("""COMPUTED_VALUE"""),48.1)</f>
        <v>48.1</v>
      </c>
      <c r="K835" s="3">
        <f>IFERROR(__xludf.DUMMYFUNCTION("""COMPUTED_VALUE"""),45405.6875)</f>
        <v>45405.6875</v>
      </c>
      <c r="L835" s="2">
        <f>IFERROR(__xludf.DUMMYFUNCTION("""COMPUTED_VALUE"""),51.34)</f>
        <v>51.34</v>
      </c>
      <c r="N835" s="3">
        <f>IFERROR(__xludf.DUMMYFUNCTION("""COMPUTED_VALUE"""),45407.66666666667)</f>
        <v>45407.66667</v>
      </c>
      <c r="O835" s="2">
        <f>IFERROR(__xludf.DUMMYFUNCTION("""COMPUTED_VALUE"""),39.62)</f>
        <v>39.62</v>
      </c>
      <c r="Q835" s="3">
        <f>IFERROR(__xludf.DUMMYFUNCTION("""COMPUTED_VALUE"""),45407.66666666667)</f>
        <v>45407.66667</v>
      </c>
      <c r="R835" s="2">
        <f>IFERROR(__xludf.DUMMYFUNCTION("""COMPUTED_VALUE"""),162.55)</f>
        <v>162.55</v>
      </c>
    </row>
    <row r="836">
      <c r="B836" s="3">
        <f>IFERROR(__xludf.DUMMYFUNCTION("""COMPUTED_VALUE"""),45408.66666666667)</f>
        <v>45408.66667</v>
      </c>
      <c r="C836" s="2">
        <f>IFERROR(__xludf.DUMMYFUNCTION("""COMPUTED_VALUE"""),47.86)</f>
        <v>47.86</v>
      </c>
      <c r="K836" s="3">
        <f>IFERROR(__xludf.DUMMYFUNCTION("""COMPUTED_VALUE"""),45406.6875)</f>
        <v>45406.6875</v>
      </c>
      <c r="L836" s="2">
        <f>IFERROR(__xludf.DUMMYFUNCTION("""COMPUTED_VALUE"""),51.78)</f>
        <v>51.78</v>
      </c>
      <c r="N836" s="3">
        <f>IFERROR(__xludf.DUMMYFUNCTION("""COMPUTED_VALUE"""),45408.66666666667)</f>
        <v>45408.66667</v>
      </c>
      <c r="O836" s="2">
        <f>IFERROR(__xludf.DUMMYFUNCTION("""COMPUTED_VALUE"""),39.47)</f>
        <v>39.47</v>
      </c>
      <c r="Q836" s="3">
        <f>IFERROR(__xludf.DUMMYFUNCTION("""COMPUTED_VALUE"""),45408.66666666667)</f>
        <v>45408.66667</v>
      </c>
      <c r="R836" s="2">
        <f>IFERROR(__xludf.DUMMYFUNCTION("""COMPUTED_VALUE"""),161.29)</f>
        <v>161.29</v>
      </c>
    </row>
    <row r="837">
      <c r="B837" s="3">
        <f>IFERROR(__xludf.DUMMYFUNCTION("""COMPUTED_VALUE"""),45411.66666666667)</f>
        <v>45411.66667</v>
      </c>
      <c r="C837" s="2">
        <f>IFERROR(__xludf.DUMMYFUNCTION("""COMPUTED_VALUE"""),47.78)</f>
        <v>47.78</v>
      </c>
      <c r="K837" s="3">
        <f>IFERROR(__xludf.DUMMYFUNCTION("""COMPUTED_VALUE"""),45407.6875)</f>
        <v>45407.6875</v>
      </c>
      <c r="L837" s="2">
        <f>IFERROR(__xludf.DUMMYFUNCTION("""COMPUTED_VALUE"""),51.2)</f>
        <v>51.2</v>
      </c>
      <c r="N837" s="3">
        <f>IFERROR(__xludf.DUMMYFUNCTION("""COMPUTED_VALUE"""),45411.66666666667)</f>
        <v>45411.66667</v>
      </c>
      <c r="O837" s="2">
        <f>IFERROR(__xludf.DUMMYFUNCTION("""COMPUTED_VALUE"""),39.47)</f>
        <v>39.47</v>
      </c>
      <c r="Q837" s="3">
        <f>IFERROR(__xludf.DUMMYFUNCTION("""COMPUTED_VALUE"""),45411.66666666667)</f>
        <v>45411.66667</v>
      </c>
      <c r="R837" s="2">
        <f>IFERROR(__xludf.DUMMYFUNCTION("""COMPUTED_VALUE"""),161.66)</f>
        <v>161.66</v>
      </c>
    </row>
    <row r="838">
      <c r="B838" s="3">
        <f>IFERROR(__xludf.DUMMYFUNCTION("""COMPUTED_VALUE"""),45412.66666666667)</f>
        <v>45412.66667</v>
      </c>
      <c r="C838" s="2">
        <f>IFERROR(__xludf.DUMMYFUNCTION("""COMPUTED_VALUE"""),46.98)</f>
        <v>46.98</v>
      </c>
      <c r="K838" s="3">
        <f>IFERROR(__xludf.DUMMYFUNCTION("""COMPUTED_VALUE"""),45408.6875)</f>
        <v>45408.6875</v>
      </c>
      <c r="L838" s="2">
        <f>IFERROR(__xludf.DUMMYFUNCTION("""COMPUTED_VALUE"""),52.3)</f>
        <v>52.3</v>
      </c>
      <c r="N838" s="3">
        <f>IFERROR(__xludf.DUMMYFUNCTION("""COMPUTED_VALUE"""),45412.66666666667)</f>
        <v>45412.66667</v>
      </c>
      <c r="O838" s="2">
        <f>IFERROR(__xludf.DUMMYFUNCTION("""COMPUTED_VALUE"""),38.77)</f>
        <v>38.77</v>
      </c>
      <c r="Q838" s="3">
        <f>IFERROR(__xludf.DUMMYFUNCTION("""COMPUTED_VALUE"""),45412.66666666667)</f>
        <v>45412.66667</v>
      </c>
      <c r="R838" s="2">
        <f>IFERROR(__xludf.DUMMYFUNCTION("""COMPUTED_VALUE"""),163.2)</f>
        <v>163.2</v>
      </c>
    </row>
    <row r="839">
      <c r="B839" s="3">
        <f>IFERROR(__xludf.DUMMYFUNCTION("""COMPUTED_VALUE"""),45413.66666666667)</f>
        <v>45413.66667</v>
      </c>
      <c r="C839" s="2">
        <f>IFERROR(__xludf.DUMMYFUNCTION("""COMPUTED_VALUE"""),46.84)</f>
        <v>46.84</v>
      </c>
      <c r="K839" s="3">
        <f>IFERROR(__xludf.DUMMYFUNCTION("""COMPUTED_VALUE"""),45411.6875)</f>
        <v>45411.6875</v>
      </c>
      <c r="L839" s="2">
        <f>IFERROR(__xludf.DUMMYFUNCTION("""COMPUTED_VALUE"""),51.88)</f>
        <v>51.88</v>
      </c>
      <c r="N839" s="3">
        <f>IFERROR(__xludf.DUMMYFUNCTION("""COMPUTED_VALUE"""),45413.66666666667)</f>
        <v>45413.66667</v>
      </c>
      <c r="O839" s="2">
        <f>IFERROR(__xludf.DUMMYFUNCTION("""COMPUTED_VALUE"""),38.22)</f>
        <v>38.22</v>
      </c>
      <c r="Q839" s="3">
        <f>IFERROR(__xludf.DUMMYFUNCTION("""COMPUTED_VALUE"""),45413.66666666667)</f>
        <v>45413.66667</v>
      </c>
      <c r="R839" s="2">
        <f>IFERROR(__xludf.DUMMYFUNCTION("""COMPUTED_VALUE"""),163.4)</f>
        <v>163.4</v>
      </c>
    </row>
    <row r="840">
      <c r="B840" s="3">
        <f>IFERROR(__xludf.DUMMYFUNCTION("""COMPUTED_VALUE"""),45414.66666666667)</f>
        <v>45414.66667</v>
      </c>
      <c r="C840" s="2">
        <f>IFERROR(__xludf.DUMMYFUNCTION("""COMPUTED_VALUE"""),46.79)</f>
        <v>46.79</v>
      </c>
      <c r="K840" s="3">
        <f>IFERROR(__xludf.DUMMYFUNCTION("""COMPUTED_VALUE"""),45412.6875)</f>
        <v>45412.6875</v>
      </c>
      <c r="L840" s="2">
        <f>IFERROR(__xludf.DUMMYFUNCTION("""COMPUTED_VALUE"""),51.9)</f>
        <v>51.9</v>
      </c>
      <c r="N840" s="3">
        <f>IFERROR(__xludf.DUMMYFUNCTION("""COMPUTED_VALUE"""),45414.66666666667)</f>
        <v>45414.66667</v>
      </c>
      <c r="O840" s="2">
        <f>IFERROR(__xludf.DUMMYFUNCTION("""COMPUTED_VALUE"""),38.67)</f>
        <v>38.67</v>
      </c>
      <c r="Q840" s="3">
        <f>IFERROR(__xludf.DUMMYFUNCTION("""COMPUTED_VALUE"""),45414.66666666667)</f>
        <v>45414.66667</v>
      </c>
      <c r="R840" s="2">
        <f>IFERROR(__xludf.DUMMYFUNCTION("""COMPUTED_VALUE"""),163.84)</f>
        <v>163.84</v>
      </c>
    </row>
    <row r="841">
      <c r="B841" s="3">
        <f>IFERROR(__xludf.DUMMYFUNCTION("""COMPUTED_VALUE"""),45415.66666666667)</f>
        <v>45415.66667</v>
      </c>
      <c r="C841" s="2">
        <f>IFERROR(__xludf.DUMMYFUNCTION("""COMPUTED_VALUE"""),47.12)</f>
        <v>47.12</v>
      </c>
      <c r="K841" s="3">
        <f>IFERROR(__xludf.DUMMYFUNCTION("""COMPUTED_VALUE"""),45413.6875)</f>
        <v>45413.6875</v>
      </c>
      <c r="L841" s="2">
        <f>IFERROR(__xludf.DUMMYFUNCTION("""COMPUTED_VALUE"""),52.2)</f>
        <v>52.2</v>
      </c>
      <c r="N841" s="3">
        <f>IFERROR(__xludf.DUMMYFUNCTION("""COMPUTED_VALUE"""),45415.66666666667)</f>
        <v>45415.66667</v>
      </c>
      <c r="O841" s="2">
        <f>IFERROR(__xludf.DUMMYFUNCTION("""COMPUTED_VALUE"""),38.7)</f>
        <v>38.7</v>
      </c>
      <c r="Q841" s="3">
        <f>IFERROR(__xludf.DUMMYFUNCTION("""COMPUTED_VALUE"""),45415.66666666667)</f>
        <v>45415.66667</v>
      </c>
      <c r="R841" s="2">
        <f>IFERROR(__xludf.DUMMYFUNCTION("""COMPUTED_VALUE"""),164.46)</f>
        <v>164.46</v>
      </c>
    </row>
    <row r="842">
      <c r="B842" s="3">
        <f>IFERROR(__xludf.DUMMYFUNCTION("""COMPUTED_VALUE"""),45418.66666666667)</f>
        <v>45418.66667</v>
      </c>
      <c r="C842" s="2">
        <f>IFERROR(__xludf.DUMMYFUNCTION("""COMPUTED_VALUE"""),47.11)</f>
        <v>47.11</v>
      </c>
      <c r="K842" s="3">
        <f>IFERROR(__xludf.DUMMYFUNCTION("""COMPUTED_VALUE"""),45414.6875)</f>
        <v>45414.6875</v>
      </c>
      <c r="L842" s="2">
        <f>IFERROR(__xludf.DUMMYFUNCTION("""COMPUTED_VALUE"""),52.06)</f>
        <v>52.06</v>
      </c>
      <c r="N842" s="3">
        <f>IFERROR(__xludf.DUMMYFUNCTION("""COMPUTED_VALUE"""),45418.66666666667)</f>
        <v>45418.66667</v>
      </c>
      <c r="O842" s="2">
        <f>IFERROR(__xludf.DUMMYFUNCTION("""COMPUTED_VALUE"""),39.04)</f>
        <v>39.04</v>
      </c>
      <c r="Q842" s="3">
        <f>IFERROR(__xludf.DUMMYFUNCTION("""COMPUTED_VALUE"""),45418.66666666667)</f>
        <v>45418.66667</v>
      </c>
      <c r="R842" s="2">
        <f>IFERROR(__xludf.DUMMYFUNCTION("""COMPUTED_VALUE"""),164.44)</f>
        <v>164.44</v>
      </c>
    </row>
    <row r="843">
      <c r="B843" s="3">
        <f>IFERROR(__xludf.DUMMYFUNCTION("""COMPUTED_VALUE"""),45419.66666666667)</f>
        <v>45419.66667</v>
      </c>
      <c r="C843" s="2">
        <f>IFERROR(__xludf.DUMMYFUNCTION("""COMPUTED_VALUE"""),47.28)</f>
        <v>47.28</v>
      </c>
      <c r="K843" s="3">
        <f>IFERROR(__xludf.DUMMYFUNCTION("""COMPUTED_VALUE"""),45415.6875)</f>
        <v>45415.6875</v>
      </c>
      <c r="L843" s="2">
        <f>IFERROR(__xludf.DUMMYFUNCTION("""COMPUTED_VALUE"""),52.18)</f>
        <v>52.18</v>
      </c>
      <c r="N843" s="3">
        <f>IFERROR(__xludf.DUMMYFUNCTION("""COMPUTED_VALUE"""),45419.66666666667)</f>
        <v>45419.66667</v>
      </c>
      <c r="O843" s="2">
        <f>IFERROR(__xludf.DUMMYFUNCTION("""COMPUTED_VALUE"""),37.58)</f>
        <v>37.58</v>
      </c>
      <c r="Q843" s="3">
        <f>IFERROR(__xludf.DUMMYFUNCTION("""COMPUTED_VALUE"""),45419.66666666667)</f>
        <v>45419.66667</v>
      </c>
      <c r="R843" s="2">
        <f>IFERROR(__xludf.DUMMYFUNCTION("""COMPUTED_VALUE"""),165.76)</f>
        <v>165.76</v>
      </c>
    </row>
    <row r="844">
      <c r="B844" s="3">
        <f>IFERROR(__xludf.DUMMYFUNCTION("""COMPUTED_VALUE"""),45420.66666666667)</f>
        <v>45420.66667</v>
      </c>
      <c r="C844" s="2">
        <f>IFERROR(__xludf.DUMMYFUNCTION("""COMPUTED_VALUE"""),48.0)</f>
        <v>48</v>
      </c>
      <c r="K844" s="3">
        <f>IFERROR(__xludf.DUMMYFUNCTION("""COMPUTED_VALUE"""),45419.6875)</f>
        <v>45419.6875</v>
      </c>
      <c r="L844" s="2">
        <f>IFERROR(__xludf.DUMMYFUNCTION("""COMPUTED_VALUE"""),53.72)</f>
        <v>53.72</v>
      </c>
      <c r="N844" s="3">
        <f>IFERROR(__xludf.DUMMYFUNCTION("""COMPUTED_VALUE"""),45420.66666666667)</f>
        <v>45420.66667</v>
      </c>
      <c r="O844" s="2">
        <f>IFERROR(__xludf.DUMMYFUNCTION("""COMPUTED_VALUE"""),37.53)</f>
        <v>37.53</v>
      </c>
      <c r="Q844" s="3">
        <f>IFERROR(__xludf.DUMMYFUNCTION("""COMPUTED_VALUE"""),45420.66666666667)</f>
        <v>45420.66667</v>
      </c>
      <c r="R844" s="2">
        <f>IFERROR(__xludf.DUMMYFUNCTION("""COMPUTED_VALUE"""),165.07)</f>
        <v>165.07</v>
      </c>
    </row>
    <row r="845">
      <c r="B845" s="3">
        <f>IFERROR(__xludf.DUMMYFUNCTION("""COMPUTED_VALUE"""),45421.66666666667)</f>
        <v>45421.66667</v>
      </c>
      <c r="C845" s="2">
        <f>IFERROR(__xludf.DUMMYFUNCTION("""COMPUTED_VALUE"""),47.79)</f>
        <v>47.79</v>
      </c>
      <c r="K845" s="3">
        <f>IFERROR(__xludf.DUMMYFUNCTION("""COMPUTED_VALUE"""),45420.6875)</f>
        <v>45420.6875</v>
      </c>
      <c r="L845" s="2">
        <f>IFERROR(__xludf.DUMMYFUNCTION("""COMPUTED_VALUE"""),53.94)</f>
        <v>53.94</v>
      </c>
      <c r="N845" s="3">
        <f>IFERROR(__xludf.DUMMYFUNCTION("""COMPUTED_VALUE"""),45421.66666666667)</f>
        <v>45421.66667</v>
      </c>
      <c r="O845" s="2">
        <f>IFERROR(__xludf.DUMMYFUNCTION("""COMPUTED_VALUE"""),38.04)</f>
        <v>38.04</v>
      </c>
      <c r="Q845" s="3">
        <f>IFERROR(__xludf.DUMMYFUNCTION("""COMPUTED_VALUE"""),45421.66666666667)</f>
        <v>45421.66667</v>
      </c>
      <c r="R845" s="2">
        <f>IFERROR(__xludf.DUMMYFUNCTION("""COMPUTED_VALUE"""),166.04)</f>
        <v>166.04</v>
      </c>
    </row>
    <row r="846">
      <c r="B846" s="3">
        <f>IFERROR(__xludf.DUMMYFUNCTION("""COMPUTED_VALUE"""),45422.66666666667)</f>
        <v>45422.66667</v>
      </c>
      <c r="C846" s="2">
        <f>IFERROR(__xludf.DUMMYFUNCTION("""COMPUTED_VALUE"""),48.06)</f>
        <v>48.06</v>
      </c>
      <c r="K846" s="3">
        <f>IFERROR(__xludf.DUMMYFUNCTION("""COMPUTED_VALUE"""),45421.6875)</f>
        <v>45421.6875</v>
      </c>
      <c r="L846" s="2">
        <f>IFERROR(__xludf.DUMMYFUNCTION("""COMPUTED_VALUE"""),53.94)</f>
        <v>53.94</v>
      </c>
      <c r="N846" s="3">
        <f>IFERROR(__xludf.DUMMYFUNCTION("""COMPUTED_VALUE"""),45422.66666666667)</f>
        <v>45422.66667</v>
      </c>
      <c r="O846" s="2">
        <f>IFERROR(__xludf.DUMMYFUNCTION("""COMPUTED_VALUE"""),37.84)</f>
        <v>37.84</v>
      </c>
      <c r="Q846" s="3">
        <f>IFERROR(__xludf.DUMMYFUNCTION("""COMPUTED_VALUE"""),45422.66666666667)</f>
        <v>45422.66667</v>
      </c>
      <c r="R846" s="2">
        <f>IFERROR(__xludf.DUMMYFUNCTION("""COMPUTED_VALUE"""),166.85)</f>
        <v>166.85</v>
      </c>
    </row>
    <row r="847">
      <c r="B847" s="3">
        <f>IFERROR(__xludf.DUMMYFUNCTION("""COMPUTED_VALUE"""),45425.66666666667)</f>
        <v>45425.66667</v>
      </c>
      <c r="C847" s="2">
        <f>IFERROR(__xludf.DUMMYFUNCTION("""COMPUTED_VALUE"""),48.68)</f>
        <v>48.68</v>
      </c>
      <c r="K847" s="3">
        <f>IFERROR(__xludf.DUMMYFUNCTION("""COMPUTED_VALUE"""),45422.6875)</f>
        <v>45422.6875</v>
      </c>
      <c r="L847" s="2">
        <f>IFERROR(__xludf.DUMMYFUNCTION("""COMPUTED_VALUE"""),54.3)</f>
        <v>54.3</v>
      </c>
      <c r="N847" s="3">
        <f>IFERROR(__xludf.DUMMYFUNCTION("""COMPUTED_VALUE"""),45425.66666666667)</f>
        <v>45425.66667</v>
      </c>
      <c r="O847" s="2">
        <f>IFERROR(__xludf.DUMMYFUNCTION("""COMPUTED_VALUE"""),38.1)</f>
        <v>38.1</v>
      </c>
      <c r="Q847" s="3">
        <f>IFERROR(__xludf.DUMMYFUNCTION("""COMPUTED_VALUE"""),45425.66666666667)</f>
        <v>45425.66667</v>
      </c>
      <c r="R847" s="2">
        <f>IFERROR(__xludf.DUMMYFUNCTION("""COMPUTED_VALUE"""),165.87)</f>
        <v>165.87</v>
      </c>
    </row>
    <row r="848">
      <c r="B848" s="3">
        <f>IFERROR(__xludf.DUMMYFUNCTION("""COMPUTED_VALUE"""),45426.66666666667)</f>
        <v>45426.66667</v>
      </c>
      <c r="C848" s="2">
        <f>IFERROR(__xludf.DUMMYFUNCTION("""COMPUTED_VALUE"""),48.95)</f>
        <v>48.95</v>
      </c>
      <c r="K848" s="3">
        <f>IFERROR(__xludf.DUMMYFUNCTION("""COMPUTED_VALUE"""),45425.6875)</f>
        <v>45425.6875</v>
      </c>
      <c r="L848" s="2">
        <f>IFERROR(__xludf.DUMMYFUNCTION("""COMPUTED_VALUE"""),54.3)</f>
        <v>54.3</v>
      </c>
      <c r="N848" s="3">
        <f>IFERROR(__xludf.DUMMYFUNCTION("""COMPUTED_VALUE"""),45426.66666666667)</f>
        <v>45426.66667</v>
      </c>
      <c r="O848" s="2">
        <f>IFERROR(__xludf.DUMMYFUNCTION("""COMPUTED_VALUE"""),37.96)</f>
        <v>37.96</v>
      </c>
      <c r="Q848" s="3">
        <f>IFERROR(__xludf.DUMMYFUNCTION("""COMPUTED_VALUE"""),45426.66666666667)</f>
        <v>45426.66667</v>
      </c>
      <c r="R848" s="2">
        <f>IFERROR(__xludf.DUMMYFUNCTION("""COMPUTED_VALUE"""),165.76)</f>
        <v>165.76</v>
      </c>
    </row>
    <row r="849">
      <c r="B849" s="3">
        <f>IFERROR(__xludf.DUMMYFUNCTION("""COMPUTED_VALUE"""),45427.66666666667)</f>
        <v>45427.66667</v>
      </c>
      <c r="C849" s="2">
        <f>IFERROR(__xludf.DUMMYFUNCTION("""COMPUTED_VALUE"""),49.67)</f>
        <v>49.67</v>
      </c>
      <c r="K849" s="3">
        <f>IFERROR(__xludf.DUMMYFUNCTION("""COMPUTED_VALUE"""),45426.6875)</f>
        <v>45426.6875</v>
      </c>
      <c r="L849" s="2">
        <f>IFERROR(__xludf.DUMMYFUNCTION("""COMPUTED_VALUE"""),54.54)</f>
        <v>54.54</v>
      </c>
      <c r="N849" s="3">
        <f>IFERROR(__xludf.DUMMYFUNCTION("""COMPUTED_VALUE"""),45427.66666666667)</f>
        <v>45427.66667</v>
      </c>
      <c r="O849" s="2">
        <f>IFERROR(__xludf.DUMMYFUNCTION("""COMPUTED_VALUE"""),37.76)</f>
        <v>37.76</v>
      </c>
      <c r="Q849" s="3">
        <f>IFERROR(__xludf.DUMMYFUNCTION("""COMPUTED_VALUE"""),45427.66666666667)</f>
        <v>45427.66667</v>
      </c>
      <c r="R849" s="2">
        <f>IFERROR(__xludf.DUMMYFUNCTION("""COMPUTED_VALUE"""),166.51)</f>
        <v>166.51</v>
      </c>
    </row>
    <row r="850">
      <c r="B850" s="3">
        <f>IFERROR(__xludf.DUMMYFUNCTION("""COMPUTED_VALUE"""),45428.66666666667)</f>
        <v>45428.66667</v>
      </c>
      <c r="C850" s="2">
        <f>IFERROR(__xludf.DUMMYFUNCTION("""COMPUTED_VALUE"""),48.34)</f>
        <v>48.34</v>
      </c>
      <c r="K850" s="3">
        <f>IFERROR(__xludf.DUMMYFUNCTION("""COMPUTED_VALUE"""),45427.6875)</f>
        <v>45427.6875</v>
      </c>
      <c r="L850" s="2">
        <f>IFERROR(__xludf.DUMMYFUNCTION("""COMPUTED_VALUE"""),54.5)</f>
        <v>54.5</v>
      </c>
      <c r="N850" s="3">
        <f>IFERROR(__xludf.DUMMYFUNCTION("""COMPUTED_VALUE"""),45428.66666666667)</f>
        <v>45428.66667</v>
      </c>
      <c r="O850" s="2">
        <f>IFERROR(__xludf.DUMMYFUNCTION("""COMPUTED_VALUE"""),37.11)</f>
        <v>37.11</v>
      </c>
      <c r="Q850" s="3">
        <f>IFERROR(__xludf.DUMMYFUNCTION("""COMPUTED_VALUE"""),45428.66666666667)</f>
        <v>45428.66667</v>
      </c>
      <c r="R850" s="2">
        <f>IFERROR(__xludf.DUMMYFUNCTION("""COMPUTED_VALUE"""),167.86)</f>
        <v>167.86</v>
      </c>
    </row>
    <row r="851">
      <c r="B851" s="3">
        <f>IFERROR(__xludf.DUMMYFUNCTION("""COMPUTED_VALUE"""),45429.66666666667)</f>
        <v>45429.66667</v>
      </c>
      <c r="C851" s="2">
        <f>IFERROR(__xludf.DUMMYFUNCTION("""COMPUTED_VALUE"""),48.17)</f>
        <v>48.17</v>
      </c>
      <c r="K851" s="3">
        <f>IFERROR(__xludf.DUMMYFUNCTION("""COMPUTED_VALUE"""),45428.6875)</f>
        <v>45428.6875</v>
      </c>
      <c r="L851" s="2">
        <f>IFERROR(__xludf.DUMMYFUNCTION("""COMPUTED_VALUE"""),55.02)</f>
        <v>55.02</v>
      </c>
      <c r="N851" s="3">
        <f>IFERROR(__xludf.DUMMYFUNCTION("""COMPUTED_VALUE"""),45429.66666666667)</f>
        <v>45429.66667</v>
      </c>
      <c r="O851" s="2">
        <f>IFERROR(__xludf.DUMMYFUNCTION("""COMPUTED_VALUE"""),37.49)</f>
        <v>37.49</v>
      </c>
      <c r="Q851" s="3">
        <f>IFERROR(__xludf.DUMMYFUNCTION("""COMPUTED_VALUE"""),45429.66666666667)</f>
        <v>45429.66667</v>
      </c>
      <c r="R851" s="2">
        <f>IFERROR(__xludf.DUMMYFUNCTION("""COMPUTED_VALUE"""),167.64)</f>
        <v>167.64</v>
      </c>
    </row>
    <row r="852">
      <c r="B852" s="3">
        <f>IFERROR(__xludf.DUMMYFUNCTION("""COMPUTED_VALUE"""),45432.66666666667)</f>
        <v>45432.66667</v>
      </c>
      <c r="C852" s="2">
        <f>IFERROR(__xludf.DUMMYFUNCTION("""COMPUTED_VALUE"""),47.13)</f>
        <v>47.13</v>
      </c>
      <c r="K852" s="3">
        <f>IFERROR(__xludf.DUMMYFUNCTION("""COMPUTED_VALUE"""),45429.6875)</f>
        <v>45429.6875</v>
      </c>
      <c r="L852" s="2">
        <f>IFERROR(__xludf.DUMMYFUNCTION("""COMPUTED_VALUE"""),55.52)</f>
        <v>55.52</v>
      </c>
      <c r="N852" s="3">
        <f>IFERROR(__xludf.DUMMYFUNCTION("""COMPUTED_VALUE"""),45432.66666666667)</f>
        <v>45432.66667</v>
      </c>
      <c r="O852" s="2">
        <f>IFERROR(__xludf.DUMMYFUNCTION("""COMPUTED_VALUE"""),37.26)</f>
        <v>37.26</v>
      </c>
      <c r="Q852" s="3">
        <f>IFERROR(__xludf.DUMMYFUNCTION("""COMPUTED_VALUE"""),45432.66666666667)</f>
        <v>45432.66667</v>
      </c>
      <c r="R852" s="2">
        <f>IFERROR(__xludf.DUMMYFUNCTION("""COMPUTED_VALUE"""),167.31)</f>
        <v>167.31</v>
      </c>
    </row>
    <row r="853">
      <c r="B853" s="3">
        <f>IFERROR(__xludf.DUMMYFUNCTION("""COMPUTED_VALUE"""),45433.66666666667)</f>
        <v>45433.66667</v>
      </c>
      <c r="C853" s="2">
        <f>IFERROR(__xludf.DUMMYFUNCTION("""COMPUTED_VALUE"""),46.94)</f>
        <v>46.94</v>
      </c>
      <c r="K853" s="3">
        <f>IFERROR(__xludf.DUMMYFUNCTION("""COMPUTED_VALUE"""),45432.6875)</f>
        <v>45432.6875</v>
      </c>
      <c r="L853" s="2">
        <f>IFERROR(__xludf.DUMMYFUNCTION("""COMPUTED_VALUE"""),56.2)</f>
        <v>56.2</v>
      </c>
      <c r="N853" s="3">
        <f>IFERROR(__xludf.DUMMYFUNCTION("""COMPUTED_VALUE"""),45433.66666666667)</f>
        <v>45433.66667</v>
      </c>
      <c r="O853" s="2">
        <f>IFERROR(__xludf.DUMMYFUNCTION("""COMPUTED_VALUE"""),37.06)</f>
        <v>37.06</v>
      </c>
      <c r="Q853" s="3">
        <f>IFERROR(__xludf.DUMMYFUNCTION("""COMPUTED_VALUE"""),45433.66666666667)</f>
        <v>45433.66667</v>
      </c>
      <c r="R853" s="2">
        <f>IFERROR(__xludf.DUMMYFUNCTION("""COMPUTED_VALUE"""),168.35)</f>
        <v>168.35</v>
      </c>
    </row>
    <row r="854">
      <c r="B854" s="3">
        <f>IFERROR(__xludf.DUMMYFUNCTION("""COMPUTED_VALUE"""),45434.66666666667)</f>
        <v>45434.66667</v>
      </c>
      <c r="C854" s="2">
        <f>IFERROR(__xludf.DUMMYFUNCTION("""COMPUTED_VALUE"""),47.43)</f>
        <v>47.43</v>
      </c>
      <c r="K854" s="3">
        <f>IFERROR(__xludf.DUMMYFUNCTION("""COMPUTED_VALUE"""),45433.6875)</f>
        <v>45433.6875</v>
      </c>
      <c r="L854" s="2">
        <f>IFERROR(__xludf.DUMMYFUNCTION("""COMPUTED_VALUE"""),56.18)</f>
        <v>56.18</v>
      </c>
      <c r="N854" s="3">
        <f>IFERROR(__xludf.DUMMYFUNCTION("""COMPUTED_VALUE"""),45434.66666666667)</f>
        <v>45434.66667</v>
      </c>
      <c r="O854" s="2">
        <f>IFERROR(__xludf.DUMMYFUNCTION("""COMPUTED_VALUE"""),36.56)</f>
        <v>36.56</v>
      </c>
      <c r="Q854" s="3">
        <f>IFERROR(__xludf.DUMMYFUNCTION("""COMPUTED_VALUE"""),45434.66666666667)</f>
        <v>45434.66667</v>
      </c>
      <c r="R854" s="2">
        <f>IFERROR(__xludf.DUMMYFUNCTION("""COMPUTED_VALUE"""),167.81)</f>
        <v>167.81</v>
      </c>
    </row>
    <row r="855">
      <c r="B855" s="3">
        <f>IFERROR(__xludf.DUMMYFUNCTION("""COMPUTED_VALUE"""),45435.66666666667)</f>
        <v>45435.66667</v>
      </c>
      <c r="C855" s="2">
        <f>IFERROR(__xludf.DUMMYFUNCTION("""COMPUTED_VALUE"""),46.6)</f>
        <v>46.6</v>
      </c>
      <c r="K855" s="3">
        <f>IFERROR(__xludf.DUMMYFUNCTION("""COMPUTED_VALUE"""),45434.6875)</f>
        <v>45434.6875</v>
      </c>
      <c r="L855" s="2">
        <f>IFERROR(__xludf.DUMMYFUNCTION("""COMPUTED_VALUE"""),56.38)</f>
        <v>56.38</v>
      </c>
      <c r="N855" s="3">
        <f>IFERROR(__xludf.DUMMYFUNCTION("""COMPUTED_VALUE"""),45435.66666666667)</f>
        <v>45435.66667</v>
      </c>
      <c r="O855" s="2">
        <f>IFERROR(__xludf.DUMMYFUNCTION("""COMPUTED_VALUE"""),36.42)</f>
        <v>36.42</v>
      </c>
      <c r="Q855" s="3">
        <f>IFERROR(__xludf.DUMMYFUNCTION("""COMPUTED_VALUE"""),45435.66666666667)</f>
        <v>45435.66667</v>
      </c>
      <c r="R855" s="2">
        <f>IFERROR(__xludf.DUMMYFUNCTION("""COMPUTED_VALUE"""),165.49)</f>
        <v>165.49</v>
      </c>
    </row>
    <row r="856">
      <c r="B856" s="3">
        <f>IFERROR(__xludf.DUMMYFUNCTION("""COMPUTED_VALUE"""),45436.66666666667)</f>
        <v>45436.66667</v>
      </c>
      <c r="C856" s="2">
        <f>IFERROR(__xludf.DUMMYFUNCTION("""COMPUTED_VALUE"""),46.42)</f>
        <v>46.42</v>
      </c>
      <c r="K856" s="3">
        <f>IFERROR(__xludf.DUMMYFUNCTION("""COMPUTED_VALUE"""),45435.6875)</f>
        <v>45435.6875</v>
      </c>
      <c r="L856" s="2">
        <f>IFERROR(__xludf.DUMMYFUNCTION("""COMPUTED_VALUE"""),55.78)</f>
        <v>55.78</v>
      </c>
      <c r="N856" s="3">
        <f>IFERROR(__xludf.DUMMYFUNCTION("""COMPUTED_VALUE"""),45436.66666666667)</f>
        <v>45436.66667</v>
      </c>
      <c r="O856" s="2">
        <f>IFERROR(__xludf.DUMMYFUNCTION("""COMPUTED_VALUE"""),36.72)</f>
        <v>36.72</v>
      </c>
      <c r="Q856" s="3">
        <f>IFERROR(__xludf.DUMMYFUNCTION("""COMPUTED_VALUE"""),45436.66666666667)</f>
        <v>45436.66667</v>
      </c>
      <c r="R856" s="2">
        <f>IFERROR(__xludf.DUMMYFUNCTION("""COMPUTED_VALUE"""),165.33)</f>
        <v>165.33</v>
      </c>
    </row>
    <row r="857">
      <c r="B857" s="3">
        <f>IFERROR(__xludf.DUMMYFUNCTION("""COMPUTED_VALUE"""),45440.66666666667)</f>
        <v>45440.66667</v>
      </c>
      <c r="C857" s="2">
        <f>IFERROR(__xludf.DUMMYFUNCTION("""COMPUTED_VALUE"""),46.28)</f>
        <v>46.28</v>
      </c>
      <c r="K857" s="3">
        <f>IFERROR(__xludf.DUMMYFUNCTION("""COMPUTED_VALUE"""),45436.6875)</f>
        <v>45436.6875</v>
      </c>
      <c r="L857" s="2">
        <f>IFERROR(__xludf.DUMMYFUNCTION("""COMPUTED_VALUE"""),54.8)</f>
        <v>54.8</v>
      </c>
      <c r="N857" s="3">
        <f>IFERROR(__xludf.DUMMYFUNCTION("""COMPUTED_VALUE"""),45440.66666666667)</f>
        <v>45440.66667</v>
      </c>
      <c r="O857" s="2">
        <f>IFERROR(__xludf.DUMMYFUNCTION("""COMPUTED_VALUE"""),37.4)</f>
        <v>37.4</v>
      </c>
      <c r="Q857" s="3">
        <f>IFERROR(__xludf.DUMMYFUNCTION("""COMPUTED_VALUE"""),45440.66666666667)</f>
        <v>45440.66667</v>
      </c>
      <c r="R857" s="2">
        <f>IFERROR(__xludf.DUMMYFUNCTION("""COMPUTED_VALUE"""),163.11)</f>
        <v>163.11</v>
      </c>
    </row>
    <row r="858">
      <c r="B858" s="3">
        <f>IFERROR(__xludf.DUMMYFUNCTION("""COMPUTED_VALUE"""),45441.66666666667)</f>
        <v>45441.66667</v>
      </c>
      <c r="C858" s="2">
        <f>IFERROR(__xludf.DUMMYFUNCTION("""COMPUTED_VALUE"""),46.08)</f>
        <v>46.08</v>
      </c>
      <c r="K858" s="3">
        <f>IFERROR(__xludf.DUMMYFUNCTION("""COMPUTED_VALUE"""),45440.6875)</f>
        <v>45440.6875</v>
      </c>
      <c r="L858" s="2">
        <f>IFERROR(__xludf.DUMMYFUNCTION("""COMPUTED_VALUE"""),55.58)</f>
        <v>55.58</v>
      </c>
      <c r="N858" s="3">
        <f>IFERROR(__xludf.DUMMYFUNCTION("""COMPUTED_VALUE"""),45441.66666666667)</f>
        <v>45441.66667</v>
      </c>
      <c r="O858" s="2">
        <f>IFERROR(__xludf.DUMMYFUNCTION("""COMPUTED_VALUE"""),37.12)</f>
        <v>37.12</v>
      </c>
      <c r="Q858" s="3">
        <f>IFERROR(__xludf.DUMMYFUNCTION("""COMPUTED_VALUE"""),45441.66666666667)</f>
        <v>45441.66667</v>
      </c>
      <c r="R858" s="2">
        <f>IFERROR(__xludf.DUMMYFUNCTION("""COMPUTED_VALUE"""),161.65)</f>
        <v>161.65</v>
      </c>
    </row>
    <row r="859">
      <c r="B859" s="3">
        <f>IFERROR(__xludf.DUMMYFUNCTION("""COMPUTED_VALUE"""),45442.66666666667)</f>
        <v>45442.66667</v>
      </c>
      <c r="C859" s="2">
        <f>IFERROR(__xludf.DUMMYFUNCTION("""COMPUTED_VALUE"""),46.12)</f>
        <v>46.12</v>
      </c>
      <c r="K859" s="3">
        <f>IFERROR(__xludf.DUMMYFUNCTION("""COMPUTED_VALUE"""),45441.6875)</f>
        <v>45441.6875</v>
      </c>
      <c r="L859" s="2">
        <f>IFERROR(__xludf.DUMMYFUNCTION("""COMPUTED_VALUE"""),54.74)</f>
        <v>54.74</v>
      </c>
      <c r="N859" s="3">
        <f>IFERROR(__xludf.DUMMYFUNCTION("""COMPUTED_VALUE"""),45442.66666666667)</f>
        <v>45442.66667</v>
      </c>
      <c r="O859" s="2">
        <f>IFERROR(__xludf.DUMMYFUNCTION("""COMPUTED_VALUE"""),36.93)</f>
        <v>36.93</v>
      </c>
      <c r="Q859" s="3">
        <f>IFERROR(__xludf.DUMMYFUNCTION("""COMPUTED_VALUE"""),45442.66666666667)</f>
        <v>45442.66667</v>
      </c>
      <c r="R859" s="2">
        <f>IFERROR(__xludf.DUMMYFUNCTION("""COMPUTED_VALUE"""),162.58)</f>
        <v>162.58</v>
      </c>
    </row>
    <row r="860">
      <c r="B860" s="3">
        <f>IFERROR(__xludf.DUMMYFUNCTION("""COMPUTED_VALUE"""),45443.66666666667)</f>
        <v>45443.66667</v>
      </c>
      <c r="C860" s="2">
        <f>IFERROR(__xludf.DUMMYFUNCTION("""COMPUTED_VALUE"""),46.5)</f>
        <v>46.5</v>
      </c>
      <c r="K860" s="3">
        <f>IFERROR(__xludf.DUMMYFUNCTION("""COMPUTED_VALUE"""),45442.6875)</f>
        <v>45442.6875</v>
      </c>
      <c r="L860" s="2">
        <f>IFERROR(__xludf.DUMMYFUNCTION("""COMPUTED_VALUE"""),55.54)</f>
        <v>55.54</v>
      </c>
      <c r="N860" s="3">
        <f>IFERROR(__xludf.DUMMYFUNCTION("""COMPUTED_VALUE"""),45443.66666666667)</f>
        <v>45443.66667</v>
      </c>
      <c r="O860" s="2">
        <f>IFERROR(__xludf.DUMMYFUNCTION("""COMPUTED_VALUE"""),37.57)</f>
        <v>37.57</v>
      </c>
      <c r="Q860" s="3">
        <f>IFERROR(__xludf.DUMMYFUNCTION("""COMPUTED_VALUE"""),45443.66666666667)</f>
        <v>45443.66667</v>
      </c>
      <c r="R860" s="2">
        <f>IFERROR(__xludf.DUMMYFUNCTION("""COMPUTED_VALUE"""),164.54)</f>
        <v>164.54</v>
      </c>
    </row>
    <row r="861">
      <c r="B861" s="3">
        <f>IFERROR(__xludf.DUMMYFUNCTION("""COMPUTED_VALUE"""),45446.66666666667)</f>
        <v>45446.66667</v>
      </c>
      <c r="C861" s="2">
        <f>IFERROR(__xludf.DUMMYFUNCTION("""COMPUTED_VALUE"""),46.65)</f>
        <v>46.65</v>
      </c>
      <c r="K861" s="3">
        <f>IFERROR(__xludf.DUMMYFUNCTION("""COMPUTED_VALUE"""),45443.6875)</f>
        <v>45443.6875</v>
      </c>
      <c r="L861" s="2">
        <f>IFERROR(__xludf.DUMMYFUNCTION("""COMPUTED_VALUE"""),55.52)</f>
        <v>55.52</v>
      </c>
      <c r="N861" s="3">
        <f>IFERROR(__xludf.DUMMYFUNCTION("""COMPUTED_VALUE"""),45446.66666666667)</f>
        <v>45446.66667</v>
      </c>
      <c r="O861" s="2">
        <f>IFERROR(__xludf.DUMMYFUNCTION("""COMPUTED_VALUE"""),36.4)</f>
        <v>36.4</v>
      </c>
      <c r="Q861" s="3">
        <f>IFERROR(__xludf.DUMMYFUNCTION("""COMPUTED_VALUE"""),45446.66666666667)</f>
        <v>45446.66667</v>
      </c>
      <c r="R861" s="2">
        <f>IFERROR(__xludf.DUMMYFUNCTION("""COMPUTED_VALUE"""),164.65)</f>
        <v>164.65</v>
      </c>
    </row>
    <row r="862">
      <c r="B862" s="3">
        <f>IFERROR(__xludf.DUMMYFUNCTION("""COMPUTED_VALUE"""),45447.66666666667)</f>
        <v>45447.66667</v>
      </c>
      <c r="C862" s="2">
        <f>IFERROR(__xludf.DUMMYFUNCTION("""COMPUTED_VALUE"""),47.42)</f>
        <v>47.42</v>
      </c>
      <c r="K862" s="3">
        <f>IFERROR(__xludf.DUMMYFUNCTION("""COMPUTED_VALUE"""),45446.6875)</f>
        <v>45446.6875</v>
      </c>
      <c r="L862" s="2">
        <f>IFERROR(__xludf.DUMMYFUNCTION("""COMPUTED_VALUE"""),55.4)</f>
        <v>55.4</v>
      </c>
      <c r="N862" s="3">
        <f>IFERROR(__xludf.DUMMYFUNCTION("""COMPUTED_VALUE"""),45447.66666666667)</f>
        <v>45447.66667</v>
      </c>
      <c r="O862" s="2">
        <f>IFERROR(__xludf.DUMMYFUNCTION("""COMPUTED_VALUE"""),35.56)</f>
        <v>35.56</v>
      </c>
      <c r="Q862" s="3">
        <f>IFERROR(__xludf.DUMMYFUNCTION("""COMPUTED_VALUE"""),45447.66666666667)</f>
        <v>45447.66667</v>
      </c>
      <c r="R862" s="2">
        <f>IFERROR(__xludf.DUMMYFUNCTION("""COMPUTED_VALUE"""),167.01)</f>
        <v>167.01</v>
      </c>
    </row>
    <row r="863">
      <c r="B863" s="3">
        <f>IFERROR(__xludf.DUMMYFUNCTION("""COMPUTED_VALUE"""),45448.66666666667)</f>
        <v>45448.66667</v>
      </c>
      <c r="C863" s="2">
        <f>IFERROR(__xludf.DUMMYFUNCTION("""COMPUTED_VALUE"""),46.02)</f>
        <v>46.02</v>
      </c>
      <c r="K863" s="3">
        <f>IFERROR(__xludf.DUMMYFUNCTION("""COMPUTED_VALUE"""),45447.6875)</f>
        <v>45447.6875</v>
      </c>
      <c r="L863" s="2">
        <f>IFERROR(__xludf.DUMMYFUNCTION("""COMPUTED_VALUE"""),55.64)</f>
        <v>55.64</v>
      </c>
      <c r="N863" s="3">
        <f>IFERROR(__xludf.DUMMYFUNCTION("""COMPUTED_VALUE"""),45448.66666666667)</f>
        <v>45448.66667</v>
      </c>
      <c r="O863" s="2">
        <f>IFERROR(__xludf.DUMMYFUNCTION("""COMPUTED_VALUE"""),35.33)</f>
        <v>35.33</v>
      </c>
      <c r="Q863" s="3">
        <f>IFERROR(__xludf.DUMMYFUNCTION("""COMPUTED_VALUE"""),45448.66666666667)</f>
        <v>45448.66667</v>
      </c>
      <c r="R863" s="2">
        <f>IFERROR(__xludf.DUMMYFUNCTION("""COMPUTED_VALUE"""),166.05)</f>
        <v>166.05</v>
      </c>
    </row>
    <row r="864">
      <c r="B864" s="3">
        <f>IFERROR(__xludf.DUMMYFUNCTION("""COMPUTED_VALUE"""),45449.66666666667)</f>
        <v>45449.66667</v>
      </c>
      <c r="C864" s="2">
        <f>IFERROR(__xludf.DUMMYFUNCTION("""COMPUTED_VALUE"""),46.23)</f>
        <v>46.23</v>
      </c>
      <c r="K864" s="3">
        <f>IFERROR(__xludf.DUMMYFUNCTION("""COMPUTED_VALUE"""),45448.6875)</f>
        <v>45448.6875</v>
      </c>
      <c r="L864" s="2">
        <f>IFERROR(__xludf.DUMMYFUNCTION("""COMPUTED_VALUE"""),54.74)</f>
        <v>54.74</v>
      </c>
      <c r="N864" s="3">
        <f>IFERROR(__xludf.DUMMYFUNCTION("""COMPUTED_VALUE"""),45449.66666666667)</f>
        <v>45449.66667</v>
      </c>
      <c r="O864" s="2">
        <f>IFERROR(__xludf.DUMMYFUNCTION("""COMPUTED_VALUE"""),35.45)</f>
        <v>35.45</v>
      </c>
      <c r="Q864" s="3">
        <f>IFERROR(__xludf.DUMMYFUNCTION("""COMPUTED_VALUE"""),45449.66666666667)</f>
        <v>45449.66667</v>
      </c>
      <c r="R864" s="2">
        <f>IFERROR(__xludf.DUMMYFUNCTION("""COMPUTED_VALUE"""),168.47)</f>
        <v>168.47</v>
      </c>
    </row>
    <row r="865">
      <c r="B865" s="3">
        <f>IFERROR(__xludf.DUMMYFUNCTION("""COMPUTED_VALUE"""),45450.66666666667)</f>
        <v>45450.66667</v>
      </c>
      <c r="C865" s="2">
        <f>IFERROR(__xludf.DUMMYFUNCTION("""COMPUTED_VALUE"""),45.84)</f>
        <v>45.84</v>
      </c>
      <c r="K865" s="3">
        <f>IFERROR(__xludf.DUMMYFUNCTION("""COMPUTED_VALUE"""),45449.6875)</f>
        <v>45449.6875</v>
      </c>
      <c r="L865" s="2">
        <f>IFERROR(__xludf.DUMMYFUNCTION("""COMPUTED_VALUE"""),55.64)</f>
        <v>55.64</v>
      </c>
      <c r="N865" s="3">
        <f>IFERROR(__xludf.DUMMYFUNCTION("""COMPUTED_VALUE"""),45450.66666666667)</f>
        <v>45450.66667</v>
      </c>
      <c r="O865" s="2">
        <f>IFERROR(__xludf.DUMMYFUNCTION("""COMPUTED_VALUE"""),35.26)</f>
        <v>35.26</v>
      </c>
      <c r="Q865" s="3">
        <f>IFERROR(__xludf.DUMMYFUNCTION("""COMPUTED_VALUE"""),45450.66666666667)</f>
        <v>45450.66667</v>
      </c>
      <c r="R865" s="2">
        <f>IFERROR(__xludf.DUMMYFUNCTION("""COMPUTED_VALUE"""),167.06)</f>
        <v>167.06</v>
      </c>
    </row>
    <row r="866">
      <c r="B866" s="3">
        <f>IFERROR(__xludf.DUMMYFUNCTION("""COMPUTED_VALUE"""),45453.66666666667)</f>
        <v>45453.66667</v>
      </c>
      <c r="C866" s="2">
        <f>IFERROR(__xludf.DUMMYFUNCTION("""COMPUTED_VALUE"""),45.85)</f>
        <v>45.85</v>
      </c>
      <c r="K866" s="3">
        <f>IFERROR(__xludf.DUMMYFUNCTION("""COMPUTED_VALUE"""),45450.6875)</f>
        <v>45450.6875</v>
      </c>
      <c r="L866" s="2">
        <f>IFERROR(__xludf.DUMMYFUNCTION("""COMPUTED_VALUE"""),54.8)</f>
        <v>54.8</v>
      </c>
      <c r="N866" s="3">
        <f>IFERROR(__xludf.DUMMYFUNCTION("""COMPUTED_VALUE"""),45453.66666666667)</f>
        <v>45453.66667</v>
      </c>
      <c r="O866" s="2">
        <f>IFERROR(__xludf.DUMMYFUNCTION("""COMPUTED_VALUE"""),35.92)</f>
        <v>35.92</v>
      </c>
      <c r="Q866" s="3">
        <f>IFERROR(__xludf.DUMMYFUNCTION("""COMPUTED_VALUE"""),45453.66666666667)</f>
        <v>45453.66667</v>
      </c>
      <c r="R866" s="2">
        <f>IFERROR(__xludf.DUMMYFUNCTION("""COMPUTED_VALUE"""),167.35)</f>
        <v>167.35</v>
      </c>
    </row>
    <row r="867">
      <c r="B867" s="3">
        <f>IFERROR(__xludf.DUMMYFUNCTION("""COMPUTED_VALUE"""),45454.66666666667)</f>
        <v>45454.66667</v>
      </c>
      <c r="C867" s="2">
        <f>IFERROR(__xludf.DUMMYFUNCTION("""COMPUTED_VALUE"""),45.77)</f>
        <v>45.77</v>
      </c>
      <c r="K867" s="3">
        <f>IFERROR(__xludf.DUMMYFUNCTION("""COMPUTED_VALUE"""),45453.6875)</f>
        <v>45453.6875</v>
      </c>
      <c r="L867" s="2">
        <f>IFERROR(__xludf.DUMMYFUNCTION("""COMPUTED_VALUE"""),54.22)</f>
        <v>54.22</v>
      </c>
      <c r="N867" s="3">
        <f>IFERROR(__xludf.DUMMYFUNCTION("""COMPUTED_VALUE"""),45454.66666666667)</f>
        <v>45454.66667</v>
      </c>
      <c r="O867" s="2">
        <f>IFERROR(__xludf.DUMMYFUNCTION("""COMPUTED_VALUE"""),35.67)</f>
        <v>35.67</v>
      </c>
      <c r="Q867" s="3">
        <f>IFERROR(__xludf.DUMMYFUNCTION("""COMPUTED_VALUE"""),45454.66666666667)</f>
        <v>45454.66667</v>
      </c>
      <c r="R867" s="2">
        <f>IFERROR(__xludf.DUMMYFUNCTION("""COMPUTED_VALUE"""),167.48)</f>
        <v>167.48</v>
      </c>
    </row>
    <row r="868">
      <c r="B868" s="3">
        <f>IFERROR(__xludf.DUMMYFUNCTION("""COMPUTED_VALUE"""),45455.66666666667)</f>
        <v>45455.66667</v>
      </c>
      <c r="C868" s="2">
        <f>IFERROR(__xludf.DUMMYFUNCTION("""COMPUTED_VALUE"""),45.62)</f>
        <v>45.62</v>
      </c>
      <c r="K868" s="3">
        <f>IFERROR(__xludf.DUMMYFUNCTION("""COMPUTED_VALUE"""),45454.6875)</f>
        <v>45454.6875</v>
      </c>
      <c r="L868" s="2">
        <f>IFERROR(__xludf.DUMMYFUNCTION("""COMPUTED_VALUE"""),53.38)</f>
        <v>53.38</v>
      </c>
      <c r="N868" s="3">
        <f>IFERROR(__xludf.DUMMYFUNCTION("""COMPUTED_VALUE"""),45455.66666666667)</f>
        <v>45455.66667</v>
      </c>
      <c r="O868" s="2">
        <f>IFERROR(__xludf.DUMMYFUNCTION("""COMPUTED_VALUE"""),35.56)</f>
        <v>35.56</v>
      </c>
      <c r="Q868" s="3">
        <f>IFERROR(__xludf.DUMMYFUNCTION("""COMPUTED_VALUE"""),45455.66666666667)</f>
        <v>45455.66667</v>
      </c>
      <c r="R868" s="2">
        <f>IFERROR(__xludf.DUMMYFUNCTION("""COMPUTED_VALUE"""),165.18)</f>
        <v>165.18</v>
      </c>
    </row>
    <row r="869">
      <c r="B869" s="3">
        <f>IFERROR(__xludf.DUMMYFUNCTION("""COMPUTED_VALUE"""),45456.66666666667)</f>
        <v>45456.66667</v>
      </c>
      <c r="C869" s="2">
        <f>IFERROR(__xludf.DUMMYFUNCTION("""COMPUTED_VALUE"""),45.52)</f>
        <v>45.52</v>
      </c>
      <c r="K869" s="3">
        <f>IFERROR(__xludf.DUMMYFUNCTION("""COMPUTED_VALUE"""),45455.6875)</f>
        <v>45455.6875</v>
      </c>
      <c r="L869" s="2">
        <f>IFERROR(__xludf.DUMMYFUNCTION("""COMPUTED_VALUE"""),54.98)</f>
        <v>54.98</v>
      </c>
      <c r="N869" s="3">
        <f>IFERROR(__xludf.DUMMYFUNCTION("""COMPUTED_VALUE"""),45456.66666666667)</f>
        <v>45456.66667</v>
      </c>
      <c r="O869" s="2">
        <f>IFERROR(__xludf.DUMMYFUNCTION("""COMPUTED_VALUE"""),35.19)</f>
        <v>35.19</v>
      </c>
      <c r="Q869" s="3">
        <f>IFERROR(__xludf.DUMMYFUNCTION("""COMPUTED_VALUE"""),45456.66666666667)</f>
        <v>45456.66667</v>
      </c>
      <c r="R869" s="2">
        <f>IFERROR(__xludf.DUMMYFUNCTION("""COMPUTED_VALUE"""),166.41)</f>
        <v>166.41</v>
      </c>
    </row>
    <row r="870">
      <c r="B870" s="3">
        <f>IFERROR(__xludf.DUMMYFUNCTION("""COMPUTED_VALUE"""),45457.66666666667)</f>
        <v>45457.66667</v>
      </c>
      <c r="C870" s="2">
        <f>IFERROR(__xludf.DUMMYFUNCTION("""COMPUTED_VALUE"""),45.68)</f>
        <v>45.68</v>
      </c>
      <c r="K870" s="3">
        <f>IFERROR(__xludf.DUMMYFUNCTION("""COMPUTED_VALUE"""),45456.6875)</f>
        <v>45456.6875</v>
      </c>
      <c r="L870" s="2">
        <f>IFERROR(__xludf.DUMMYFUNCTION("""COMPUTED_VALUE"""),54.06)</f>
        <v>54.06</v>
      </c>
      <c r="N870" s="3">
        <f>IFERROR(__xludf.DUMMYFUNCTION("""COMPUTED_VALUE"""),45457.66666666667)</f>
        <v>45457.66667</v>
      </c>
      <c r="O870" s="2">
        <f>IFERROR(__xludf.DUMMYFUNCTION("""COMPUTED_VALUE"""),34.89)</f>
        <v>34.89</v>
      </c>
      <c r="Q870" s="3">
        <f>IFERROR(__xludf.DUMMYFUNCTION("""COMPUTED_VALUE"""),45457.66666666667)</f>
        <v>45457.66667</v>
      </c>
      <c r="R870" s="2">
        <f>IFERROR(__xludf.DUMMYFUNCTION("""COMPUTED_VALUE"""),166.79)</f>
        <v>166.79</v>
      </c>
    </row>
    <row r="871">
      <c r="B871" s="3">
        <f>IFERROR(__xludf.DUMMYFUNCTION("""COMPUTED_VALUE"""),45460.66666666667)</f>
        <v>45460.66667</v>
      </c>
      <c r="C871" s="2">
        <f>IFERROR(__xludf.DUMMYFUNCTION("""COMPUTED_VALUE"""),45.69)</f>
        <v>45.69</v>
      </c>
      <c r="K871" s="3">
        <f>IFERROR(__xludf.DUMMYFUNCTION("""COMPUTED_VALUE"""),45457.6875)</f>
        <v>45457.6875</v>
      </c>
      <c r="L871" s="2">
        <f>IFERROR(__xludf.DUMMYFUNCTION("""COMPUTED_VALUE"""),54.18)</f>
        <v>54.18</v>
      </c>
      <c r="N871" s="3">
        <f>IFERROR(__xludf.DUMMYFUNCTION("""COMPUTED_VALUE"""),45460.66666666667)</f>
        <v>45460.66667</v>
      </c>
      <c r="O871" s="2">
        <f>IFERROR(__xludf.DUMMYFUNCTION("""COMPUTED_VALUE"""),35.11)</f>
        <v>35.11</v>
      </c>
      <c r="Q871" s="3">
        <f>IFERROR(__xludf.DUMMYFUNCTION("""COMPUTED_VALUE"""),45460.66666666667)</f>
        <v>45460.66667</v>
      </c>
      <c r="R871" s="2">
        <f>IFERROR(__xludf.DUMMYFUNCTION("""COMPUTED_VALUE"""),167.5)</f>
        <v>167.5</v>
      </c>
    </row>
    <row r="872">
      <c r="B872" s="3">
        <f>IFERROR(__xludf.DUMMYFUNCTION("""COMPUTED_VALUE"""),45461.66666666667)</f>
        <v>45461.66667</v>
      </c>
      <c r="C872" s="2">
        <f>IFERROR(__xludf.DUMMYFUNCTION("""COMPUTED_VALUE"""),45.97)</f>
        <v>45.97</v>
      </c>
      <c r="K872" s="3">
        <f>IFERROR(__xludf.DUMMYFUNCTION("""COMPUTED_VALUE"""),45460.6875)</f>
        <v>45460.6875</v>
      </c>
      <c r="L872" s="2">
        <f>IFERROR(__xludf.DUMMYFUNCTION("""COMPUTED_VALUE"""),54.54)</f>
        <v>54.54</v>
      </c>
      <c r="N872" s="3">
        <f>IFERROR(__xludf.DUMMYFUNCTION("""COMPUTED_VALUE"""),45461.66666666667)</f>
        <v>45461.66667</v>
      </c>
      <c r="O872" s="2">
        <f>IFERROR(__xludf.DUMMYFUNCTION("""COMPUTED_VALUE"""),35.39)</f>
        <v>35.39</v>
      </c>
      <c r="Q872" s="3">
        <f>IFERROR(__xludf.DUMMYFUNCTION("""COMPUTED_VALUE"""),45461.66666666667)</f>
        <v>45461.66667</v>
      </c>
      <c r="R872" s="2">
        <f>IFERROR(__xludf.DUMMYFUNCTION("""COMPUTED_VALUE"""),168.56)</f>
        <v>168.56</v>
      </c>
    </row>
    <row r="873">
      <c r="B873" s="3">
        <f>IFERROR(__xludf.DUMMYFUNCTION("""COMPUTED_VALUE"""),45463.66666666667)</f>
        <v>45463.66667</v>
      </c>
      <c r="C873" s="2">
        <f>IFERROR(__xludf.DUMMYFUNCTION("""COMPUTED_VALUE"""),46.72)</f>
        <v>46.72</v>
      </c>
      <c r="K873" s="3">
        <f>IFERROR(__xludf.DUMMYFUNCTION("""COMPUTED_VALUE"""),45461.6875)</f>
        <v>45461.6875</v>
      </c>
      <c r="L873" s="2">
        <f>IFERROR(__xludf.DUMMYFUNCTION("""COMPUTED_VALUE"""),55.02)</f>
        <v>55.02</v>
      </c>
      <c r="N873" s="3">
        <f>IFERROR(__xludf.DUMMYFUNCTION("""COMPUTED_VALUE"""),45463.66666666667)</f>
        <v>45463.66667</v>
      </c>
      <c r="O873" s="2">
        <f>IFERROR(__xludf.DUMMYFUNCTION("""COMPUTED_VALUE"""),35.71)</f>
        <v>35.71</v>
      </c>
      <c r="Q873" s="3">
        <f>IFERROR(__xludf.DUMMYFUNCTION("""COMPUTED_VALUE"""),45463.66666666667)</f>
        <v>45463.66667</v>
      </c>
      <c r="R873" s="2">
        <f>IFERROR(__xludf.DUMMYFUNCTION("""COMPUTED_VALUE"""),167.67)</f>
        <v>167.67</v>
      </c>
    </row>
    <row r="874">
      <c r="B874" s="3">
        <f>IFERROR(__xludf.DUMMYFUNCTION("""COMPUTED_VALUE"""),45464.66666666667)</f>
        <v>45464.66667</v>
      </c>
      <c r="C874" s="2">
        <f>IFERROR(__xludf.DUMMYFUNCTION("""COMPUTED_VALUE"""),47.29)</f>
        <v>47.29</v>
      </c>
      <c r="K874" s="3">
        <f>IFERROR(__xludf.DUMMYFUNCTION("""COMPUTED_VALUE"""),45462.6875)</f>
        <v>45462.6875</v>
      </c>
      <c r="L874" s="2">
        <f>IFERROR(__xludf.DUMMYFUNCTION("""COMPUTED_VALUE"""),55.22)</f>
        <v>55.22</v>
      </c>
      <c r="N874" s="3">
        <f>IFERROR(__xludf.DUMMYFUNCTION("""COMPUTED_VALUE"""),45464.66666666667)</f>
        <v>45464.66667</v>
      </c>
      <c r="O874" s="2">
        <f>IFERROR(__xludf.DUMMYFUNCTION("""COMPUTED_VALUE"""),35.51)</f>
        <v>35.51</v>
      </c>
      <c r="Q874" s="3">
        <f>IFERROR(__xludf.DUMMYFUNCTION("""COMPUTED_VALUE"""),45464.66666666667)</f>
        <v>45464.66667</v>
      </c>
      <c r="R874" s="2">
        <f>IFERROR(__xludf.DUMMYFUNCTION("""COMPUTED_VALUE"""),168.26)</f>
        <v>168.26</v>
      </c>
    </row>
    <row r="875">
      <c r="B875" s="3">
        <f>IFERROR(__xludf.DUMMYFUNCTION("""COMPUTED_VALUE"""),45467.66666666667)</f>
        <v>45467.66667</v>
      </c>
      <c r="C875" s="2">
        <f>IFERROR(__xludf.DUMMYFUNCTION("""COMPUTED_VALUE"""),47.28)</f>
        <v>47.28</v>
      </c>
      <c r="K875" s="3">
        <f>IFERROR(__xludf.DUMMYFUNCTION("""COMPUTED_VALUE"""),45463.6875)</f>
        <v>45463.6875</v>
      </c>
      <c r="L875" s="2">
        <f>IFERROR(__xludf.DUMMYFUNCTION("""COMPUTED_VALUE"""),56.08)</f>
        <v>56.08</v>
      </c>
      <c r="N875" s="3">
        <f>IFERROR(__xludf.DUMMYFUNCTION("""COMPUTED_VALUE"""),45467.66666666667)</f>
        <v>45467.66667</v>
      </c>
      <c r="O875" s="2">
        <f>IFERROR(__xludf.DUMMYFUNCTION("""COMPUTED_VALUE"""),36.25)</f>
        <v>36.25</v>
      </c>
      <c r="Q875" s="3">
        <f>IFERROR(__xludf.DUMMYFUNCTION("""COMPUTED_VALUE"""),45467.66666666667)</f>
        <v>45467.66667</v>
      </c>
      <c r="R875" s="2">
        <f>IFERROR(__xludf.DUMMYFUNCTION("""COMPUTED_VALUE"""),168.45)</f>
        <v>168.45</v>
      </c>
    </row>
    <row r="876">
      <c r="B876" s="3">
        <f>IFERROR(__xludf.DUMMYFUNCTION("""COMPUTED_VALUE"""),45468.66666666667)</f>
        <v>45468.66667</v>
      </c>
      <c r="C876" s="2">
        <f>IFERROR(__xludf.DUMMYFUNCTION("""COMPUTED_VALUE"""),47.38)</f>
        <v>47.38</v>
      </c>
      <c r="K876" s="3">
        <f>IFERROR(__xludf.DUMMYFUNCTION("""COMPUTED_VALUE"""),45464.6875)</f>
        <v>45464.6875</v>
      </c>
      <c r="L876" s="2">
        <f>IFERROR(__xludf.DUMMYFUNCTION("""COMPUTED_VALUE"""),55.56)</f>
        <v>55.56</v>
      </c>
      <c r="N876" s="3">
        <f>IFERROR(__xludf.DUMMYFUNCTION("""COMPUTED_VALUE"""),45468.66666666667)</f>
        <v>45468.66667</v>
      </c>
      <c r="O876" s="2">
        <f>IFERROR(__xludf.DUMMYFUNCTION("""COMPUTED_VALUE"""),36.08)</f>
        <v>36.08</v>
      </c>
      <c r="Q876" s="3">
        <f>IFERROR(__xludf.DUMMYFUNCTION("""COMPUTED_VALUE"""),45468.66666666667)</f>
        <v>45468.66667</v>
      </c>
      <c r="R876" s="2">
        <f>IFERROR(__xludf.DUMMYFUNCTION("""COMPUTED_VALUE"""),166.85)</f>
        <v>166.85</v>
      </c>
    </row>
    <row r="877">
      <c r="B877" s="3">
        <f>IFERROR(__xludf.DUMMYFUNCTION("""COMPUTED_VALUE"""),45469.66666666667)</f>
        <v>45469.66667</v>
      </c>
      <c r="C877" s="2">
        <f>IFERROR(__xludf.DUMMYFUNCTION("""COMPUTED_VALUE"""),46.86)</f>
        <v>46.86</v>
      </c>
      <c r="K877" s="3">
        <f>IFERROR(__xludf.DUMMYFUNCTION("""COMPUTED_VALUE"""),45467.6875)</f>
        <v>45467.6875</v>
      </c>
      <c r="L877" s="2">
        <f>IFERROR(__xludf.DUMMYFUNCTION("""COMPUTED_VALUE"""),55.68)</f>
        <v>55.68</v>
      </c>
      <c r="N877" s="3">
        <f>IFERROR(__xludf.DUMMYFUNCTION("""COMPUTED_VALUE"""),45469.66666666667)</f>
        <v>45469.66667</v>
      </c>
      <c r="O877" s="2">
        <f>IFERROR(__xludf.DUMMYFUNCTION("""COMPUTED_VALUE"""),35.72)</f>
        <v>35.72</v>
      </c>
      <c r="Q877" s="3">
        <f>IFERROR(__xludf.DUMMYFUNCTION("""COMPUTED_VALUE"""),45469.66666666667)</f>
        <v>45469.66667</v>
      </c>
      <c r="R877" s="2">
        <f>IFERROR(__xludf.DUMMYFUNCTION("""COMPUTED_VALUE"""),167.45)</f>
        <v>167.45</v>
      </c>
    </row>
    <row r="878">
      <c r="B878" s="3">
        <f>IFERROR(__xludf.DUMMYFUNCTION("""COMPUTED_VALUE"""),45470.66666666667)</f>
        <v>45470.66667</v>
      </c>
      <c r="C878" s="2">
        <f>IFERROR(__xludf.DUMMYFUNCTION("""COMPUTED_VALUE"""),47.45)</f>
        <v>47.45</v>
      </c>
      <c r="K878" s="3">
        <f>IFERROR(__xludf.DUMMYFUNCTION("""COMPUTED_VALUE"""),45468.6875)</f>
        <v>45468.6875</v>
      </c>
      <c r="L878" s="2">
        <f>IFERROR(__xludf.DUMMYFUNCTION("""COMPUTED_VALUE"""),55.54)</f>
        <v>55.54</v>
      </c>
      <c r="N878" s="3">
        <f>IFERROR(__xludf.DUMMYFUNCTION("""COMPUTED_VALUE"""),45470.66666666667)</f>
        <v>45470.66667</v>
      </c>
      <c r="O878" s="2">
        <f>IFERROR(__xludf.DUMMYFUNCTION("""COMPUTED_VALUE"""),35.97)</f>
        <v>35.97</v>
      </c>
      <c r="Q878" s="3">
        <f>IFERROR(__xludf.DUMMYFUNCTION("""COMPUTED_VALUE"""),45470.66666666667)</f>
        <v>45470.66667</v>
      </c>
      <c r="R878" s="2">
        <f>IFERROR(__xludf.DUMMYFUNCTION("""COMPUTED_VALUE"""),166.62)</f>
        <v>166.62</v>
      </c>
    </row>
    <row r="879">
      <c r="B879" s="3">
        <f>IFERROR(__xludf.DUMMYFUNCTION("""COMPUTED_VALUE"""),45471.66666666667)</f>
        <v>45471.66667</v>
      </c>
      <c r="C879" s="2">
        <f>IFERROR(__xludf.DUMMYFUNCTION("""COMPUTED_VALUE"""),47.51)</f>
        <v>47.51</v>
      </c>
      <c r="K879" s="3">
        <f>IFERROR(__xludf.DUMMYFUNCTION("""COMPUTED_VALUE"""),45469.6875)</f>
        <v>45469.6875</v>
      </c>
      <c r="L879" s="2">
        <f>IFERROR(__xludf.DUMMYFUNCTION("""COMPUTED_VALUE"""),55.8)</f>
        <v>55.8</v>
      </c>
      <c r="N879" s="3">
        <f>IFERROR(__xludf.DUMMYFUNCTION("""COMPUTED_VALUE"""),45471.66666666667)</f>
        <v>45471.66667</v>
      </c>
      <c r="O879" s="2">
        <f>IFERROR(__xludf.DUMMYFUNCTION("""COMPUTED_VALUE"""),36.1)</f>
        <v>36.1</v>
      </c>
      <c r="Q879" s="3">
        <f>IFERROR(__xludf.DUMMYFUNCTION("""COMPUTED_VALUE"""),45471.66666666667)</f>
        <v>45471.66667</v>
      </c>
      <c r="R879" s="2">
        <f>IFERROR(__xludf.DUMMYFUNCTION("""COMPUTED_VALUE"""),164.92)</f>
        <v>164.92</v>
      </c>
    </row>
    <row r="880">
      <c r="B880" s="3">
        <f>IFERROR(__xludf.DUMMYFUNCTION("""COMPUTED_VALUE"""),45474.66666666667)</f>
        <v>45474.66667</v>
      </c>
      <c r="C880" s="2">
        <f>IFERROR(__xludf.DUMMYFUNCTION("""COMPUTED_VALUE"""),47.52)</f>
        <v>47.52</v>
      </c>
      <c r="K880" s="3">
        <f>IFERROR(__xludf.DUMMYFUNCTION("""COMPUTED_VALUE"""),45470.6875)</f>
        <v>45470.6875</v>
      </c>
      <c r="L880" s="2">
        <f>IFERROR(__xludf.DUMMYFUNCTION("""COMPUTED_VALUE"""),56.08)</f>
        <v>56.08</v>
      </c>
      <c r="N880" s="3">
        <f>IFERROR(__xludf.DUMMYFUNCTION("""COMPUTED_VALUE"""),45474.66666666667)</f>
        <v>45474.66667</v>
      </c>
      <c r="O880" s="2">
        <f>IFERROR(__xludf.DUMMYFUNCTION("""COMPUTED_VALUE"""),36.43)</f>
        <v>36.43</v>
      </c>
      <c r="Q880" s="3">
        <f>IFERROR(__xludf.DUMMYFUNCTION("""COMPUTED_VALUE"""),45474.66666666667)</f>
        <v>45474.66667</v>
      </c>
      <c r="R880" s="2">
        <f>IFERROR(__xludf.DUMMYFUNCTION("""COMPUTED_VALUE"""),162.72)</f>
        <v>162.72</v>
      </c>
    </row>
    <row r="881">
      <c r="B881" s="3">
        <f>IFERROR(__xludf.DUMMYFUNCTION("""COMPUTED_VALUE"""),45475.66666666667)</f>
        <v>45475.66667</v>
      </c>
      <c r="C881" s="2">
        <f>IFERROR(__xludf.DUMMYFUNCTION("""COMPUTED_VALUE"""),47.28)</f>
        <v>47.28</v>
      </c>
      <c r="K881" s="3">
        <f>IFERROR(__xludf.DUMMYFUNCTION("""COMPUTED_VALUE"""),45471.6875)</f>
        <v>45471.6875</v>
      </c>
      <c r="L881" s="2">
        <f>IFERROR(__xludf.DUMMYFUNCTION("""COMPUTED_VALUE"""),54.74)</f>
        <v>54.74</v>
      </c>
      <c r="N881" s="3">
        <f>IFERROR(__xludf.DUMMYFUNCTION("""COMPUTED_VALUE"""),45475.66666666667)</f>
        <v>45475.66667</v>
      </c>
      <c r="O881" s="2">
        <f>IFERROR(__xludf.DUMMYFUNCTION("""COMPUTED_VALUE"""),36.76)</f>
        <v>36.76</v>
      </c>
      <c r="Q881" s="3">
        <f>IFERROR(__xludf.DUMMYFUNCTION("""COMPUTED_VALUE"""),45475.66666666667)</f>
        <v>45475.66667</v>
      </c>
      <c r="R881" s="2">
        <f>IFERROR(__xludf.DUMMYFUNCTION("""COMPUTED_VALUE"""),163.9)</f>
        <v>163.9</v>
      </c>
    </row>
    <row r="882">
      <c r="B882" s="3">
        <f>IFERROR(__xludf.DUMMYFUNCTION("""COMPUTED_VALUE"""),45476.54513888889)</f>
        <v>45476.54514</v>
      </c>
      <c r="C882" s="2">
        <f>IFERROR(__xludf.DUMMYFUNCTION("""COMPUTED_VALUE"""),47.09)</f>
        <v>47.09</v>
      </c>
      <c r="K882" s="3">
        <f>IFERROR(__xludf.DUMMYFUNCTION("""COMPUTED_VALUE"""),45474.6875)</f>
        <v>45474.6875</v>
      </c>
      <c r="L882" s="2">
        <f>IFERROR(__xludf.DUMMYFUNCTION("""COMPUTED_VALUE"""),55.62)</f>
        <v>55.62</v>
      </c>
      <c r="N882" s="3">
        <f>IFERROR(__xludf.DUMMYFUNCTION("""COMPUTED_VALUE"""),45476.54166666667)</f>
        <v>45476.54167</v>
      </c>
      <c r="O882" s="2">
        <f>IFERROR(__xludf.DUMMYFUNCTION("""COMPUTED_VALUE"""),36.97)</f>
        <v>36.97</v>
      </c>
      <c r="Q882" s="3">
        <f>IFERROR(__xludf.DUMMYFUNCTION("""COMPUTED_VALUE"""),45476.54166666667)</f>
        <v>45476.54167</v>
      </c>
      <c r="R882" s="2">
        <f>IFERROR(__xludf.DUMMYFUNCTION("""COMPUTED_VALUE"""),163.83)</f>
        <v>163.83</v>
      </c>
    </row>
    <row r="883">
      <c r="B883" s="3">
        <f>IFERROR(__xludf.DUMMYFUNCTION("""COMPUTED_VALUE"""),45478.66666666667)</f>
        <v>45478.66667</v>
      </c>
      <c r="C883" s="2">
        <f>IFERROR(__xludf.DUMMYFUNCTION("""COMPUTED_VALUE"""),46.65)</f>
        <v>46.65</v>
      </c>
      <c r="K883" s="3">
        <f>IFERROR(__xludf.DUMMYFUNCTION("""COMPUTED_VALUE"""),45475.6875)</f>
        <v>45475.6875</v>
      </c>
      <c r="L883" s="2">
        <f>IFERROR(__xludf.DUMMYFUNCTION("""COMPUTED_VALUE"""),54.94)</f>
        <v>54.94</v>
      </c>
      <c r="N883" s="3">
        <f>IFERROR(__xludf.DUMMYFUNCTION("""COMPUTED_VALUE"""),45478.66666666667)</f>
        <v>45478.66667</v>
      </c>
      <c r="O883" s="2">
        <f>IFERROR(__xludf.DUMMYFUNCTION("""COMPUTED_VALUE"""),37.05)</f>
        <v>37.05</v>
      </c>
      <c r="Q883" s="3">
        <f>IFERROR(__xludf.DUMMYFUNCTION("""COMPUTED_VALUE"""),45478.66666666667)</f>
        <v>45478.66667</v>
      </c>
      <c r="R883" s="2">
        <f>IFERROR(__xludf.DUMMYFUNCTION("""COMPUTED_VALUE"""),165.21)</f>
        <v>165.21</v>
      </c>
    </row>
    <row r="884">
      <c r="B884" s="3">
        <f>IFERROR(__xludf.DUMMYFUNCTION("""COMPUTED_VALUE"""),45481.66666666667)</f>
        <v>45481.66667</v>
      </c>
      <c r="C884" s="2">
        <f>IFERROR(__xludf.DUMMYFUNCTION("""COMPUTED_VALUE"""),46.06)</f>
        <v>46.06</v>
      </c>
      <c r="K884" s="3">
        <f>IFERROR(__xludf.DUMMYFUNCTION("""COMPUTED_VALUE"""),45476.6875)</f>
        <v>45476.6875</v>
      </c>
      <c r="L884" s="2">
        <f>IFERROR(__xludf.DUMMYFUNCTION("""COMPUTED_VALUE"""),55.88)</f>
        <v>55.88</v>
      </c>
      <c r="N884" s="3">
        <f>IFERROR(__xludf.DUMMYFUNCTION("""COMPUTED_VALUE"""),45481.66666666667)</f>
        <v>45481.66667</v>
      </c>
      <c r="O884" s="2">
        <f>IFERROR(__xludf.DUMMYFUNCTION("""COMPUTED_VALUE"""),36.55)</f>
        <v>36.55</v>
      </c>
      <c r="Q884" s="3">
        <f>IFERROR(__xludf.DUMMYFUNCTION("""COMPUTED_VALUE"""),45481.66666666667)</f>
        <v>45481.66667</v>
      </c>
      <c r="R884" s="2">
        <f>IFERROR(__xludf.DUMMYFUNCTION("""COMPUTED_VALUE"""),166.52)</f>
        <v>166.52</v>
      </c>
    </row>
    <row r="885">
      <c r="B885" s="3">
        <f>IFERROR(__xludf.DUMMYFUNCTION("""COMPUTED_VALUE"""),45482.66666666667)</f>
        <v>45482.66667</v>
      </c>
      <c r="C885" s="2">
        <f>IFERROR(__xludf.DUMMYFUNCTION("""COMPUTED_VALUE"""),45.8)</f>
        <v>45.8</v>
      </c>
      <c r="K885" s="3">
        <f>IFERROR(__xludf.DUMMYFUNCTION("""COMPUTED_VALUE"""),45477.6875)</f>
        <v>45477.6875</v>
      </c>
      <c r="L885" s="2">
        <f>IFERROR(__xludf.DUMMYFUNCTION("""COMPUTED_VALUE"""),57.28)</f>
        <v>57.28</v>
      </c>
      <c r="N885" s="3">
        <f>IFERROR(__xludf.DUMMYFUNCTION("""COMPUTED_VALUE"""),45482.66666666667)</f>
        <v>45482.66667</v>
      </c>
      <c r="O885" s="2">
        <f>IFERROR(__xludf.DUMMYFUNCTION("""COMPUTED_VALUE"""),34.8)</f>
        <v>34.8</v>
      </c>
      <c r="Q885" s="3">
        <f>IFERROR(__xludf.DUMMYFUNCTION("""COMPUTED_VALUE"""),45482.66666666667)</f>
        <v>45482.66667</v>
      </c>
      <c r="R885" s="2">
        <f>IFERROR(__xludf.DUMMYFUNCTION("""COMPUTED_VALUE"""),165.66)</f>
        <v>165.66</v>
      </c>
    </row>
    <row r="886">
      <c r="B886" s="3">
        <f>IFERROR(__xludf.DUMMYFUNCTION("""COMPUTED_VALUE"""),45483.66666666667)</f>
        <v>45483.66667</v>
      </c>
      <c r="C886" s="2">
        <f>IFERROR(__xludf.DUMMYFUNCTION("""COMPUTED_VALUE"""),46.27)</f>
        <v>46.27</v>
      </c>
      <c r="K886" s="3">
        <f>IFERROR(__xludf.DUMMYFUNCTION("""COMPUTED_VALUE"""),45478.6875)</f>
        <v>45478.6875</v>
      </c>
      <c r="L886" s="2">
        <f>IFERROR(__xludf.DUMMYFUNCTION("""COMPUTED_VALUE"""),58.28)</f>
        <v>58.28</v>
      </c>
      <c r="N886" s="3">
        <f>IFERROR(__xludf.DUMMYFUNCTION("""COMPUTED_VALUE"""),45483.66666666667)</f>
        <v>45483.66667</v>
      </c>
      <c r="O886" s="2">
        <f>IFERROR(__xludf.DUMMYFUNCTION("""COMPUTED_VALUE"""),34.9)</f>
        <v>34.9</v>
      </c>
      <c r="Q886" s="3">
        <f>IFERROR(__xludf.DUMMYFUNCTION("""COMPUTED_VALUE"""),45483.66666666667)</f>
        <v>45483.66667</v>
      </c>
      <c r="R886" s="2">
        <f>IFERROR(__xludf.DUMMYFUNCTION("""COMPUTED_VALUE"""),166.8)</f>
        <v>166.8</v>
      </c>
    </row>
    <row r="887">
      <c r="B887" s="3">
        <f>IFERROR(__xludf.DUMMYFUNCTION("""COMPUTED_VALUE"""),45484.66666666667)</f>
        <v>45484.66667</v>
      </c>
      <c r="C887" s="2">
        <f>IFERROR(__xludf.DUMMYFUNCTION("""COMPUTED_VALUE"""),46.76)</f>
        <v>46.76</v>
      </c>
      <c r="K887" s="3">
        <f>IFERROR(__xludf.DUMMYFUNCTION("""COMPUTED_VALUE"""),45481.6875)</f>
        <v>45481.6875</v>
      </c>
      <c r="L887" s="2">
        <f>IFERROR(__xludf.DUMMYFUNCTION("""COMPUTED_VALUE"""),59.02)</f>
        <v>59.02</v>
      </c>
      <c r="N887" s="3">
        <f>IFERROR(__xludf.DUMMYFUNCTION("""COMPUTED_VALUE"""),45484.66666666667)</f>
        <v>45484.66667</v>
      </c>
      <c r="O887" s="2">
        <f>IFERROR(__xludf.DUMMYFUNCTION("""COMPUTED_VALUE"""),35.05)</f>
        <v>35.05</v>
      </c>
      <c r="Q887" s="3">
        <f>IFERROR(__xludf.DUMMYFUNCTION("""COMPUTED_VALUE"""),45484.66666666667)</f>
        <v>45484.66667</v>
      </c>
      <c r="R887" s="2">
        <f>IFERROR(__xludf.DUMMYFUNCTION("""COMPUTED_VALUE"""),165.54)</f>
        <v>165.54</v>
      </c>
    </row>
    <row r="888">
      <c r="B888" s="3">
        <f>IFERROR(__xludf.DUMMYFUNCTION("""COMPUTED_VALUE"""),45485.66666666667)</f>
        <v>45485.66667</v>
      </c>
      <c r="C888" s="2">
        <f>IFERROR(__xludf.DUMMYFUNCTION("""COMPUTED_VALUE"""),47.38)</f>
        <v>47.38</v>
      </c>
      <c r="K888" s="3">
        <f>IFERROR(__xludf.DUMMYFUNCTION("""COMPUTED_VALUE"""),45482.6875)</f>
        <v>45482.6875</v>
      </c>
      <c r="L888" s="2">
        <f>IFERROR(__xludf.DUMMYFUNCTION("""COMPUTED_VALUE"""),57.84)</f>
        <v>57.84</v>
      </c>
      <c r="N888" s="3">
        <f>IFERROR(__xludf.DUMMYFUNCTION("""COMPUTED_VALUE"""),45485.66666666667)</f>
        <v>45485.66667</v>
      </c>
      <c r="O888" s="2">
        <f>IFERROR(__xludf.DUMMYFUNCTION("""COMPUTED_VALUE"""),35.19)</f>
        <v>35.19</v>
      </c>
      <c r="Q888" s="3">
        <f>IFERROR(__xludf.DUMMYFUNCTION("""COMPUTED_VALUE"""),45485.66666666667)</f>
        <v>45485.66667</v>
      </c>
      <c r="R888" s="2">
        <f>IFERROR(__xludf.DUMMYFUNCTION("""COMPUTED_VALUE"""),166.61)</f>
        <v>166.61</v>
      </c>
    </row>
    <row r="889">
      <c r="B889" s="3">
        <f>IFERROR(__xludf.DUMMYFUNCTION("""COMPUTED_VALUE"""),45488.66666666667)</f>
        <v>45488.66667</v>
      </c>
      <c r="C889" s="2">
        <f>IFERROR(__xludf.DUMMYFUNCTION("""COMPUTED_VALUE"""),47.4)</f>
        <v>47.4</v>
      </c>
      <c r="K889" s="3">
        <f>IFERROR(__xludf.DUMMYFUNCTION("""COMPUTED_VALUE"""),45483.6875)</f>
        <v>45483.6875</v>
      </c>
      <c r="L889" s="2">
        <f>IFERROR(__xludf.DUMMYFUNCTION("""COMPUTED_VALUE"""),58.1)</f>
        <v>58.1</v>
      </c>
      <c r="N889" s="3">
        <f>IFERROR(__xludf.DUMMYFUNCTION("""COMPUTED_VALUE"""),45488.66666666667)</f>
        <v>45488.66667</v>
      </c>
      <c r="O889" s="2">
        <f>IFERROR(__xludf.DUMMYFUNCTION("""COMPUTED_VALUE"""),35.03)</f>
        <v>35.03</v>
      </c>
      <c r="Q889" s="3">
        <f>IFERROR(__xludf.DUMMYFUNCTION("""COMPUTED_VALUE"""),45488.66666666667)</f>
        <v>45488.66667</v>
      </c>
      <c r="R889" s="2">
        <f>IFERROR(__xludf.DUMMYFUNCTION("""COMPUTED_VALUE"""),164.58)</f>
        <v>164.58</v>
      </c>
    </row>
    <row r="890">
      <c r="B890" s="3">
        <f>IFERROR(__xludf.DUMMYFUNCTION("""COMPUTED_VALUE"""),45489.66666666667)</f>
        <v>45489.66667</v>
      </c>
      <c r="C890" s="2">
        <f>IFERROR(__xludf.DUMMYFUNCTION("""COMPUTED_VALUE"""),47.42)</f>
        <v>47.42</v>
      </c>
      <c r="K890" s="3">
        <f>IFERROR(__xludf.DUMMYFUNCTION("""COMPUTED_VALUE"""),45484.6875)</f>
        <v>45484.6875</v>
      </c>
      <c r="L890" s="2">
        <f>IFERROR(__xludf.DUMMYFUNCTION("""COMPUTED_VALUE"""),59.14)</f>
        <v>59.14</v>
      </c>
      <c r="N890" s="3">
        <f>IFERROR(__xludf.DUMMYFUNCTION("""COMPUTED_VALUE"""),45489.66666666667)</f>
        <v>45489.66667</v>
      </c>
      <c r="O890" s="2">
        <f>IFERROR(__xludf.DUMMYFUNCTION("""COMPUTED_VALUE"""),34.89)</f>
        <v>34.89</v>
      </c>
      <c r="Q890" s="3">
        <f>IFERROR(__xludf.DUMMYFUNCTION("""COMPUTED_VALUE"""),45489.66666666667)</f>
        <v>45489.66667</v>
      </c>
      <c r="R890" s="2">
        <f>IFERROR(__xludf.DUMMYFUNCTION("""COMPUTED_VALUE"""),166.95)</f>
        <v>166.95</v>
      </c>
    </row>
    <row r="891">
      <c r="B891" s="3">
        <f>IFERROR(__xludf.DUMMYFUNCTION("""COMPUTED_VALUE"""),45490.66666666667)</f>
        <v>45490.66667</v>
      </c>
      <c r="C891" s="2">
        <f>IFERROR(__xludf.DUMMYFUNCTION("""COMPUTED_VALUE"""),48.52)</f>
        <v>48.52</v>
      </c>
      <c r="K891" s="3">
        <f>IFERROR(__xludf.DUMMYFUNCTION("""COMPUTED_VALUE"""),45485.6875)</f>
        <v>45485.6875</v>
      </c>
      <c r="L891" s="2">
        <f>IFERROR(__xludf.DUMMYFUNCTION("""COMPUTED_VALUE"""),59.1)</f>
        <v>59.1</v>
      </c>
      <c r="N891" s="3">
        <f>IFERROR(__xludf.DUMMYFUNCTION("""COMPUTED_VALUE"""),45490.66666666667)</f>
        <v>45490.66667</v>
      </c>
      <c r="O891" s="2">
        <f>IFERROR(__xludf.DUMMYFUNCTION("""COMPUTED_VALUE"""),35.42)</f>
        <v>35.42</v>
      </c>
      <c r="Q891" s="3">
        <f>IFERROR(__xludf.DUMMYFUNCTION("""COMPUTED_VALUE"""),45490.66666666667)</f>
        <v>45490.66667</v>
      </c>
      <c r="R891" s="2">
        <f>IFERROR(__xludf.DUMMYFUNCTION("""COMPUTED_VALUE"""),169.44)</f>
        <v>169.44</v>
      </c>
    </row>
    <row r="892">
      <c r="B892" s="3">
        <f>IFERROR(__xludf.DUMMYFUNCTION("""COMPUTED_VALUE"""),45491.66666666667)</f>
        <v>45491.66667</v>
      </c>
      <c r="C892" s="2">
        <f>IFERROR(__xludf.DUMMYFUNCTION("""COMPUTED_VALUE"""),48.04)</f>
        <v>48.04</v>
      </c>
      <c r="K892" s="3">
        <f>IFERROR(__xludf.DUMMYFUNCTION("""COMPUTED_VALUE"""),45488.6875)</f>
        <v>45488.6875</v>
      </c>
      <c r="L892" s="2">
        <f>IFERROR(__xludf.DUMMYFUNCTION("""COMPUTED_VALUE"""),58.8)</f>
        <v>58.8</v>
      </c>
      <c r="N892" s="3">
        <f>IFERROR(__xludf.DUMMYFUNCTION("""COMPUTED_VALUE"""),45491.66666666667)</f>
        <v>45491.66667</v>
      </c>
      <c r="O892" s="2">
        <f>IFERROR(__xludf.DUMMYFUNCTION("""COMPUTED_VALUE"""),35.59)</f>
        <v>35.59</v>
      </c>
      <c r="Q892" s="3">
        <f>IFERROR(__xludf.DUMMYFUNCTION("""COMPUTED_VALUE"""),45491.66666666667)</f>
        <v>45491.66667</v>
      </c>
      <c r="R892" s="2">
        <f>IFERROR(__xludf.DUMMYFUNCTION("""COMPUTED_VALUE"""),168.44)</f>
        <v>168.44</v>
      </c>
    </row>
    <row r="893">
      <c r="B893" s="3">
        <f>IFERROR(__xludf.DUMMYFUNCTION("""COMPUTED_VALUE"""),45492.66666666667)</f>
        <v>45492.66667</v>
      </c>
      <c r="C893" s="2">
        <f>IFERROR(__xludf.DUMMYFUNCTION("""COMPUTED_VALUE"""),47.32)</f>
        <v>47.32</v>
      </c>
      <c r="K893" s="3">
        <f>IFERROR(__xludf.DUMMYFUNCTION("""COMPUTED_VALUE"""),45489.6875)</f>
        <v>45489.6875</v>
      </c>
      <c r="L893" s="2">
        <f>IFERROR(__xludf.DUMMYFUNCTION("""COMPUTED_VALUE"""),58.5)</f>
        <v>58.5</v>
      </c>
      <c r="N893" s="3">
        <f>IFERROR(__xludf.DUMMYFUNCTION("""COMPUTED_VALUE"""),45492.66666666667)</f>
        <v>45492.66667</v>
      </c>
      <c r="O893" s="2">
        <f>IFERROR(__xludf.DUMMYFUNCTION("""COMPUTED_VALUE"""),35.38)</f>
        <v>35.38</v>
      </c>
      <c r="Q893" s="3">
        <f>IFERROR(__xludf.DUMMYFUNCTION("""COMPUTED_VALUE"""),45492.66666666667)</f>
        <v>45492.66667</v>
      </c>
      <c r="R893" s="2">
        <f>IFERROR(__xludf.DUMMYFUNCTION("""COMPUTED_VALUE"""),167.96)</f>
        <v>167.96</v>
      </c>
    </row>
    <row r="894">
      <c r="B894" s="3">
        <f>IFERROR(__xludf.DUMMYFUNCTION("""COMPUTED_VALUE"""),45495.66666666667)</f>
        <v>45495.66667</v>
      </c>
      <c r="C894" s="2">
        <f>IFERROR(__xludf.DUMMYFUNCTION("""COMPUTED_VALUE"""),46.82)</f>
        <v>46.82</v>
      </c>
      <c r="K894" s="3">
        <f>IFERROR(__xludf.DUMMYFUNCTION("""COMPUTED_VALUE"""),45490.6875)</f>
        <v>45490.6875</v>
      </c>
      <c r="L894" s="2">
        <f>IFERROR(__xludf.DUMMYFUNCTION("""COMPUTED_VALUE"""),58.78)</f>
        <v>58.78</v>
      </c>
      <c r="N894" s="3">
        <f>IFERROR(__xludf.DUMMYFUNCTION("""COMPUTED_VALUE"""),45495.66666666667)</f>
        <v>45495.66667</v>
      </c>
      <c r="O894" s="2">
        <f>IFERROR(__xludf.DUMMYFUNCTION("""COMPUTED_VALUE"""),35.33)</f>
        <v>35.33</v>
      </c>
      <c r="Q894" s="3">
        <f>IFERROR(__xludf.DUMMYFUNCTION("""COMPUTED_VALUE"""),45495.66666666667)</f>
        <v>45495.66667</v>
      </c>
      <c r="R894" s="2">
        <f>IFERROR(__xludf.DUMMYFUNCTION("""COMPUTED_VALUE"""),168.25)</f>
        <v>168.25</v>
      </c>
    </row>
    <row r="895">
      <c r="B895" s="3">
        <f>IFERROR(__xludf.DUMMYFUNCTION("""COMPUTED_VALUE"""),45496.66666666667)</f>
        <v>45496.66667</v>
      </c>
      <c r="C895" s="2">
        <f>IFERROR(__xludf.DUMMYFUNCTION("""COMPUTED_VALUE"""),46.36)</f>
        <v>46.36</v>
      </c>
      <c r="K895" s="3">
        <f>IFERROR(__xludf.DUMMYFUNCTION("""COMPUTED_VALUE"""),45491.6875)</f>
        <v>45491.6875</v>
      </c>
      <c r="L895" s="2">
        <f>IFERROR(__xludf.DUMMYFUNCTION("""COMPUTED_VALUE"""),59.2)</f>
        <v>59.2</v>
      </c>
      <c r="N895" s="3">
        <f>IFERROR(__xludf.DUMMYFUNCTION("""COMPUTED_VALUE"""),45496.66666666667)</f>
        <v>45496.66667</v>
      </c>
      <c r="O895" s="2">
        <f>IFERROR(__xludf.DUMMYFUNCTION("""COMPUTED_VALUE"""),34.95)</f>
        <v>34.95</v>
      </c>
      <c r="Q895" s="3">
        <f>IFERROR(__xludf.DUMMYFUNCTION("""COMPUTED_VALUE"""),45496.66666666667)</f>
        <v>45496.66667</v>
      </c>
      <c r="R895" s="2">
        <f>IFERROR(__xludf.DUMMYFUNCTION("""COMPUTED_VALUE"""),166.62)</f>
        <v>166.62</v>
      </c>
    </row>
    <row r="896">
      <c r="B896" s="3">
        <f>IFERROR(__xludf.DUMMYFUNCTION("""COMPUTED_VALUE"""),45497.66666666667)</f>
        <v>45497.66667</v>
      </c>
      <c r="C896" s="2">
        <f>IFERROR(__xludf.DUMMYFUNCTION("""COMPUTED_VALUE"""),46.85)</f>
        <v>46.85</v>
      </c>
      <c r="K896" s="3">
        <f>IFERROR(__xludf.DUMMYFUNCTION("""COMPUTED_VALUE"""),45492.6875)</f>
        <v>45492.6875</v>
      </c>
      <c r="L896" s="2">
        <f>IFERROR(__xludf.DUMMYFUNCTION("""COMPUTED_VALUE"""),59.14)</f>
        <v>59.14</v>
      </c>
      <c r="N896" s="3">
        <f>IFERROR(__xludf.DUMMYFUNCTION("""COMPUTED_VALUE"""),45497.66666666667)</f>
        <v>45497.66667</v>
      </c>
      <c r="O896" s="2">
        <f>IFERROR(__xludf.DUMMYFUNCTION("""COMPUTED_VALUE"""),34.65)</f>
        <v>34.65</v>
      </c>
      <c r="Q896" s="3">
        <f>IFERROR(__xludf.DUMMYFUNCTION("""COMPUTED_VALUE"""),45497.66666666667)</f>
        <v>45497.66667</v>
      </c>
      <c r="R896" s="2">
        <f>IFERROR(__xludf.DUMMYFUNCTION("""COMPUTED_VALUE"""),168.0)</f>
        <v>168</v>
      </c>
    </row>
    <row r="897">
      <c r="B897" s="3">
        <f>IFERROR(__xludf.DUMMYFUNCTION("""COMPUTED_VALUE"""),45498.66666666667)</f>
        <v>45498.66667</v>
      </c>
      <c r="C897" s="2">
        <f>IFERROR(__xludf.DUMMYFUNCTION("""COMPUTED_VALUE"""),47.24)</f>
        <v>47.24</v>
      </c>
      <c r="K897" s="3">
        <f>IFERROR(__xludf.DUMMYFUNCTION("""COMPUTED_VALUE"""),45495.6875)</f>
        <v>45495.6875</v>
      </c>
      <c r="L897" s="2">
        <f>IFERROR(__xludf.DUMMYFUNCTION("""COMPUTED_VALUE"""),58.98)</f>
        <v>58.98</v>
      </c>
      <c r="N897" s="3">
        <f>IFERROR(__xludf.DUMMYFUNCTION("""COMPUTED_VALUE"""),45498.66666666667)</f>
        <v>45498.66667</v>
      </c>
      <c r="O897" s="2">
        <f>IFERROR(__xludf.DUMMYFUNCTION("""COMPUTED_VALUE"""),35.18)</f>
        <v>35.18</v>
      </c>
      <c r="Q897" s="3">
        <f>IFERROR(__xludf.DUMMYFUNCTION("""COMPUTED_VALUE"""),45498.66666666667)</f>
        <v>45498.66667</v>
      </c>
      <c r="R897" s="2">
        <f>IFERROR(__xludf.DUMMYFUNCTION("""COMPUTED_VALUE"""),166.9)</f>
        <v>166.9</v>
      </c>
    </row>
    <row r="898">
      <c r="B898" s="3">
        <f>IFERROR(__xludf.DUMMYFUNCTION("""COMPUTED_VALUE"""),45499.66666666667)</f>
        <v>45499.66667</v>
      </c>
      <c r="C898" s="2">
        <f>IFERROR(__xludf.DUMMYFUNCTION("""COMPUTED_VALUE"""),47.88)</f>
        <v>47.88</v>
      </c>
      <c r="K898" s="3">
        <f>IFERROR(__xludf.DUMMYFUNCTION("""COMPUTED_VALUE"""),45496.6875)</f>
        <v>45496.6875</v>
      </c>
      <c r="L898" s="2">
        <f>IFERROR(__xludf.DUMMYFUNCTION("""COMPUTED_VALUE"""),59.52)</f>
        <v>59.52</v>
      </c>
      <c r="N898" s="3">
        <f>IFERROR(__xludf.DUMMYFUNCTION("""COMPUTED_VALUE"""),45499.66666666667)</f>
        <v>45499.66667</v>
      </c>
      <c r="O898" s="2">
        <f>IFERROR(__xludf.DUMMYFUNCTION("""COMPUTED_VALUE"""),35.25)</f>
        <v>35.25</v>
      </c>
      <c r="Q898" s="3">
        <f>IFERROR(__xludf.DUMMYFUNCTION("""COMPUTED_VALUE"""),45499.66666666667)</f>
        <v>45499.66667</v>
      </c>
      <c r="R898" s="2">
        <f>IFERROR(__xludf.DUMMYFUNCTION("""COMPUTED_VALUE"""),169.11)</f>
        <v>169.11</v>
      </c>
    </row>
    <row r="899">
      <c r="B899" s="3">
        <f>IFERROR(__xludf.DUMMYFUNCTION("""COMPUTED_VALUE"""),45502.66666666667)</f>
        <v>45502.66667</v>
      </c>
      <c r="C899" s="2">
        <f>IFERROR(__xludf.DUMMYFUNCTION("""COMPUTED_VALUE"""),47.99)</f>
        <v>47.99</v>
      </c>
      <c r="K899" s="3">
        <f>IFERROR(__xludf.DUMMYFUNCTION("""COMPUTED_VALUE"""),45497.6875)</f>
        <v>45497.6875</v>
      </c>
      <c r="L899" s="2">
        <f>IFERROR(__xludf.DUMMYFUNCTION("""COMPUTED_VALUE"""),59.66)</f>
        <v>59.66</v>
      </c>
      <c r="N899" s="3">
        <f>IFERROR(__xludf.DUMMYFUNCTION("""COMPUTED_VALUE"""),45502.66666666667)</f>
        <v>45502.66667</v>
      </c>
      <c r="O899" s="2">
        <f>IFERROR(__xludf.DUMMYFUNCTION("""COMPUTED_VALUE"""),34.96)</f>
        <v>34.96</v>
      </c>
      <c r="Q899" s="3">
        <f>IFERROR(__xludf.DUMMYFUNCTION("""COMPUTED_VALUE"""),45502.66666666667)</f>
        <v>45502.66667</v>
      </c>
      <c r="R899" s="2">
        <f>IFERROR(__xludf.DUMMYFUNCTION("""COMPUTED_VALUE"""),169.93)</f>
        <v>169.93</v>
      </c>
    </row>
    <row r="900">
      <c r="B900" s="3">
        <f>IFERROR(__xludf.DUMMYFUNCTION("""COMPUTED_VALUE"""),45503.66666666667)</f>
        <v>45503.66667</v>
      </c>
      <c r="C900" s="2">
        <f>IFERROR(__xludf.DUMMYFUNCTION("""COMPUTED_VALUE"""),48.14)</f>
        <v>48.14</v>
      </c>
      <c r="K900" s="3">
        <f>IFERROR(__xludf.DUMMYFUNCTION("""COMPUTED_VALUE"""),45498.6875)</f>
        <v>45498.6875</v>
      </c>
      <c r="L900" s="2">
        <f>IFERROR(__xludf.DUMMYFUNCTION("""COMPUTED_VALUE"""),60.64)</f>
        <v>60.64</v>
      </c>
      <c r="N900" s="3">
        <f>IFERROR(__xludf.DUMMYFUNCTION("""COMPUTED_VALUE"""),45503.66666666667)</f>
        <v>45503.66667</v>
      </c>
      <c r="O900" s="2">
        <f>IFERROR(__xludf.DUMMYFUNCTION("""COMPUTED_VALUE"""),34.81)</f>
        <v>34.81</v>
      </c>
      <c r="Q900" s="3">
        <f>IFERROR(__xludf.DUMMYFUNCTION("""COMPUTED_VALUE"""),45503.66666666667)</f>
        <v>45503.66667</v>
      </c>
      <c r="R900" s="2">
        <f>IFERROR(__xludf.DUMMYFUNCTION("""COMPUTED_VALUE"""),161.7)</f>
        <v>161.7</v>
      </c>
    </row>
    <row r="901">
      <c r="B901" s="3">
        <f>IFERROR(__xludf.DUMMYFUNCTION("""COMPUTED_VALUE"""),45504.66666666667)</f>
        <v>45504.66667</v>
      </c>
      <c r="C901" s="2">
        <f>IFERROR(__xludf.DUMMYFUNCTION("""COMPUTED_VALUE"""),48.45)</f>
        <v>48.45</v>
      </c>
      <c r="K901" s="3">
        <f>IFERROR(__xludf.DUMMYFUNCTION("""COMPUTED_VALUE"""),45499.6875)</f>
        <v>45499.6875</v>
      </c>
      <c r="L901" s="2">
        <f>IFERROR(__xludf.DUMMYFUNCTION("""COMPUTED_VALUE"""),60.66)</f>
        <v>60.66</v>
      </c>
      <c r="N901" s="3">
        <f>IFERROR(__xludf.DUMMYFUNCTION("""COMPUTED_VALUE"""),45504.66666666667)</f>
        <v>45504.66667</v>
      </c>
      <c r="O901" s="2">
        <f>IFERROR(__xludf.DUMMYFUNCTION("""COMPUTED_VALUE"""),35.39)</f>
        <v>35.39</v>
      </c>
      <c r="Q901" s="3">
        <f>IFERROR(__xludf.DUMMYFUNCTION("""COMPUTED_VALUE"""),45504.66666666667)</f>
        <v>45504.66667</v>
      </c>
      <c r="R901" s="2">
        <f>IFERROR(__xludf.DUMMYFUNCTION("""COMPUTED_VALUE"""),160.76)</f>
        <v>160.76</v>
      </c>
    </row>
    <row r="902">
      <c r="B902" s="3">
        <f>IFERROR(__xludf.DUMMYFUNCTION("""COMPUTED_VALUE"""),45505.66666666667)</f>
        <v>45505.66667</v>
      </c>
      <c r="C902" s="2">
        <f>IFERROR(__xludf.DUMMYFUNCTION("""COMPUTED_VALUE"""),47.39)</f>
        <v>47.39</v>
      </c>
      <c r="K902" s="3">
        <f>IFERROR(__xludf.DUMMYFUNCTION("""COMPUTED_VALUE"""),45502.6875)</f>
        <v>45502.6875</v>
      </c>
      <c r="L902" s="2">
        <f>IFERROR(__xludf.DUMMYFUNCTION("""COMPUTED_VALUE"""),61.1)</f>
        <v>61.1</v>
      </c>
      <c r="N902" s="3">
        <f>IFERROR(__xludf.DUMMYFUNCTION("""COMPUTED_VALUE"""),45505.66666666667)</f>
        <v>45505.66667</v>
      </c>
      <c r="O902" s="2">
        <f>IFERROR(__xludf.DUMMYFUNCTION("""COMPUTED_VALUE"""),34.76)</f>
        <v>34.76</v>
      </c>
      <c r="Q902" s="3">
        <f>IFERROR(__xludf.DUMMYFUNCTION("""COMPUTED_VALUE"""),45505.66666666667)</f>
        <v>45505.66667</v>
      </c>
      <c r="R902" s="2">
        <f>IFERROR(__xludf.DUMMYFUNCTION("""COMPUTED_VALUE"""),165.69)</f>
        <v>165.69</v>
      </c>
    </row>
    <row r="903">
      <c r="B903" s="3">
        <f>IFERROR(__xludf.DUMMYFUNCTION("""COMPUTED_VALUE"""),45506.66666666667)</f>
        <v>45506.66667</v>
      </c>
      <c r="C903" s="2">
        <f>IFERROR(__xludf.DUMMYFUNCTION("""COMPUTED_VALUE"""),46.66)</f>
        <v>46.66</v>
      </c>
      <c r="K903" s="3">
        <f>IFERROR(__xludf.DUMMYFUNCTION("""COMPUTED_VALUE"""),45503.6875)</f>
        <v>45503.6875</v>
      </c>
      <c r="L903" s="2">
        <f>IFERROR(__xludf.DUMMYFUNCTION("""COMPUTED_VALUE"""),59.7)</f>
        <v>59.7</v>
      </c>
      <c r="N903" s="3">
        <f>IFERROR(__xludf.DUMMYFUNCTION("""COMPUTED_VALUE"""),45506.66666666667)</f>
        <v>45506.66667</v>
      </c>
      <c r="O903" s="2">
        <f>IFERROR(__xludf.DUMMYFUNCTION("""COMPUTED_VALUE"""),34.08)</f>
        <v>34.08</v>
      </c>
      <c r="Q903" s="3">
        <f>IFERROR(__xludf.DUMMYFUNCTION("""COMPUTED_VALUE"""),45506.66666666667)</f>
        <v>45506.66667</v>
      </c>
      <c r="R903" s="2">
        <f>IFERROR(__xludf.DUMMYFUNCTION("""COMPUTED_VALUE"""),170.08)</f>
        <v>170.08</v>
      </c>
    </row>
    <row r="904">
      <c r="B904" s="3">
        <f>IFERROR(__xludf.DUMMYFUNCTION("""COMPUTED_VALUE"""),45509.66666666667)</f>
        <v>45509.66667</v>
      </c>
      <c r="C904" s="2">
        <f>IFERROR(__xludf.DUMMYFUNCTION("""COMPUTED_VALUE"""),44.74)</f>
        <v>44.74</v>
      </c>
      <c r="K904" s="3">
        <f>IFERROR(__xludf.DUMMYFUNCTION("""COMPUTED_VALUE"""),45504.6875)</f>
        <v>45504.6875</v>
      </c>
      <c r="L904" s="2">
        <f>IFERROR(__xludf.DUMMYFUNCTION("""COMPUTED_VALUE"""),59.58)</f>
        <v>59.58</v>
      </c>
      <c r="N904" s="3">
        <f>IFERROR(__xludf.DUMMYFUNCTION("""COMPUTED_VALUE"""),45509.66666666667)</f>
        <v>45509.66667</v>
      </c>
      <c r="O904" s="2">
        <f>IFERROR(__xludf.DUMMYFUNCTION("""COMPUTED_VALUE"""),32.99)</f>
        <v>32.99</v>
      </c>
      <c r="Q904" s="3">
        <f>IFERROR(__xludf.DUMMYFUNCTION("""COMPUTED_VALUE"""),45509.66666666667)</f>
        <v>45509.66667</v>
      </c>
      <c r="R904" s="2">
        <f>IFERROR(__xludf.DUMMYFUNCTION("""COMPUTED_VALUE"""),168.06)</f>
        <v>168.06</v>
      </c>
    </row>
    <row r="905">
      <c r="B905" s="3">
        <f>IFERROR(__xludf.DUMMYFUNCTION("""COMPUTED_VALUE"""),45510.66666666667)</f>
        <v>45510.66667</v>
      </c>
      <c r="C905" s="2">
        <f>IFERROR(__xludf.DUMMYFUNCTION("""COMPUTED_VALUE"""),45.16)</f>
        <v>45.16</v>
      </c>
      <c r="K905" s="3">
        <f>IFERROR(__xludf.DUMMYFUNCTION("""COMPUTED_VALUE"""),45505.6875)</f>
        <v>45505.6875</v>
      </c>
      <c r="L905" s="2">
        <f>IFERROR(__xludf.DUMMYFUNCTION("""COMPUTED_VALUE"""),56.16)</f>
        <v>56.16</v>
      </c>
      <c r="N905" s="3">
        <f>IFERROR(__xludf.DUMMYFUNCTION("""COMPUTED_VALUE"""),45510.66666666667)</f>
        <v>45510.66667</v>
      </c>
      <c r="O905" s="2">
        <f>IFERROR(__xludf.DUMMYFUNCTION("""COMPUTED_VALUE"""),32.94)</f>
        <v>32.94</v>
      </c>
      <c r="Q905" s="3">
        <f>IFERROR(__xludf.DUMMYFUNCTION("""COMPUTED_VALUE"""),45510.66666666667)</f>
        <v>45510.66667</v>
      </c>
      <c r="R905" s="2">
        <f>IFERROR(__xludf.DUMMYFUNCTION("""COMPUTED_VALUE"""),168.09)</f>
        <v>168.09</v>
      </c>
    </row>
    <row r="906">
      <c r="B906" s="3">
        <f>IFERROR(__xludf.DUMMYFUNCTION("""COMPUTED_VALUE"""),45511.66666666667)</f>
        <v>45511.66667</v>
      </c>
      <c r="C906" s="2">
        <f>IFERROR(__xludf.DUMMYFUNCTION("""COMPUTED_VALUE"""),45.12)</f>
        <v>45.12</v>
      </c>
      <c r="K906" s="3">
        <f>IFERROR(__xludf.DUMMYFUNCTION("""COMPUTED_VALUE"""),45506.6875)</f>
        <v>45506.6875</v>
      </c>
      <c r="L906" s="2">
        <f>IFERROR(__xludf.DUMMYFUNCTION("""COMPUTED_VALUE"""),55.34)</f>
        <v>55.34</v>
      </c>
      <c r="N906" s="3">
        <f>IFERROR(__xludf.DUMMYFUNCTION("""COMPUTED_VALUE"""),45511.66666666667)</f>
        <v>45511.66667</v>
      </c>
      <c r="O906" s="2">
        <f>IFERROR(__xludf.DUMMYFUNCTION("""COMPUTED_VALUE"""),33.05)</f>
        <v>33.05</v>
      </c>
      <c r="Q906" s="3">
        <f>IFERROR(__xludf.DUMMYFUNCTION("""COMPUTED_VALUE"""),45511.66666666667)</f>
        <v>45511.66667</v>
      </c>
      <c r="R906" s="2">
        <f>IFERROR(__xludf.DUMMYFUNCTION("""COMPUTED_VALUE"""),170.02)</f>
        <v>170.02</v>
      </c>
    </row>
    <row r="907">
      <c r="B907" s="3">
        <f>IFERROR(__xludf.DUMMYFUNCTION("""COMPUTED_VALUE"""),45512.66666666667)</f>
        <v>45512.66667</v>
      </c>
      <c r="C907" s="2">
        <f>IFERROR(__xludf.DUMMYFUNCTION("""COMPUTED_VALUE"""),45.83)</f>
        <v>45.83</v>
      </c>
      <c r="K907" s="3">
        <f>IFERROR(__xludf.DUMMYFUNCTION("""COMPUTED_VALUE"""),45509.6875)</f>
        <v>45509.6875</v>
      </c>
      <c r="L907" s="2">
        <f>IFERROR(__xludf.DUMMYFUNCTION("""COMPUTED_VALUE"""),54.56)</f>
        <v>54.56</v>
      </c>
      <c r="N907" s="3">
        <f>IFERROR(__xludf.DUMMYFUNCTION("""COMPUTED_VALUE"""),45512.66666666667)</f>
        <v>45512.66667</v>
      </c>
      <c r="O907" s="2">
        <f>IFERROR(__xludf.DUMMYFUNCTION("""COMPUTED_VALUE"""),33.5)</f>
        <v>33.5</v>
      </c>
      <c r="Q907" s="3">
        <f>IFERROR(__xludf.DUMMYFUNCTION("""COMPUTED_VALUE"""),45512.66666666667)</f>
        <v>45512.66667</v>
      </c>
      <c r="R907" s="2">
        <f>IFERROR(__xludf.DUMMYFUNCTION("""COMPUTED_VALUE"""),170.87)</f>
        <v>170.87</v>
      </c>
    </row>
    <row r="908">
      <c r="B908" s="3">
        <f>IFERROR(__xludf.DUMMYFUNCTION("""COMPUTED_VALUE"""),45513.66666666667)</f>
        <v>45513.66667</v>
      </c>
      <c r="C908" s="2">
        <f>IFERROR(__xludf.DUMMYFUNCTION("""COMPUTED_VALUE"""),45.47)</f>
        <v>45.47</v>
      </c>
      <c r="K908" s="3">
        <f>IFERROR(__xludf.DUMMYFUNCTION("""COMPUTED_VALUE"""),45510.6875)</f>
        <v>45510.6875</v>
      </c>
      <c r="L908" s="2">
        <f>IFERROR(__xludf.DUMMYFUNCTION("""COMPUTED_VALUE"""),55.16)</f>
        <v>55.16</v>
      </c>
      <c r="N908" s="3">
        <f>IFERROR(__xludf.DUMMYFUNCTION("""COMPUTED_VALUE"""),45513.66666666667)</f>
        <v>45513.66667</v>
      </c>
      <c r="O908" s="2">
        <f>IFERROR(__xludf.DUMMYFUNCTION("""COMPUTED_VALUE"""),33.26)</f>
        <v>33.26</v>
      </c>
      <c r="Q908" s="3">
        <f>IFERROR(__xludf.DUMMYFUNCTION("""COMPUTED_VALUE"""),45513.66666666667)</f>
        <v>45513.66667</v>
      </c>
      <c r="R908" s="2">
        <f>IFERROR(__xludf.DUMMYFUNCTION("""COMPUTED_VALUE"""),170.54)</f>
        <v>170.54</v>
      </c>
    </row>
    <row r="909">
      <c r="B909" s="3">
        <f>IFERROR(__xludf.DUMMYFUNCTION("""COMPUTED_VALUE"""),45516.66666666667)</f>
        <v>45516.66667</v>
      </c>
      <c r="C909" s="2">
        <f>IFERROR(__xludf.DUMMYFUNCTION("""COMPUTED_VALUE"""),44.86)</f>
        <v>44.86</v>
      </c>
      <c r="K909" s="3">
        <f>IFERROR(__xludf.DUMMYFUNCTION("""COMPUTED_VALUE"""),45511.6875)</f>
        <v>45511.6875</v>
      </c>
      <c r="L909" s="2">
        <f>IFERROR(__xludf.DUMMYFUNCTION("""COMPUTED_VALUE"""),57.0)</f>
        <v>57</v>
      </c>
      <c r="N909" s="3">
        <f>IFERROR(__xludf.DUMMYFUNCTION("""COMPUTED_VALUE"""),45516.66666666667)</f>
        <v>45516.66667</v>
      </c>
      <c r="O909" s="2">
        <f>IFERROR(__xludf.DUMMYFUNCTION("""COMPUTED_VALUE"""),33.65)</f>
        <v>33.65</v>
      </c>
      <c r="Q909" s="3">
        <f>IFERROR(__xludf.DUMMYFUNCTION("""COMPUTED_VALUE"""),45516.66666666667)</f>
        <v>45516.66667</v>
      </c>
      <c r="R909" s="2">
        <f>IFERROR(__xludf.DUMMYFUNCTION("""COMPUTED_VALUE"""),166.81)</f>
        <v>166.81</v>
      </c>
    </row>
    <row r="910">
      <c r="B910" s="3">
        <f>IFERROR(__xludf.DUMMYFUNCTION("""COMPUTED_VALUE"""),45517.66666666667)</f>
        <v>45517.66667</v>
      </c>
      <c r="C910" s="2">
        <f>IFERROR(__xludf.DUMMYFUNCTION("""COMPUTED_VALUE"""),45.37)</f>
        <v>45.37</v>
      </c>
      <c r="K910" s="3">
        <f>IFERROR(__xludf.DUMMYFUNCTION("""COMPUTED_VALUE"""),45512.6875)</f>
        <v>45512.6875</v>
      </c>
      <c r="L910" s="2">
        <f>IFERROR(__xludf.DUMMYFUNCTION("""COMPUTED_VALUE"""),57.08)</f>
        <v>57.08</v>
      </c>
      <c r="N910" s="3">
        <f>IFERROR(__xludf.DUMMYFUNCTION("""COMPUTED_VALUE"""),45517.66666666667)</f>
        <v>45517.66667</v>
      </c>
      <c r="O910" s="2">
        <f>IFERROR(__xludf.DUMMYFUNCTION("""COMPUTED_VALUE"""),33.71)</f>
        <v>33.71</v>
      </c>
      <c r="Q910" s="3">
        <f>IFERROR(__xludf.DUMMYFUNCTION("""COMPUTED_VALUE"""),45517.66666666667)</f>
        <v>45517.66667</v>
      </c>
      <c r="R910" s="2">
        <f>IFERROR(__xludf.DUMMYFUNCTION("""COMPUTED_VALUE"""),167.29)</f>
        <v>167.29</v>
      </c>
    </row>
    <row r="911">
      <c r="B911" s="3">
        <f>IFERROR(__xludf.DUMMYFUNCTION("""COMPUTED_VALUE"""),45518.66666666667)</f>
        <v>45518.66667</v>
      </c>
      <c r="C911" s="2">
        <f>IFERROR(__xludf.DUMMYFUNCTION("""COMPUTED_VALUE"""),45.44)</f>
        <v>45.44</v>
      </c>
      <c r="K911" s="3">
        <f>IFERROR(__xludf.DUMMYFUNCTION("""COMPUTED_VALUE"""),45513.6875)</f>
        <v>45513.6875</v>
      </c>
      <c r="L911" s="2">
        <f>IFERROR(__xludf.DUMMYFUNCTION("""COMPUTED_VALUE"""),56.96)</f>
        <v>56.96</v>
      </c>
      <c r="N911" s="3">
        <f>IFERROR(__xludf.DUMMYFUNCTION("""COMPUTED_VALUE"""),45518.66666666667)</f>
        <v>45518.66667</v>
      </c>
      <c r="O911" s="2">
        <f>IFERROR(__xludf.DUMMYFUNCTION("""COMPUTED_VALUE"""),33.7)</f>
        <v>33.7</v>
      </c>
      <c r="Q911" s="3">
        <f>IFERROR(__xludf.DUMMYFUNCTION("""COMPUTED_VALUE"""),45518.66666666667)</f>
        <v>45518.66667</v>
      </c>
      <c r="R911" s="2">
        <f>IFERROR(__xludf.DUMMYFUNCTION("""COMPUTED_VALUE"""),168.8)</f>
        <v>168.8</v>
      </c>
    </row>
    <row r="912">
      <c r="B912" s="3">
        <f>IFERROR(__xludf.DUMMYFUNCTION("""COMPUTED_VALUE"""),45519.66666666667)</f>
        <v>45519.66667</v>
      </c>
      <c r="C912" s="2">
        <f>IFERROR(__xludf.DUMMYFUNCTION("""COMPUTED_VALUE"""),48.53)</f>
        <v>48.53</v>
      </c>
      <c r="K912" s="3">
        <f>IFERROR(__xludf.DUMMYFUNCTION("""COMPUTED_VALUE"""),45516.6875)</f>
        <v>45516.6875</v>
      </c>
      <c r="L912" s="2">
        <f>IFERROR(__xludf.DUMMYFUNCTION("""COMPUTED_VALUE"""),56.8)</f>
        <v>56.8</v>
      </c>
      <c r="N912" s="3">
        <f>IFERROR(__xludf.DUMMYFUNCTION("""COMPUTED_VALUE"""),45519.66666666667)</f>
        <v>45519.66667</v>
      </c>
      <c r="O912" s="2">
        <f>IFERROR(__xludf.DUMMYFUNCTION("""COMPUTED_VALUE"""),34.12)</f>
        <v>34.12</v>
      </c>
      <c r="Q912" s="3">
        <f>IFERROR(__xludf.DUMMYFUNCTION("""COMPUTED_VALUE"""),45519.66666666667)</f>
        <v>45519.66667</v>
      </c>
      <c r="R912" s="2">
        <f>IFERROR(__xludf.DUMMYFUNCTION("""COMPUTED_VALUE"""),167.92)</f>
        <v>167.92</v>
      </c>
    </row>
    <row r="913">
      <c r="B913" s="3">
        <f>IFERROR(__xludf.DUMMYFUNCTION("""COMPUTED_VALUE"""),45520.66666666667)</f>
        <v>45520.66667</v>
      </c>
      <c r="C913" s="2">
        <f>IFERROR(__xludf.DUMMYFUNCTION("""COMPUTED_VALUE"""),49.46)</f>
        <v>49.46</v>
      </c>
      <c r="K913" s="3">
        <f>IFERROR(__xludf.DUMMYFUNCTION("""COMPUTED_VALUE"""),45517.6875)</f>
        <v>45517.6875</v>
      </c>
      <c r="L913" s="2">
        <f>IFERROR(__xludf.DUMMYFUNCTION("""COMPUTED_VALUE"""),56.9)</f>
        <v>56.9</v>
      </c>
      <c r="N913" s="3">
        <f>IFERROR(__xludf.DUMMYFUNCTION("""COMPUTED_VALUE"""),45520.66666666667)</f>
        <v>45520.66667</v>
      </c>
      <c r="O913" s="2">
        <f>IFERROR(__xludf.DUMMYFUNCTION("""COMPUTED_VALUE"""),34.11)</f>
        <v>34.11</v>
      </c>
      <c r="Q913" s="3">
        <f>IFERROR(__xludf.DUMMYFUNCTION("""COMPUTED_VALUE"""),45520.66666666667)</f>
        <v>45520.66667</v>
      </c>
      <c r="R913" s="2">
        <f>IFERROR(__xludf.DUMMYFUNCTION("""COMPUTED_VALUE"""),167.89)</f>
        <v>167.89</v>
      </c>
    </row>
    <row r="914">
      <c r="B914" s="3">
        <f>IFERROR(__xludf.DUMMYFUNCTION("""COMPUTED_VALUE"""),45523.66666666667)</f>
        <v>45523.66667</v>
      </c>
      <c r="C914" s="2">
        <f>IFERROR(__xludf.DUMMYFUNCTION("""COMPUTED_VALUE"""),49.98)</f>
        <v>49.98</v>
      </c>
      <c r="K914" s="3">
        <f>IFERROR(__xludf.DUMMYFUNCTION("""COMPUTED_VALUE"""),45518.6875)</f>
        <v>45518.6875</v>
      </c>
      <c r="L914" s="2">
        <f>IFERROR(__xludf.DUMMYFUNCTION("""COMPUTED_VALUE"""),57.32)</f>
        <v>57.32</v>
      </c>
      <c r="N914" s="3">
        <f>IFERROR(__xludf.DUMMYFUNCTION("""COMPUTED_VALUE"""),45523.66666666667)</f>
        <v>45523.66667</v>
      </c>
      <c r="O914" s="2">
        <f>IFERROR(__xludf.DUMMYFUNCTION("""COMPUTED_VALUE"""),34.14)</f>
        <v>34.14</v>
      </c>
      <c r="Q914" s="3">
        <f>IFERROR(__xludf.DUMMYFUNCTION("""COMPUTED_VALUE"""),45523.66666666667)</f>
        <v>45523.66667</v>
      </c>
      <c r="R914" s="2">
        <f>IFERROR(__xludf.DUMMYFUNCTION("""COMPUTED_VALUE"""),168.42)</f>
        <v>168.42</v>
      </c>
    </row>
    <row r="915">
      <c r="B915" s="3">
        <f>IFERROR(__xludf.DUMMYFUNCTION("""COMPUTED_VALUE"""),45524.66666666667)</f>
        <v>45524.66667</v>
      </c>
      <c r="C915" s="2">
        <f>IFERROR(__xludf.DUMMYFUNCTION("""COMPUTED_VALUE"""),50.24)</f>
        <v>50.24</v>
      </c>
      <c r="K915" s="3">
        <f>IFERROR(__xludf.DUMMYFUNCTION("""COMPUTED_VALUE"""),45519.6875)</f>
        <v>45519.6875</v>
      </c>
      <c r="L915" s="2">
        <f>IFERROR(__xludf.DUMMYFUNCTION("""COMPUTED_VALUE"""),58.48)</f>
        <v>58.48</v>
      </c>
      <c r="N915" s="3">
        <f>IFERROR(__xludf.DUMMYFUNCTION("""COMPUTED_VALUE"""),45524.66666666667)</f>
        <v>45524.66667</v>
      </c>
      <c r="O915" s="2">
        <f>IFERROR(__xludf.DUMMYFUNCTION("""COMPUTED_VALUE"""),33.38)</f>
        <v>33.38</v>
      </c>
      <c r="Q915" s="3">
        <f>IFERROR(__xludf.DUMMYFUNCTION("""COMPUTED_VALUE"""),45524.66666666667)</f>
        <v>45524.66667</v>
      </c>
      <c r="R915" s="2">
        <f>IFERROR(__xludf.DUMMYFUNCTION("""COMPUTED_VALUE"""),170.41)</f>
        <v>170.41</v>
      </c>
    </row>
    <row r="916">
      <c r="B916" s="3">
        <f>IFERROR(__xludf.DUMMYFUNCTION("""COMPUTED_VALUE"""),45525.66666666667)</f>
        <v>45525.66667</v>
      </c>
      <c r="C916" s="2">
        <f>IFERROR(__xludf.DUMMYFUNCTION("""COMPUTED_VALUE"""),50.45)</f>
        <v>50.45</v>
      </c>
      <c r="K916" s="3">
        <f>IFERROR(__xludf.DUMMYFUNCTION("""COMPUTED_VALUE"""),45520.6875)</f>
        <v>45520.6875</v>
      </c>
      <c r="L916" s="2">
        <f>IFERROR(__xludf.DUMMYFUNCTION("""COMPUTED_VALUE"""),58.9)</f>
        <v>58.9</v>
      </c>
      <c r="N916" s="3">
        <f>IFERROR(__xludf.DUMMYFUNCTION("""COMPUTED_VALUE"""),45525.66666666667)</f>
        <v>45525.66667</v>
      </c>
      <c r="O916" s="2">
        <f>IFERROR(__xludf.DUMMYFUNCTION("""COMPUTED_VALUE"""),33.52)</f>
        <v>33.52</v>
      </c>
      <c r="Q916" s="3">
        <f>IFERROR(__xludf.DUMMYFUNCTION("""COMPUTED_VALUE"""),45525.66666666667)</f>
        <v>45525.66667</v>
      </c>
      <c r="R916" s="2">
        <f>IFERROR(__xludf.DUMMYFUNCTION("""COMPUTED_VALUE"""),170.16)</f>
        <v>170.16</v>
      </c>
    </row>
    <row r="917">
      <c r="B917" s="3">
        <f>IFERROR(__xludf.DUMMYFUNCTION("""COMPUTED_VALUE"""),45526.66666666667)</f>
        <v>45526.66667</v>
      </c>
      <c r="C917" s="2">
        <f>IFERROR(__xludf.DUMMYFUNCTION("""COMPUTED_VALUE"""),50.22)</f>
        <v>50.22</v>
      </c>
      <c r="K917" s="3">
        <f>IFERROR(__xludf.DUMMYFUNCTION("""COMPUTED_VALUE"""),45523.6875)</f>
        <v>45523.6875</v>
      </c>
      <c r="L917" s="2">
        <f>IFERROR(__xludf.DUMMYFUNCTION("""COMPUTED_VALUE"""),59.22)</f>
        <v>59.22</v>
      </c>
      <c r="N917" s="3">
        <f>IFERROR(__xludf.DUMMYFUNCTION("""COMPUTED_VALUE"""),45526.66666666667)</f>
        <v>45526.66667</v>
      </c>
      <c r="O917" s="2">
        <f>IFERROR(__xludf.DUMMYFUNCTION("""COMPUTED_VALUE"""),33.5)</f>
        <v>33.5</v>
      </c>
      <c r="Q917" s="3">
        <f>IFERROR(__xludf.DUMMYFUNCTION("""COMPUTED_VALUE"""),45526.66666666667)</f>
        <v>45526.66667</v>
      </c>
      <c r="R917" s="2">
        <f>IFERROR(__xludf.DUMMYFUNCTION("""COMPUTED_VALUE"""),170.15)</f>
        <v>170.15</v>
      </c>
    </row>
    <row r="918">
      <c r="B918" s="3">
        <f>IFERROR(__xludf.DUMMYFUNCTION("""COMPUTED_VALUE"""),45527.66666666667)</f>
        <v>45527.66667</v>
      </c>
      <c r="C918" s="2">
        <f>IFERROR(__xludf.DUMMYFUNCTION("""COMPUTED_VALUE"""),50.74)</f>
        <v>50.74</v>
      </c>
      <c r="K918" s="3">
        <f>IFERROR(__xludf.DUMMYFUNCTION("""COMPUTED_VALUE"""),45524.6875)</f>
        <v>45524.6875</v>
      </c>
      <c r="L918" s="2">
        <f>IFERROR(__xludf.DUMMYFUNCTION("""COMPUTED_VALUE"""),58.38)</f>
        <v>58.38</v>
      </c>
      <c r="N918" s="3">
        <f>IFERROR(__xludf.DUMMYFUNCTION("""COMPUTED_VALUE"""),45527.66666666667)</f>
        <v>45527.66667</v>
      </c>
      <c r="O918" s="2">
        <f>IFERROR(__xludf.DUMMYFUNCTION("""COMPUTED_VALUE"""),34.11)</f>
        <v>34.11</v>
      </c>
      <c r="Q918" s="3">
        <f>IFERROR(__xludf.DUMMYFUNCTION("""COMPUTED_VALUE"""),45527.66666666667)</f>
        <v>45527.66667</v>
      </c>
      <c r="R918" s="2">
        <f>IFERROR(__xludf.DUMMYFUNCTION("""COMPUTED_VALUE"""),169.17)</f>
        <v>169.17</v>
      </c>
    </row>
    <row r="919">
      <c r="B919" s="3">
        <f>IFERROR(__xludf.DUMMYFUNCTION("""COMPUTED_VALUE"""),45530.66666666667)</f>
        <v>45530.66667</v>
      </c>
      <c r="C919" s="2">
        <f>IFERROR(__xludf.DUMMYFUNCTION("""COMPUTED_VALUE"""),50.79)</f>
        <v>50.79</v>
      </c>
      <c r="K919" s="3">
        <f>IFERROR(__xludf.DUMMYFUNCTION("""COMPUTED_VALUE"""),45525.6875)</f>
        <v>45525.6875</v>
      </c>
      <c r="L919" s="2">
        <f>IFERROR(__xludf.DUMMYFUNCTION("""COMPUTED_VALUE"""),58.3)</f>
        <v>58.3</v>
      </c>
      <c r="N919" s="3">
        <f>IFERROR(__xludf.DUMMYFUNCTION("""COMPUTED_VALUE"""),45530.66666666667)</f>
        <v>45530.66667</v>
      </c>
      <c r="O919" s="2">
        <f>IFERROR(__xludf.DUMMYFUNCTION("""COMPUTED_VALUE"""),34.39)</f>
        <v>34.39</v>
      </c>
      <c r="Q919" s="3">
        <f>IFERROR(__xludf.DUMMYFUNCTION("""COMPUTED_VALUE"""),45530.66666666667)</f>
        <v>45530.66667</v>
      </c>
      <c r="R919" s="2">
        <f>IFERROR(__xludf.DUMMYFUNCTION("""COMPUTED_VALUE"""),170.35)</f>
        <v>170.35</v>
      </c>
    </row>
    <row r="920">
      <c r="B920" s="3">
        <f>IFERROR(__xludf.DUMMYFUNCTION("""COMPUTED_VALUE"""),45531.66666666667)</f>
        <v>45531.66667</v>
      </c>
      <c r="C920" s="2">
        <f>IFERROR(__xludf.DUMMYFUNCTION("""COMPUTED_VALUE"""),50.71)</f>
        <v>50.71</v>
      </c>
      <c r="K920" s="3">
        <f>IFERROR(__xludf.DUMMYFUNCTION("""COMPUTED_VALUE"""),45526.6875)</f>
        <v>45526.6875</v>
      </c>
      <c r="L920" s="2">
        <f>IFERROR(__xludf.DUMMYFUNCTION("""COMPUTED_VALUE"""),58.3)</f>
        <v>58.3</v>
      </c>
      <c r="N920" s="3">
        <f>IFERROR(__xludf.DUMMYFUNCTION("""COMPUTED_VALUE"""),45531.66666666667)</f>
        <v>45531.66667</v>
      </c>
      <c r="O920" s="2">
        <f>IFERROR(__xludf.DUMMYFUNCTION("""COMPUTED_VALUE"""),34.38)</f>
        <v>34.38</v>
      </c>
      <c r="Q920" s="3">
        <f>IFERROR(__xludf.DUMMYFUNCTION("""COMPUTED_VALUE"""),45531.66666666667)</f>
        <v>45531.66667</v>
      </c>
      <c r="R920" s="2">
        <f>IFERROR(__xludf.DUMMYFUNCTION("""COMPUTED_VALUE"""),169.25)</f>
        <v>169.25</v>
      </c>
    </row>
    <row r="921">
      <c r="B921" s="3">
        <f>IFERROR(__xludf.DUMMYFUNCTION("""COMPUTED_VALUE"""),45532.66666666667)</f>
        <v>45532.66667</v>
      </c>
      <c r="C921" s="2">
        <f>IFERROR(__xludf.DUMMYFUNCTION("""COMPUTED_VALUE"""),49.85)</f>
        <v>49.85</v>
      </c>
      <c r="K921" s="3">
        <f>IFERROR(__xludf.DUMMYFUNCTION("""COMPUTED_VALUE"""),45527.6875)</f>
        <v>45527.6875</v>
      </c>
      <c r="L921" s="2">
        <f>IFERROR(__xludf.DUMMYFUNCTION("""COMPUTED_VALUE"""),59.4)</f>
        <v>59.4</v>
      </c>
      <c r="N921" s="3">
        <f>IFERROR(__xludf.DUMMYFUNCTION("""COMPUTED_VALUE"""),45532.66666666667)</f>
        <v>45532.66667</v>
      </c>
      <c r="O921" s="2">
        <f>IFERROR(__xludf.DUMMYFUNCTION("""COMPUTED_VALUE"""),34.23)</f>
        <v>34.23</v>
      </c>
      <c r="Q921" s="3">
        <f>IFERROR(__xludf.DUMMYFUNCTION("""COMPUTED_VALUE"""),45532.66666666667)</f>
        <v>45532.66667</v>
      </c>
      <c r="R921" s="2">
        <f>IFERROR(__xludf.DUMMYFUNCTION("""COMPUTED_VALUE"""),169.06)</f>
        <v>169.06</v>
      </c>
    </row>
    <row r="922">
      <c r="B922" s="3">
        <f>IFERROR(__xludf.DUMMYFUNCTION("""COMPUTED_VALUE"""),45533.66666666667)</f>
        <v>45533.66667</v>
      </c>
      <c r="C922" s="2">
        <f>IFERROR(__xludf.DUMMYFUNCTION("""COMPUTED_VALUE"""),50.39)</f>
        <v>50.39</v>
      </c>
      <c r="K922" s="3">
        <f>IFERROR(__xludf.DUMMYFUNCTION("""COMPUTED_VALUE"""),45531.6875)</f>
        <v>45531.6875</v>
      </c>
      <c r="L922" s="2">
        <f>IFERROR(__xludf.DUMMYFUNCTION("""COMPUTED_VALUE"""),59.2)</f>
        <v>59.2</v>
      </c>
      <c r="N922" s="3">
        <f>IFERROR(__xludf.DUMMYFUNCTION("""COMPUTED_VALUE"""),45533.66666666667)</f>
        <v>45533.66667</v>
      </c>
      <c r="O922" s="2">
        <f>IFERROR(__xludf.DUMMYFUNCTION("""COMPUTED_VALUE"""),34.47)</f>
        <v>34.47</v>
      </c>
      <c r="Q922" s="3">
        <f>IFERROR(__xludf.DUMMYFUNCTION("""COMPUTED_VALUE"""),45533.66666666667)</f>
        <v>45533.66667</v>
      </c>
      <c r="R922" s="2">
        <f>IFERROR(__xludf.DUMMYFUNCTION("""COMPUTED_VALUE"""),170.03)</f>
        <v>170.03</v>
      </c>
    </row>
    <row r="923">
      <c r="B923" s="3">
        <f>IFERROR(__xludf.DUMMYFUNCTION("""COMPUTED_VALUE"""),45534.66666666667)</f>
        <v>45534.66667</v>
      </c>
      <c r="C923" s="2">
        <f>IFERROR(__xludf.DUMMYFUNCTION("""COMPUTED_VALUE"""),50.54)</f>
        <v>50.54</v>
      </c>
      <c r="K923" s="3">
        <f>IFERROR(__xludf.DUMMYFUNCTION("""COMPUTED_VALUE"""),45532.6875)</f>
        <v>45532.6875</v>
      </c>
      <c r="L923" s="2">
        <f>IFERROR(__xludf.DUMMYFUNCTION("""COMPUTED_VALUE"""),58.18)</f>
        <v>58.18</v>
      </c>
      <c r="N923" s="3">
        <f>IFERROR(__xludf.DUMMYFUNCTION("""COMPUTED_VALUE"""),45534.66666666667)</f>
        <v>45534.66667</v>
      </c>
      <c r="O923" s="2">
        <f>IFERROR(__xludf.DUMMYFUNCTION("""COMPUTED_VALUE"""),33.96)</f>
        <v>33.96</v>
      </c>
      <c r="Q923" s="3">
        <f>IFERROR(__xludf.DUMMYFUNCTION("""COMPUTED_VALUE"""),45534.66666666667)</f>
        <v>45534.66667</v>
      </c>
      <c r="R923" s="2">
        <f>IFERROR(__xludf.DUMMYFUNCTION("""COMPUTED_VALUE"""),171.54)</f>
        <v>171.54</v>
      </c>
    </row>
    <row r="924">
      <c r="B924" s="3">
        <f>IFERROR(__xludf.DUMMYFUNCTION("""COMPUTED_VALUE"""),45538.66666666667)</f>
        <v>45538.66667</v>
      </c>
      <c r="C924" s="2">
        <f>IFERROR(__xludf.DUMMYFUNCTION("""COMPUTED_VALUE"""),50.06)</f>
        <v>50.06</v>
      </c>
      <c r="K924" s="3">
        <f>IFERROR(__xludf.DUMMYFUNCTION("""COMPUTED_VALUE"""),45533.6875)</f>
        <v>45533.6875</v>
      </c>
      <c r="L924" s="2">
        <f>IFERROR(__xludf.DUMMYFUNCTION("""COMPUTED_VALUE"""),58.34)</f>
        <v>58.34</v>
      </c>
      <c r="N924" s="3">
        <f>IFERROR(__xludf.DUMMYFUNCTION("""COMPUTED_VALUE"""),45538.66666666667)</f>
        <v>45538.66667</v>
      </c>
      <c r="O924" s="2">
        <f>IFERROR(__xludf.DUMMYFUNCTION("""COMPUTED_VALUE"""),32.87)</f>
        <v>32.87</v>
      </c>
      <c r="Q924" s="3">
        <f>IFERROR(__xludf.DUMMYFUNCTION("""COMPUTED_VALUE"""),45538.66666666667)</f>
        <v>45538.66667</v>
      </c>
      <c r="R924" s="2">
        <f>IFERROR(__xludf.DUMMYFUNCTION("""COMPUTED_VALUE"""),174.52)</f>
        <v>174.52</v>
      </c>
    </row>
    <row r="925">
      <c r="B925" s="3">
        <f>IFERROR(__xludf.DUMMYFUNCTION("""COMPUTED_VALUE"""),45539.66666666667)</f>
        <v>45539.66667</v>
      </c>
      <c r="C925" s="2">
        <f>IFERROR(__xludf.DUMMYFUNCTION("""COMPUTED_VALUE"""),49.7)</f>
        <v>49.7</v>
      </c>
      <c r="K925" s="3">
        <f>IFERROR(__xludf.DUMMYFUNCTION("""COMPUTED_VALUE"""),45534.6875)</f>
        <v>45534.6875</v>
      </c>
      <c r="L925" s="2">
        <f>IFERROR(__xludf.DUMMYFUNCTION("""COMPUTED_VALUE"""),58.5)</f>
        <v>58.5</v>
      </c>
      <c r="N925" s="3">
        <f>IFERROR(__xludf.DUMMYFUNCTION("""COMPUTED_VALUE"""),45539.66666666667)</f>
        <v>45539.66667</v>
      </c>
      <c r="O925" s="2">
        <f>IFERROR(__xludf.DUMMYFUNCTION("""COMPUTED_VALUE"""),32.41)</f>
        <v>32.41</v>
      </c>
      <c r="Q925" s="3">
        <f>IFERROR(__xludf.DUMMYFUNCTION("""COMPUTED_VALUE"""),45539.66666666667)</f>
        <v>45539.66667</v>
      </c>
      <c r="R925" s="2">
        <f>IFERROR(__xludf.DUMMYFUNCTION("""COMPUTED_VALUE"""),175.9)</f>
        <v>175.9</v>
      </c>
    </row>
    <row r="926">
      <c r="B926" s="3">
        <f>IFERROR(__xludf.DUMMYFUNCTION("""COMPUTED_VALUE"""),45540.66666666667)</f>
        <v>45540.66667</v>
      </c>
      <c r="C926" s="2">
        <f>IFERROR(__xludf.DUMMYFUNCTION("""COMPUTED_VALUE"""),49.13)</f>
        <v>49.13</v>
      </c>
      <c r="K926" s="3">
        <f>IFERROR(__xludf.DUMMYFUNCTION("""COMPUTED_VALUE"""),45537.6875)</f>
        <v>45537.6875</v>
      </c>
      <c r="L926" s="2">
        <f>IFERROR(__xludf.DUMMYFUNCTION("""COMPUTED_VALUE"""),58.12)</f>
        <v>58.12</v>
      </c>
      <c r="N926" s="3">
        <f>IFERROR(__xludf.DUMMYFUNCTION("""COMPUTED_VALUE"""),45540.66666666667)</f>
        <v>45540.66667</v>
      </c>
      <c r="O926" s="2">
        <f>IFERROR(__xludf.DUMMYFUNCTION("""COMPUTED_VALUE"""),32.35)</f>
        <v>32.35</v>
      </c>
      <c r="Q926" s="3">
        <f>IFERROR(__xludf.DUMMYFUNCTION("""COMPUTED_VALUE"""),45540.66666666667)</f>
        <v>45540.66667</v>
      </c>
      <c r="R926" s="2">
        <f>IFERROR(__xludf.DUMMYFUNCTION("""COMPUTED_VALUE"""),175.47)</f>
        <v>175.47</v>
      </c>
    </row>
    <row r="927">
      <c r="B927" s="3">
        <f>IFERROR(__xludf.DUMMYFUNCTION("""COMPUTED_VALUE"""),45541.66666666667)</f>
        <v>45541.66667</v>
      </c>
      <c r="C927" s="2">
        <f>IFERROR(__xludf.DUMMYFUNCTION("""COMPUTED_VALUE"""),48.5)</f>
        <v>48.5</v>
      </c>
      <c r="K927" s="3">
        <f>IFERROR(__xludf.DUMMYFUNCTION("""COMPUTED_VALUE"""),45538.6875)</f>
        <v>45538.6875</v>
      </c>
      <c r="L927" s="2">
        <f>IFERROR(__xludf.DUMMYFUNCTION("""COMPUTED_VALUE"""),57.26)</f>
        <v>57.26</v>
      </c>
      <c r="N927" s="3">
        <f>IFERROR(__xludf.DUMMYFUNCTION("""COMPUTED_VALUE"""),45541.66666666667)</f>
        <v>45541.66667</v>
      </c>
      <c r="O927" s="2">
        <f>IFERROR(__xludf.DUMMYFUNCTION("""COMPUTED_VALUE"""),31.9)</f>
        <v>31.9</v>
      </c>
      <c r="Q927" s="3">
        <f>IFERROR(__xludf.DUMMYFUNCTION("""COMPUTED_VALUE"""),45541.66666666667)</f>
        <v>45541.66667</v>
      </c>
      <c r="R927" s="2">
        <f>IFERROR(__xludf.DUMMYFUNCTION("""COMPUTED_VALUE"""),175.59)</f>
        <v>175.59</v>
      </c>
    </row>
    <row r="928">
      <c r="B928" s="3">
        <f>IFERROR(__xludf.DUMMYFUNCTION("""COMPUTED_VALUE"""),45544.66666666667)</f>
        <v>45544.66667</v>
      </c>
      <c r="C928" s="2">
        <f>IFERROR(__xludf.DUMMYFUNCTION("""COMPUTED_VALUE"""),48.7)</f>
        <v>48.7</v>
      </c>
      <c r="K928" s="3">
        <f>IFERROR(__xludf.DUMMYFUNCTION("""COMPUTED_VALUE"""),45539.6875)</f>
        <v>45539.6875</v>
      </c>
      <c r="L928" s="2">
        <f>IFERROR(__xludf.DUMMYFUNCTION("""COMPUTED_VALUE"""),57.06)</f>
        <v>57.06</v>
      </c>
      <c r="N928" s="3">
        <f>IFERROR(__xludf.DUMMYFUNCTION("""COMPUTED_VALUE"""),45544.66666666667)</f>
        <v>45544.66667</v>
      </c>
      <c r="O928" s="2">
        <f>IFERROR(__xludf.DUMMYFUNCTION("""COMPUTED_VALUE"""),31.8)</f>
        <v>31.8</v>
      </c>
      <c r="Q928" s="3">
        <f>IFERROR(__xludf.DUMMYFUNCTION("""COMPUTED_VALUE"""),45544.66666666667)</f>
        <v>45544.66667</v>
      </c>
      <c r="R928" s="2">
        <f>IFERROR(__xludf.DUMMYFUNCTION("""COMPUTED_VALUE"""),176.06)</f>
        <v>176.06</v>
      </c>
    </row>
    <row r="929">
      <c r="B929" s="3">
        <f>IFERROR(__xludf.DUMMYFUNCTION("""COMPUTED_VALUE"""),45545.66666666667)</f>
        <v>45545.66667</v>
      </c>
      <c r="C929" s="2">
        <f>IFERROR(__xludf.DUMMYFUNCTION("""COMPUTED_VALUE"""),48.79)</f>
        <v>48.79</v>
      </c>
      <c r="K929" s="3">
        <f>IFERROR(__xludf.DUMMYFUNCTION("""COMPUTED_VALUE"""),45540.6875)</f>
        <v>45540.6875</v>
      </c>
      <c r="L929" s="2">
        <f>IFERROR(__xludf.DUMMYFUNCTION("""COMPUTED_VALUE"""),57.58)</f>
        <v>57.58</v>
      </c>
      <c r="N929" s="3">
        <f>IFERROR(__xludf.DUMMYFUNCTION("""COMPUTED_VALUE"""),45545.66666666667)</f>
        <v>45545.66667</v>
      </c>
      <c r="O929" s="2">
        <f>IFERROR(__xludf.DUMMYFUNCTION("""COMPUTED_VALUE"""),31.15)</f>
        <v>31.15</v>
      </c>
      <c r="Q929" s="3">
        <f>IFERROR(__xludf.DUMMYFUNCTION("""COMPUTED_VALUE"""),45545.66666666667)</f>
        <v>45545.66667</v>
      </c>
      <c r="R929" s="2">
        <f>IFERROR(__xludf.DUMMYFUNCTION("""COMPUTED_VALUE"""),177.79)</f>
        <v>177.79</v>
      </c>
    </row>
    <row r="930">
      <c r="B930" s="3">
        <f>IFERROR(__xludf.DUMMYFUNCTION("""COMPUTED_VALUE"""),45546.66666666667)</f>
        <v>45546.66667</v>
      </c>
      <c r="C930" s="2">
        <f>IFERROR(__xludf.DUMMYFUNCTION("""COMPUTED_VALUE"""),49.11)</f>
        <v>49.11</v>
      </c>
      <c r="K930" s="3">
        <f>IFERROR(__xludf.DUMMYFUNCTION("""COMPUTED_VALUE"""),45541.6875)</f>
        <v>45541.6875</v>
      </c>
      <c r="L930" s="2">
        <f>IFERROR(__xludf.DUMMYFUNCTION("""COMPUTED_VALUE"""),56.42)</f>
        <v>56.42</v>
      </c>
      <c r="N930" s="3">
        <f>IFERROR(__xludf.DUMMYFUNCTION("""COMPUTED_VALUE"""),45546.66666666667)</f>
        <v>45546.66667</v>
      </c>
      <c r="O930" s="2">
        <f>IFERROR(__xludf.DUMMYFUNCTION("""COMPUTED_VALUE"""),31.29)</f>
        <v>31.29</v>
      </c>
      <c r="Q930" s="3">
        <f>IFERROR(__xludf.DUMMYFUNCTION("""COMPUTED_VALUE"""),45546.66666666667)</f>
        <v>45546.66667</v>
      </c>
      <c r="R930" s="2">
        <f>IFERROR(__xludf.DUMMYFUNCTION("""COMPUTED_VALUE"""),173.92)</f>
        <v>173.92</v>
      </c>
    </row>
    <row r="931">
      <c r="B931" s="3">
        <f>IFERROR(__xludf.DUMMYFUNCTION("""COMPUTED_VALUE"""),45547.66666666667)</f>
        <v>45547.66667</v>
      </c>
      <c r="C931" s="2">
        <f>IFERROR(__xludf.DUMMYFUNCTION("""COMPUTED_VALUE"""),49.61)</f>
        <v>49.61</v>
      </c>
      <c r="K931" s="3">
        <f>IFERROR(__xludf.DUMMYFUNCTION("""COMPUTED_VALUE"""),45544.6875)</f>
        <v>45544.6875</v>
      </c>
      <c r="L931" s="2">
        <f>IFERROR(__xludf.DUMMYFUNCTION("""COMPUTED_VALUE"""),57.26)</f>
        <v>57.26</v>
      </c>
      <c r="N931" s="3">
        <f>IFERROR(__xludf.DUMMYFUNCTION("""COMPUTED_VALUE"""),45547.66666666667)</f>
        <v>45547.66667</v>
      </c>
      <c r="O931" s="2">
        <f>IFERROR(__xludf.DUMMYFUNCTION("""COMPUTED_VALUE"""),31.58)</f>
        <v>31.58</v>
      </c>
      <c r="Q931" s="3">
        <f>IFERROR(__xludf.DUMMYFUNCTION("""COMPUTED_VALUE"""),45547.66666666667)</f>
        <v>45547.66667</v>
      </c>
      <c r="R931" s="2">
        <f>IFERROR(__xludf.DUMMYFUNCTION("""COMPUTED_VALUE"""),173.47)</f>
        <v>173.47</v>
      </c>
    </row>
    <row r="932">
      <c r="B932" s="3">
        <f>IFERROR(__xludf.DUMMYFUNCTION("""COMPUTED_VALUE"""),45548.66666666667)</f>
        <v>45548.66667</v>
      </c>
      <c r="C932" s="2">
        <f>IFERROR(__xludf.DUMMYFUNCTION("""COMPUTED_VALUE"""),49.8)</f>
        <v>49.8</v>
      </c>
      <c r="K932" s="3">
        <f>IFERROR(__xludf.DUMMYFUNCTION("""COMPUTED_VALUE"""),45545.6875)</f>
        <v>45545.6875</v>
      </c>
      <c r="L932" s="2">
        <f>IFERROR(__xludf.DUMMYFUNCTION("""COMPUTED_VALUE"""),56.48)</f>
        <v>56.48</v>
      </c>
      <c r="N932" s="3">
        <f>IFERROR(__xludf.DUMMYFUNCTION("""COMPUTED_VALUE"""),45548.66666666667)</f>
        <v>45548.66667</v>
      </c>
      <c r="O932" s="2">
        <f>IFERROR(__xludf.DUMMYFUNCTION("""COMPUTED_VALUE"""),31.84)</f>
        <v>31.84</v>
      </c>
      <c r="Q932" s="3">
        <f>IFERROR(__xludf.DUMMYFUNCTION("""COMPUTED_VALUE"""),45548.66666666667)</f>
        <v>45548.66667</v>
      </c>
      <c r="R932" s="2">
        <f>IFERROR(__xludf.DUMMYFUNCTION("""COMPUTED_VALUE"""),174.08)</f>
        <v>174.08</v>
      </c>
    </row>
    <row r="933">
      <c r="B933" s="3">
        <f>IFERROR(__xludf.DUMMYFUNCTION("""COMPUTED_VALUE"""),45551.66666666667)</f>
        <v>45551.66667</v>
      </c>
      <c r="C933" s="2">
        <f>IFERROR(__xludf.DUMMYFUNCTION("""COMPUTED_VALUE"""),51.03)</f>
        <v>51.03</v>
      </c>
      <c r="K933" s="3">
        <f>IFERROR(__xludf.DUMMYFUNCTION("""COMPUTED_VALUE"""),45546.6875)</f>
        <v>45546.6875</v>
      </c>
      <c r="L933" s="2">
        <f>IFERROR(__xludf.DUMMYFUNCTION("""COMPUTED_VALUE"""),57.44)</f>
        <v>57.44</v>
      </c>
      <c r="N933" s="3">
        <f>IFERROR(__xludf.DUMMYFUNCTION("""COMPUTED_VALUE"""),45551.66666666667)</f>
        <v>45551.66667</v>
      </c>
      <c r="O933" s="2">
        <f>IFERROR(__xludf.DUMMYFUNCTION("""COMPUTED_VALUE"""),32.3)</f>
        <v>32.3</v>
      </c>
      <c r="Q933" s="3">
        <f>IFERROR(__xludf.DUMMYFUNCTION("""COMPUTED_VALUE"""),45551.66666666667)</f>
        <v>45551.66667</v>
      </c>
      <c r="R933" s="2">
        <f>IFERROR(__xludf.DUMMYFUNCTION("""COMPUTED_VALUE"""),177.24)</f>
        <v>177.24</v>
      </c>
    </row>
    <row r="934">
      <c r="B934" s="3">
        <f>IFERROR(__xludf.DUMMYFUNCTION("""COMPUTED_VALUE"""),45552.66666666667)</f>
        <v>45552.66667</v>
      </c>
      <c r="C934" s="2">
        <f>IFERROR(__xludf.DUMMYFUNCTION("""COMPUTED_VALUE"""),50.61)</f>
        <v>50.61</v>
      </c>
      <c r="K934" s="3">
        <f>IFERROR(__xludf.DUMMYFUNCTION("""COMPUTED_VALUE"""),45547.6875)</f>
        <v>45547.6875</v>
      </c>
      <c r="L934" s="2">
        <f>IFERROR(__xludf.DUMMYFUNCTION("""COMPUTED_VALUE"""),57.9)</f>
        <v>57.9</v>
      </c>
      <c r="N934" s="3">
        <f>IFERROR(__xludf.DUMMYFUNCTION("""COMPUTED_VALUE"""),45552.66666666667)</f>
        <v>45552.66667</v>
      </c>
      <c r="O934" s="2">
        <f>IFERROR(__xludf.DUMMYFUNCTION("""COMPUTED_VALUE"""),32.55)</f>
        <v>32.55</v>
      </c>
      <c r="Q934" s="3">
        <f>IFERROR(__xludf.DUMMYFUNCTION("""COMPUTED_VALUE"""),45552.66666666667)</f>
        <v>45552.66667</v>
      </c>
      <c r="R934" s="2">
        <f>IFERROR(__xludf.DUMMYFUNCTION("""COMPUTED_VALUE"""),175.88)</f>
        <v>175.88</v>
      </c>
    </row>
    <row r="935">
      <c r="B935" s="3">
        <f>IFERROR(__xludf.DUMMYFUNCTION("""COMPUTED_VALUE"""),45553.66666666667)</f>
        <v>45553.66667</v>
      </c>
      <c r="C935" s="2">
        <f>IFERROR(__xludf.DUMMYFUNCTION("""COMPUTED_VALUE"""),50.57)</f>
        <v>50.57</v>
      </c>
      <c r="K935" s="3">
        <f>IFERROR(__xludf.DUMMYFUNCTION("""COMPUTED_VALUE"""),45548.6875)</f>
        <v>45548.6875</v>
      </c>
      <c r="L935" s="2">
        <f>IFERROR(__xludf.DUMMYFUNCTION("""COMPUTED_VALUE"""),58.04)</f>
        <v>58.04</v>
      </c>
      <c r="N935" s="3">
        <f>IFERROR(__xludf.DUMMYFUNCTION("""COMPUTED_VALUE"""),45553.66666666667)</f>
        <v>45553.66667</v>
      </c>
      <c r="O935" s="2">
        <f>IFERROR(__xludf.DUMMYFUNCTION("""COMPUTED_VALUE"""),32.43)</f>
        <v>32.43</v>
      </c>
      <c r="Q935" s="3">
        <f>IFERROR(__xludf.DUMMYFUNCTION("""COMPUTED_VALUE"""),45553.66666666667)</f>
        <v>45553.66667</v>
      </c>
      <c r="R935" s="2">
        <f>IFERROR(__xludf.DUMMYFUNCTION("""COMPUTED_VALUE"""),173.92)</f>
        <v>173.92</v>
      </c>
    </row>
    <row r="936">
      <c r="B936" s="3">
        <f>IFERROR(__xludf.DUMMYFUNCTION("""COMPUTED_VALUE"""),45554.66666666667)</f>
        <v>45554.66667</v>
      </c>
      <c r="C936" s="2">
        <f>IFERROR(__xludf.DUMMYFUNCTION("""COMPUTED_VALUE"""),51.44)</f>
        <v>51.44</v>
      </c>
      <c r="K936" s="3">
        <f>IFERROR(__xludf.DUMMYFUNCTION("""COMPUTED_VALUE"""),45551.6875)</f>
        <v>45551.6875</v>
      </c>
      <c r="L936" s="2">
        <f>IFERROR(__xludf.DUMMYFUNCTION("""COMPUTED_VALUE"""),58.16)</f>
        <v>58.16</v>
      </c>
      <c r="N936" s="3">
        <f>IFERROR(__xludf.DUMMYFUNCTION("""COMPUTED_VALUE"""),45554.66666666667)</f>
        <v>45554.66667</v>
      </c>
      <c r="O936" s="2">
        <f>IFERROR(__xludf.DUMMYFUNCTION("""COMPUTED_VALUE"""),32.76)</f>
        <v>32.76</v>
      </c>
      <c r="Q936" s="3">
        <f>IFERROR(__xludf.DUMMYFUNCTION("""COMPUTED_VALUE"""),45554.66666666667)</f>
        <v>45554.66667</v>
      </c>
      <c r="R936" s="2">
        <f>IFERROR(__xludf.DUMMYFUNCTION("""COMPUTED_VALUE"""),171.54)</f>
        <v>171.54</v>
      </c>
    </row>
    <row r="937">
      <c r="B937" s="3">
        <f>IFERROR(__xludf.DUMMYFUNCTION("""COMPUTED_VALUE"""),45555.66666666667)</f>
        <v>45555.66667</v>
      </c>
      <c r="C937" s="2">
        <f>IFERROR(__xludf.DUMMYFUNCTION("""COMPUTED_VALUE"""),51.97)</f>
        <v>51.97</v>
      </c>
      <c r="K937" s="3">
        <f>IFERROR(__xludf.DUMMYFUNCTION("""COMPUTED_VALUE"""),45552.6875)</f>
        <v>45552.6875</v>
      </c>
      <c r="L937" s="2">
        <f>IFERROR(__xludf.DUMMYFUNCTION("""COMPUTED_VALUE"""),58.58)</f>
        <v>58.58</v>
      </c>
      <c r="N937" s="3">
        <f>IFERROR(__xludf.DUMMYFUNCTION("""COMPUTED_VALUE"""),45555.66666666667)</f>
        <v>45555.66667</v>
      </c>
      <c r="O937" s="2">
        <f>IFERROR(__xludf.DUMMYFUNCTION("""COMPUTED_VALUE"""),32.64)</f>
        <v>32.64</v>
      </c>
      <c r="Q937" s="3">
        <f>IFERROR(__xludf.DUMMYFUNCTION("""COMPUTED_VALUE"""),45555.66666666667)</f>
        <v>45555.66667</v>
      </c>
      <c r="R937" s="2">
        <f>IFERROR(__xludf.DUMMYFUNCTION("""COMPUTED_VALUE"""),174.22)</f>
        <v>174.22</v>
      </c>
    </row>
    <row r="938">
      <c r="B938" s="3">
        <f>IFERROR(__xludf.DUMMYFUNCTION("""COMPUTED_VALUE"""),45558.66666666667)</f>
        <v>45558.66667</v>
      </c>
      <c r="C938" s="2">
        <f>IFERROR(__xludf.DUMMYFUNCTION("""COMPUTED_VALUE"""),52.19)</f>
        <v>52.19</v>
      </c>
      <c r="K938" s="3">
        <f>IFERROR(__xludf.DUMMYFUNCTION("""COMPUTED_VALUE"""),45553.6875)</f>
        <v>45553.6875</v>
      </c>
      <c r="L938" s="2">
        <f>IFERROR(__xludf.DUMMYFUNCTION("""COMPUTED_VALUE"""),57.88)</f>
        <v>57.88</v>
      </c>
      <c r="N938" s="3">
        <f>IFERROR(__xludf.DUMMYFUNCTION("""COMPUTED_VALUE"""),45558.66666666667)</f>
        <v>45558.66667</v>
      </c>
      <c r="O938" s="2">
        <f>IFERROR(__xludf.DUMMYFUNCTION("""COMPUTED_VALUE"""),32.86)</f>
        <v>32.86</v>
      </c>
      <c r="Q938" s="3">
        <f>IFERROR(__xludf.DUMMYFUNCTION("""COMPUTED_VALUE"""),45558.66666666667)</f>
        <v>45558.66667</v>
      </c>
      <c r="R938" s="2">
        <f>IFERROR(__xludf.DUMMYFUNCTION("""COMPUTED_VALUE"""),173.77)</f>
        <v>173.77</v>
      </c>
    </row>
    <row r="939">
      <c r="B939" s="3">
        <f>IFERROR(__xludf.DUMMYFUNCTION("""COMPUTED_VALUE"""),45559.66666666667)</f>
        <v>45559.66667</v>
      </c>
      <c r="C939" s="2">
        <f>IFERROR(__xludf.DUMMYFUNCTION("""COMPUTED_VALUE"""),52.52)</f>
        <v>52.52</v>
      </c>
      <c r="K939" s="3">
        <f>IFERROR(__xludf.DUMMYFUNCTION("""COMPUTED_VALUE"""),45554.6875)</f>
        <v>45554.6875</v>
      </c>
      <c r="L939" s="2">
        <f>IFERROR(__xludf.DUMMYFUNCTION("""COMPUTED_VALUE"""),58.5)</f>
        <v>58.5</v>
      </c>
      <c r="N939" s="3">
        <f>IFERROR(__xludf.DUMMYFUNCTION("""COMPUTED_VALUE"""),45559.66666666667)</f>
        <v>45559.66667</v>
      </c>
      <c r="O939" s="2">
        <f>IFERROR(__xludf.DUMMYFUNCTION("""COMPUTED_VALUE"""),32.83)</f>
        <v>32.83</v>
      </c>
      <c r="Q939" s="3">
        <f>IFERROR(__xludf.DUMMYFUNCTION("""COMPUTED_VALUE"""),45559.66666666667)</f>
        <v>45559.66667</v>
      </c>
      <c r="R939" s="2">
        <f>IFERROR(__xludf.DUMMYFUNCTION("""COMPUTED_VALUE"""),173.24)</f>
        <v>173.24</v>
      </c>
    </row>
    <row r="940">
      <c r="B940" s="3">
        <f>IFERROR(__xludf.DUMMYFUNCTION("""COMPUTED_VALUE"""),45560.66666666667)</f>
        <v>45560.66667</v>
      </c>
      <c r="C940" s="2">
        <f>IFERROR(__xludf.DUMMYFUNCTION("""COMPUTED_VALUE"""),52.65)</f>
        <v>52.65</v>
      </c>
      <c r="K940" s="3">
        <f>IFERROR(__xludf.DUMMYFUNCTION("""COMPUTED_VALUE"""),45555.6875)</f>
        <v>45555.6875</v>
      </c>
      <c r="L940" s="2">
        <f>IFERROR(__xludf.DUMMYFUNCTION("""COMPUTED_VALUE"""),58.2)</f>
        <v>58.2</v>
      </c>
      <c r="N940" s="3">
        <f>IFERROR(__xludf.DUMMYFUNCTION("""COMPUTED_VALUE"""),45560.66666666667)</f>
        <v>45560.66667</v>
      </c>
      <c r="O940" s="2">
        <f>IFERROR(__xludf.DUMMYFUNCTION("""COMPUTED_VALUE"""),31.68)</f>
        <v>31.68</v>
      </c>
      <c r="Q940" s="3">
        <f>IFERROR(__xludf.DUMMYFUNCTION("""COMPUTED_VALUE"""),45560.66666666667)</f>
        <v>45560.66667</v>
      </c>
      <c r="R940" s="2">
        <f>IFERROR(__xludf.DUMMYFUNCTION("""COMPUTED_VALUE"""),172.26)</f>
        <v>172.26</v>
      </c>
    </row>
    <row r="941">
      <c r="B941" s="3">
        <f>IFERROR(__xludf.DUMMYFUNCTION("""COMPUTED_VALUE"""),45561.66666666667)</f>
        <v>45561.66667</v>
      </c>
      <c r="C941" s="2">
        <f>IFERROR(__xludf.DUMMYFUNCTION("""COMPUTED_VALUE"""),52.85)</f>
        <v>52.85</v>
      </c>
      <c r="K941" s="3">
        <f>IFERROR(__xludf.DUMMYFUNCTION("""COMPUTED_VALUE"""),45558.6875)</f>
        <v>45558.6875</v>
      </c>
      <c r="L941" s="2">
        <f>IFERROR(__xludf.DUMMYFUNCTION("""COMPUTED_VALUE"""),58.1)</f>
        <v>58.1</v>
      </c>
      <c r="N941" s="3">
        <f>IFERROR(__xludf.DUMMYFUNCTION("""COMPUTED_VALUE"""),45561.66666666667)</f>
        <v>45561.66667</v>
      </c>
      <c r="O941" s="2">
        <f>IFERROR(__xludf.DUMMYFUNCTION("""COMPUTED_VALUE"""),30.79)</f>
        <v>30.79</v>
      </c>
      <c r="Q941" s="3">
        <f>IFERROR(__xludf.DUMMYFUNCTION("""COMPUTED_VALUE"""),45561.66666666667)</f>
        <v>45561.66667</v>
      </c>
      <c r="R941" s="2">
        <f>IFERROR(__xludf.DUMMYFUNCTION("""COMPUTED_VALUE"""),173.21)</f>
        <v>173.21</v>
      </c>
    </row>
    <row r="942">
      <c r="B942" s="3">
        <f>IFERROR(__xludf.DUMMYFUNCTION("""COMPUTED_VALUE"""),45562.66666666667)</f>
        <v>45562.66667</v>
      </c>
      <c r="C942" s="2">
        <f>IFERROR(__xludf.DUMMYFUNCTION("""COMPUTED_VALUE"""),53.02)</f>
        <v>53.02</v>
      </c>
      <c r="K942" s="3">
        <f>IFERROR(__xludf.DUMMYFUNCTION("""COMPUTED_VALUE"""),45559.6875)</f>
        <v>45559.6875</v>
      </c>
      <c r="L942" s="2">
        <f>IFERROR(__xludf.DUMMYFUNCTION("""COMPUTED_VALUE"""),59.28)</f>
        <v>59.28</v>
      </c>
      <c r="N942" s="3">
        <f>IFERROR(__xludf.DUMMYFUNCTION("""COMPUTED_VALUE"""),45562.66666666667)</f>
        <v>45562.66667</v>
      </c>
      <c r="O942" s="2">
        <f>IFERROR(__xludf.DUMMYFUNCTION("""COMPUTED_VALUE"""),31.42)</f>
        <v>31.42</v>
      </c>
      <c r="Q942" s="3">
        <f>IFERROR(__xludf.DUMMYFUNCTION("""COMPUTED_VALUE"""),45562.66666666667)</f>
        <v>45562.66667</v>
      </c>
      <c r="R942" s="2">
        <f>IFERROR(__xludf.DUMMYFUNCTION("""COMPUTED_VALUE"""),173.55)</f>
        <v>173.55</v>
      </c>
    </row>
    <row r="943">
      <c r="B943" s="3">
        <f>IFERROR(__xludf.DUMMYFUNCTION("""COMPUTED_VALUE"""),45565.66666666667)</f>
        <v>45565.66667</v>
      </c>
      <c r="C943" s="2">
        <f>IFERROR(__xludf.DUMMYFUNCTION("""COMPUTED_VALUE"""),53.22)</f>
        <v>53.22</v>
      </c>
      <c r="K943" s="3">
        <f>IFERROR(__xludf.DUMMYFUNCTION("""COMPUTED_VALUE"""),45560.6875)</f>
        <v>45560.6875</v>
      </c>
      <c r="L943" s="2">
        <f>IFERROR(__xludf.DUMMYFUNCTION("""COMPUTED_VALUE"""),58.18)</f>
        <v>58.18</v>
      </c>
      <c r="N943" s="3">
        <f>IFERROR(__xludf.DUMMYFUNCTION("""COMPUTED_VALUE"""),45565.66666666667)</f>
        <v>45565.66667</v>
      </c>
      <c r="O943" s="2">
        <f>IFERROR(__xludf.DUMMYFUNCTION("""COMPUTED_VALUE"""),31.39)</f>
        <v>31.39</v>
      </c>
      <c r="Q943" s="3">
        <f>IFERROR(__xludf.DUMMYFUNCTION("""COMPUTED_VALUE"""),45565.66666666667)</f>
        <v>45565.66667</v>
      </c>
      <c r="R943" s="2">
        <f>IFERROR(__xludf.DUMMYFUNCTION("""COMPUTED_VALUE"""),173.2)</f>
        <v>173.2</v>
      </c>
    </row>
    <row r="944">
      <c r="B944" s="3">
        <f>IFERROR(__xludf.DUMMYFUNCTION("""COMPUTED_VALUE"""),45566.66666666667)</f>
        <v>45566.66667</v>
      </c>
      <c r="C944" s="2">
        <f>IFERROR(__xludf.DUMMYFUNCTION("""COMPUTED_VALUE"""),52.74)</f>
        <v>52.74</v>
      </c>
      <c r="K944" s="3">
        <f>IFERROR(__xludf.DUMMYFUNCTION("""COMPUTED_VALUE"""),45561.6875)</f>
        <v>45561.6875</v>
      </c>
      <c r="L944" s="2">
        <f>IFERROR(__xludf.DUMMYFUNCTION("""COMPUTED_VALUE"""),58.98)</f>
        <v>58.98</v>
      </c>
      <c r="N944" s="3">
        <f>IFERROR(__xludf.DUMMYFUNCTION("""COMPUTED_VALUE"""),45566.66666666667)</f>
        <v>45566.66667</v>
      </c>
      <c r="O944" s="2">
        <f>IFERROR(__xludf.DUMMYFUNCTION("""COMPUTED_VALUE"""),32.09)</f>
        <v>32.09</v>
      </c>
      <c r="Q944" s="3">
        <f>IFERROR(__xludf.DUMMYFUNCTION("""COMPUTED_VALUE"""),45566.66666666667)</f>
        <v>45566.66667</v>
      </c>
      <c r="R944" s="2">
        <f>IFERROR(__xludf.DUMMYFUNCTION("""COMPUTED_VALUE"""),173.04)</f>
        <v>173.04</v>
      </c>
    </row>
    <row r="945">
      <c r="B945" s="3">
        <f>IFERROR(__xludf.DUMMYFUNCTION("""COMPUTED_VALUE"""),45567.66666666667)</f>
        <v>45567.66667</v>
      </c>
      <c r="C945" s="2">
        <f>IFERROR(__xludf.DUMMYFUNCTION("""COMPUTED_VALUE"""),52.62)</f>
        <v>52.62</v>
      </c>
      <c r="K945" s="3">
        <f>IFERROR(__xludf.DUMMYFUNCTION("""COMPUTED_VALUE"""),45562.6875)</f>
        <v>45562.6875</v>
      </c>
      <c r="L945" s="2">
        <f>IFERROR(__xludf.DUMMYFUNCTION("""COMPUTED_VALUE"""),59.4)</f>
        <v>59.4</v>
      </c>
      <c r="N945" s="3">
        <f>IFERROR(__xludf.DUMMYFUNCTION("""COMPUTED_VALUE"""),45567.66666666667)</f>
        <v>45567.66667</v>
      </c>
      <c r="O945" s="2">
        <f>IFERROR(__xludf.DUMMYFUNCTION("""COMPUTED_VALUE"""),32.37)</f>
        <v>32.37</v>
      </c>
      <c r="Q945" s="3">
        <f>IFERROR(__xludf.DUMMYFUNCTION("""COMPUTED_VALUE"""),45567.66666666667)</f>
        <v>45567.66667</v>
      </c>
      <c r="R945" s="2">
        <f>IFERROR(__xludf.DUMMYFUNCTION("""COMPUTED_VALUE"""),171.92)</f>
        <v>171.92</v>
      </c>
    </row>
    <row r="946">
      <c r="B946" s="3">
        <f>IFERROR(__xludf.DUMMYFUNCTION("""COMPUTED_VALUE"""),45568.66666666667)</f>
        <v>45568.66667</v>
      </c>
      <c r="C946" s="2">
        <f>IFERROR(__xludf.DUMMYFUNCTION("""COMPUTED_VALUE"""),52.43)</f>
        <v>52.43</v>
      </c>
      <c r="K946" s="3">
        <f>IFERROR(__xludf.DUMMYFUNCTION("""COMPUTED_VALUE"""),45565.6875)</f>
        <v>45565.6875</v>
      </c>
      <c r="L946" s="2">
        <f>IFERROR(__xludf.DUMMYFUNCTION("""COMPUTED_VALUE"""),58.8)</f>
        <v>58.8</v>
      </c>
      <c r="N946" s="3">
        <f>IFERROR(__xludf.DUMMYFUNCTION("""COMPUTED_VALUE"""),45568.66666666667)</f>
        <v>45568.66667</v>
      </c>
      <c r="O946" s="2">
        <f>IFERROR(__xludf.DUMMYFUNCTION("""COMPUTED_VALUE"""),32.46)</f>
        <v>32.46</v>
      </c>
      <c r="Q946" s="3">
        <f>IFERROR(__xludf.DUMMYFUNCTION("""COMPUTED_VALUE"""),45568.66666666667)</f>
        <v>45568.66667</v>
      </c>
      <c r="R946" s="2">
        <f>IFERROR(__xludf.DUMMYFUNCTION("""COMPUTED_VALUE"""),170.12)</f>
        <v>170.12</v>
      </c>
    </row>
    <row r="947">
      <c r="B947" s="3">
        <f>IFERROR(__xludf.DUMMYFUNCTION("""COMPUTED_VALUE"""),45569.66666666667)</f>
        <v>45569.66667</v>
      </c>
      <c r="C947" s="2">
        <f>IFERROR(__xludf.DUMMYFUNCTION("""COMPUTED_VALUE"""),52.75)</f>
        <v>52.75</v>
      </c>
      <c r="K947" s="3">
        <f>IFERROR(__xludf.DUMMYFUNCTION("""COMPUTED_VALUE"""),45566.6875)</f>
        <v>45566.6875</v>
      </c>
      <c r="L947" s="2">
        <f>IFERROR(__xludf.DUMMYFUNCTION("""COMPUTED_VALUE"""),58.2)</f>
        <v>58.2</v>
      </c>
      <c r="N947" s="3">
        <f>IFERROR(__xludf.DUMMYFUNCTION("""COMPUTED_VALUE"""),45569.66666666667)</f>
        <v>45569.66667</v>
      </c>
      <c r="O947" s="2">
        <f>IFERROR(__xludf.DUMMYFUNCTION("""COMPUTED_VALUE"""),32.88)</f>
        <v>32.88</v>
      </c>
      <c r="Q947" s="3">
        <f>IFERROR(__xludf.DUMMYFUNCTION("""COMPUTED_VALUE"""),45569.66666666667)</f>
        <v>45569.66667</v>
      </c>
      <c r="R947" s="2">
        <f>IFERROR(__xludf.DUMMYFUNCTION("""COMPUTED_VALUE"""),168.88)</f>
        <v>168.88</v>
      </c>
    </row>
    <row r="948">
      <c r="B948" s="3">
        <f>IFERROR(__xludf.DUMMYFUNCTION("""COMPUTED_VALUE"""),45572.66666666667)</f>
        <v>45572.66667</v>
      </c>
      <c r="C948" s="2">
        <f>IFERROR(__xludf.DUMMYFUNCTION("""COMPUTED_VALUE"""),52.51)</f>
        <v>52.51</v>
      </c>
      <c r="K948" s="3">
        <f>IFERROR(__xludf.DUMMYFUNCTION("""COMPUTED_VALUE"""),45567.6875)</f>
        <v>45567.6875</v>
      </c>
      <c r="L948" s="2">
        <f>IFERROR(__xludf.DUMMYFUNCTION("""COMPUTED_VALUE"""),57.66)</f>
        <v>57.66</v>
      </c>
      <c r="N948" s="3">
        <f>IFERROR(__xludf.DUMMYFUNCTION("""COMPUTED_VALUE"""),45572.66666666667)</f>
        <v>45572.66667</v>
      </c>
      <c r="O948" s="2">
        <f>IFERROR(__xludf.DUMMYFUNCTION("""COMPUTED_VALUE"""),33.14)</f>
        <v>33.14</v>
      </c>
      <c r="Q948" s="3">
        <f>IFERROR(__xludf.DUMMYFUNCTION("""COMPUTED_VALUE"""),45572.66666666667)</f>
        <v>45572.66667</v>
      </c>
      <c r="R948" s="2">
        <f>IFERROR(__xludf.DUMMYFUNCTION("""COMPUTED_VALUE"""),167.12)</f>
        <v>167.12</v>
      </c>
    </row>
    <row r="949">
      <c r="B949" s="3">
        <f>IFERROR(__xludf.DUMMYFUNCTION("""COMPUTED_VALUE"""),45573.66666666667)</f>
        <v>45573.66667</v>
      </c>
      <c r="C949" s="2">
        <f>IFERROR(__xludf.DUMMYFUNCTION("""COMPUTED_VALUE"""),52.73)</f>
        <v>52.73</v>
      </c>
      <c r="K949" s="3">
        <f>IFERROR(__xludf.DUMMYFUNCTION("""COMPUTED_VALUE"""),45568.6875)</f>
        <v>45568.6875</v>
      </c>
      <c r="L949" s="2">
        <f>IFERROR(__xludf.DUMMYFUNCTION("""COMPUTED_VALUE"""),57.44)</f>
        <v>57.44</v>
      </c>
      <c r="N949" s="3">
        <f>IFERROR(__xludf.DUMMYFUNCTION("""COMPUTED_VALUE"""),45573.66666666667)</f>
        <v>45573.66667</v>
      </c>
      <c r="O949" s="2">
        <f>IFERROR(__xludf.DUMMYFUNCTION("""COMPUTED_VALUE"""),32.03)</f>
        <v>32.03</v>
      </c>
      <c r="Q949" s="3">
        <f>IFERROR(__xludf.DUMMYFUNCTION("""COMPUTED_VALUE"""),45573.66666666667)</f>
        <v>45573.66667</v>
      </c>
      <c r="R949" s="2">
        <f>IFERROR(__xludf.DUMMYFUNCTION("""COMPUTED_VALUE"""),168.16)</f>
        <v>168.16</v>
      </c>
    </row>
    <row r="950">
      <c r="B950" s="3">
        <f>IFERROR(__xludf.DUMMYFUNCTION("""COMPUTED_VALUE"""),45574.66666666667)</f>
        <v>45574.66667</v>
      </c>
      <c r="C950" s="2">
        <f>IFERROR(__xludf.DUMMYFUNCTION("""COMPUTED_VALUE"""),53.56)</f>
        <v>53.56</v>
      </c>
      <c r="K950" s="3">
        <f>IFERROR(__xludf.DUMMYFUNCTION("""COMPUTED_VALUE"""),45569.6875)</f>
        <v>45569.6875</v>
      </c>
      <c r="L950" s="2">
        <f>IFERROR(__xludf.DUMMYFUNCTION("""COMPUTED_VALUE"""),58.8)</f>
        <v>58.8</v>
      </c>
      <c r="N950" s="3">
        <f>IFERROR(__xludf.DUMMYFUNCTION("""COMPUTED_VALUE"""),45574.66666666667)</f>
        <v>45574.66667</v>
      </c>
      <c r="O950" s="2">
        <f>IFERROR(__xludf.DUMMYFUNCTION("""COMPUTED_VALUE"""),31.98)</f>
        <v>31.98</v>
      </c>
      <c r="Q950" s="3">
        <f>IFERROR(__xludf.DUMMYFUNCTION("""COMPUTED_VALUE"""),45574.66666666667)</f>
        <v>45574.66667</v>
      </c>
      <c r="R950" s="2">
        <f>IFERROR(__xludf.DUMMYFUNCTION("""COMPUTED_VALUE"""),169.27)</f>
        <v>169.27</v>
      </c>
    </row>
    <row r="951">
      <c r="B951" s="3">
        <f>IFERROR(__xludf.DUMMYFUNCTION("""COMPUTED_VALUE"""),45575.66666666667)</f>
        <v>45575.66667</v>
      </c>
      <c r="C951" s="2">
        <f>IFERROR(__xludf.DUMMYFUNCTION("""COMPUTED_VALUE"""),53.54)</f>
        <v>53.54</v>
      </c>
      <c r="K951" s="3">
        <f>IFERROR(__xludf.DUMMYFUNCTION("""COMPUTED_VALUE"""),45572.6875)</f>
        <v>45572.6875</v>
      </c>
      <c r="L951" s="2">
        <f>IFERROR(__xludf.DUMMYFUNCTION("""COMPUTED_VALUE"""),59.16)</f>
        <v>59.16</v>
      </c>
      <c r="N951" s="3">
        <f>IFERROR(__xludf.DUMMYFUNCTION("""COMPUTED_VALUE"""),45575.66666666667)</f>
        <v>45575.66667</v>
      </c>
      <c r="O951" s="2">
        <f>IFERROR(__xludf.DUMMYFUNCTION("""COMPUTED_VALUE"""),32.34)</f>
        <v>32.34</v>
      </c>
      <c r="Q951" s="3">
        <f>IFERROR(__xludf.DUMMYFUNCTION("""COMPUTED_VALUE"""),45575.66666666667)</f>
        <v>45575.66667</v>
      </c>
      <c r="R951" s="2">
        <f>IFERROR(__xludf.DUMMYFUNCTION("""COMPUTED_VALUE"""),168.95)</f>
        <v>168.95</v>
      </c>
    </row>
    <row r="952">
      <c r="B952" s="3">
        <f>IFERROR(__xludf.DUMMYFUNCTION("""COMPUTED_VALUE"""),45576.66666666667)</f>
        <v>45576.66667</v>
      </c>
      <c r="C952" s="2">
        <f>IFERROR(__xludf.DUMMYFUNCTION("""COMPUTED_VALUE"""),54.25)</f>
        <v>54.25</v>
      </c>
      <c r="K952" s="3">
        <f>IFERROR(__xludf.DUMMYFUNCTION("""COMPUTED_VALUE"""),45573.6875)</f>
        <v>45573.6875</v>
      </c>
      <c r="L952" s="2">
        <f>IFERROR(__xludf.DUMMYFUNCTION("""COMPUTED_VALUE"""),58.26)</f>
        <v>58.26</v>
      </c>
      <c r="N952" s="3">
        <f>IFERROR(__xludf.DUMMYFUNCTION("""COMPUTED_VALUE"""),45576.66666666667)</f>
        <v>45576.66667</v>
      </c>
      <c r="O952" s="2">
        <f>IFERROR(__xludf.DUMMYFUNCTION("""COMPUTED_VALUE"""),32.11)</f>
        <v>32.11</v>
      </c>
      <c r="Q952" s="3">
        <f>IFERROR(__xludf.DUMMYFUNCTION("""COMPUTED_VALUE"""),45576.66666666667)</f>
        <v>45576.66667</v>
      </c>
      <c r="R952" s="2">
        <f>IFERROR(__xludf.DUMMYFUNCTION("""COMPUTED_VALUE"""),171.09)</f>
        <v>171.09</v>
      </c>
    </row>
    <row r="953">
      <c r="B953" s="3">
        <f>IFERROR(__xludf.DUMMYFUNCTION("""COMPUTED_VALUE"""),45579.66666666667)</f>
        <v>45579.66667</v>
      </c>
      <c r="C953" s="2">
        <f>IFERROR(__xludf.DUMMYFUNCTION("""COMPUTED_VALUE"""),54.27)</f>
        <v>54.27</v>
      </c>
      <c r="K953" s="3">
        <f>IFERROR(__xludf.DUMMYFUNCTION("""COMPUTED_VALUE"""),45574.6875)</f>
        <v>45574.6875</v>
      </c>
      <c r="L953" s="2">
        <f>IFERROR(__xludf.DUMMYFUNCTION("""COMPUTED_VALUE"""),59.24)</f>
        <v>59.24</v>
      </c>
      <c r="N953" s="3">
        <f>IFERROR(__xludf.DUMMYFUNCTION("""COMPUTED_VALUE"""),45579.66666666667)</f>
        <v>45579.66667</v>
      </c>
      <c r="O953" s="2">
        <f>IFERROR(__xludf.DUMMYFUNCTION("""COMPUTED_VALUE"""),31.99)</f>
        <v>31.99</v>
      </c>
      <c r="Q953" s="3">
        <f>IFERROR(__xludf.DUMMYFUNCTION("""COMPUTED_VALUE"""),45579.66666666667)</f>
        <v>45579.66667</v>
      </c>
      <c r="R953" s="2">
        <f>IFERROR(__xludf.DUMMYFUNCTION("""COMPUTED_VALUE"""),172.51)</f>
        <v>172.51</v>
      </c>
    </row>
    <row r="954">
      <c r="B954" s="3">
        <f>IFERROR(__xludf.DUMMYFUNCTION("""COMPUTED_VALUE"""),45580.66666666667)</f>
        <v>45580.66667</v>
      </c>
      <c r="C954" s="2">
        <f>IFERROR(__xludf.DUMMYFUNCTION("""COMPUTED_VALUE"""),54.08)</f>
        <v>54.08</v>
      </c>
      <c r="K954" s="3">
        <f>IFERROR(__xludf.DUMMYFUNCTION("""COMPUTED_VALUE"""),45575.6875)</f>
        <v>45575.6875</v>
      </c>
      <c r="L954" s="2">
        <f>IFERROR(__xludf.DUMMYFUNCTION("""COMPUTED_VALUE"""),59.44)</f>
        <v>59.44</v>
      </c>
      <c r="N954" s="3">
        <f>IFERROR(__xludf.DUMMYFUNCTION("""COMPUTED_VALUE"""),45580.66666666667)</f>
        <v>45580.66667</v>
      </c>
      <c r="O954" s="2">
        <f>IFERROR(__xludf.DUMMYFUNCTION("""COMPUTED_VALUE"""),31.99)</f>
        <v>31.99</v>
      </c>
      <c r="Q954" s="3">
        <f>IFERROR(__xludf.DUMMYFUNCTION("""COMPUTED_VALUE"""),45580.66666666667)</f>
        <v>45580.66667</v>
      </c>
      <c r="R954" s="2">
        <f>IFERROR(__xludf.DUMMYFUNCTION("""COMPUTED_VALUE"""),173.57)</f>
        <v>173.57</v>
      </c>
    </row>
    <row r="955">
      <c r="B955" s="3">
        <f>IFERROR(__xludf.DUMMYFUNCTION("""COMPUTED_VALUE"""),45581.66666666667)</f>
        <v>45581.66667</v>
      </c>
      <c r="C955" s="2">
        <f>IFERROR(__xludf.DUMMYFUNCTION("""COMPUTED_VALUE"""),56.38)</f>
        <v>56.38</v>
      </c>
      <c r="K955" s="3">
        <f>IFERROR(__xludf.DUMMYFUNCTION("""COMPUTED_VALUE"""),45576.6875)</f>
        <v>45576.6875</v>
      </c>
      <c r="L955" s="2">
        <f>IFERROR(__xludf.DUMMYFUNCTION("""COMPUTED_VALUE"""),59.94)</f>
        <v>59.94</v>
      </c>
      <c r="N955" s="3">
        <f>IFERROR(__xludf.DUMMYFUNCTION("""COMPUTED_VALUE"""),45581.66666666667)</f>
        <v>45581.66667</v>
      </c>
      <c r="O955" s="2">
        <f>IFERROR(__xludf.DUMMYFUNCTION("""COMPUTED_VALUE"""),30.93)</f>
        <v>30.93</v>
      </c>
      <c r="Q955" s="3">
        <f>IFERROR(__xludf.DUMMYFUNCTION("""COMPUTED_VALUE"""),45581.66666666667)</f>
        <v>45581.66667</v>
      </c>
      <c r="R955" s="2">
        <f>IFERROR(__xludf.DUMMYFUNCTION("""COMPUTED_VALUE"""),172.38)</f>
        <v>172.38</v>
      </c>
    </row>
    <row r="956">
      <c r="B956" s="3">
        <f>IFERROR(__xludf.DUMMYFUNCTION("""COMPUTED_VALUE"""),45582.66666666667)</f>
        <v>45582.66667</v>
      </c>
      <c r="C956" s="2">
        <f>IFERROR(__xludf.DUMMYFUNCTION("""COMPUTED_VALUE"""),56.4)</f>
        <v>56.4</v>
      </c>
      <c r="K956" s="3">
        <f>IFERROR(__xludf.DUMMYFUNCTION("""COMPUTED_VALUE"""),45579.6875)</f>
        <v>45579.6875</v>
      </c>
      <c r="L956" s="2">
        <f>IFERROR(__xludf.DUMMYFUNCTION("""COMPUTED_VALUE"""),59.64)</f>
        <v>59.64</v>
      </c>
      <c r="N956" s="3">
        <f>IFERROR(__xludf.DUMMYFUNCTION("""COMPUTED_VALUE"""),45582.66666666667)</f>
        <v>45582.66667</v>
      </c>
      <c r="O956" s="2">
        <f>IFERROR(__xludf.DUMMYFUNCTION("""COMPUTED_VALUE"""),31.32)</f>
        <v>31.32</v>
      </c>
      <c r="Q956" s="3">
        <f>IFERROR(__xludf.DUMMYFUNCTION("""COMPUTED_VALUE"""),45582.66666666667)</f>
        <v>45582.66667</v>
      </c>
      <c r="R956" s="2">
        <f>IFERROR(__xludf.DUMMYFUNCTION("""COMPUTED_VALUE"""),172.28)</f>
        <v>172.28</v>
      </c>
    </row>
    <row r="957">
      <c r="B957" s="3">
        <f>IFERROR(__xludf.DUMMYFUNCTION("""COMPUTED_VALUE"""),45583.66666666667)</f>
        <v>45583.66667</v>
      </c>
      <c r="C957" s="2">
        <f>IFERROR(__xludf.DUMMYFUNCTION("""COMPUTED_VALUE"""),56.76)</f>
        <v>56.76</v>
      </c>
      <c r="K957" s="3">
        <f>IFERROR(__xludf.DUMMYFUNCTION("""COMPUTED_VALUE"""),45580.6875)</f>
        <v>45580.6875</v>
      </c>
      <c r="L957" s="2">
        <f>IFERROR(__xludf.DUMMYFUNCTION("""COMPUTED_VALUE"""),60.08)</f>
        <v>60.08</v>
      </c>
      <c r="N957" s="3">
        <f>IFERROR(__xludf.DUMMYFUNCTION("""COMPUTED_VALUE"""),45583.66666666667)</f>
        <v>45583.66667</v>
      </c>
      <c r="O957" s="2">
        <f>IFERROR(__xludf.DUMMYFUNCTION("""COMPUTED_VALUE"""),31.33)</f>
        <v>31.33</v>
      </c>
      <c r="Q957" s="3">
        <f>IFERROR(__xludf.DUMMYFUNCTION("""COMPUTED_VALUE"""),45583.66666666667)</f>
        <v>45583.66667</v>
      </c>
      <c r="R957" s="2">
        <f>IFERROR(__xludf.DUMMYFUNCTION("""COMPUTED_VALUE"""),171.28)</f>
        <v>171.28</v>
      </c>
    </row>
    <row r="958">
      <c r="B958" s="3">
        <f>IFERROR(__xludf.DUMMYFUNCTION("""COMPUTED_VALUE"""),45586.66666666667)</f>
        <v>45586.66667</v>
      </c>
      <c r="C958" s="2">
        <f>IFERROR(__xludf.DUMMYFUNCTION("""COMPUTED_VALUE"""),56.59)</f>
        <v>56.59</v>
      </c>
      <c r="K958" s="3">
        <f>IFERROR(__xludf.DUMMYFUNCTION("""COMPUTED_VALUE"""),45581.6875)</f>
        <v>45581.6875</v>
      </c>
      <c r="L958" s="2">
        <f>IFERROR(__xludf.DUMMYFUNCTION("""COMPUTED_VALUE"""),61.2)</f>
        <v>61.2</v>
      </c>
      <c r="N958" s="3">
        <f>IFERROR(__xludf.DUMMYFUNCTION("""COMPUTED_VALUE"""),45586.66666666667)</f>
        <v>45586.66667</v>
      </c>
      <c r="O958" s="2">
        <f>IFERROR(__xludf.DUMMYFUNCTION("""COMPUTED_VALUE"""),31.47)</f>
        <v>31.47</v>
      </c>
      <c r="Q958" s="3">
        <f>IFERROR(__xludf.DUMMYFUNCTION("""COMPUTED_VALUE"""),45586.66666666667)</f>
        <v>45586.66667</v>
      </c>
      <c r="R958" s="2">
        <f>IFERROR(__xludf.DUMMYFUNCTION("""COMPUTED_VALUE"""),169.54)</f>
        <v>169.54</v>
      </c>
    </row>
    <row r="959">
      <c r="B959" s="3">
        <f>IFERROR(__xludf.DUMMYFUNCTION("""COMPUTED_VALUE"""),45587.66666666667)</f>
        <v>45587.66667</v>
      </c>
      <c r="C959" s="2">
        <f>IFERROR(__xludf.DUMMYFUNCTION("""COMPUTED_VALUE"""),56.6)</f>
        <v>56.6</v>
      </c>
      <c r="K959" s="3">
        <f>IFERROR(__xludf.DUMMYFUNCTION("""COMPUTED_VALUE"""),45582.6875)</f>
        <v>45582.6875</v>
      </c>
      <c r="L959" s="2">
        <f>IFERROR(__xludf.DUMMYFUNCTION("""COMPUTED_VALUE"""),61.86)</f>
        <v>61.86</v>
      </c>
      <c r="N959" s="3">
        <f>IFERROR(__xludf.DUMMYFUNCTION("""COMPUTED_VALUE"""),45587.66666666667)</f>
        <v>45587.66667</v>
      </c>
      <c r="O959" s="2">
        <f>IFERROR(__xludf.DUMMYFUNCTION("""COMPUTED_VALUE"""),31.58)</f>
        <v>31.58</v>
      </c>
      <c r="Q959" s="3">
        <f>IFERROR(__xludf.DUMMYFUNCTION("""COMPUTED_VALUE"""),45587.66666666667)</f>
        <v>45587.66667</v>
      </c>
      <c r="R959" s="2">
        <f>IFERROR(__xludf.DUMMYFUNCTION("""COMPUTED_VALUE"""),169.7)</f>
        <v>169.7</v>
      </c>
    </row>
    <row r="960">
      <c r="B960" s="3">
        <f>IFERROR(__xludf.DUMMYFUNCTION("""COMPUTED_VALUE"""),45588.66666666667)</f>
        <v>45588.66667</v>
      </c>
      <c r="C960" s="2">
        <f>IFERROR(__xludf.DUMMYFUNCTION("""COMPUTED_VALUE"""),56.28)</f>
        <v>56.28</v>
      </c>
      <c r="K960" s="3">
        <f>IFERROR(__xludf.DUMMYFUNCTION("""COMPUTED_VALUE"""),45583.6875)</f>
        <v>45583.6875</v>
      </c>
      <c r="L960" s="2">
        <f>IFERROR(__xludf.DUMMYFUNCTION("""COMPUTED_VALUE"""),62.18)</f>
        <v>62.18</v>
      </c>
      <c r="N960" s="3">
        <f>IFERROR(__xludf.DUMMYFUNCTION("""COMPUTED_VALUE"""),45588.66666666667)</f>
        <v>45588.66667</v>
      </c>
      <c r="O960" s="2">
        <f>IFERROR(__xludf.DUMMYFUNCTION("""COMPUTED_VALUE"""),31.31)</f>
        <v>31.31</v>
      </c>
      <c r="Q960" s="3">
        <f>IFERROR(__xludf.DUMMYFUNCTION("""COMPUTED_VALUE"""),45588.66666666667)</f>
        <v>45588.66667</v>
      </c>
      <c r="R960" s="2">
        <f>IFERROR(__xludf.DUMMYFUNCTION("""COMPUTED_VALUE"""),169.58)</f>
        <v>169.58</v>
      </c>
    </row>
    <row r="961">
      <c r="B961" s="3">
        <f>IFERROR(__xludf.DUMMYFUNCTION("""COMPUTED_VALUE"""),45589.66666666667)</f>
        <v>45589.66667</v>
      </c>
      <c r="C961" s="2">
        <f>IFERROR(__xludf.DUMMYFUNCTION("""COMPUTED_VALUE"""),55.96)</f>
        <v>55.96</v>
      </c>
      <c r="K961" s="3">
        <f>IFERROR(__xludf.DUMMYFUNCTION("""COMPUTED_VALUE"""),45586.6875)</f>
        <v>45586.6875</v>
      </c>
      <c r="L961" s="2">
        <f>IFERROR(__xludf.DUMMYFUNCTION("""COMPUTED_VALUE"""),61.8)</f>
        <v>61.8</v>
      </c>
      <c r="N961" s="3">
        <f>IFERROR(__xludf.DUMMYFUNCTION("""COMPUTED_VALUE"""),45589.66666666667)</f>
        <v>45589.66667</v>
      </c>
      <c r="O961" s="2">
        <f>IFERROR(__xludf.DUMMYFUNCTION("""COMPUTED_VALUE"""),31.3)</f>
        <v>31.3</v>
      </c>
      <c r="Q961" s="3">
        <f>IFERROR(__xludf.DUMMYFUNCTION("""COMPUTED_VALUE"""),45589.66666666667)</f>
        <v>45589.66667</v>
      </c>
      <c r="R961" s="2">
        <f>IFERROR(__xludf.DUMMYFUNCTION("""COMPUTED_VALUE"""),169.62)</f>
        <v>169.62</v>
      </c>
    </row>
    <row r="962">
      <c r="B962" s="3">
        <f>IFERROR(__xludf.DUMMYFUNCTION("""COMPUTED_VALUE"""),45590.66666666667)</f>
        <v>45590.66667</v>
      </c>
      <c r="C962" s="2">
        <f>IFERROR(__xludf.DUMMYFUNCTION("""COMPUTED_VALUE"""),55.74)</f>
        <v>55.74</v>
      </c>
      <c r="K962" s="3">
        <f>IFERROR(__xludf.DUMMYFUNCTION("""COMPUTED_VALUE"""),45587.6875)</f>
        <v>45587.6875</v>
      </c>
      <c r="L962" s="2">
        <f>IFERROR(__xludf.DUMMYFUNCTION("""COMPUTED_VALUE"""),62.0)</f>
        <v>62</v>
      </c>
      <c r="N962" s="3">
        <f>IFERROR(__xludf.DUMMYFUNCTION("""COMPUTED_VALUE"""),45590.66666666667)</f>
        <v>45590.66667</v>
      </c>
      <c r="O962" s="2">
        <f>IFERROR(__xludf.DUMMYFUNCTION("""COMPUTED_VALUE"""),31.52)</f>
        <v>31.52</v>
      </c>
      <c r="Q962" s="3">
        <f>IFERROR(__xludf.DUMMYFUNCTION("""COMPUTED_VALUE"""),45590.66666666667)</f>
        <v>45590.66667</v>
      </c>
      <c r="R962" s="2">
        <f>IFERROR(__xludf.DUMMYFUNCTION("""COMPUTED_VALUE"""),168.22)</f>
        <v>168.22</v>
      </c>
    </row>
    <row r="963">
      <c r="B963" s="3">
        <f>IFERROR(__xludf.DUMMYFUNCTION("""COMPUTED_VALUE"""),45593.66666666667)</f>
        <v>45593.66667</v>
      </c>
      <c r="C963" s="2">
        <f>IFERROR(__xludf.DUMMYFUNCTION("""COMPUTED_VALUE"""),55.28)</f>
        <v>55.28</v>
      </c>
      <c r="K963" s="3">
        <f>IFERROR(__xludf.DUMMYFUNCTION("""COMPUTED_VALUE"""),45588.6875)</f>
        <v>45588.6875</v>
      </c>
      <c r="L963" s="2">
        <f>IFERROR(__xludf.DUMMYFUNCTION("""COMPUTED_VALUE"""),61.62)</f>
        <v>61.62</v>
      </c>
      <c r="N963" s="3">
        <f>IFERROR(__xludf.DUMMYFUNCTION("""COMPUTED_VALUE"""),45593.66666666667)</f>
        <v>45593.66667</v>
      </c>
      <c r="O963" s="2">
        <f>IFERROR(__xludf.DUMMYFUNCTION("""COMPUTED_VALUE"""),31.05)</f>
        <v>31.05</v>
      </c>
      <c r="Q963" s="3">
        <f>IFERROR(__xludf.DUMMYFUNCTION("""COMPUTED_VALUE"""),45593.66666666667)</f>
        <v>45593.66667</v>
      </c>
      <c r="R963" s="2">
        <f>IFERROR(__xludf.DUMMYFUNCTION("""COMPUTED_VALUE"""),169.3)</f>
        <v>169.3</v>
      </c>
    </row>
    <row r="964">
      <c r="B964" s="3">
        <f>IFERROR(__xludf.DUMMYFUNCTION("""COMPUTED_VALUE"""),45594.66666666667)</f>
        <v>45594.66667</v>
      </c>
      <c r="C964" s="2">
        <f>IFERROR(__xludf.DUMMYFUNCTION("""COMPUTED_VALUE"""),55.68)</f>
        <v>55.68</v>
      </c>
      <c r="K964" s="3">
        <f>IFERROR(__xludf.DUMMYFUNCTION("""COMPUTED_VALUE"""),45589.6875)</f>
        <v>45589.6875</v>
      </c>
      <c r="L964" s="2">
        <f>IFERROR(__xludf.DUMMYFUNCTION("""COMPUTED_VALUE"""),62.2)</f>
        <v>62.2</v>
      </c>
      <c r="N964" s="3">
        <f>IFERROR(__xludf.DUMMYFUNCTION("""COMPUTED_VALUE"""),45594.66666666667)</f>
        <v>45594.66667</v>
      </c>
      <c r="O964" s="2">
        <f>IFERROR(__xludf.DUMMYFUNCTION("""COMPUTED_VALUE"""),29.36)</f>
        <v>29.36</v>
      </c>
      <c r="Q964" s="3">
        <f>IFERROR(__xludf.DUMMYFUNCTION("""COMPUTED_VALUE"""),45594.66666666667)</f>
        <v>45594.66667</v>
      </c>
      <c r="R964" s="2">
        <f>IFERROR(__xludf.DUMMYFUNCTION("""COMPUTED_VALUE"""),167.17)</f>
        <v>167.17</v>
      </c>
    </row>
    <row r="965">
      <c r="B965" s="3">
        <f>IFERROR(__xludf.DUMMYFUNCTION("""COMPUTED_VALUE"""),45595.66666666667)</f>
        <v>45595.66667</v>
      </c>
      <c r="C965" s="2">
        <f>IFERROR(__xludf.DUMMYFUNCTION("""COMPUTED_VALUE"""),55.59)</f>
        <v>55.59</v>
      </c>
      <c r="K965" s="3">
        <f>IFERROR(__xludf.DUMMYFUNCTION("""COMPUTED_VALUE"""),45590.6875)</f>
        <v>45590.6875</v>
      </c>
      <c r="L965" s="2">
        <f>IFERROR(__xludf.DUMMYFUNCTION("""COMPUTED_VALUE"""),57.66)</f>
        <v>57.66</v>
      </c>
      <c r="N965" s="3">
        <f>IFERROR(__xludf.DUMMYFUNCTION("""COMPUTED_VALUE"""),45595.66666666667)</f>
        <v>45595.66667</v>
      </c>
      <c r="O965" s="2">
        <f>IFERROR(__xludf.DUMMYFUNCTION("""COMPUTED_VALUE"""),29.02)</f>
        <v>29.02</v>
      </c>
      <c r="Q965" s="3">
        <f>IFERROR(__xludf.DUMMYFUNCTION("""COMPUTED_VALUE"""),45595.66666666667)</f>
        <v>45595.66667</v>
      </c>
      <c r="R965" s="2">
        <f>IFERROR(__xludf.DUMMYFUNCTION("""COMPUTED_VALUE"""),166.16)</f>
        <v>166.16</v>
      </c>
    </row>
    <row r="966">
      <c r="B966" s="3">
        <f>IFERROR(__xludf.DUMMYFUNCTION("""COMPUTED_VALUE"""),45596.66666666667)</f>
        <v>45596.66667</v>
      </c>
      <c r="C966" s="2">
        <f>IFERROR(__xludf.DUMMYFUNCTION("""COMPUTED_VALUE"""),54.77)</f>
        <v>54.77</v>
      </c>
      <c r="K966" s="3">
        <f>IFERROR(__xludf.DUMMYFUNCTION("""COMPUTED_VALUE"""),45593.6875)</f>
        <v>45593.6875</v>
      </c>
      <c r="L966" s="2">
        <f>IFERROR(__xludf.DUMMYFUNCTION("""COMPUTED_VALUE"""),56.12)</f>
        <v>56.12</v>
      </c>
      <c r="N966" s="3">
        <f>IFERROR(__xludf.DUMMYFUNCTION("""COMPUTED_VALUE"""),45596.66666666667)</f>
        <v>45596.66667</v>
      </c>
      <c r="O966" s="2">
        <f>IFERROR(__xludf.DUMMYFUNCTION("""COMPUTED_VALUE"""),29.36)</f>
        <v>29.36</v>
      </c>
      <c r="Q966" s="3">
        <f>IFERROR(__xludf.DUMMYFUNCTION("""COMPUTED_VALUE"""),45596.66666666667)</f>
        <v>45596.66667</v>
      </c>
      <c r="R966" s="2">
        <f>IFERROR(__xludf.DUMMYFUNCTION("""COMPUTED_VALUE"""),165.18)</f>
        <v>165.18</v>
      </c>
    </row>
    <row r="967">
      <c r="B967" s="3">
        <f>IFERROR(__xludf.DUMMYFUNCTION("""COMPUTED_VALUE"""),45597.66666666667)</f>
        <v>45597.66667</v>
      </c>
      <c r="C967" s="2">
        <f>IFERROR(__xludf.DUMMYFUNCTION("""COMPUTED_VALUE"""),55.5)</f>
        <v>55.5</v>
      </c>
      <c r="K967" s="3">
        <f>IFERROR(__xludf.DUMMYFUNCTION("""COMPUTED_VALUE"""),45594.6875)</f>
        <v>45594.6875</v>
      </c>
      <c r="L967" s="2">
        <f>IFERROR(__xludf.DUMMYFUNCTION("""COMPUTED_VALUE"""),54.54)</f>
        <v>54.54</v>
      </c>
      <c r="N967" s="3">
        <f>IFERROR(__xludf.DUMMYFUNCTION("""COMPUTED_VALUE"""),45597.66666666667)</f>
        <v>45597.66667</v>
      </c>
      <c r="O967" s="2">
        <f>IFERROR(__xludf.DUMMYFUNCTION("""COMPUTED_VALUE"""),29.23)</f>
        <v>29.23</v>
      </c>
      <c r="Q967" s="3">
        <f>IFERROR(__xludf.DUMMYFUNCTION("""COMPUTED_VALUE"""),45597.66666666667)</f>
        <v>45597.66667</v>
      </c>
      <c r="R967" s="2">
        <f>IFERROR(__xludf.DUMMYFUNCTION("""COMPUTED_VALUE"""),165.1)</f>
        <v>165.1</v>
      </c>
    </row>
    <row r="968">
      <c r="B968" s="3">
        <f>IFERROR(__xludf.DUMMYFUNCTION("""COMPUTED_VALUE"""),45600.66666666667)</f>
        <v>45600.66667</v>
      </c>
      <c r="C968" s="2">
        <f>IFERROR(__xludf.DUMMYFUNCTION("""COMPUTED_VALUE"""),55.83)</f>
        <v>55.83</v>
      </c>
      <c r="K968" s="3">
        <f>IFERROR(__xludf.DUMMYFUNCTION("""COMPUTED_VALUE"""),45595.6875)</f>
        <v>45595.6875</v>
      </c>
      <c r="L968" s="2">
        <f>IFERROR(__xludf.DUMMYFUNCTION("""COMPUTED_VALUE"""),53.66)</f>
        <v>53.66</v>
      </c>
      <c r="N968" s="3">
        <f>IFERROR(__xludf.DUMMYFUNCTION("""COMPUTED_VALUE"""),45600.66666666667)</f>
        <v>45600.66667</v>
      </c>
      <c r="O968" s="2">
        <f>IFERROR(__xludf.DUMMYFUNCTION("""COMPUTED_VALUE"""),29.73)</f>
        <v>29.73</v>
      </c>
      <c r="Q968" s="3">
        <f>IFERROR(__xludf.DUMMYFUNCTION("""COMPUTED_VALUE"""),45600.66666666667)</f>
        <v>45600.66667</v>
      </c>
      <c r="R968" s="2">
        <f>IFERROR(__xludf.DUMMYFUNCTION("""COMPUTED_VALUE"""),165.08)</f>
        <v>165.08</v>
      </c>
    </row>
    <row r="969">
      <c r="B969" s="3">
        <f>IFERROR(__xludf.DUMMYFUNCTION("""COMPUTED_VALUE"""),45601.66666666667)</f>
        <v>45601.66667</v>
      </c>
      <c r="C969" s="2">
        <f>IFERROR(__xludf.DUMMYFUNCTION("""COMPUTED_VALUE"""),56.16)</f>
        <v>56.16</v>
      </c>
      <c r="K969" s="3">
        <f>IFERROR(__xludf.DUMMYFUNCTION("""COMPUTED_VALUE"""),45596.6875)</f>
        <v>45596.6875</v>
      </c>
      <c r="L969" s="2">
        <f>IFERROR(__xludf.DUMMYFUNCTION("""COMPUTED_VALUE"""),53.4)</f>
        <v>53.4</v>
      </c>
      <c r="N969" s="3">
        <f>IFERROR(__xludf.DUMMYFUNCTION("""COMPUTED_VALUE"""),45601.66666666667)</f>
        <v>45601.66667</v>
      </c>
      <c r="O969" s="2">
        <f>IFERROR(__xludf.DUMMYFUNCTION("""COMPUTED_VALUE"""),29.96)</f>
        <v>29.96</v>
      </c>
      <c r="Q969" s="3">
        <f>IFERROR(__xludf.DUMMYFUNCTION("""COMPUTED_VALUE"""),45601.66666666667)</f>
        <v>45601.66667</v>
      </c>
      <c r="R969" s="2">
        <f>IFERROR(__xludf.DUMMYFUNCTION("""COMPUTED_VALUE"""),165.76)</f>
        <v>165.76</v>
      </c>
    </row>
    <row r="970">
      <c r="B970" s="3">
        <f>IFERROR(__xludf.DUMMYFUNCTION("""COMPUTED_VALUE"""),45602.66666666667)</f>
        <v>45602.66667</v>
      </c>
      <c r="C970" s="2">
        <f>IFERROR(__xludf.DUMMYFUNCTION("""COMPUTED_VALUE"""),57.87)</f>
        <v>57.87</v>
      </c>
      <c r="K970" s="3">
        <f>IFERROR(__xludf.DUMMYFUNCTION("""COMPUTED_VALUE"""),45597.6875)</f>
        <v>45597.6875</v>
      </c>
      <c r="L970" s="2">
        <f>IFERROR(__xludf.DUMMYFUNCTION("""COMPUTED_VALUE"""),54.42)</f>
        <v>54.42</v>
      </c>
      <c r="N970" s="3">
        <f>IFERROR(__xludf.DUMMYFUNCTION("""COMPUTED_VALUE"""),45602.66666666667)</f>
        <v>45602.66667</v>
      </c>
      <c r="O970" s="2">
        <f>IFERROR(__xludf.DUMMYFUNCTION("""COMPUTED_VALUE"""),30.16)</f>
        <v>30.16</v>
      </c>
      <c r="Q970" s="3">
        <f>IFERROR(__xludf.DUMMYFUNCTION("""COMPUTED_VALUE"""),45602.66666666667)</f>
        <v>45602.66667</v>
      </c>
      <c r="R970" s="2">
        <f>IFERROR(__xludf.DUMMYFUNCTION("""COMPUTED_VALUE"""),161.05)</f>
        <v>161.05</v>
      </c>
    </row>
    <row r="971">
      <c r="B971" s="3">
        <f>IFERROR(__xludf.DUMMYFUNCTION("""COMPUTED_VALUE"""),45603.66666666667)</f>
        <v>45603.66667</v>
      </c>
      <c r="C971" s="2">
        <f>IFERROR(__xludf.DUMMYFUNCTION("""COMPUTED_VALUE"""),58.08)</f>
        <v>58.08</v>
      </c>
      <c r="K971" s="3">
        <f>IFERROR(__xludf.DUMMYFUNCTION("""COMPUTED_VALUE"""),45600.6875)</f>
        <v>45600.6875</v>
      </c>
      <c r="L971" s="2">
        <f>IFERROR(__xludf.DUMMYFUNCTION("""COMPUTED_VALUE"""),54.82)</f>
        <v>54.82</v>
      </c>
      <c r="N971" s="3">
        <f>IFERROR(__xludf.DUMMYFUNCTION("""COMPUTED_VALUE"""),45603.66666666667)</f>
        <v>45603.66667</v>
      </c>
      <c r="O971" s="2">
        <f>IFERROR(__xludf.DUMMYFUNCTION("""COMPUTED_VALUE"""),30.29)</f>
        <v>30.29</v>
      </c>
      <c r="Q971" s="3">
        <f>IFERROR(__xludf.DUMMYFUNCTION("""COMPUTED_VALUE"""),45603.66666666667)</f>
        <v>45603.66667</v>
      </c>
      <c r="R971" s="2">
        <f>IFERROR(__xludf.DUMMYFUNCTION("""COMPUTED_VALUE"""),163.41)</f>
        <v>163.41</v>
      </c>
    </row>
    <row r="972">
      <c r="B972" s="3">
        <f>IFERROR(__xludf.DUMMYFUNCTION("""COMPUTED_VALUE"""),45604.66666666667)</f>
        <v>45604.66667</v>
      </c>
      <c r="C972" s="2">
        <f>IFERROR(__xludf.DUMMYFUNCTION("""COMPUTED_VALUE"""),58.06)</f>
        <v>58.06</v>
      </c>
      <c r="K972" s="3">
        <f>IFERROR(__xludf.DUMMYFUNCTION("""COMPUTED_VALUE"""),45601.6875)</f>
        <v>45601.6875</v>
      </c>
      <c r="L972" s="2">
        <f>IFERROR(__xludf.DUMMYFUNCTION("""COMPUTED_VALUE"""),54.86)</f>
        <v>54.86</v>
      </c>
      <c r="N972" s="3">
        <f>IFERROR(__xludf.DUMMYFUNCTION("""COMPUTED_VALUE"""),45604.66666666667)</f>
        <v>45604.66667</v>
      </c>
      <c r="O972" s="2">
        <f>IFERROR(__xludf.DUMMYFUNCTION("""COMPUTED_VALUE"""),28.93)</f>
        <v>28.93</v>
      </c>
      <c r="Q972" s="3">
        <f>IFERROR(__xludf.DUMMYFUNCTION("""COMPUTED_VALUE"""),45604.66666666667)</f>
        <v>45604.66667</v>
      </c>
      <c r="R972" s="2">
        <f>IFERROR(__xludf.DUMMYFUNCTION("""COMPUTED_VALUE"""),167.71)</f>
        <v>167.71</v>
      </c>
    </row>
    <row r="973">
      <c r="B973" s="3">
        <f>IFERROR(__xludf.DUMMYFUNCTION("""COMPUTED_VALUE"""),45607.66666666667)</f>
        <v>45607.66667</v>
      </c>
      <c r="C973" s="2">
        <f>IFERROR(__xludf.DUMMYFUNCTION("""COMPUTED_VALUE"""),58.63)</f>
        <v>58.63</v>
      </c>
      <c r="K973" s="3">
        <f>IFERROR(__xludf.DUMMYFUNCTION("""COMPUTED_VALUE"""),45602.6875)</f>
        <v>45602.6875</v>
      </c>
      <c r="L973" s="2">
        <f>IFERROR(__xludf.DUMMYFUNCTION("""COMPUTED_VALUE"""),54.76)</f>
        <v>54.76</v>
      </c>
      <c r="N973" s="3">
        <f>IFERROR(__xludf.DUMMYFUNCTION("""COMPUTED_VALUE"""),45607.66666666667)</f>
        <v>45607.66667</v>
      </c>
      <c r="O973" s="2">
        <f>IFERROR(__xludf.DUMMYFUNCTION("""COMPUTED_VALUE"""),28.92)</f>
        <v>28.92</v>
      </c>
      <c r="Q973" s="3">
        <f>IFERROR(__xludf.DUMMYFUNCTION("""COMPUTED_VALUE"""),45607.66666666667)</f>
        <v>45607.66667</v>
      </c>
      <c r="R973" s="2">
        <f>IFERROR(__xludf.DUMMYFUNCTION("""COMPUTED_VALUE"""),166.03)</f>
        <v>166.03</v>
      </c>
    </row>
    <row r="974">
      <c r="B974" s="3">
        <f>IFERROR(__xludf.DUMMYFUNCTION("""COMPUTED_VALUE"""),45608.66666666667)</f>
        <v>45608.66667</v>
      </c>
      <c r="C974" s="2">
        <f>IFERROR(__xludf.DUMMYFUNCTION("""COMPUTED_VALUE"""),58.71)</f>
        <v>58.71</v>
      </c>
      <c r="K974" s="3">
        <f>IFERROR(__xludf.DUMMYFUNCTION("""COMPUTED_VALUE"""),45603.6875)</f>
        <v>45603.6875</v>
      </c>
      <c r="L974" s="2">
        <f>IFERROR(__xludf.DUMMYFUNCTION("""COMPUTED_VALUE"""),54.54)</f>
        <v>54.54</v>
      </c>
      <c r="N974" s="3">
        <f>IFERROR(__xludf.DUMMYFUNCTION("""COMPUTED_VALUE"""),45608.66666666667)</f>
        <v>45608.66667</v>
      </c>
      <c r="O974" s="2">
        <f>IFERROR(__xludf.DUMMYFUNCTION("""COMPUTED_VALUE"""),28.16)</f>
        <v>28.16</v>
      </c>
      <c r="Q974" s="3">
        <f>IFERROR(__xludf.DUMMYFUNCTION("""COMPUTED_VALUE"""),45608.66666666667)</f>
        <v>45608.66667</v>
      </c>
      <c r="R974" s="2">
        <f>IFERROR(__xludf.DUMMYFUNCTION("""COMPUTED_VALUE"""),165.84)</f>
        <v>165.84</v>
      </c>
    </row>
    <row r="975">
      <c r="B975" s="3">
        <f>IFERROR(__xludf.DUMMYFUNCTION("""COMPUTED_VALUE"""),45609.66666666667)</f>
        <v>45609.66667</v>
      </c>
      <c r="C975" s="2">
        <f>IFERROR(__xludf.DUMMYFUNCTION("""COMPUTED_VALUE"""),59.18)</f>
        <v>59.18</v>
      </c>
      <c r="K975" s="3">
        <f>IFERROR(__xludf.DUMMYFUNCTION("""COMPUTED_VALUE"""),45604.6875)</f>
        <v>45604.6875</v>
      </c>
      <c r="L975" s="2">
        <f>IFERROR(__xludf.DUMMYFUNCTION("""COMPUTED_VALUE"""),53.08)</f>
        <v>53.08</v>
      </c>
      <c r="N975" s="3">
        <f>IFERROR(__xludf.DUMMYFUNCTION("""COMPUTED_VALUE"""),45609.66666666667)</f>
        <v>45609.66667</v>
      </c>
      <c r="O975" s="2">
        <f>IFERROR(__xludf.DUMMYFUNCTION("""COMPUTED_VALUE"""),28.57)</f>
        <v>28.57</v>
      </c>
      <c r="Q975" s="3">
        <f>IFERROR(__xludf.DUMMYFUNCTION("""COMPUTED_VALUE"""),45609.66666666667)</f>
        <v>45609.66667</v>
      </c>
      <c r="R975" s="2">
        <f>IFERROR(__xludf.DUMMYFUNCTION("""COMPUTED_VALUE"""),166.58)</f>
        <v>166.58</v>
      </c>
    </row>
    <row r="976">
      <c r="B976" s="3">
        <f>IFERROR(__xludf.DUMMYFUNCTION("""COMPUTED_VALUE"""),45610.66666666667)</f>
        <v>45610.66667</v>
      </c>
      <c r="C976" s="2">
        <f>IFERROR(__xludf.DUMMYFUNCTION("""COMPUTED_VALUE"""),57.92)</f>
        <v>57.92</v>
      </c>
      <c r="K976" s="3">
        <f>IFERROR(__xludf.DUMMYFUNCTION("""COMPUTED_VALUE"""),45607.6875)</f>
        <v>45607.6875</v>
      </c>
      <c r="L976" s="2">
        <f>IFERROR(__xludf.DUMMYFUNCTION("""COMPUTED_VALUE"""),54.54)</f>
        <v>54.54</v>
      </c>
      <c r="N976" s="3">
        <f>IFERROR(__xludf.DUMMYFUNCTION("""COMPUTED_VALUE"""),45610.66666666667)</f>
        <v>45610.66667</v>
      </c>
      <c r="O976" s="2">
        <f>IFERROR(__xludf.DUMMYFUNCTION("""COMPUTED_VALUE"""),29.05)</f>
        <v>29.05</v>
      </c>
      <c r="Q976" s="3">
        <f>IFERROR(__xludf.DUMMYFUNCTION("""COMPUTED_VALUE"""),45610.66666666667)</f>
        <v>45610.66667</v>
      </c>
      <c r="R976" s="2">
        <f>IFERROR(__xludf.DUMMYFUNCTION("""COMPUTED_VALUE"""),167.08)</f>
        <v>167.08</v>
      </c>
    </row>
    <row r="977">
      <c r="B977" s="3">
        <f>IFERROR(__xludf.DUMMYFUNCTION("""COMPUTED_VALUE"""),45611.66666666667)</f>
        <v>45611.66667</v>
      </c>
      <c r="C977" s="2">
        <f>IFERROR(__xludf.DUMMYFUNCTION("""COMPUTED_VALUE"""),57.46)</f>
        <v>57.46</v>
      </c>
      <c r="K977" s="3">
        <f>IFERROR(__xludf.DUMMYFUNCTION("""COMPUTED_VALUE"""),45608.6875)</f>
        <v>45608.6875</v>
      </c>
      <c r="L977" s="2">
        <f>IFERROR(__xludf.DUMMYFUNCTION("""COMPUTED_VALUE"""),53.86)</f>
        <v>53.86</v>
      </c>
      <c r="N977" s="3">
        <f>IFERROR(__xludf.DUMMYFUNCTION("""COMPUTED_VALUE"""),45611.66666666667)</f>
        <v>45611.66667</v>
      </c>
      <c r="O977" s="2">
        <f>IFERROR(__xludf.DUMMYFUNCTION("""COMPUTED_VALUE"""),28.98)</f>
        <v>28.98</v>
      </c>
      <c r="Q977" s="3">
        <f>IFERROR(__xludf.DUMMYFUNCTION("""COMPUTED_VALUE"""),45611.66666666667)</f>
        <v>45611.66667</v>
      </c>
      <c r="R977" s="2">
        <f>IFERROR(__xludf.DUMMYFUNCTION("""COMPUTED_VALUE"""),169.54)</f>
        <v>169.54</v>
      </c>
    </row>
    <row r="978">
      <c r="B978" s="3">
        <f>IFERROR(__xludf.DUMMYFUNCTION("""COMPUTED_VALUE"""),45614.66666666667)</f>
        <v>45614.66667</v>
      </c>
      <c r="C978" s="2">
        <f>IFERROR(__xludf.DUMMYFUNCTION("""COMPUTED_VALUE"""),57.31)</f>
        <v>57.31</v>
      </c>
      <c r="K978" s="3">
        <f>IFERROR(__xludf.DUMMYFUNCTION("""COMPUTED_VALUE"""),45609.6875)</f>
        <v>45609.6875</v>
      </c>
      <c r="L978" s="2">
        <f>IFERROR(__xludf.DUMMYFUNCTION("""COMPUTED_VALUE"""),54.6)</f>
        <v>54.6</v>
      </c>
      <c r="N978" s="3">
        <f>IFERROR(__xludf.DUMMYFUNCTION("""COMPUTED_VALUE"""),45614.66666666667)</f>
        <v>45614.66667</v>
      </c>
      <c r="O978" s="2">
        <f>IFERROR(__xludf.DUMMYFUNCTION("""COMPUTED_VALUE"""),29.42)</f>
        <v>29.42</v>
      </c>
      <c r="Q978" s="3">
        <f>IFERROR(__xludf.DUMMYFUNCTION("""COMPUTED_VALUE"""),45614.66666666667)</f>
        <v>45614.66667</v>
      </c>
      <c r="R978" s="2">
        <f>IFERROR(__xludf.DUMMYFUNCTION("""COMPUTED_VALUE"""),170.75)</f>
        <v>170.75</v>
      </c>
    </row>
    <row r="979">
      <c r="B979" s="3">
        <f>IFERROR(__xludf.DUMMYFUNCTION("""COMPUTED_VALUE"""),45615.66666666667)</f>
        <v>45615.66667</v>
      </c>
      <c r="C979" s="2">
        <f>IFERROR(__xludf.DUMMYFUNCTION("""COMPUTED_VALUE"""),57.01)</f>
        <v>57.01</v>
      </c>
      <c r="K979" s="3">
        <f>IFERROR(__xludf.DUMMYFUNCTION("""COMPUTED_VALUE"""),45610.6875)</f>
        <v>45610.6875</v>
      </c>
      <c r="L979" s="2">
        <f>IFERROR(__xludf.DUMMYFUNCTION("""COMPUTED_VALUE"""),55.04)</f>
        <v>55.04</v>
      </c>
      <c r="N979" s="3">
        <f>IFERROR(__xludf.DUMMYFUNCTION("""COMPUTED_VALUE"""),45615.66666666667)</f>
        <v>45615.66667</v>
      </c>
      <c r="O979" s="2">
        <f>IFERROR(__xludf.DUMMYFUNCTION("""COMPUTED_VALUE"""),29.09)</f>
        <v>29.09</v>
      </c>
      <c r="Q979" s="3">
        <f>IFERROR(__xludf.DUMMYFUNCTION("""COMPUTED_VALUE"""),45615.66666666667)</f>
        <v>45615.66667</v>
      </c>
      <c r="R979" s="2">
        <f>IFERROR(__xludf.DUMMYFUNCTION("""COMPUTED_VALUE"""),170.76)</f>
        <v>170.76</v>
      </c>
    </row>
    <row r="980">
      <c r="B980" s="3">
        <f>IFERROR(__xludf.DUMMYFUNCTION("""COMPUTED_VALUE"""),45616.66666666667)</f>
        <v>45616.66667</v>
      </c>
      <c r="C980" s="2">
        <f>IFERROR(__xludf.DUMMYFUNCTION("""COMPUTED_VALUE"""),57.5)</f>
        <v>57.5</v>
      </c>
      <c r="K980" s="3">
        <f>IFERROR(__xludf.DUMMYFUNCTION("""COMPUTED_VALUE"""),45611.6875)</f>
        <v>45611.6875</v>
      </c>
      <c r="L980" s="2">
        <f>IFERROR(__xludf.DUMMYFUNCTION("""COMPUTED_VALUE"""),56.48)</f>
        <v>56.48</v>
      </c>
      <c r="N980" s="3">
        <f>IFERROR(__xludf.DUMMYFUNCTION("""COMPUTED_VALUE"""),45616.66666666667)</f>
        <v>45616.66667</v>
      </c>
      <c r="O980" s="2">
        <f>IFERROR(__xludf.DUMMYFUNCTION("""COMPUTED_VALUE"""),29.08)</f>
        <v>29.08</v>
      </c>
      <c r="Q980" s="3">
        <f>IFERROR(__xludf.DUMMYFUNCTION("""COMPUTED_VALUE"""),45616.66666666667)</f>
        <v>45616.66667</v>
      </c>
      <c r="R980" s="2">
        <f>IFERROR(__xludf.DUMMYFUNCTION("""COMPUTED_VALUE"""),170.89)</f>
        <v>170.89</v>
      </c>
    </row>
    <row r="981">
      <c r="B981" s="3">
        <f>IFERROR(__xludf.DUMMYFUNCTION("""COMPUTED_VALUE"""),45617.66666666667)</f>
        <v>45617.66667</v>
      </c>
      <c r="C981" s="2">
        <f>IFERROR(__xludf.DUMMYFUNCTION("""COMPUTED_VALUE"""),57.56)</f>
        <v>57.56</v>
      </c>
      <c r="K981" s="3">
        <f>IFERROR(__xludf.DUMMYFUNCTION("""COMPUTED_VALUE"""),45614.6875)</f>
        <v>45614.6875</v>
      </c>
      <c r="L981" s="2">
        <f>IFERROR(__xludf.DUMMYFUNCTION("""COMPUTED_VALUE"""),56.24)</f>
        <v>56.24</v>
      </c>
      <c r="N981" s="3">
        <f>IFERROR(__xludf.DUMMYFUNCTION("""COMPUTED_VALUE"""),45617.66666666667)</f>
        <v>45617.66667</v>
      </c>
      <c r="O981" s="2">
        <f>IFERROR(__xludf.DUMMYFUNCTION("""COMPUTED_VALUE"""),29.52)</f>
        <v>29.52</v>
      </c>
      <c r="Q981" s="3">
        <f>IFERROR(__xludf.DUMMYFUNCTION("""COMPUTED_VALUE"""),45617.66666666667)</f>
        <v>45617.66667</v>
      </c>
      <c r="R981" s="2">
        <f>IFERROR(__xludf.DUMMYFUNCTION("""COMPUTED_VALUE"""),172.75)</f>
        <v>172.75</v>
      </c>
    </row>
    <row r="982">
      <c r="B982" s="3">
        <f>IFERROR(__xludf.DUMMYFUNCTION("""COMPUTED_VALUE"""),45618.66666666667)</f>
        <v>45618.66667</v>
      </c>
      <c r="C982" s="2">
        <f>IFERROR(__xludf.DUMMYFUNCTION("""COMPUTED_VALUE"""),58.55)</f>
        <v>58.55</v>
      </c>
      <c r="K982" s="3">
        <f>IFERROR(__xludf.DUMMYFUNCTION("""COMPUTED_VALUE"""),45615.6875)</f>
        <v>45615.6875</v>
      </c>
      <c r="L982" s="2">
        <f>IFERROR(__xludf.DUMMYFUNCTION("""COMPUTED_VALUE"""),55.32)</f>
        <v>55.32</v>
      </c>
      <c r="N982" s="3">
        <f>IFERROR(__xludf.DUMMYFUNCTION("""COMPUTED_VALUE"""),45618.66666666667)</f>
        <v>45618.66667</v>
      </c>
      <c r="O982" s="2">
        <f>IFERROR(__xludf.DUMMYFUNCTION("""COMPUTED_VALUE"""),29.72)</f>
        <v>29.72</v>
      </c>
      <c r="Q982" s="3">
        <f>IFERROR(__xludf.DUMMYFUNCTION("""COMPUTED_VALUE"""),45618.66666666667)</f>
        <v>45618.66667</v>
      </c>
      <c r="R982" s="2">
        <f>IFERROR(__xludf.DUMMYFUNCTION("""COMPUTED_VALUE"""),176.28)</f>
        <v>176.28</v>
      </c>
    </row>
    <row r="983">
      <c r="B983" s="3">
        <f>IFERROR(__xludf.DUMMYFUNCTION("""COMPUTED_VALUE"""),45621.66666666667)</f>
        <v>45621.66667</v>
      </c>
      <c r="C983" s="2">
        <f>IFERROR(__xludf.DUMMYFUNCTION("""COMPUTED_VALUE"""),58.74)</f>
        <v>58.74</v>
      </c>
      <c r="K983" s="3">
        <f>IFERROR(__xludf.DUMMYFUNCTION("""COMPUTED_VALUE"""),45616.6875)</f>
        <v>45616.6875</v>
      </c>
      <c r="L983" s="2">
        <f>IFERROR(__xludf.DUMMYFUNCTION("""COMPUTED_VALUE"""),55.42)</f>
        <v>55.42</v>
      </c>
      <c r="N983" s="3">
        <f>IFERROR(__xludf.DUMMYFUNCTION("""COMPUTED_VALUE"""),45621.66666666667)</f>
        <v>45621.66667</v>
      </c>
      <c r="O983" s="2">
        <f>IFERROR(__xludf.DUMMYFUNCTION("""COMPUTED_VALUE"""),29.32)</f>
        <v>29.32</v>
      </c>
      <c r="Q983" s="3">
        <f>IFERROR(__xludf.DUMMYFUNCTION("""COMPUTED_VALUE"""),45621.66666666667)</f>
        <v>45621.66667</v>
      </c>
      <c r="R983" s="2">
        <f>IFERROR(__xludf.DUMMYFUNCTION("""COMPUTED_VALUE"""),177.39)</f>
        <v>177.39</v>
      </c>
    </row>
    <row r="984">
      <c r="B984" s="3">
        <f>IFERROR(__xludf.DUMMYFUNCTION("""COMPUTED_VALUE"""),45622.66666666667)</f>
        <v>45622.66667</v>
      </c>
      <c r="C984" s="2">
        <f>IFERROR(__xludf.DUMMYFUNCTION("""COMPUTED_VALUE"""),59.59)</f>
        <v>59.59</v>
      </c>
      <c r="K984" s="3">
        <f>IFERROR(__xludf.DUMMYFUNCTION("""COMPUTED_VALUE"""),45617.6875)</f>
        <v>45617.6875</v>
      </c>
      <c r="L984" s="2">
        <f>IFERROR(__xludf.DUMMYFUNCTION("""COMPUTED_VALUE"""),55.02)</f>
        <v>55.02</v>
      </c>
      <c r="N984" s="3">
        <f>IFERROR(__xludf.DUMMYFUNCTION("""COMPUTED_VALUE"""),45622.66666666667)</f>
        <v>45622.66667</v>
      </c>
      <c r="O984" s="2">
        <f>IFERROR(__xludf.DUMMYFUNCTION("""COMPUTED_VALUE"""),28.96)</f>
        <v>28.96</v>
      </c>
      <c r="Q984" s="3">
        <f>IFERROR(__xludf.DUMMYFUNCTION("""COMPUTED_VALUE"""),45622.66666666667)</f>
        <v>45622.66667</v>
      </c>
      <c r="R984" s="2">
        <f>IFERROR(__xludf.DUMMYFUNCTION("""COMPUTED_VALUE"""),179.31)</f>
        <v>179.31</v>
      </c>
    </row>
    <row r="985">
      <c r="B985" s="3">
        <f>IFERROR(__xludf.DUMMYFUNCTION("""COMPUTED_VALUE"""),45623.66666666667)</f>
        <v>45623.66667</v>
      </c>
      <c r="C985" s="2">
        <f>IFERROR(__xludf.DUMMYFUNCTION("""COMPUTED_VALUE"""),59.29)</f>
        <v>59.29</v>
      </c>
      <c r="K985" s="3">
        <f>IFERROR(__xludf.DUMMYFUNCTION("""COMPUTED_VALUE"""),45618.6875)</f>
        <v>45618.6875</v>
      </c>
      <c r="L985" s="2">
        <f>IFERROR(__xludf.DUMMYFUNCTION("""COMPUTED_VALUE"""),54.42)</f>
        <v>54.42</v>
      </c>
      <c r="N985" s="3">
        <f>IFERROR(__xludf.DUMMYFUNCTION("""COMPUTED_VALUE"""),45623.66666666667)</f>
        <v>45623.66667</v>
      </c>
      <c r="O985" s="2">
        <f>IFERROR(__xludf.DUMMYFUNCTION("""COMPUTED_VALUE"""),29.13)</f>
        <v>29.13</v>
      </c>
      <c r="Q985" s="3">
        <f>IFERROR(__xludf.DUMMYFUNCTION("""COMPUTED_VALUE"""),45623.66666666667)</f>
        <v>45623.66667</v>
      </c>
      <c r="R985" s="2">
        <f>IFERROR(__xludf.DUMMYFUNCTION("""COMPUTED_VALUE"""),179.36)</f>
        <v>179.36</v>
      </c>
    </row>
    <row r="986">
      <c r="B986" s="3">
        <f>IFERROR(__xludf.DUMMYFUNCTION("""COMPUTED_VALUE"""),45625.54513888889)</f>
        <v>45625.54514</v>
      </c>
      <c r="C986" s="2">
        <f>IFERROR(__xludf.DUMMYFUNCTION("""COMPUTED_VALUE"""),59.21)</f>
        <v>59.21</v>
      </c>
      <c r="K986" s="3">
        <f>IFERROR(__xludf.DUMMYFUNCTION("""COMPUTED_VALUE"""),45621.6875)</f>
        <v>45621.6875</v>
      </c>
      <c r="L986" s="2">
        <f>IFERROR(__xludf.DUMMYFUNCTION("""COMPUTED_VALUE"""),54.66)</f>
        <v>54.66</v>
      </c>
      <c r="N986" s="3">
        <f>IFERROR(__xludf.DUMMYFUNCTION("""COMPUTED_VALUE"""),45625.54166666667)</f>
        <v>45625.54167</v>
      </c>
      <c r="O986" s="2">
        <f>IFERROR(__xludf.DUMMYFUNCTION("""COMPUTED_VALUE"""),29.31)</f>
        <v>29.31</v>
      </c>
      <c r="Q986" s="3">
        <f>IFERROR(__xludf.DUMMYFUNCTION("""COMPUTED_VALUE"""),45625.54166666667)</f>
        <v>45625.54167</v>
      </c>
      <c r="R986" s="2">
        <f>IFERROR(__xludf.DUMMYFUNCTION("""COMPUTED_VALUE"""),179.26)</f>
        <v>179.26</v>
      </c>
    </row>
    <row r="987">
      <c r="B987" s="3">
        <f>IFERROR(__xludf.DUMMYFUNCTION("""COMPUTED_VALUE"""),45628.66666666667)</f>
        <v>45628.66667</v>
      </c>
      <c r="C987" s="2">
        <f>IFERROR(__xludf.DUMMYFUNCTION("""COMPUTED_VALUE"""),59.43)</f>
        <v>59.43</v>
      </c>
      <c r="K987" s="3">
        <f>IFERROR(__xludf.DUMMYFUNCTION("""COMPUTED_VALUE"""),45622.6875)</f>
        <v>45622.6875</v>
      </c>
      <c r="L987" s="2">
        <f>IFERROR(__xludf.DUMMYFUNCTION("""COMPUTED_VALUE"""),53.42)</f>
        <v>53.42</v>
      </c>
      <c r="N987" s="3">
        <f>IFERROR(__xludf.DUMMYFUNCTION("""COMPUTED_VALUE"""),45628.66666666667)</f>
        <v>45628.66667</v>
      </c>
      <c r="O987" s="2">
        <f>IFERROR(__xludf.DUMMYFUNCTION("""COMPUTED_VALUE"""),28.99)</f>
        <v>28.99</v>
      </c>
      <c r="Q987" s="3">
        <f>IFERROR(__xludf.DUMMYFUNCTION("""COMPUTED_VALUE"""),45628.66666666667)</f>
        <v>45628.66667</v>
      </c>
      <c r="R987" s="2">
        <f>IFERROR(__xludf.DUMMYFUNCTION("""COMPUTED_VALUE"""),179.7)</f>
        <v>179.7</v>
      </c>
    </row>
    <row r="988">
      <c r="B988" s="3">
        <f>IFERROR(__xludf.DUMMYFUNCTION("""COMPUTED_VALUE"""),45629.66666666667)</f>
        <v>45629.66667</v>
      </c>
      <c r="C988" s="2">
        <f>IFERROR(__xludf.DUMMYFUNCTION("""COMPUTED_VALUE"""),59.48)</f>
        <v>59.48</v>
      </c>
      <c r="K988" s="3">
        <f>IFERROR(__xludf.DUMMYFUNCTION("""COMPUTED_VALUE"""),45623.6875)</f>
        <v>45623.6875</v>
      </c>
      <c r="L988" s="2">
        <f>IFERROR(__xludf.DUMMYFUNCTION("""COMPUTED_VALUE"""),53.18)</f>
        <v>53.18</v>
      </c>
      <c r="N988" s="3">
        <f>IFERROR(__xludf.DUMMYFUNCTION("""COMPUTED_VALUE"""),45629.66666666667)</f>
        <v>45629.66667</v>
      </c>
      <c r="O988" s="2">
        <f>IFERROR(__xludf.DUMMYFUNCTION("""COMPUTED_VALUE"""),29.45)</f>
        <v>29.45</v>
      </c>
      <c r="Q988" s="3">
        <f>IFERROR(__xludf.DUMMYFUNCTION("""COMPUTED_VALUE"""),45629.66666666667)</f>
        <v>45629.66667</v>
      </c>
      <c r="R988" s="2">
        <f>IFERROR(__xludf.DUMMYFUNCTION("""COMPUTED_VALUE"""),175.42)</f>
        <v>175.42</v>
      </c>
    </row>
    <row r="989">
      <c r="B989" s="3">
        <f>IFERROR(__xludf.DUMMYFUNCTION("""COMPUTED_VALUE"""),45630.66666666667)</f>
        <v>45630.66667</v>
      </c>
      <c r="C989" s="2">
        <f>IFERROR(__xludf.DUMMYFUNCTION("""COMPUTED_VALUE"""),59.62)</f>
        <v>59.62</v>
      </c>
      <c r="K989" s="3">
        <f>IFERROR(__xludf.DUMMYFUNCTION("""COMPUTED_VALUE"""),45624.6875)</f>
        <v>45624.6875</v>
      </c>
      <c r="L989" s="2">
        <f>IFERROR(__xludf.DUMMYFUNCTION("""COMPUTED_VALUE"""),53.26)</f>
        <v>53.26</v>
      </c>
      <c r="N989" s="3">
        <f>IFERROR(__xludf.DUMMYFUNCTION("""COMPUTED_VALUE"""),45630.66666666667)</f>
        <v>45630.66667</v>
      </c>
      <c r="O989" s="2">
        <f>IFERROR(__xludf.DUMMYFUNCTION("""COMPUTED_VALUE"""),29.13)</f>
        <v>29.13</v>
      </c>
      <c r="Q989" s="3">
        <f>IFERROR(__xludf.DUMMYFUNCTION("""COMPUTED_VALUE"""),45630.66666666667)</f>
        <v>45630.66667</v>
      </c>
      <c r="R989" s="2">
        <f>IFERROR(__xludf.DUMMYFUNCTION("""COMPUTED_VALUE"""),175.11)</f>
        <v>175.11</v>
      </c>
    </row>
    <row r="990">
      <c r="B990" s="3">
        <f>IFERROR(__xludf.DUMMYFUNCTION("""COMPUTED_VALUE"""),45631.66666666667)</f>
        <v>45631.66667</v>
      </c>
      <c r="C990" s="2">
        <f>IFERROR(__xludf.DUMMYFUNCTION("""COMPUTED_VALUE"""),60.02)</f>
        <v>60.02</v>
      </c>
      <c r="K990" s="3">
        <f>IFERROR(__xludf.DUMMYFUNCTION("""COMPUTED_VALUE"""),45625.6875)</f>
        <v>45625.6875</v>
      </c>
      <c r="L990" s="2">
        <f>IFERROR(__xludf.DUMMYFUNCTION("""COMPUTED_VALUE"""),53.06)</f>
        <v>53.06</v>
      </c>
      <c r="N990" s="3">
        <f>IFERROR(__xludf.DUMMYFUNCTION("""COMPUTED_VALUE"""),45631.66666666667)</f>
        <v>45631.66667</v>
      </c>
      <c r="O990" s="2">
        <f>IFERROR(__xludf.DUMMYFUNCTION("""COMPUTED_VALUE"""),29.14)</f>
        <v>29.14</v>
      </c>
      <c r="Q990" s="3">
        <f>IFERROR(__xludf.DUMMYFUNCTION("""COMPUTED_VALUE"""),45631.66666666667)</f>
        <v>45631.66667</v>
      </c>
      <c r="R990" s="2">
        <f>IFERROR(__xludf.DUMMYFUNCTION("""COMPUTED_VALUE"""),176.03)</f>
        <v>176.03</v>
      </c>
    </row>
    <row r="991">
      <c r="B991" s="3">
        <f>IFERROR(__xludf.DUMMYFUNCTION("""COMPUTED_VALUE"""),45632.66666666667)</f>
        <v>45632.66667</v>
      </c>
      <c r="C991" s="2">
        <f>IFERROR(__xludf.DUMMYFUNCTION("""COMPUTED_VALUE"""),59.89)</f>
        <v>59.89</v>
      </c>
      <c r="K991" s="3">
        <f>IFERROR(__xludf.DUMMYFUNCTION("""COMPUTED_VALUE"""),45628.6875)</f>
        <v>45628.6875</v>
      </c>
      <c r="L991" s="2">
        <f>IFERROR(__xludf.DUMMYFUNCTION("""COMPUTED_VALUE"""),52.82)</f>
        <v>52.82</v>
      </c>
      <c r="N991" s="3">
        <f>IFERROR(__xludf.DUMMYFUNCTION("""COMPUTED_VALUE"""),45632.66666666667)</f>
        <v>45632.66667</v>
      </c>
      <c r="O991" s="2">
        <f>IFERROR(__xludf.DUMMYFUNCTION("""COMPUTED_VALUE"""),28.7)</f>
        <v>28.7</v>
      </c>
      <c r="Q991" s="3">
        <f>IFERROR(__xludf.DUMMYFUNCTION("""COMPUTED_VALUE"""),45632.66666666667)</f>
        <v>45632.66667</v>
      </c>
      <c r="R991" s="2">
        <f>IFERROR(__xludf.DUMMYFUNCTION("""COMPUTED_VALUE"""),173.82)</f>
        <v>173.82</v>
      </c>
    </row>
    <row r="992">
      <c r="B992" s="3">
        <f>IFERROR(__xludf.DUMMYFUNCTION("""COMPUTED_VALUE"""),45635.66666666667)</f>
        <v>45635.66667</v>
      </c>
      <c r="C992" s="2">
        <f>IFERROR(__xludf.DUMMYFUNCTION("""COMPUTED_VALUE"""),58.95)</f>
        <v>58.95</v>
      </c>
      <c r="K992" s="3">
        <f>IFERROR(__xludf.DUMMYFUNCTION("""COMPUTED_VALUE"""),45629.6875)</f>
        <v>45629.6875</v>
      </c>
      <c r="L992" s="2">
        <f>IFERROR(__xludf.DUMMYFUNCTION("""COMPUTED_VALUE"""),52.94)</f>
        <v>52.94</v>
      </c>
      <c r="N992" s="3">
        <f>IFERROR(__xludf.DUMMYFUNCTION("""COMPUTED_VALUE"""),45635.66666666667)</f>
        <v>45635.66667</v>
      </c>
      <c r="O992" s="2">
        <f>IFERROR(__xludf.DUMMYFUNCTION("""COMPUTED_VALUE"""),30.09)</f>
        <v>30.09</v>
      </c>
      <c r="Q992" s="3">
        <f>IFERROR(__xludf.DUMMYFUNCTION("""COMPUTED_VALUE"""),45635.66666666667)</f>
        <v>45635.66667</v>
      </c>
      <c r="R992" s="2">
        <f>IFERROR(__xludf.DUMMYFUNCTION("""COMPUTED_VALUE"""),170.79)</f>
        <v>170.79</v>
      </c>
    </row>
    <row r="993">
      <c r="B993" s="3">
        <f>IFERROR(__xludf.DUMMYFUNCTION("""COMPUTED_VALUE"""),45636.66666666667)</f>
        <v>45636.66667</v>
      </c>
      <c r="C993" s="2">
        <f>IFERROR(__xludf.DUMMYFUNCTION("""COMPUTED_VALUE"""),58.72)</f>
        <v>58.72</v>
      </c>
      <c r="K993" s="3">
        <f>IFERROR(__xludf.DUMMYFUNCTION("""COMPUTED_VALUE"""),45630.6875)</f>
        <v>45630.6875</v>
      </c>
      <c r="L993" s="2">
        <f>IFERROR(__xludf.DUMMYFUNCTION("""COMPUTED_VALUE"""),53.0)</f>
        <v>53</v>
      </c>
      <c r="N993" s="3">
        <f>IFERROR(__xludf.DUMMYFUNCTION("""COMPUTED_VALUE"""),45636.66666666667)</f>
        <v>45636.66667</v>
      </c>
      <c r="O993" s="2">
        <f>IFERROR(__xludf.DUMMYFUNCTION("""COMPUTED_VALUE"""),30.1)</f>
        <v>30.1</v>
      </c>
      <c r="Q993" s="3">
        <f>IFERROR(__xludf.DUMMYFUNCTION("""COMPUTED_VALUE"""),45636.66666666667)</f>
        <v>45636.66667</v>
      </c>
      <c r="R993" s="2">
        <f>IFERROR(__xludf.DUMMYFUNCTION("""COMPUTED_VALUE"""),172.28)</f>
        <v>172.28</v>
      </c>
    </row>
    <row r="994">
      <c r="B994" s="3">
        <f>IFERROR(__xludf.DUMMYFUNCTION("""COMPUTED_VALUE"""),45637.66666666667)</f>
        <v>45637.66667</v>
      </c>
      <c r="C994" s="2">
        <f>IFERROR(__xludf.DUMMYFUNCTION("""COMPUTED_VALUE"""),58.59)</f>
        <v>58.59</v>
      </c>
      <c r="K994" s="3">
        <f>IFERROR(__xludf.DUMMYFUNCTION("""COMPUTED_VALUE"""),45631.6875)</f>
        <v>45631.6875</v>
      </c>
      <c r="L994" s="2">
        <f>IFERROR(__xludf.DUMMYFUNCTION("""COMPUTED_VALUE"""),53.66)</f>
        <v>53.66</v>
      </c>
      <c r="N994" s="3">
        <f>IFERROR(__xludf.DUMMYFUNCTION("""COMPUTED_VALUE"""),45637.66666666667)</f>
        <v>45637.66667</v>
      </c>
      <c r="O994" s="2">
        <f>IFERROR(__xludf.DUMMYFUNCTION("""COMPUTED_VALUE"""),30.33)</f>
        <v>30.33</v>
      </c>
      <c r="Q994" s="3">
        <f>IFERROR(__xludf.DUMMYFUNCTION("""COMPUTED_VALUE"""),45637.66666666667)</f>
        <v>45637.66667</v>
      </c>
      <c r="R994" s="2">
        <f>IFERROR(__xludf.DUMMYFUNCTION("""COMPUTED_VALUE"""),170.63)</f>
        <v>170.63</v>
      </c>
    </row>
    <row r="995">
      <c r="B995" s="3">
        <f>IFERROR(__xludf.DUMMYFUNCTION("""COMPUTED_VALUE"""),45638.66666666667)</f>
        <v>45638.66667</v>
      </c>
      <c r="C995" s="2">
        <f>IFERROR(__xludf.DUMMYFUNCTION("""COMPUTED_VALUE"""),58.85)</f>
        <v>58.85</v>
      </c>
      <c r="K995" s="3">
        <f>IFERROR(__xludf.DUMMYFUNCTION("""COMPUTED_VALUE"""),45632.6875)</f>
        <v>45632.6875</v>
      </c>
      <c r="L995" s="2">
        <f>IFERROR(__xludf.DUMMYFUNCTION("""COMPUTED_VALUE"""),53.08)</f>
        <v>53.08</v>
      </c>
      <c r="N995" s="3">
        <f>IFERROR(__xludf.DUMMYFUNCTION("""COMPUTED_VALUE"""),45638.66666666667)</f>
        <v>45638.66667</v>
      </c>
      <c r="O995" s="2">
        <f>IFERROR(__xludf.DUMMYFUNCTION("""COMPUTED_VALUE"""),30.15)</f>
        <v>30.15</v>
      </c>
      <c r="Q995" s="3">
        <f>IFERROR(__xludf.DUMMYFUNCTION("""COMPUTED_VALUE"""),45638.66666666667)</f>
        <v>45638.66667</v>
      </c>
      <c r="R995" s="2">
        <f>IFERROR(__xludf.DUMMYFUNCTION("""COMPUTED_VALUE"""),170.85)</f>
        <v>170.85</v>
      </c>
    </row>
    <row r="996">
      <c r="B996" s="3">
        <f>IFERROR(__xludf.DUMMYFUNCTION("""COMPUTED_VALUE"""),45639.66666666667)</f>
        <v>45639.66667</v>
      </c>
      <c r="C996" s="2">
        <f>IFERROR(__xludf.DUMMYFUNCTION("""COMPUTED_VALUE"""),58.62)</f>
        <v>58.62</v>
      </c>
      <c r="K996" s="3">
        <f>IFERROR(__xludf.DUMMYFUNCTION("""COMPUTED_VALUE"""),45635.6875)</f>
        <v>45635.6875</v>
      </c>
      <c r="L996" s="2">
        <f>IFERROR(__xludf.DUMMYFUNCTION("""COMPUTED_VALUE"""),53.24)</f>
        <v>53.24</v>
      </c>
      <c r="N996" s="3">
        <f>IFERROR(__xludf.DUMMYFUNCTION("""COMPUTED_VALUE"""),45639.66666666667)</f>
        <v>45639.66667</v>
      </c>
      <c r="O996" s="2">
        <f>IFERROR(__xludf.DUMMYFUNCTION("""COMPUTED_VALUE"""),29.98)</f>
        <v>29.98</v>
      </c>
      <c r="Q996" s="3">
        <f>IFERROR(__xludf.DUMMYFUNCTION("""COMPUTED_VALUE"""),45639.66666666667)</f>
        <v>45639.66667</v>
      </c>
      <c r="R996" s="2">
        <f>IFERROR(__xludf.DUMMYFUNCTION("""COMPUTED_VALUE"""),171.06)</f>
        <v>171.06</v>
      </c>
    </row>
    <row r="997">
      <c r="B997" s="3">
        <f>IFERROR(__xludf.DUMMYFUNCTION("""COMPUTED_VALUE"""),45642.66666666667)</f>
        <v>45642.66667</v>
      </c>
      <c r="C997" s="2">
        <f>IFERROR(__xludf.DUMMYFUNCTION("""COMPUTED_VALUE"""),58.35)</f>
        <v>58.35</v>
      </c>
      <c r="K997" s="3">
        <f>IFERROR(__xludf.DUMMYFUNCTION("""COMPUTED_VALUE"""),45636.6875)</f>
        <v>45636.6875</v>
      </c>
      <c r="L997" s="2">
        <f>IFERROR(__xludf.DUMMYFUNCTION("""COMPUTED_VALUE"""),52.94)</f>
        <v>52.94</v>
      </c>
      <c r="N997" s="3">
        <f>IFERROR(__xludf.DUMMYFUNCTION("""COMPUTED_VALUE"""),45642.66666666667)</f>
        <v>45642.66667</v>
      </c>
      <c r="O997" s="2">
        <f>IFERROR(__xludf.DUMMYFUNCTION("""COMPUTED_VALUE"""),28.95)</f>
        <v>28.95</v>
      </c>
      <c r="Q997" s="3">
        <f>IFERROR(__xludf.DUMMYFUNCTION("""COMPUTED_VALUE"""),45642.66666666667)</f>
        <v>45642.66667</v>
      </c>
      <c r="R997" s="2">
        <f>IFERROR(__xludf.DUMMYFUNCTION("""COMPUTED_VALUE"""),171.14)</f>
        <v>171.14</v>
      </c>
    </row>
    <row r="998">
      <c r="B998" s="3">
        <f>IFERROR(__xludf.DUMMYFUNCTION("""COMPUTED_VALUE"""),45643.66666666667)</f>
        <v>45643.66667</v>
      </c>
      <c r="C998" s="2">
        <f>IFERROR(__xludf.DUMMYFUNCTION("""COMPUTED_VALUE"""),58.52)</f>
        <v>58.52</v>
      </c>
      <c r="K998" s="3">
        <f>IFERROR(__xludf.DUMMYFUNCTION("""COMPUTED_VALUE"""),45637.6875)</f>
        <v>45637.6875</v>
      </c>
      <c r="L998" s="2">
        <f>IFERROR(__xludf.DUMMYFUNCTION("""COMPUTED_VALUE"""),54.22)</f>
        <v>54.22</v>
      </c>
      <c r="N998" s="3">
        <f>IFERROR(__xludf.DUMMYFUNCTION("""COMPUTED_VALUE"""),45643.66666666667)</f>
        <v>45643.66667</v>
      </c>
      <c r="O998" s="2">
        <f>IFERROR(__xludf.DUMMYFUNCTION("""COMPUTED_VALUE"""),29.08)</f>
        <v>29.08</v>
      </c>
      <c r="Q998" s="3">
        <f>IFERROR(__xludf.DUMMYFUNCTION("""COMPUTED_VALUE"""),45643.66666666667)</f>
        <v>45643.66667</v>
      </c>
      <c r="R998" s="2">
        <f>IFERROR(__xludf.DUMMYFUNCTION("""COMPUTED_VALUE"""),170.33)</f>
        <v>170.33</v>
      </c>
    </row>
    <row r="999">
      <c r="B999" s="3">
        <f>IFERROR(__xludf.DUMMYFUNCTION("""COMPUTED_VALUE"""),45644.66666666667)</f>
        <v>45644.66667</v>
      </c>
      <c r="C999" s="2">
        <f>IFERROR(__xludf.DUMMYFUNCTION("""COMPUTED_VALUE"""),57.53)</f>
        <v>57.53</v>
      </c>
      <c r="K999" s="3">
        <f>IFERROR(__xludf.DUMMYFUNCTION("""COMPUTED_VALUE"""),45638.6875)</f>
        <v>45638.6875</v>
      </c>
      <c r="L999" s="2">
        <f>IFERROR(__xludf.DUMMYFUNCTION("""COMPUTED_VALUE"""),55.0)</f>
        <v>55</v>
      </c>
      <c r="N999" s="3">
        <f>IFERROR(__xludf.DUMMYFUNCTION("""COMPUTED_VALUE"""),45644.66666666667)</f>
        <v>45644.66667</v>
      </c>
      <c r="O999" s="2">
        <f>IFERROR(__xludf.DUMMYFUNCTION("""COMPUTED_VALUE"""),28.54)</f>
        <v>28.54</v>
      </c>
      <c r="Q999" s="3">
        <f>IFERROR(__xludf.DUMMYFUNCTION("""COMPUTED_VALUE"""),45644.66666666667)</f>
        <v>45644.66667</v>
      </c>
      <c r="R999" s="2">
        <f>IFERROR(__xludf.DUMMYFUNCTION("""COMPUTED_VALUE"""),169.08)</f>
        <v>169.08</v>
      </c>
    </row>
    <row r="1000">
      <c r="B1000" s="3">
        <f>IFERROR(__xludf.DUMMYFUNCTION("""COMPUTED_VALUE"""),45645.66666666667)</f>
        <v>45645.66667</v>
      </c>
      <c r="C1000" s="2">
        <f>IFERROR(__xludf.DUMMYFUNCTION("""COMPUTED_VALUE"""),57.63)</f>
        <v>57.63</v>
      </c>
      <c r="K1000" s="3">
        <f>IFERROR(__xludf.DUMMYFUNCTION("""COMPUTED_VALUE"""),45639.6875)</f>
        <v>45639.6875</v>
      </c>
      <c r="L1000" s="2">
        <f>IFERROR(__xludf.DUMMYFUNCTION("""COMPUTED_VALUE"""),55.38)</f>
        <v>55.38</v>
      </c>
      <c r="N1000" s="3">
        <f>IFERROR(__xludf.DUMMYFUNCTION("""COMPUTED_VALUE"""),45645.66666666667)</f>
        <v>45645.66667</v>
      </c>
      <c r="O1000" s="2">
        <f>IFERROR(__xludf.DUMMYFUNCTION("""COMPUTED_VALUE"""),28.41)</f>
        <v>28.41</v>
      </c>
      <c r="Q1000" s="3">
        <f>IFERROR(__xludf.DUMMYFUNCTION("""COMPUTED_VALUE"""),45645.66666666667)</f>
        <v>45645.66667</v>
      </c>
      <c r="R1000" s="2">
        <f>IFERROR(__xludf.DUMMYFUNCTION("""COMPUTED_VALUE"""),169.19)</f>
        <v>169.19</v>
      </c>
    </row>
    <row r="1001">
      <c r="B1001" s="3">
        <f>IFERROR(__xludf.DUMMYFUNCTION("""COMPUTED_VALUE"""),45646.66666666667)</f>
        <v>45646.66667</v>
      </c>
      <c r="C1001" s="2">
        <f>IFERROR(__xludf.DUMMYFUNCTION("""COMPUTED_VALUE"""),58.52)</f>
        <v>58.52</v>
      </c>
      <c r="K1001" s="3">
        <f>IFERROR(__xludf.DUMMYFUNCTION("""COMPUTED_VALUE"""),45642.6875)</f>
        <v>45642.6875</v>
      </c>
      <c r="L1001" s="2">
        <f>IFERROR(__xludf.DUMMYFUNCTION("""COMPUTED_VALUE"""),55.38)</f>
        <v>55.38</v>
      </c>
      <c r="N1001" s="3">
        <f>IFERROR(__xludf.DUMMYFUNCTION("""COMPUTED_VALUE"""),45646.66666666667)</f>
        <v>45646.66667</v>
      </c>
      <c r="O1001" s="2">
        <f>IFERROR(__xludf.DUMMYFUNCTION("""COMPUTED_VALUE"""),28.6)</f>
        <v>28.6</v>
      </c>
      <c r="Q1001" s="3">
        <f>IFERROR(__xludf.DUMMYFUNCTION("""COMPUTED_VALUE"""),45646.66666666667)</f>
        <v>45646.66667</v>
      </c>
      <c r="R1001" s="2">
        <f>IFERROR(__xludf.DUMMYFUNCTION("""COMPUTED_VALUE"""),168.06)</f>
        <v>168.06</v>
      </c>
    </row>
    <row r="1002">
      <c r="B1002" s="3">
        <f>IFERROR(__xludf.DUMMYFUNCTION("""COMPUTED_VALUE"""),45649.66666666667)</f>
        <v>45649.66667</v>
      </c>
      <c r="C1002" s="2">
        <f>IFERROR(__xludf.DUMMYFUNCTION("""COMPUTED_VALUE"""),58.98)</f>
        <v>58.98</v>
      </c>
      <c r="K1002" s="3">
        <f>IFERROR(__xludf.DUMMYFUNCTION("""COMPUTED_VALUE"""),45643.6875)</f>
        <v>45643.6875</v>
      </c>
      <c r="L1002" s="2">
        <f>IFERROR(__xludf.DUMMYFUNCTION("""COMPUTED_VALUE"""),54.22)</f>
        <v>54.22</v>
      </c>
      <c r="N1002" s="3">
        <f>IFERROR(__xludf.DUMMYFUNCTION("""COMPUTED_VALUE"""),45649.66666666667)</f>
        <v>45649.66667</v>
      </c>
      <c r="O1002" s="2">
        <f>IFERROR(__xludf.DUMMYFUNCTION("""COMPUTED_VALUE"""),28.75)</f>
        <v>28.75</v>
      </c>
      <c r="Q1002" s="3">
        <f>IFERROR(__xludf.DUMMYFUNCTION("""COMPUTED_VALUE"""),45649.66666666667)</f>
        <v>45649.66667</v>
      </c>
      <c r="R1002" s="2">
        <f>IFERROR(__xludf.DUMMYFUNCTION("""COMPUTED_VALUE"""),168.11)</f>
        <v>168.11</v>
      </c>
    </row>
    <row r="1003">
      <c r="B1003" s="3">
        <f>IFERROR(__xludf.DUMMYFUNCTION("""COMPUTED_VALUE"""),45650.54513888889)</f>
        <v>45650.54514</v>
      </c>
      <c r="C1003" s="2">
        <f>IFERROR(__xludf.DUMMYFUNCTION("""COMPUTED_VALUE"""),59.85)</f>
        <v>59.85</v>
      </c>
      <c r="K1003" s="3">
        <f>IFERROR(__xludf.DUMMYFUNCTION("""COMPUTED_VALUE"""),45644.6875)</f>
        <v>45644.6875</v>
      </c>
      <c r="L1003" s="2">
        <f>IFERROR(__xludf.DUMMYFUNCTION("""COMPUTED_VALUE"""),54.82)</f>
        <v>54.82</v>
      </c>
      <c r="N1003" s="3">
        <f>IFERROR(__xludf.DUMMYFUNCTION("""COMPUTED_VALUE"""),45650.54166666667)</f>
        <v>45650.54167</v>
      </c>
      <c r="O1003" s="2">
        <f>IFERROR(__xludf.DUMMYFUNCTION("""COMPUTED_VALUE"""),28.79)</f>
        <v>28.79</v>
      </c>
      <c r="Q1003" s="3">
        <f>IFERROR(__xludf.DUMMYFUNCTION("""COMPUTED_VALUE"""),45650.54166666667)</f>
        <v>45650.54167</v>
      </c>
      <c r="R1003" s="2">
        <f>IFERROR(__xludf.DUMMYFUNCTION("""COMPUTED_VALUE"""),168.94)</f>
        <v>168.94</v>
      </c>
    </row>
    <row r="1004">
      <c r="B1004" s="3">
        <f>IFERROR(__xludf.DUMMYFUNCTION("""COMPUTED_VALUE"""),45652.66666666667)</f>
        <v>45652.66667</v>
      </c>
      <c r="C1004" s="2">
        <f>IFERROR(__xludf.DUMMYFUNCTION("""COMPUTED_VALUE"""),59.98)</f>
        <v>59.98</v>
      </c>
      <c r="K1004" s="3">
        <f>IFERROR(__xludf.DUMMYFUNCTION("""COMPUTED_VALUE"""),45645.6875)</f>
        <v>45645.6875</v>
      </c>
      <c r="L1004" s="2">
        <f>IFERROR(__xludf.DUMMYFUNCTION("""COMPUTED_VALUE"""),54.3)</f>
        <v>54.3</v>
      </c>
      <c r="N1004" s="3">
        <f>IFERROR(__xludf.DUMMYFUNCTION("""COMPUTED_VALUE"""),45652.66666666667)</f>
        <v>45652.66667</v>
      </c>
      <c r="O1004" s="2">
        <f>IFERROR(__xludf.DUMMYFUNCTION("""COMPUTED_VALUE"""),28.85)</f>
        <v>28.85</v>
      </c>
      <c r="Q1004" s="3">
        <f>IFERROR(__xludf.DUMMYFUNCTION("""COMPUTED_VALUE"""),45652.66666666667)</f>
        <v>45652.66667</v>
      </c>
      <c r="R1004" s="2">
        <f>IFERROR(__xludf.DUMMYFUNCTION("""COMPUTED_VALUE"""),170.16)</f>
        <v>170.16</v>
      </c>
    </row>
    <row r="1005">
      <c r="B1005" s="3">
        <f>IFERROR(__xludf.DUMMYFUNCTION("""COMPUTED_VALUE"""),45653.66666666667)</f>
        <v>45653.66667</v>
      </c>
      <c r="C1005" s="2">
        <f>IFERROR(__xludf.DUMMYFUNCTION("""COMPUTED_VALUE"""),59.61)</f>
        <v>59.61</v>
      </c>
      <c r="K1005" s="3">
        <f>IFERROR(__xludf.DUMMYFUNCTION("""COMPUTED_VALUE"""),45646.6875)</f>
        <v>45646.6875</v>
      </c>
      <c r="L1005" s="2">
        <f>IFERROR(__xludf.DUMMYFUNCTION("""COMPUTED_VALUE"""),54.2)</f>
        <v>54.2</v>
      </c>
      <c r="N1005" s="3">
        <f>IFERROR(__xludf.DUMMYFUNCTION("""COMPUTED_VALUE"""),45653.66666666667)</f>
        <v>45653.66667</v>
      </c>
      <c r="O1005" s="2">
        <f>IFERROR(__xludf.DUMMYFUNCTION("""COMPUTED_VALUE"""),28.96)</f>
        <v>28.96</v>
      </c>
      <c r="Q1005" s="3">
        <f>IFERROR(__xludf.DUMMYFUNCTION("""COMPUTED_VALUE"""),45653.66666666667)</f>
        <v>45653.66667</v>
      </c>
      <c r="R1005" s="2">
        <f>IFERROR(__xludf.DUMMYFUNCTION("""COMPUTED_VALUE"""),169.53)</f>
        <v>169.53</v>
      </c>
    </row>
    <row r="1006">
      <c r="B1006" s="3">
        <f>IFERROR(__xludf.DUMMYFUNCTION("""COMPUTED_VALUE"""),45656.66666666667)</f>
        <v>45656.66667</v>
      </c>
      <c r="C1006" s="2">
        <f>IFERROR(__xludf.DUMMYFUNCTION("""COMPUTED_VALUE"""),59.19)</f>
        <v>59.19</v>
      </c>
      <c r="K1006" s="3">
        <f>IFERROR(__xludf.DUMMYFUNCTION("""COMPUTED_VALUE"""),45649.6875)</f>
        <v>45649.6875</v>
      </c>
      <c r="L1006" s="2">
        <f>IFERROR(__xludf.DUMMYFUNCTION("""COMPUTED_VALUE"""),53.96)</f>
        <v>53.96</v>
      </c>
      <c r="N1006" s="3">
        <f>IFERROR(__xludf.DUMMYFUNCTION("""COMPUTED_VALUE"""),45656.66666666667)</f>
        <v>45656.66667</v>
      </c>
      <c r="O1006" s="2">
        <f>IFERROR(__xludf.DUMMYFUNCTION("""COMPUTED_VALUE"""),29.09)</f>
        <v>29.09</v>
      </c>
      <c r="Q1006" s="3">
        <f>IFERROR(__xludf.DUMMYFUNCTION("""COMPUTED_VALUE"""),45656.66666666667)</f>
        <v>45656.66667</v>
      </c>
      <c r="R1006" s="2">
        <f>IFERROR(__xludf.DUMMYFUNCTION("""COMPUTED_VALUE"""),167.09)</f>
        <v>167.09</v>
      </c>
    </row>
    <row r="1007">
      <c r="B1007" s="3">
        <f>IFERROR(__xludf.DUMMYFUNCTION("""COMPUTED_VALUE"""),45657.66666666667)</f>
        <v>45657.66667</v>
      </c>
      <c r="C1007" s="2">
        <f>IFERROR(__xludf.DUMMYFUNCTION("""COMPUTED_VALUE"""),59.2)</f>
        <v>59.2</v>
      </c>
      <c r="K1007" s="3">
        <f>IFERROR(__xludf.DUMMYFUNCTION("""COMPUTED_VALUE"""),45650.52083333333)</f>
        <v>45650.52083</v>
      </c>
      <c r="L1007" s="2">
        <f>IFERROR(__xludf.DUMMYFUNCTION("""COMPUTED_VALUE"""),54.22)</f>
        <v>54.22</v>
      </c>
      <c r="N1007" s="3">
        <f>IFERROR(__xludf.DUMMYFUNCTION("""COMPUTED_VALUE"""),45657.66666666667)</f>
        <v>45657.66667</v>
      </c>
      <c r="O1007" s="2">
        <f>IFERROR(__xludf.DUMMYFUNCTION("""COMPUTED_VALUE"""),29.56)</f>
        <v>29.56</v>
      </c>
      <c r="Q1007" s="3">
        <f>IFERROR(__xludf.DUMMYFUNCTION("""COMPUTED_VALUE"""),45657.66666666667)</f>
        <v>45657.66667</v>
      </c>
      <c r="R1007" s="2">
        <f>IFERROR(__xludf.DUMMYFUNCTION("""COMPUTED_VALUE"""),167.65)</f>
        <v>167.65</v>
      </c>
    </row>
    <row r="1008">
      <c r="B1008" s="3">
        <f>IFERROR(__xludf.DUMMYFUNCTION("""COMPUTED_VALUE"""),45659.66666666667)</f>
        <v>45659.66667</v>
      </c>
      <c r="C1008" s="2">
        <f>IFERROR(__xludf.DUMMYFUNCTION("""COMPUTED_VALUE"""),59.1)</f>
        <v>59.1</v>
      </c>
      <c r="K1008" s="3">
        <f>IFERROR(__xludf.DUMMYFUNCTION("""COMPUTED_VALUE"""),45653.6875)</f>
        <v>45653.6875</v>
      </c>
      <c r="L1008" s="2">
        <f>IFERROR(__xludf.DUMMYFUNCTION("""COMPUTED_VALUE"""),54.36)</f>
        <v>54.36</v>
      </c>
      <c r="N1008" s="3">
        <f>IFERROR(__xludf.DUMMYFUNCTION("""COMPUTED_VALUE"""),45659.66666666667)</f>
        <v>45659.66667</v>
      </c>
      <c r="O1008" s="2">
        <f>IFERROR(__xludf.DUMMYFUNCTION("""COMPUTED_VALUE"""),29.93)</f>
        <v>29.93</v>
      </c>
      <c r="Q1008" s="3">
        <f>IFERROR(__xludf.DUMMYFUNCTION("""COMPUTED_VALUE"""),45659.66666666667)</f>
        <v>45659.66667</v>
      </c>
      <c r="R1008" s="2">
        <f>IFERROR(__xludf.DUMMYFUNCTION("""COMPUTED_VALUE"""),165.98)</f>
        <v>165.98</v>
      </c>
    </row>
    <row r="1009">
      <c r="B1009" s="3">
        <f>IFERROR(__xludf.DUMMYFUNCTION("""COMPUTED_VALUE"""),45660.66666666667)</f>
        <v>45660.66667</v>
      </c>
      <c r="C1009" s="2">
        <f>IFERROR(__xludf.DUMMYFUNCTION("""COMPUTED_VALUE"""),58.86)</f>
        <v>58.86</v>
      </c>
      <c r="K1009" s="3">
        <f>IFERROR(__xludf.DUMMYFUNCTION("""COMPUTED_VALUE"""),45656.6875)</f>
        <v>45656.6875</v>
      </c>
      <c r="L1009" s="2">
        <f>IFERROR(__xludf.DUMMYFUNCTION("""COMPUTED_VALUE"""),54.42)</f>
        <v>54.42</v>
      </c>
      <c r="N1009" s="3">
        <f>IFERROR(__xludf.DUMMYFUNCTION("""COMPUTED_VALUE"""),45660.66666666667)</f>
        <v>45660.66667</v>
      </c>
      <c r="O1009" s="2">
        <f>IFERROR(__xludf.DUMMYFUNCTION("""COMPUTED_VALUE"""),30.47)</f>
        <v>30.47</v>
      </c>
      <c r="Q1009" s="3">
        <f>IFERROR(__xludf.DUMMYFUNCTION("""COMPUTED_VALUE"""),45660.66666666667)</f>
        <v>45660.66667</v>
      </c>
      <c r="R1009" s="2">
        <f>IFERROR(__xludf.DUMMYFUNCTION("""COMPUTED_VALUE"""),165.13)</f>
        <v>165.13</v>
      </c>
    </row>
    <row r="1010">
      <c r="B1010" s="3">
        <f>IFERROR(__xludf.DUMMYFUNCTION("""COMPUTED_VALUE"""),45663.66666666667)</f>
        <v>45663.66667</v>
      </c>
      <c r="C1010" s="2">
        <f>IFERROR(__xludf.DUMMYFUNCTION("""COMPUTED_VALUE"""),58.77)</f>
        <v>58.77</v>
      </c>
      <c r="K1010" s="3">
        <f>IFERROR(__xludf.DUMMYFUNCTION("""COMPUTED_VALUE"""),45657.52083333333)</f>
        <v>45657.52083</v>
      </c>
      <c r="L1010" s="2">
        <f>IFERROR(__xludf.DUMMYFUNCTION("""COMPUTED_VALUE"""),54.78)</f>
        <v>54.78</v>
      </c>
      <c r="N1010" s="3">
        <f>IFERROR(__xludf.DUMMYFUNCTION("""COMPUTED_VALUE"""),45663.66666666667)</f>
        <v>45663.66667</v>
      </c>
      <c r="O1010" s="2">
        <f>IFERROR(__xludf.DUMMYFUNCTION("""COMPUTED_VALUE"""),31.02)</f>
        <v>31.02</v>
      </c>
      <c r="Q1010" s="3">
        <f>IFERROR(__xludf.DUMMYFUNCTION("""COMPUTED_VALUE"""),45663.66666666667)</f>
        <v>45663.66667</v>
      </c>
      <c r="R1010" s="2">
        <f>IFERROR(__xludf.DUMMYFUNCTION("""COMPUTED_VALUE"""),160.6)</f>
        <v>160.6</v>
      </c>
    </row>
    <row r="1011">
      <c r="B1011" s="3">
        <f>IFERROR(__xludf.DUMMYFUNCTION("""COMPUTED_VALUE"""),45664.66666666667)</f>
        <v>45664.66667</v>
      </c>
      <c r="C1011" s="2">
        <f>IFERROR(__xludf.DUMMYFUNCTION("""COMPUTED_VALUE"""),58.93)</f>
        <v>58.93</v>
      </c>
      <c r="K1011" s="3">
        <f>IFERROR(__xludf.DUMMYFUNCTION("""COMPUTED_VALUE"""),45659.6875)</f>
        <v>45659.6875</v>
      </c>
      <c r="L1011" s="2">
        <f>IFERROR(__xludf.DUMMYFUNCTION("""COMPUTED_VALUE"""),55.04)</f>
        <v>55.04</v>
      </c>
      <c r="N1011" s="3">
        <f>IFERROR(__xludf.DUMMYFUNCTION("""COMPUTED_VALUE"""),45664.66666666667)</f>
        <v>45664.66667</v>
      </c>
      <c r="O1011" s="2">
        <f>IFERROR(__xludf.DUMMYFUNCTION("""COMPUTED_VALUE"""),31.83)</f>
        <v>31.83</v>
      </c>
      <c r="Q1011" s="3">
        <f>IFERROR(__xludf.DUMMYFUNCTION("""COMPUTED_VALUE"""),45664.66666666667)</f>
        <v>45664.66667</v>
      </c>
      <c r="R1011" s="2">
        <f>IFERROR(__xludf.DUMMYFUNCTION("""COMPUTED_VALUE"""),161.3)</f>
        <v>161.3</v>
      </c>
    </row>
    <row r="1012">
      <c r="B1012" s="3">
        <f>IFERROR(__xludf.DUMMYFUNCTION("""COMPUTED_VALUE"""),45665.66666666667)</f>
        <v>45665.66667</v>
      </c>
      <c r="C1012" s="2">
        <f>IFERROR(__xludf.DUMMYFUNCTION("""COMPUTED_VALUE"""),59.2)</f>
        <v>59.2</v>
      </c>
      <c r="K1012" s="3">
        <f>IFERROR(__xludf.DUMMYFUNCTION("""COMPUTED_VALUE"""),45660.6875)</f>
        <v>45660.6875</v>
      </c>
      <c r="L1012" s="2">
        <f>IFERROR(__xludf.DUMMYFUNCTION("""COMPUTED_VALUE"""),54.36)</f>
        <v>54.36</v>
      </c>
      <c r="N1012" s="3">
        <f>IFERROR(__xludf.DUMMYFUNCTION("""COMPUTED_VALUE"""),45665.66666666667)</f>
        <v>45665.66667</v>
      </c>
      <c r="O1012" s="2">
        <f>IFERROR(__xludf.DUMMYFUNCTION("""COMPUTED_VALUE"""),31.12)</f>
        <v>31.12</v>
      </c>
      <c r="Q1012" s="3">
        <f>IFERROR(__xludf.DUMMYFUNCTION("""COMPUTED_VALUE"""),45665.66666666667)</f>
        <v>45665.66667</v>
      </c>
      <c r="R1012" s="2">
        <f>IFERROR(__xludf.DUMMYFUNCTION("""COMPUTED_VALUE"""),162.1)</f>
        <v>162.1</v>
      </c>
    </row>
    <row r="1013">
      <c r="B1013" s="3">
        <f>IFERROR(__xludf.DUMMYFUNCTION("""COMPUTED_VALUE"""),45667.66666666667)</f>
        <v>45667.66667</v>
      </c>
      <c r="C1013" s="2">
        <f>IFERROR(__xludf.DUMMYFUNCTION("""COMPUTED_VALUE"""),58.74)</f>
        <v>58.74</v>
      </c>
      <c r="K1013" s="3">
        <f>IFERROR(__xludf.DUMMYFUNCTION("""COMPUTED_VALUE"""),45663.6875)</f>
        <v>45663.6875</v>
      </c>
      <c r="L1013" s="2">
        <f>IFERROR(__xludf.DUMMYFUNCTION("""COMPUTED_VALUE"""),55.76)</f>
        <v>55.76</v>
      </c>
      <c r="N1013" s="3">
        <f>IFERROR(__xludf.DUMMYFUNCTION("""COMPUTED_VALUE"""),45667.66666666667)</f>
        <v>45667.66667</v>
      </c>
      <c r="O1013" s="2">
        <f>IFERROR(__xludf.DUMMYFUNCTION("""COMPUTED_VALUE"""),31.29)</f>
        <v>31.29</v>
      </c>
      <c r="Q1013" s="3">
        <f>IFERROR(__xludf.DUMMYFUNCTION("""COMPUTED_VALUE"""),45667.66666666667)</f>
        <v>45667.66667</v>
      </c>
      <c r="R1013" s="2">
        <f>IFERROR(__xludf.DUMMYFUNCTION("""COMPUTED_VALUE"""),158.56)</f>
        <v>158.56</v>
      </c>
    </row>
    <row r="1014">
      <c r="B1014" s="3">
        <f>IFERROR(__xludf.DUMMYFUNCTION("""COMPUTED_VALUE"""),45670.66666666667)</f>
        <v>45670.66667</v>
      </c>
      <c r="C1014" s="2">
        <f>IFERROR(__xludf.DUMMYFUNCTION("""COMPUTED_VALUE"""),58.76)</f>
        <v>58.76</v>
      </c>
      <c r="K1014" s="3">
        <f>IFERROR(__xludf.DUMMYFUNCTION("""COMPUTED_VALUE"""),45664.6875)</f>
        <v>45664.6875</v>
      </c>
      <c r="L1014" s="2">
        <f>IFERROR(__xludf.DUMMYFUNCTION("""COMPUTED_VALUE"""),55.34)</f>
        <v>55.34</v>
      </c>
      <c r="N1014" s="3">
        <f>IFERROR(__xludf.DUMMYFUNCTION("""COMPUTED_VALUE"""),45670.66666666667)</f>
        <v>45670.66667</v>
      </c>
      <c r="O1014" s="2">
        <f>IFERROR(__xludf.DUMMYFUNCTION("""COMPUTED_VALUE"""),31.22)</f>
        <v>31.22</v>
      </c>
      <c r="Q1014" s="3">
        <f>IFERROR(__xludf.DUMMYFUNCTION("""COMPUTED_VALUE"""),45670.66666666667)</f>
        <v>45670.66667</v>
      </c>
      <c r="R1014" s="2">
        <f>IFERROR(__xludf.DUMMYFUNCTION("""COMPUTED_VALUE"""),158.84)</f>
        <v>158.84</v>
      </c>
    </row>
    <row r="1015">
      <c r="B1015" s="3">
        <f>IFERROR(__xludf.DUMMYFUNCTION("""COMPUTED_VALUE"""),45671.66666666667)</f>
        <v>45671.66667</v>
      </c>
      <c r="C1015" s="2">
        <f>IFERROR(__xludf.DUMMYFUNCTION("""COMPUTED_VALUE"""),59.33)</f>
        <v>59.33</v>
      </c>
      <c r="K1015" s="3">
        <f>IFERROR(__xludf.DUMMYFUNCTION("""COMPUTED_VALUE"""),45665.6875)</f>
        <v>45665.6875</v>
      </c>
      <c r="L1015" s="2">
        <f>IFERROR(__xludf.DUMMYFUNCTION("""COMPUTED_VALUE"""),53.86)</f>
        <v>53.86</v>
      </c>
      <c r="N1015" s="3">
        <f>IFERROR(__xludf.DUMMYFUNCTION("""COMPUTED_VALUE"""),45671.66666666667)</f>
        <v>45671.66667</v>
      </c>
      <c r="O1015" s="2">
        <f>IFERROR(__xludf.DUMMYFUNCTION("""COMPUTED_VALUE"""),31.09)</f>
        <v>31.09</v>
      </c>
      <c r="Q1015" s="3">
        <f>IFERROR(__xludf.DUMMYFUNCTION("""COMPUTED_VALUE"""),45671.66666666667)</f>
        <v>45671.66667</v>
      </c>
      <c r="R1015" s="2">
        <f>IFERROR(__xludf.DUMMYFUNCTION("""COMPUTED_VALUE"""),159.74)</f>
        <v>159.74</v>
      </c>
    </row>
    <row r="1016">
      <c r="B1016" s="3">
        <f>IFERROR(__xludf.DUMMYFUNCTION("""COMPUTED_VALUE"""),45672.66666666667)</f>
        <v>45672.66667</v>
      </c>
      <c r="C1016" s="2">
        <f>IFERROR(__xludf.DUMMYFUNCTION("""COMPUTED_VALUE"""),59.98)</f>
        <v>59.98</v>
      </c>
      <c r="K1016" s="3">
        <f>IFERROR(__xludf.DUMMYFUNCTION("""COMPUTED_VALUE"""),45666.6875)</f>
        <v>45666.6875</v>
      </c>
      <c r="L1016" s="2">
        <f>IFERROR(__xludf.DUMMYFUNCTION("""COMPUTED_VALUE"""),53.9)</f>
        <v>53.9</v>
      </c>
      <c r="N1016" s="3">
        <f>IFERROR(__xludf.DUMMYFUNCTION("""COMPUTED_VALUE"""),45672.66666666667)</f>
        <v>45672.66667</v>
      </c>
      <c r="O1016" s="2">
        <f>IFERROR(__xludf.DUMMYFUNCTION("""COMPUTED_VALUE"""),31.3)</f>
        <v>31.3</v>
      </c>
      <c r="Q1016" s="3">
        <f>IFERROR(__xludf.DUMMYFUNCTION("""COMPUTED_VALUE"""),45672.66666666667)</f>
        <v>45672.66667</v>
      </c>
      <c r="R1016" s="2">
        <f>IFERROR(__xludf.DUMMYFUNCTION("""COMPUTED_VALUE"""),159.65)</f>
        <v>159.65</v>
      </c>
    </row>
    <row r="1017">
      <c r="B1017" s="3">
        <f>IFERROR(__xludf.DUMMYFUNCTION("""COMPUTED_VALUE"""),45673.66666666667)</f>
        <v>45673.66667</v>
      </c>
      <c r="C1017" s="2">
        <f>IFERROR(__xludf.DUMMYFUNCTION("""COMPUTED_VALUE"""),59.82)</f>
        <v>59.82</v>
      </c>
      <c r="K1017" s="3">
        <f>IFERROR(__xludf.DUMMYFUNCTION("""COMPUTED_VALUE"""),45667.6875)</f>
        <v>45667.6875</v>
      </c>
      <c r="L1017" s="2">
        <f>IFERROR(__xludf.DUMMYFUNCTION("""COMPUTED_VALUE"""),52.88)</f>
        <v>52.88</v>
      </c>
      <c r="N1017" s="3">
        <f>IFERROR(__xludf.DUMMYFUNCTION("""COMPUTED_VALUE"""),45673.66666666667)</f>
        <v>45673.66667</v>
      </c>
      <c r="O1017" s="2">
        <f>IFERROR(__xludf.DUMMYFUNCTION("""COMPUTED_VALUE"""),31.78)</f>
        <v>31.78</v>
      </c>
      <c r="Q1017" s="3">
        <f>IFERROR(__xludf.DUMMYFUNCTION("""COMPUTED_VALUE"""),45673.66666666667)</f>
        <v>45673.66667</v>
      </c>
      <c r="R1017" s="2">
        <f>IFERROR(__xludf.DUMMYFUNCTION("""COMPUTED_VALUE"""),160.5)</f>
        <v>160.5</v>
      </c>
    </row>
    <row r="1018">
      <c r="B1018" s="3">
        <f>IFERROR(__xludf.DUMMYFUNCTION("""COMPUTED_VALUE"""),45674.66666666667)</f>
        <v>45674.66667</v>
      </c>
      <c r="C1018" s="2">
        <f>IFERROR(__xludf.DUMMYFUNCTION("""COMPUTED_VALUE"""),60.23)</f>
        <v>60.23</v>
      </c>
      <c r="K1018" s="3">
        <f>IFERROR(__xludf.DUMMYFUNCTION("""COMPUTED_VALUE"""),45670.6875)</f>
        <v>45670.6875</v>
      </c>
      <c r="L1018" s="2">
        <f>IFERROR(__xludf.DUMMYFUNCTION("""COMPUTED_VALUE"""),53.18)</f>
        <v>53.18</v>
      </c>
      <c r="N1018" s="3">
        <f>IFERROR(__xludf.DUMMYFUNCTION("""COMPUTED_VALUE"""),45674.66666666667)</f>
        <v>45674.66667</v>
      </c>
      <c r="O1018" s="2">
        <f>IFERROR(__xludf.DUMMYFUNCTION("""COMPUTED_VALUE"""),31.69)</f>
        <v>31.69</v>
      </c>
      <c r="Q1018" s="3">
        <f>IFERROR(__xludf.DUMMYFUNCTION("""COMPUTED_VALUE"""),45674.66666666667)</f>
        <v>45674.66667</v>
      </c>
      <c r="R1018" s="2">
        <f>IFERROR(__xludf.DUMMYFUNCTION("""COMPUTED_VALUE"""),161.13)</f>
        <v>161.13</v>
      </c>
    </row>
    <row r="1019">
      <c r="B1019" s="3">
        <f>IFERROR(__xludf.DUMMYFUNCTION("""COMPUTED_VALUE"""),45678.66666666667)</f>
        <v>45678.66667</v>
      </c>
      <c r="C1019" s="2">
        <f>IFERROR(__xludf.DUMMYFUNCTION("""COMPUTED_VALUE"""),61.03)</f>
        <v>61.03</v>
      </c>
      <c r="K1019" s="3">
        <f>IFERROR(__xludf.DUMMYFUNCTION("""COMPUTED_VALUE"""),45671.6875)</f>
        <v>45671.6875</v>
      </c>
      <c r="L1019" s="2">
        <f>IFERROR(__xludf.DUMMYFUNCTION("""COMPUTED_VALUE"""),53.62)</f>
        <v>53.62</v>
      </c>
      <c r="N1019" s="3">
        <f>IFERROR(__xludf.DUMMYFUNCTION("""COMPUTED_VALUE"""),45678.66666666667)</f>
        <v>45678.66667</v>
      </c>
      <c r="O1019" s="2">
        <f>IFERROR(__xludf.DUMMYFUNCTION("""COMPUTED_VALUE"""),31.52)</f>
        <v>31.52</v>
      </c>
      <c r="Q1019" s="3">
        <f>IFERROR(__xludf.DUMMYFUNCTION("""COMPUTED_VALUE"""),45678.66666666667)</f>
        <v>45678.66667</v>
      </c>
      <c r="R1019" s="2">
        <f>IFERROR(__xludf.DUMMYFUNCTION("""COMPUTED_VALUE"""),161.72)</f>
        <v>161.72</v>
      </c>
    </row>
    <row r="1020">
      <c r="B1020" s="3">
        <f>IFERROR(__xludf.DUMMYFUNCTION("""COMPUTED_VALUE"""),45679.66666666667)</f>
        <v>45679.66667</v>
      </c>
      <c r="C1020" s="2">
        <f>IFERROR(__xludf.DUMMYFUNCTION("""COMPUTED_VALUE"""),61.63)</f>
        <v>61.63</v>
      </c>
      <c r="K1020" s="3">
        <f>IFERROR(__xludf.DUMMYFUNCTION("""COMPUTED_VALUE"""),45672.6875)</f>
        <v>45672.6875</v>
      </c>
      <c r="L1020" s="2">
        <f>IFERROR(__xludf.DUMMYFUNCTION("""COMPUTED_VALUE"""),57.12)</f>
        <v>57.12</v>
      </c>
      <c r="N1020" s="3">
        <f>IFERROR(__xludf.DUMMYFUNCTION("""COMPUTED_VALUE"""),45679.66666666667)</f>
        <v>45679.66667</v>
      </c>
      <c r="O1020" s="2">
        <f>IFERROR(__xludf.DUMMYFUNCTION("""COMPUTED_VALUE"""),31.13)</f>
        <v>31.13</v>
      </c>
      <c r="Q1020" s="3">
        <f>IFERROR(__xludf.DUMMYFUNCTION("""COMPUTED_VALUE"""),45679.66666666667)</f>
        <v>45679.66667</v>
      </c>
      <c r="R1020" s="2">
        <f>IFERROR(__xludf.DUMMYFUNCTION("""COMPUTED_VALUE"""),164.74)</f>
        <v>164.74</v>
      </c>
    </row>
    <row r="1021">
      <c r="B1021" s="3">
        <f>IFERROR(__xludf.DUMMYFUNCTION("""COMPUTED_VALUE"""),45680.66666666667)</f>
        <v>45680.66667</v>
      </c>
      <c r="C1021" s="2">
        <f>IFERROR(__xludf.DUMMYFUNCTION("""COMPUTED_VALUE"""),62.23)</f>
        <v>62.23</v>
      </c>
      <c r="K1021" s="3">
        <f>IFERROR(__xludf.DUMMYFUNCTION("""COMPUTED_VALUE"""),45673.6875)</f>
        <v>45673.6875</v>
      </c>
      <c r="L1021" s="2">
        <f>IFERROR(__xludf.DUMMYFUNCTION("""COMPUTED_VALUE"""),57.26)</f>
        <v>57.26</v>
      </c>
      <c r="N1021" s="3">
        <f>IFERROR(__xludf.DUMMYFUNCTION("""COMPUTED_VALUE"""),45680.66666666667)</f>
        <v>45680.66667</v>
      </c>
      <c r="O1021" s="2">
        <f>IFERROR(__xludf.DUMMYFUNCTION("""COMPUTED_VALUE"""),31.49)</f>
        <v>31.49</v>
      </c>
      <c r="Q1021" s="3">
        <f>IFERROR(__xludf.DUMMYFUNCTION("""COMPUTED_VALUE"""),45680.66666666667)</f>
        <v>45680.66667</v>
      </c>
      <c r="R1021" s="2">
        <f>IFERROR(__xludf.DUMMYFUNCTION("""COMPUTED_VALUE"""),166.15)</f>
        <v>166.15</v>
      </c>
    </row>
    <row r="1022">
      <c r="B1022" s="3">
        <f>IFERROR(__xludf.DUMMYFUNCTION("""COMPUTED_VALUE"""),45681.66666666667)</f>
        <v>45681.66667</v>
      </c>
      <c r="C1022" s="2">
        <f>IFERROR(__xludf.DUMMYFUNCTION("""COMPUTED_VALUE"""),62.23)</f>
        <v>62.23</v>
      </c>
      <c r="K1022" s="3">
        <f>IFERROR(__xludf.DUMMYFUNCTION("""COMPUTED_VALUE"""),45674.6875)</f>
        <v>45674.6875</v>
      </c>
      <c r="L1022" s="2">
        <f>IFERROR(__xludf.DUMMYFUNCTION("""COMPUTED_VALUE"""),58.54)</f>
        <v>58.54</v>
      </c>
      <c r="N1022" s="3">
        <f>IFERROR(__xludf.DUMMYFUNCTION("""COMPUTED_VALUE"""),45681.66666666667)</f>
        <v>45681.66667</v>
      </c>
      <c r="O1022" s="2">
        <f>IFERROR(__xludf.DUMMYFUNCTION("""COMPUTED_VALUE"""),31.45)</f>
        <v>31.45</v>
      </c>
      <c r="Q1022" s="3">
        <f>IFERROR(__xludf.DUMMYFUNCTION("""COMPUTED_VALUE"""),45681.66666666667)</f>
        <v>45681.66667</v>
      </c>
      <c r="R1022" s="2">
        <f>IFERROR(__xludf.DUMMYFUNCTION("""COMPUTED_VALUE"""),164.12)</f>
        <v>164.12</v>
      </c>
    </row>
    <row r="1023">
      <c r="B1023" s="3">
        <f>IFERROR(__xludf.DUMMYFUNCTION("""COMPUTED_VALUE"""),45684.66666666667)</f>
        <v>45684.66667</v>
      </c>
      <c r="C1023" s="2">
        <f>IFERROR(__xludf.DUMMYFUNCTION("""COMPUTED_VALUE"""),59.08)</f>
        <v>59.08</v>
      </c>
      <c r="K1023" s="3">
        <f>IFERROR(__xludf.DUMMYFUNCTION("""COMPUTED_VALUE"""),45677.6875)</f>
        <v>45677.6875</v>
      </c>
      <c r="L1023" s="2">
        <f>IFERROR(__xludf.DUMMYFUNCTION("""COMPUTED_VALUE"""),58.66)</f>
        <v>58.66</v>
      </c>
      <c r="N1023" s="3">
        <f>IFERROR(__xludf.DUMMYFUNCTION("""COMPUTED_VALUE"""),45684.66666666667)</f>
        <v>45684.66667</v>
      </c>
      <c r="O1023" s="2">
        <f>IFERROR(__xludf.DUMMYFUNCTION("""COMPUTED_VALUE"""),31.45)</f>
        <v>31.45</v>
      </c>
      <c r="Q1023" s="3">
        <f>IFERROR(__xludf.DUMMYFUNCTION("""COMPUTED_VALUE"""),45684.66666666667)</f>
        <v>45684.66667</v>
      </c>
      <c r="R1023" s="2">
        <f>IFERROR(__xludf.DUMMYFUNCTION("""COMPUTED_VALUE"""),169.66)</f>
        <v>169.66</v>
      </c>
    </row>
    <row r="1024">
      <c r="B1024" s="3">
        <f>IFERROR(__xludf.DUMMYFUNCTION("""COMPUTED_VALUE"""),45685.66666666667)</f>
        <v>45685.66667</v>
      </c>
      <c r="C1024" s="2">
        <f>IFERROR(__xludf.DUMMYFUNCTION("""COMPUTED_VALUE"""),59.43)</f>
        <v>59.43</v>
      </c>
      <c r="K1024" s="3">
        <f>IFERROR(__xludf.DUMMYFUNCTION("""COMPUTED_VALUE"""),45678.6875)</f>
        <v>45678.6875</v>
      </c>
      <c r="L1024" s="2">
        <f>IFERROR(__xludf.DUMMYFUNCTION("""COMPUTED_VALUE"""),61.0)</f>
        <v>61</v>
      </c>
      <c r="N1024" s="3">
        <f>IFERROR(__xludf.DUMMYFUNCTION("""COMPUTED_VALUE"""),45685.66666666667)</f>
        <v>45685.66667</v>
      </c>
      <c r="O1024" s="2">
        <f>IFERROR(__xludf.DUMMYFUNCTION("""COMPUTED_VALUE"""),31.16)</f>
        <v>31.16</v>
      </c>
      <c r="Q1024" s="3">
        <f>IFERROR(__xludf.DUMMYFUNCTION("""COMPUTED_VALUE"""),45685.66666666667)</f>
        <v>45685.66667</v>
      </c>
      <c r="R1024" s="2">
        <f>IFERROR(__xludf.DUMMYFUNCTION("""COMPUTED_VALUE"""),166.19)</f>
        <v>166.19</v>
      </c>
    </row>
    <row r="1025">
      <c r="B1025" s="3">
        <f>IFERROR(__xludf.DUMMYFUNCTION("""COMPUTED_VALUE"""),45686.66666666667)</f>
        <v>45686.66667</v>
      </c>
      <c r="C1025" s="2">
        <f>IFERROR(__xludf.DUMMYFUNCTION("""COMPUTED_VALUE"""),59.55)</f>
        <v>59.55</v>
      </c>
      <c r="K1025" s="3">
        <f>IFERROR(__xludf.DUMMYFUNCTION("""COMPUTED_VALUE"""),45679.6875)</f>
        <v>45679.6875</v>
      </c>
      <c r="L1025" s="2">
        <f>IFERROR(__xludf.DUMMYFUNCTION("""COMPUTED_VALUE"""),61.7)</f>
        <v>61.7</v>
      </c>
      <c r="N1025" s="3">
        <f>IFERROR(__xludf.DUMMYFUNCTION("""COMPUTED_VALUE"""),45686.66666666667)</f>
        <v>45686.66667</v>
      </c>
      <c r="O1025" s="2">
        <f>IFERROR(__xludf.DUMMYFUNCTION("""COMPUTED_VALUE"""),31.13)</f>
        <v>31.13</v>
      </c>
      <c r="Q1025" s="3">
        <f>IFERROR(__xludf.DUMMYFUNCTION("""COMPUTED_VALUE"""),45686.66666666667)</f>
        <v>45686.66667</v>
      </c>
      <c r="R1025" s="2">
        <f>IFERROR(__xludf.DUMMYFUNCTION("""COMPUTED_VALUE"""),166.23)</f>
        <v>166.23</v>
      </c>
    </row>
    <row r="1026">
      <c r="B1026" s="3">
        <f>IFERROR(__xludf.DUMMYFUNCTION("""COMPUTED_VALUE"""),45687.66666666667)</f>
        <v>45687.66667</v>
      </c>
      <c r="C1026" s="2">
        <f>IFERROR(__xludf.DUMMYFUNCTION("""COMPUTED_VALUE"""),60.47)</f>
        <v>60.47</v>
      </c>
      <c r="K1026" s="3">
        <f>IFERROR(__xludf.DUMMYFUNCTION("""COMPUTED_VALUE"""),45680.6875)</f>
        <v>45680.6875</v>
      </c>
      <c r="L1026" s="2">
        <f>IFERROR(__xludf.DUMMYFUNCTION("""COMPUTED_VALUE"""),62.54)</f>
        <v>62.54</v>
      </c>
      <c r="N1026" s="3">
        <f>IFERROR(__xludf.DUMMYFUNCTION("""COMPUTED_VALUE"""),45687.66666666667)</f>
        <v>45687.66667</v>
      </c>
      <c r="O1026" s="2">
        <f>IFERROR(__xludf.DUMMYFUNCTION("""COMPUTED_VALUE"""),31.61)</f>
        <v>31.61</v>
      </c>
      <c r="Q1026" s="3">
        <f>IFERROR(__xludf.DUMMYFUNCTION("""COMPUTED_VALUE"""),45687.66666666667)</f>
        <v>45687.66667</v>
      </c>
      <c r="R1026" s="2">
        <f>IFERROR(__xludf.DUMMYFUNCTION("""COMPUTED_VALUE"""),167.41)</f>
        <v>167.41</v>
      </c>
    </row>
    <row r="1027">
      <c r="B1027" s="3">
        <f>IFERROR(__xludf.DUMMYFUNCTION("""COMPUTED_VALUE"""),45688.66666666667)</f>
        <v>45688.66667</v>
      </c>
      <c r="C1027" s="2">
        <f>IFERROR(__xludf.DUMMYFUNCTION("""COMPUTED_VALUE"""),60.6)</f>
        <v>60.6</v>
      </c>
      <c r="K1027" s="3">
        <f>IFERROR(__xludf.DUMMYFUNCTION("""COMPUTED_VALUE"""),45681.6875)</f>
        <v>45681.6875</v>
      </c>
      <c r="L1027" s="2">
        <f>IFERROR(__xludf.DUMMYFUNCTION("""COMPUTED_VALUE"""),61.82)</f>
        <v>61.82</v>
      </c>
      <c r="N1027" s="3">
        <f>IFERROR(__xludf.DUMMYFUNCTION("""COMPUTED_VALUE"""),45688.66666666667)</f>
        <v>45688.66667</v>
      </c>
      <c r="O1027" s="2">
        <f>IFERROR(__xludf.DUMMYFUNCTION("""COMPUTED_VALUE"""),31.06)</f>
        <v>31.06</v>
      </c>
      <c r="Q1027" s="3">
        <f>IFERROR(__xludf.DUMMYFUNCTION("""COMPUTED_VALUE"""),45688.66666666667)</f>
        <v>45688.66667</v>
      </c>
      <c r="R1027" s="2">
        <f>IFERROR(__xludf.DUMMYFUNCTION("""COMPUTED_VALUE"""),165.99)</f>
        <v>165.99</v>
      </c>
    </row>
    <row r="1028">
      <c r="B1028" s="3">
        <f>IFERROR(__xludf.DUMMYFUNCTION("""COMPUTED_VALUE"""),45691.66666666667)</f>
        <v>45691.66667</v>
      </c>
      <c r="C1028" s="2">
        <f>IFERROR(__xludf.DUMMYFUNCTION("""COMPUTED_VALUE"""),61.04)</f>
        <v>61.04</v>
      </c>
      <c r="K1028" s="3">
        <f>IFERROR(__xludf.DUMMYFUNCTION("""COMPUTED_VALUE"""),45684.6875)</f>
        <v>45684.6875</v>
      </c>
      <c r="L1028" s="2">
        <f>IFERROR(__xludf.DUMMYFUNCTION("""COMPUTED_VALUE"""),61.3)</f>
        <v>61.3</v>
      </c>
      <c r="N1028" s="3">
        <f>IFERROR(__xludf.DUMMYFUNCTION("""COMPUTED_VALUE"""),45691.66666666667)</f>
        <v>45691.66667</v>
      </c>
      <c r="O1028" s="2">
        <f>IFERROR(__xludf.DUMMYFUNCTION("""COMPUTED_VALUE"""),30.87)</f>
        <v>30.87</v>
      </c>
      <c r="Q1028" s="3">
        <f>IFERROR(__xludf.DUMMYFUNCTION("""COMPUTED_VALUE"""),45691.66666666667)</f>
        <v>45691.66667</v>
      </c>
      <c r="R1028" s="2">
        <f>IFERROR(__xludf.DUMMYFUNCTION("""COMPUTED_VALUE"""),168.76)</f>
        <v>168.76</v>
      </c>
    </row>
    <row r="1029">
      <c r="B1029" s="3">
        <f>IFERROR(__xludf.DUMMYFUNCTION("""COMPUTED_VALUE"""),45692.66666666667)</f>
        <v>45692.66667</v>
      </c>
      <c r="C1029" s="2">
        <f>IFERROR(__xludf.DUMMYFUNCTION("""COMPUTED_VALUE"""),61.34)</f>
        <v>61.34</v>
      </c>
      <c r="K1029" s="3">
        <f>IFERROR(__xludf.DUMMYFUNCTION("""COMPUTED_VALUE"""),45685.6875)</f>
        <v>45685.6875</v>
      </c>
      <c r="L1029" s="2">
        <f>IFERROR(__xludf.DUMMYFUNCTION("""COMPUTED_VALUE"""),61.58)</f>
        <v>61.58</v>
      </c>
      <c r="N1029" s="3">
        <f>IFERROR(__xludf.DUMMYFUNCTION("""COMPUTED_VALUE"""),45692.66666666667)</f>
        <v>45692.66667</v>
      </c>
      <c r="O1029" s="2">
        <f>IFERROR(__xludf.DUMMYFUNCTION("""COMPUTED_VALUE"""),31.64)</f>
        <v>31.64</v>
      </c>
      <c r="Q1029" s="3">
        <f>IFERROR(__xludf.DUMMYFUNCTION("""COMPUTED_VALUE"""),45692.66666666667)</f>
        <v>45692.66667</v>
      </c>
      <c r="R1029" s="2">
        <f>IFERROR(__xludf.DUMMYFUNCTION("""COMPUTED_VALUE"""),168.13)</f>
        <v>168.13</v>
      </c>
    </row>
    <row r="1030">
      <c r="B1030" s="3">
        <f>IFERROR(__xludf.DUMMYFUNCTION("""COMPUTED_VALUE"""),45693.66666666667)</f>
        <v>45693.66667</v>
      </c>
      <c r="C1030" s="2">
        <f>IFERROR(__xludf.DUMMYFUNCTION("""COMPUTED_VALUE"""),62.57)</f>
        <v>62.57</v>
      </c>
      <c r="K1030" s="3">
        <f>IFERROR(__xludf.DUMMYFUNCTION("""COMPUTED_VALUE"""),45686.6875)</f>
        <v>45686.6875</v>
      </c>
      <c r="L1030" s="2">
        <f>IFERROR(__xludf.DUMMYFUNCTION("""COMPUTED_VALUE"""),62.52)</f>
        <v>62.52</v>
      </c>
      <c r="N1030" s="3">
        <f>IFERROR(__xludf.DUMMYFUNCTION("""COMPUTED_VALUE"""),45693.66666666667)</f>
        <v>45693.66667</v>
      </c>
      <c r="O1030" s="2">
        <f>IFERROR(__xludf.DUMMYFUNCTION("""COMPUTED_VALUE"""),31.67)</f>
        <v>31.67</v>
      </c>
      <c r="Q1030" s="3">
        <f>IFERROR(__xludf.DUMMYFUNCTION("""COMPUTED_VALUE"""),45693.66666666667)</f>
        <v>45693.66667</v>
      </c>
      <c r="R1030" s="2">
        <f>IFERROR(__xludf.DUMMYFUNCTION("""COMPUTED_VALUE"""),169.01)</f>
        <v>169.01</v>
      </c>
    </row>
    <row r="1031">
      <c r="B1031" s="3">
        <f>IFERROR(__xludf.DUMMYFUNCTION("""COMPUTED_VALUE"""),45694.66666666667)</f>
        <v>45694.66667</v>
      </c>
      <c r="C1031" s="2">
        <f>IFERROR(__xludf.DUMMYFUNCTION("""COMPUTED_VALUE"""),62.27)</f>
        <v>62.27</v>
      </c>
      <c r="K1031" s="3">
        <f>IFERROR(__xludf.DUMMYFUNCTION("""COMPUTED_VALUE"""),45687.6875)</f>
        <v>45687.6875</v>
      </c>
      <c r="L1031" s="2">
        <f>IFERROR(__xludf.DUMMYFUNCTION("""COMPUTED_VALUE"""),62.34)</f>
        <v>62.34</v>
      </c>
      <c r="N1031" s="3">
        <f>IFERROR(__xludf.DUMMYFUNCTION("""COMPUTED_VALUE"""),45694.66666666667)</f>
        <v>45694.66667</v>
      </c>
      <c r="O1031" s="2">
        <f>IFERROR(__xludf.DUMMYFUNCTION("""COMPUTED_VALUE"""),31.96)</f>
        <v>31.96</v>
      </c>
      <c r="Q1031" s="3">
        <f>IFERROR(__xludf.DUMMYFUNCTION("""COMPUTED_VALUE"""),45694.66666666667)</f>
        <v>45694.66667</v>
      </c>
      <c r="R1031" s="2">
        <f>IFERROR(__xludf.DUMMYFUNCTION("""COMPUTED_VALUE"""),168.88)</f>
        <v>168.88</v>
      </c>
    </row>
    <row r="1032">
      <c r="B1032" s="3">
        <f>IFERROR(__xludf.DUMMYFUNCTION("""COMPUTED_VALUE"""),45695.66666666667)</f>
        <v>45695.66667</v>
      </c>
      <c r="C1032" s="2">
        <f>IFERROR(__xludf.DUMMYFUNCTION("""COMPUTED_VALUE"""),62.27)</f>
        <v>62.27</v>
      </c>
      <c r="K1032" s="3">
        <f>IFERROR(__xludf.DUMMYFUNCTION("""COMPUTED_VALUE"""),45688.6875)</f>
        <v>45688.6875</v>
      </c>
      <c r="L1032" s="2">
        <f>IFERROR(__xludf.DUMMYFUNCTION("""COMPUTED_VALUE"""),62.34)</f>
        <v>62.34</v>
      </c>
      <c r="N1032" s="3">
        <f>IFERROR(__xludf.DUMMYFUNCTION("""COMPUTED_VALUE"""),45695.66666666667)</f>
        <v>45695.66667</v>
      </c>
      <c r="O1032" s="2">
        <f>IFERROR(__xludf.DUMMYFUNCTION("""COMPUTED_VALUE"""),32.27)</f>
        <v>32.27</v>
      </c>
      <c r="Q1032" s="3">
        <f>IFERROR(__xludf.DUMMYFUNCTION("""COMPUTED_VALUE"""),45695.66666666667)</f>
        <v>45695.66667</v>
      </c>
      <c r="R1032" s="2">
        <f>IFERROR(__xludf.DUMMYFUNCTION("""COMPUTED_VALUE"""),167.97)</f>
        <v>167.97</v>
      </c>
    </row>
    <row r="1033">
      <c r="B1033" s="3">
        <f>IFERROR(__xludf.DUMMYFUNCTION("""COMPUTED_VALUE"""),45698.66666666667)</f>
        <v>45698.66667</v>
      </c>
      <c r="C1033" s="2">
        <f>IFERROR(__xludf.DUMMYFUNCTION("""COMPUTED_VALUE"""),62.81)</f>
        <v>62.81</v>
      </c>
      <c r="K1033" s="3">
        <f>IFERROR(__xludf.DUMMYFUNCTION("""COMPUTED_VALUE"""),45691.6875)</f>
        <v>45691.6875</v>
      </c>
      <c r="L1033" s="2">
        <f>IFERROR(__xludf.DUMMYFUNCTION("""COMPUTED_VALUE"""),61.28)</f>
        <v>61.28</v>
      </c>
      <c r="N1033" s="3">
        <f>IFERROR(__xludf.DUMMYFUNCTION("""COMPUTED_VALUE"""),45698.66666666667)</f>
        <v>45698.66667</v>
      </c>
      <c r="O1033" s="2">
        <f>IFERROR(__xludf.DUMMYFUNCTION("""COMPUTED_VALUE"""),34.42)</f>
        <v>34.42</v>
      </c>
      <c r="Q1033" s="3">
        <f>IFERROR(__xludf.DUMMYFUNCTION("""COMPUTED_VALUE"""),45698.66666666667)</f>
        <v>45698.66667</v>
      </c>
      <c r="R1033" s="2">
        <f>IFERROR(__xludf.DUMMYFUNCTION("""COMPUTED_VALUE"""),167.53)</f>
        <v>167.53</v>
      </c>
    </row>
    <row r="1034">
      <c r="B1034" s="3">
        <f>IFERROR(__xludf.DUMMYFUNCTION("""COMPUTED_VALUE"""),45699.66666666667)</f>
        <v>45699.66667</v>
      </c>
      <c r="C1034" s="2">
        <f>IFERROR(__xludf.DUMMYFUNCTION("""COMPUTED_VALUE"""),62.43)</f>
        <v>62.43</v>
      </c>
      <c r="K1034" s="3">
        <f>IFERROR(__xludf.DUMMYFUNCTION("""COMPUTED_VALUE"""),45692.6875)</f>
        <v>45692.6875</v>
      </c>
      <c r="L1034" s="2">
        <f>IFERROR(__xludf.DUMMYFUNCTION("""COMPUTED_VALUE"""),61.58)</f>
        <v>61.58</v>
      </c>
      <c r="N1034" s="3">
        <f>IFERROR(__xludf.DUMMYFUNCTION("""COMPUTED_VALUE"""),45699.66666666667)</f>
        <v>45699.66667</v>
      </c>
      <c r="O1034" s="2">
        <f>IFERROR(__xludf.DUMMYFUNCTION("""COMPUTED_VALUE"""),34.55)</f>
        <v>34.55</v>
      </c>
      <c r="Q1034" s="3">
        <f>IFERROR(__xludf.DUMMYFUNCTION("""COMPUTED_VALUE"""),45699.66666666667)</f>
        <v>45699.66667</v>
      </c>
      <c r="R1034" s="2">
        <f>IFERROR(__xludf.DUMMYFUNCTION("""COMPUTED_VALUE"""),169.43)</f>
        <v>169.43</v>
      </c>
    </row>
    <row r="1035">
      <c r="B1035" s="3">
        <f>IFERROR(__xludf.DUMMYFUNCTION("""COMPUTED_VALUE"""),45700.66666666667)</f>
        <v>45700.66667</v>
      </c>
      <c r="C1035" s="2">
        <f>IFERROR(__xludf.DUMMYFUNCTION("""COMPUTED_VALUE"""),62.53)</f>
        <v>62.53</v>
      </c>
      <c r="K1035" s="3">
        <f>IFERROR(__xludf.DUMMYFUNCTION("""COMPUTED_VALUE"""),45693.6875)</f>
        <v>45693.6875</v>
      </c>
      <c r="L1035" s="2">
        <f>IFERROR(__xludf.DUMMYFUNCTION("""COMPUTED_VALUE"""),61.98)</f>
        <v>61.98</v>
      </c>
      <c r="N1035" s="3">
        <f>IFERROR(__xludf.DUMMYFUNCTION("""COMPUTED_VALUE"""),45700.66666666667)</f>
        <v>45700.66667</v>
      </c>
      <c r="O1035" s="2">
        <f>IFERROR(__xludf.DUMMYFUNCTION("""COMPUTED_VALUE"""),34.68)</f>
        <v>34.68</v>
      </c>
      <c r="Q1035" s="3">
        <f>IFERROR(__xludf.DUMMYFUNCTION("""COMPUTED_VALUE"""),45700.66666666667)</f>
        <v>45700.66667</v>
      </c>
      <c r="R1035" s="2">
        <f>IFERROR(__xludf.DUMMYFUNCTION("""COMPUTED_VALUE"""),169.58)</f>
        <v>169.58</v>
      </c>
    </row>
    <row r="1036">
      <c r="B1036" s="3">
        <f>IFERROR(__xludf.DUMMYFUNCTION("""COMPUTED_VALUE"""),45701.66666666667)</f>
        <v>45701.66667</v>
      </c>
      <c r="C1036" s="2">
        <f>IFERROR(__xludf.DUMMYFUNCTION("""COMPUTED_VALUE"""),63.84)</f>
        <v>63.84</v>
      </c>
      <c r="K1036" s="3">
        <f>IFERROR(__xludf.DUMMYFUNCTION("""COMPUTED_VALUE"""),45694.6875)</f>
        <v>45694.6875</v>
      </c>
      <c r="L1036" s="2">
        <f>IFERROR(__xludf.DUMMYFUNCTION("""COMPUTED_VALUE"""),63.34)</f>
        <v>63.34</v>
      </c>
      <c r="N1036" s="3">
        <f>IFERROR(__xludf.DUMMYFUNCTION("""COMPUTED_VALUE"""),45701.66666666667)</f>
        <v>45701.66667</v>
      </c>
      <c r="O1036" s="2">
        <f>IFERROR(__xludf.DUMMYFUNCTION("""COMPUTED_VALUE"""),34.49)</f>
        <v>34.49</v>
      </c>
      <c r="Q1036" s="3">
        <f>IFERROR(__xludf.DUMMYFUNCTION("""COMPUTED_VALUE"""),45701.66666666667)</f>
        <v>45701.66667</v>
      </c>
      <c r="R1036" s="2">
        <f>IFERROR(__xludf.DUMMYFUNCTION("""COMPUTED_VALUE"""),171.02)</f>
        <v>171.02</v>
      </c>
    </row>
    <row r="1037">
      <c r="B1037" s="3">
        <f>IFERROR(__xludf.DUMMYFUNCTION("""COMPUTED_VALUE"""),45702.66666666667)</f>
        <v>45702.66667</v>
      </c>
      <c r="C1037" s="2">
        <f>IFERROR(__xludf.DUMMYFUNCTION("""COMPUTED_VALUE"""),64.87)</f>
        <v>64.87</v>
      </c>
      <c r="K1037" s="3">
        <f>IFERROR(__xludf.DUMMYFUNCTION("""COMPUTED_VALUE"""),45695.6875)</f>
        <v>45695.6875</v>
      </c>
      <c r="L1037" s="2">
        <f>IFERROR(__xludf.DUMMYFUNCTION("""COMPUTED_VALUE"""),62.56)</f>
        <v>62.56</v>
      </c>
      <c r="N1037" s="3">
        <f>IFERROR(__xludf.DUMMYFUNCTION("""COMPUTED_VALUE"""),45702.66666666667)</f>
        <v>45702.66667</v>
      </c>
      <c r="O1037" s="2">
        <f>IFERROR(__xludf.DUMMYFUNCTION("""COMPUTED_VALUE"""),35.0)</f>
        <v>35</v>
      </c>
      <c r="Q1037" s="3">
        <f>IFERROR(__xludf.DUMMYFUNCTION("""COMPUTED_VALUE"""),45702.66666666667)</f>
        <v>45702.66667</v>
      </c>
      <c r="R1037" s="2">
        <f>IFERROR(__xludf.DUMMYFUNCTION("""COMPUTED_VALUE"""),162.89)</f>
        <v>162.89</v>
      </c>
    </row>
    <row r="1038">
      <c r="B1038" s="3">
        <f>IFERROR(__xludf.DUMMYFUNCTION("""COMPUTED_VALUE"""),45706.66666666667)</f>
        <v>45706.66667</v>
      </c>
      <c r="C1038" s="2">
        <f>IFERROR(__xludf.DUMMYFUNCTION("""COMPUTED_VALUE"""),64.59)</f>
        <v>64.59</v>
      </c>
      <c r="K1038" s="3">
        <f>IFERROR(__xludf.DUMMYFUNCTION("""COMPUTED_VALUE"""),45698.6875)</f>
        <v>45698.6875</v>
      </c>
      <c r="L1038" s="2">
        <f>IFERROR(__xludf.DUMMYFUNCTION("""COMPUTED_VALUE"""),62.8)</f>
        <v>62.8</v>
      </c>
      <c r="N1038" s="3">
        <f>IFERROR(__xludf.DUMMYFUNCTION("""COMPUTED_VALUE"""),45706.66666666667)</f>
        <v>45706.66667</v>
      </c>
      <c r="O1038" s="2">
        <f>IFERROR(__xludf.DUMMYFUNCTION("""COMPUTED_VALUE"""),35.31)</f>
        <v>35.31</v>
      </c>
      <c r="Q1038" s="3">
        <f>IFERROR(__xludf.DUMMYFUNCTION("""COMPUTED_VALUE"""),45706.66666666667)</f>
        <v>45706.66667</v>
      </c>
      <c r="R1038" s="2">
        <f>IFERROR(__xludf.DUMMYFUNCTION("""COMPUTED_VALUE"""),165.43)</f>
        <v>165.43</v>
      </c>
    </row>
    <row r="1039">
      <c r="B1039" s="3">
        <f>IFERROR(__xludf.DUMMYFUNCTION("""COMPUTED_VALUE"""),45707.66666666667)</f>
        <v>45707.66667</v>
      </c>
      <c r="C1039" s="2">
        <f>IFERROR(__xludf.DUMMYFUNCTION("""COMPUTED_VALUE"""),64.84)</f>
        <v>64.84</v>
      </c>
      <c r="K1039" s="3">
        <f>IFERROR(__xludf.DUMMYFUNCTION("""COMPUTED_VALUE"""),45699.6875)</f>
        <v>45699.6875</v>
      </c>
      <c r="L1039" s="2">
        <f>IFERROR(__xludf.DUMMYFUNCTION("""COMPUTED_VALUE"""),62.8)</f>
        <v>62.8</v>
      </c>
      <c r="N1039" s="3">
        <f>IFERROR(__xludf.DUMMYFUNCTION("""COMPUTED_VALUE"""),45707.66666666667)</f>
        <v>45707.66667</v>
      </c>
      <c r="O1039" s="2">
        <f>IFERROR(__xludf.DUMMYFUNCTION("""COMPUTED_VALUE"""),34.54)</f>
        <v>34.54</v>
      </c>
      <c r="Q1039" s="3">
        <f>IFERROR(__xludf.DUMMYFUNCTION("""COMPUTED_VALUE"""),45707.66666666667)</f>
        <v>45707.66667</v>
      </c>
      <c r="R1039" s="2">
        <f>IFERROR(__xludf.DUMMYFUNCTION("""COMPUTED_VALUE"""),166.49)</f>
        <v>166.49</v>
      </c>
    </row>
    <row r="1040">
      <c r="B1040" s="3">
        <f>IFERROR(__xludf.DUMMYFUNCTION("""COMPUTED_VALUE"""),45708.66666666667)</f>
        <v>45708.66667</v>
      </c>
      <c r="C1040" s="2">
        <f>IFERROR(__xludf.DUMMYFUNCTION("""COMPUTED_VALUE"""),64.67)</f>
        <v>64.67</v>
      </c>
      <c r="K1040" s="3">
        <f>IFERROR(__xludf.DUMMYFUNCTION("""COMPUTED_VALUE"""),45700.6875)</f>
        <v>45700.6875</v>
      </c>
      <c r="L1040" s="2">
        <f>IFERROR(__xludf.DUMMYFUNCTION("""COMPUTED_VALUE"""),63.9)</f>
        <v>63.9</v>
      </c>
      <c r="N1040" s="3">
        <f>IFERROR(__xludf.DUMMYFUNCTION("""COMPUTED_VALUE"""),45708.66666666667)</f>
        <v>45708.66667</v>
      </c>
      <c r="O1040" s="2">
        <f>IFERROR(__xludf.DUMMYFUNCTION("""COMPUTED_VALUE"""),34.65)</f>
        <v>34.65</v>
      </c>
      <c r="Q1040" s="3">
        <f>IFERROR(__xludf.DUMMYFUNCTION("""COMPUTED_VALUE"""),45708.66666666667)</f>
        <v>45708.66667</v>
      </c>
      <c r="R1040" s="2">
        <f>IFERROR(__xludf.DUMMYFUNCTION("""COMPUTED_VALUE"""),167.21)</f>
        <v>167.21</v>
      </c>
    </row>
    <row r="1041">
      <c r="B1041" s="3">
        <f>IFERROR(__xludf.DUMMYFUNCTION("""COMPUTED_VALUE"""),45709.66666666667)</f>
        <v>45709.66667</v>
      </c>
      <c r="C1041" s="2">
        <f>IFERROR(__xludf.DUMMYFUNCTION("""COMPUTED_VALUE"""),63.98)</f>
        <v>63.98</v>
      </c>
      <c r="K1041" s="3">
        <f>IFERROR(__xludf.DUMMYFUNCTION("""COMPUTED_VALUE"""),45701.6875)</f>
        <v>45701.6875</v>
      </c>
      <c r="L1041" s="2">
        <f>IFERROR(__xludf.DUMMYFUNCTION("""COMPUTED_VALUE"""),64.22)</f>
        <v>64.22</v>
      </c>
      <c r="N1041" s="3">
        <f>IFERROR(__xludf.DUMMYFUNCTION("""COMPUTED_VALUE"""),45709.66666666667)</f>
        <v>45709.66667</v>
      </c>
      <c r="O1041" s="2">
        <f>IFERROR(__xludf.DUMMYFUNCTION("""COMPUTED_VALUE"""),33.89)</f>
        <v>33.89</v>
      </c>
      <c r="Q1041" s="3">
        <f>IFERROR(__xludf.DUMMYFUNCTION("""COMPUTED_VALUE"""),45709.66666666667)</f>
        <v>45709.66667</v>
      </c>
      <c r="R1041" s="2">
        <f>IFERROR(__xludf.DUMMYFUNCTION("""COMPUTED_VALUE"""),170.23)</f>
        <v>170.23</v>
      </c>
    </row>
    <row r="1042">
      <c r="B1042" s="3">
        <f>IFERROR(__xludf.DUMMYFUNCTION("""COMPUTED_VALUE"""),45712.66666666667)</f>
        <v>45712.66667</v>
      </c>
      <c r="C1042" s="2">
        <f>IFERROR(__xludf.DUMMYFUNCTION("""COMPUTED_VALUE"""),63.24)</f>
        <v>63.24</v>
      </c>
      <c r="K1042" s="3">
        <f>IFERROR(__xludf.DUMMYFUNCTION("""COMPUTED_VALUE"""),45702.6875)</f>
        <v>45702.6875</v>
      </c>
      <c r="L1042" s="2">
        <f>IFERROR(__xludf.DUMMYFUNCTION("""COMPUTED_VALUE"""),64.16)</f>
        <v>64.16</v>
      </c>
      <c r="N1042" s="3">
        <f>IFERROR(__xludf.DUMMYFUNCTION("""COMPUTED_VALUE"""),45712.66666666667)</f>
        <v>45712.66667</v>
      </c>
      <c r="O1042" s="2">
        <f>IFERROR(__xludf.DUMMYFUNCTION("""COMPUTED_VALUE"""),33.74)</f>
        <v>33.74</v>
      </c>
      <c r="Q1042" s="3">
        <f>IFERROR(__xludf.DUMMYFUNCTION("""COMPUTED_VALUE"""),45712.66666666667)</f>
        <v>45712.66667</v>
      </c>
      <c r="R1042" s="2">
        <f>IFERROR(__xludf.DUMMYFUNCTION("""COMPUTED_VALUE"""),170.54)</f>
        <v>170.54</v>
      </c>
    </row>
    <row r="1043">
      <c r="B1043" s="3">
        <f>IFERROR(__xludf.DUMMYFUNCTION("""COMPUTED_VALUE"""),45713.66666666667)</f>
        <v>45713.66667</v>
      </c>
      <c r="C1043" s="2">
        <f>IFERROR(__xludf.DUMMYFUNCTION("""COMPUTED_VALUE"""),64.27)</f>
        <v>64.27</v>
      </c>
      <c r="K1043" s="3">
        <f>IFERROR(__xludf.DUMMYFUNCTION("""COMPUTED_VALUE"""),45705.6875)</f>
        <v>45705.6875</v>
      </c>
      <c r="L1043" s="2">
        <f>IFERROR(__xludf.DUMMYFUNCTION("""COMPUTED_VALUE"""),62.92)</f>
        <v>62.92</v>
      </c>
      <c r="N1043" s="3">
        <f>IFERROR(__xludf.DUMMYFUNCTION("""COMPUTED_VALUE"""),45713.66666666667)</f>
        <v>45713.66667</v>
      </c>
      <c r="O1043" s="2">
        <f>IFERROR(__xludf.DUMMYFUNCTION("""COMPUTED_VALUE"""),33.23)</f>
        <v>33.23</v>
      </c>
      <c r="Q1043" s="3">
        <f>IFERROR(__xludf.DUMMYFUNCTION("""COMPUTED_VALUE"""),45713.66666666667)</f>
        <v>45713.66667</v>
      </c>
      <c r="R1043" s="2">
        <f>IFERROR(__xludf.DUMMYFUNCTION("""COMPUTED_VALUE"""),172.65)</f>
        <v>172.65</v>
      </c>
    </row>
    <row r="1044">
      <c r="B1044" s="3">
        <f>IFERROR(__xludf.DUMMYFUNCTION("""COMPUTED_VALUE"""),45714.66666666667)</f>
        <v>45714.66667</v>
      </c>
      <c r="C1044" s="2">
        <f>IFERROR(__xludf.DUMMYFUNCTION("""COMPUTED_VALUE"""),64.08)</f>
        <v>64.08</v>
      </c>
      <c r="K1044" s="3">
        <f>IFERROR(__xludf.DUMMYFUNCTION("""COMPUTED_VALUE"""),45706.6875)</f>
        <v>45706.6875</v>
      </c>
      <c r="L1044" s="2">
        <f>IFERROR(__xludf.DUMMYFUNCTION("""COMPUTED_VALUE"""),63.26)</f>
        <v>63.26</v>
      </c>
      <c r="N1044" s="3">
        <f>IFERROR(__xludf.DUMMYFUNCTION("""COMPUTED_VALUE"""),45714.66666666667)</f>
        <v>45714.66667</v>
      </c>
      <c r="O1044" s="2">
        <f>IFERROR(__xludf.DUMMYFUNCTION("""COMPUTED_VALUE"""),32.68)</f>
        <v>32.68</v>
      </c>
      <c r="Q1044" s="3">
        <f>IFERROR(__xludf.DUMMYFUNCTION("""COMPUTED_VALUE"""),45714.66666666667)</f>
        <v>45714.66667</v>
      </c>
      <c r="R1044" s="2">
        <f>IFERROR(__xludf.DUMMYFUNCTION("""COMPUTED_VALUE"""),171.3)</f>
        <v>171.3</v>
      </c>
    </row>
    <row r="1045">
      <c r="B1045" s="3">
        <f>IFERROR(__xludf.DUMMYFUNCTION("""COMPUTED_VALUE"""),45715.66666666667)</f>
        <v>45715.66667</v>
      </c>
      <c r="C1045" s="2">
        <f>IFERROR(__xludf.DUMMYFUNCTION("""COMPUTED_VALUE"""),63.81)</f>
        <v>63.81</v>
      </c>
      <c r="K1045" s="3">
        <f>IFERROR(__xludf.DUMMYFUNCTION("""COMPUTED_VALUE"""),45707.6875)</f>
        <v>45707.6875</v>
      </c>
      <c r="L1045" s="2">
        <f>IFERROR(__xludf.DUMMYFUNCTION("""COMPUTED_VALUE"""),62.84)</f>
        <v>62.84</v>
      </c>
      <c r="N1045" s="3">
        <f>IFERROR(__xludf.DUMMYFUNCTION("""COMPUTED_VALUE"""),45715.66666666667)</f>
        <v>45715.66667</v>
      </c>
      <c r="O1045" s="2">
        <f>IFERROR(__xludf.DUMMYFUNCTION("""COMPUTED_VALUE"""),33.12)</f>
        <v>33.12</v>
      </c>
      <c r="Q1045" s="3">
        <f>IFERROR(__xludf.DUMMYFUNCTION("""COMPUTED_VALUE"""),45715.66666666667)</f>
        <v>45715.66667</v>
      </c>
      <c r="R1045" s="2">
        <f>IFERROR(__xludf.DUMMYFUNCTION("""COMPUTED_VALUE"""),171.97)</f>
        <v>171.97</v>
      </c>
    </row>
    <row r="1046">
      <c r="B1046" s="3">
        <f>IFERROR(__xludf.DUMMYFUNCTION("""COMPUTED_VALUE"""),45716.66666666667)</f>
        <v>45716.66667</v>
      </c>
      <c r="C1046" s="2">
        <f>IFERROR(__xludf.DUMMYFUNCTION("""COMPUTED_VALUE"""),64.11)</f>
        <v>64.11</v>
      </c>
      <c r="K1046" s="3">
        <f>IFERROR(__xludf.DUMMYFUNCTION("""COMPUTED_VALUE"""),45708.6875)</f>
        <v>45708.6875</v>
      </c>
      <c r="L1046" s="2">
        <f>IFERROR(__xludf.DUMMYFUNCTION("""COMPUTED_VALUE"""),65.9)</f>
        <v>65.9</v>
      </c>
      <c r="N1046" s="3">
        <f>IFERROR(__xludf.DUMMYFUNCTION("""COMPUTED_VALUE"""),45716.66666666667)</f>
        <v>45716.66667</v>
      </c>
      <c r="O1046" s="2">
        <f>IFERROR(__xludf.DUMMYFUNCTION("""COMPUTED_VALUE"""),33.12)</f>
        <v>33.12</v>
      </c>
      <c r="Q1046" s="3">
        <f>IFERROR(__xludf.DUMMYFUNCTION("""COMPUTED_VALUE"""),45716.66666666667)</f>
        <v>45716.66667</v>
      </c>
      <c r="R1046" s="2">
        <f>IFERROR(__xludf.DUMMYFUNCTION("""COMPUTED_VALUE"""),173.84)</f>
        <v>173.84</v>
      </c>
    </row>
    <row r="1047">
      <c r="B1047" s="3">
        <f>IFERROR(__xludf.DUMMYFUNCTION("""COMPUTED_VALUE"""),45719.66666666667)</f>
        <v>45719.66667</v>
      </c>
      <c r="C1047" s="2">
        <f>IFERROR(__xludf.DUMMYFUNCTION("""COMPUTED_VALUE"""),63.48)</f>
        <v>63.48</v>
      </c>
      <c r="K1047" s="3">
        <f>IFERROR(__xludf.DUMMYFUNCTION("""COMPUTED_VALUE"""),45709.6875)</f>
        <v>45709.6875</v>
      </c>
      <c r="L1047" s="2">
        <f>IFERROR(__xludf.DUMMYFUNCTION("""COMPUTED_VALUE"""),67.2)</f>
        <v>67.2</v>
      </c>
      <c r="N1047" s="3">
        <f>IFERROR(__xludf.DUMMYFUNCTION("""COMPUTED_VALUE"""),45719.66666666667)</f>
        <v>45719.66667</v>
      </c>
      <c r="O1047" s="2">
        <f>IFERROR(__xludf.DUMMYFUNCTION("""COMPUTED_VALUE"""),31.81)</f>
        <v>31.81</v>
      </c>
      <c r="Q1047" s="3">
        <f>IFERROR(__xludf.DUMMYFUNCTION("""COMPUTED_VALUE"""),45719.66666666667)</f>
        <v>45719.66667</v>
      </c>
      <c r="R1047" s="2">
        <f>IFERROR(__xludf.DUMMYFUNCTION("""COMPUTED_VALUE"""),175.59)</f>
        <v>175.59</v>
      </c>
    </row>
    <row r="1048">
      <c r="B1048" s="3">
        <f>IFERROR(__xludf.DUMMYFUNCTION("""COMPUTED_VALUE"""),45720.66666666667)</f>
        <v>45720.66667</v>
      </c>
      <c r="C1048" s="2">
        <f>IFERROR(__xludf.DUMMYFUNCTION("""COMPUTED_VALUE"""),63.26)</f>
        <v>63.26</v>
      </c>
      <c r="K1048" s="3">
        <f>IFERROR(__xludf.DUMMYFUNCTION("""COMPUTED_VALUE"""),45712.6875)</f>
        <v>45712.6875</v>
      </c>
      <c r="L1048" s="2">
        <f>IFERROR(__xludf.DUMMYFUNCTION("""COMPUTED_VALUE"""),67.32)</f>
        <v>67.32</v>
      </c>
      <c r="N1048" s="3">
        <f>IFERROR(__xludf.DUMMYFUNCTION("""COMPUTED_VALUE"""),45720.66666666667)</f>
        <v>45720.66667</v>
      </c>
      <c r="O1048" s="2">
        <f>IFERROR(__xludf.DUMMYFUNCTION("""COMPUTED_VALUE"""),31.44)</f>
        <v>31.44</v>
      </c>
      <c r="Q1048" s="3">
        <f>IFERROR(__xludf.DUMMYFUNCTION("""COMPUTED_VALUE"""),45720.66666666667)</f>
        <v>45720.66667</v>
      </c>
      <c r="R1048" s="2">
        <f>IFERROR(__xludf.DUMMYFUNCTION("""COMPUTED_VALUE"""),173.18)</f>
        <v>173.18</v>
      </c>
    </row>
    <row r="1049">
      <c r="B1049" s="3">
        <f>IFERROR(__xludf.DUMMYFUNCTION("""COMPUTED_VALUE"""),45721.66666666667)</f>
        <v>45721.66667</v>
      </c>
      <c r="C1049" s="2">
        <f>IFERROR(__xludf.DUMMYFUNCTION("""COMPUTED_VALUE"""),63.96)</f>
        <v>63.96</v>
      </c>
      <c r="K1049" s="3">
        <f>IFERROR(__xludf.DUMMYFUNCTION("""COMPUTED_VALUE"""),45713.6875)</f>
        <v>45713.6875</v>
      </c>
      <c r="L1049" s="2">
        <f>IFERROR(__xludf.DUMMYFUNCTION("""COMPUTED_VALUE"""),68.62)</f>
        <v>68.62</v>
      </c>
      <c r="N1049" s="3">
        <f>IFERROR(__xludf.DUMMYFUNCTION("""COMPUTED_VALUE"""),45721.66666666667)</f>
        <v>45721.66667</v>
      </c>
      <c r="O1049" s="2">
        <f>IFERROR(__xludf.DUMMYFUNCTION("""COMPUTED_VALUE"""),31.88)</f>
        <v>31.88</v>
      </c>
      <c r="Q1049" s="3">
        <f>IFERROR(__xludf.DUMMYFUNCTION("""COMPUTED_VALUE"""),45721.66666666667)</f>
        <v>45721.66667</v>
      </c>
      <c r="R1049" s="2">
        <f>IFERROR(__xludf.DUMMYFUNCTION("""COMPUTED_VALUE"""),174.61)</f>
        <v>174.61</v>
      </c>
    </row>
    <row r="1050">
      <c r="B1050" s="3">
        <f>IFERROR(__xludf.DUMMYFUNCTION("""COMPUTED_VALUE"""),45722.66666666667)</f>
        <v>45722.66667</v>
      </c>
      <c r="C1050" s="2">
        <f>IFERROR(__xludf.DUMMYFUNCTION("""COMPUTED_VALUE"""),63.41)</f>
        <v>63.41</v>
      </c>
      <c r="K1050" s="3">
        <f>IFERROR(__xludf.DUMMYFUNCTION("""COMPUTED_VALUE"""),45714.6875)</f>
        <v>45714.6875</v>
      </c>
      <c r="L1050" s="2">
        <f>IFERROR(__xludf.DUMMYFUNCTION("""COMPUTED_VALUE"""),71.76)</f>
        <v>71.76</v>
      </c>
      <c r="N1050" s="3">
        <f>IFERROR(__xludf.DUMMYFUNCTION("""COMPUTED_VALUE"""),45722.66666666667)</f>
        <v>45722.66667</v>
      </c>
      <c r="O1050" s="2">
        <f>IFERROR(__xludf.DUMMYFUNCTION("""COMPUTED_VALUE"""),31.71)</f>
        <v>31.71</v>
      </c>
      <c r="Q1050" s="3">
        <f>IFERROR(__xludf.DUMMYFUNCTION("""COMPUTED_VALUE"""),45722.66666666667)</f>
        <v>45722.66667</v>
      </c>
      <c r="R1050" s="2">
        <f>IFERROR(__xludf.DUMMYFUNCTION("""COMPUTED_VALUE"""),174.66)</f>
        <v>174.66</v>
      </c>
    </row>
    <row r="1051">
      <c r="B1051" s="3">
        <f>IFERROR(__xludf.DUMMYFUNCTION("""COMPUTED_VALUE"""),45723.66666666667)</f>
        <v>45723.66667</v>
      </c>
      <c r="C1051" s="2">
        <f>IFERROR(__xludf.DUMMYFUNCTION("""COMPUTED_VALUE"""),63.94)</f>
        <v>63.94</v>
      </c>
      <c r="K1051" s="3">
        <f>IFERROR(__xludf.DUMMYFUNCTION("""COMPUTED_VALUE"""),45715.6875)</f>
        <v>45715.6875</v>
      </c>
      <c r="L1051" s="2">
        <f>IFERROR(__xludf.DUMMYFUNCTION("""COMPUTED_VALUE"""),71.72)</f>
        <v>71.72</v>
      </c>
      <c r="N1051" s="3">
        <f>IFERROR(__xludf.DUMMYFUNCTION("""COMPUTED_VALUE"""),45723.66666666667)</f>
        <v>45723.66667</v>
      </c>
      <c r="O1051" s="2">
        <f>IFERROR(__xludf.DUMMYFUNCTION("""COMPUTED_VALUE"""),32.07)</f>
        <v>32.07</v>
      </c>
      <c r="Q1051" s="3">
        <f>IFERROR(__xludf.DUMMYFUNCTION("""COMPUTED_VALUE"""),45723.66666666667)</f>
        <v>45723.66667</v>
      </c>
      <c r="R1051" s="2">
        <f>IFERROR(__xludf.DUMMYFUNCTION("""COMPUTED_VALUE"""),175.95)</f>
        <v>175.95</v>
      </c>
    </row>
    <row r="1052">
      <c r="B1052" s="3">
        <f>IFERROR(__xludf.DUMMYFUNCTION("""COMPUTED_VALUE"""),45726.66666666667)</f>
        <v>45726.66667</v>
      </c>
      <c r="C1052" s="2">
        <f>IFERROR(__xludf.DUMMYFUNCTION("""COMPUTED_VALUE"""),62.06)</f>
        <v>62.06</v>
      </c>
      <c r="K1052" s="3">
        <f>IFERROR(__xludf.DUMMYFUNCTION("""COMPUTED_VALUE"""),45716.6875)</f>
        <v>45716.6875</v>
      </c>
      <c r="L1052" s="2">
        <f>IFERROR(__xludf.DUMMYFUNCTION("""COMPUTED_VALUE"""),72.98)</f>
        <v>72.98</v>
      </c>
      <c r="N1052" s="3">
        <f>IFERROR(__xludf.DUMMYFUNCTION("""COMPUTED_VALUE"""),45726.66666666667)</f>
        <v>45726.66667</v>
      </c>
      <c r="O1052" s="2">
        <f>IFERROR(__xludf.DUMMYFUNCTION("""COMPUTED_VALUE"""),32.21)</f>
        <v>32.21</v>
      </c>
      <c r="Q1052" s="3">
        <f>IFERROR(__xludf.DUMMYFUNCTION("""COMPUTED_VALUE"""),45726.66666666667)</f>
        <v>45726.66667</v>
      </c>
      <c r="R1052" s="2">
        <f>IFERROR(__xludf.DUMMYFUNCTION("""COMPUTED_VALUE"""),176.26)</f>
        <v>176.26</v>
      </c>
    </row>
    <row r="1053">
      <c r="B1053" s="3">
        <f>IFERROR(__xludf.DUMMYFUNCTION("""COMPUTED_VALUE"""),45727.66666666667)</f>
        <v>45727.66667</v>
      </c>
      <c r="C1053" s="2">
        <f>IFERROR(__xludf.DUMMYFUNCTION("""COMPUTED_VALUE"""),60.67)</f>
        <v>60.67</v>
      </c>
      <c r="K1053" s="3">
        <f>IFERROR(__xludf.DUMMYFUNCTION("""COMPUTED_VALUE"""),45719.6875)</f>
        <v>45719.6875</v>
      </c>
      <c r="L1053" s="2">
        <f>IFERROR(__xludf.DUMMYFUNCTION("""COMPUTED_VALUE"""),72.34)</f>
        <v>72.34</v>
      </c>
      <c r="N1053" s="3">
        <f>IFERROR(__xludf.DUMMYFUNCTION("""COMPUTED_VALUE"""),45727.66666666667)</f>
        <v>45727.66667</v>
      </c>
      <c r="O1053" s="2">
        <f>IFERROR(__xludf.DUMMYFUNCTION("""COMPUTED_VALUE"""),31.98)</f>
        <v>31.98</v>
      </c>
      <c r="Q1053" s="3">
        <f>IFERROR(__xludf.DUMMYFUNCTION("""COMPUTED_VALUE"""),45727.66666666667)</f>
        <v>45727.66667</v>
      </c>
      <c r="R1053" s="2">
        <f>IFERROR(__xludf.DUMMYFUNCTION("""COMPUTED_VALUE"""),173.12)</f>
        <v>173.12</v>
      </c>
    </row>
    <row r="1054">
      <c r="B1054" s="3">
        <f>IFERROR(__xludf.DUMMYFUNCTION("""COMPUTED_VALUE"""),45728.66666666667)</f>
        <v>45728.66667</v>
      </c>
      <c r="C1054" s="2">
        <f>IFERROR(__xludf.DUMMYFUNCTION("""COMPUTED_VALUE"""),60.46)</f>
        <v>60.46</v>
      </c>
      <c r="K1054" s="3">
        <f>IFERROR(__xludf.DUMMYFUNCTION("""COMPUTED_VALUE"""),45720.6875)</f>
        <v>45720.6875</v>
      </c>
      <c r="L1054" s="2">
        <f>IFERROR(__xludf.DUMMYFUNCTION("""COMPUTED_VALUE"""),71.42)</f>
        <v>71.42</v>
      </c>
      <c r="N1054" s="3">
        <f>IFERROR(__xludf.DUMMYFUNCTION("""COMPUTED_VALUE"""),45728.66666666667)</f>
        <v>45728.66667</v>
      </c>
      <c r="O1054" s="2">
        <f>IFERROR(__xludf.DUMMYFUNCTION("""COMPUTED_VALUE"""),32.2)</f>
        <v>32.2</v>
      </c>
      <c r="Q1054" s="3">
        <f>IFERROR(__xludf.DUMMYFUNCTION("""COMPUTED_VALUE"""),45728.66666666667)</f>
        <v>45728.66667</v>
      </c>
      <c r="R1054" s="2">
        <f>IFERROR(__xludf.DUMMYFUNCTION("""COMPUTED_VALUE"""),168.37)</f>
        <v>168.37</v>
      </c>
    </row>
    <row r="1055">
      <c r="B1055" s="3">
        <f>IFERROR(__xludf.DUMMYFUNCTION("""COMPUTED_VALUE"""),45729.66666666667)</f>
        <v>45729.66667</v>
      </c>
      <c r="C1055" s="2">
        <f>IFERROR(__xludf.DUMMYFUNCTION("""COMPUTED_VALUE"""),59.67)</f>
        <v>59.67</v>
      </c>
      <c r="K1055" s="3">
        <f>IFERROR(__xludf.DUMMYFUNCTION("""COMPUTED_VALUE"""),45721.6875)</f>
        <v>45721.6875</v>
      </c>
      <c r="L1055" s="2">
        <f>IFERROR(__xludf.DUMMYFUNCTION("""COMPUTED_VALUE"""),73.08)</f>
        <v>73.08</v>
      </c>
      <c r="N1055" s="3">
        <f>IFERROR(__xludf.DUMMYFUNCTION("""COMPUTED_VALUE"""),45729.66666666667)</f>
        <v>45729.66667</v>
      </c>
      <c r="O1055" s="2">
        <f>IFERROR(__xludf.DUMMYFUNCTION("""COMPUTED_VALUE"""),32.37)</f>
        <v>32.37</v>
      </c>
      <c r="Q1055" s="3">
        <f>IFERROR(__xludf.DUMMYFUNCTION("""COMPUTED_VALUE"""),45729.66666666667)</f>
        <v>45729.66667</v>
      </c>
      <c r="R1055" s="2">
        <f>IFERROR(__xludf.DUMMYFUNCTION("""COMPUTED_VALUE"""),168.59)</f>
        <v>168.59</v>
      </c>
    </row>
    <row r="1056">
      <c r="B1056" s="3">
        <f>IFERROR(__xludf.DUMMYFUNCTION("""COMPUTED_VALUE"""),45730.66666666667)</f>
        <v>45730.66667</v>
      </c>
      <c r="C1056" s="2">
        <f>IFERROR(__xludf.DUMMYFUNCTION("""COMPUTED_VALUE"""),60.5)</f>
        <v>60.5</v>
      </c>
      <c r="K1056" s="3">
        <f>IFERROR(__xludf.DUMMYFUNCTION("""COMPUTED_VALUE"""),45722.6875)</f>
        <v>45722.6875</v>
      </c>
      <c r="L1056" s="2">
        <f>IFERROR(__xludf.DUMMYFUNCTION("""COMPUTED_VALUE"""),72.74)</f>
        <v>72.74</v>
      </c>
      <c r="N1056" s="3">
        <f>IFERROR(__xludf.DUMMYFUNCTION("""COMPUTED_VALUE"""),45730.66666666667)</f>
        <v>45730.66667</v>
      </c>
      <c r="O1056" s="2">
        <f>IFERROR(__xludf.DUMMYFUNCTION("""COMPUTED_VALUE"""),33.39)</f>
        <v>33.39</v>
      </c>
      <c r="Q1056" s="3">
        <f>IFERROR(__xludf.DUMMYFUNCTION("""COMPUTED_VALUE"""),45730.66666666667)</f>
        <v>45730.66667</v>
      </c>
      <c r="R1056" s="2">
        <f>IFERROR(__xludf.DUMMYFUNCTION("""COMPUTED_VALUE"""),167.97)</f>
        <v>167.97</v>
      </c>
    </row>
    <row r="1057">
      <c r="B1057" s="3">
        <f>IFERROR(__xludf.DUMMYFUNCTION("""COMPUTED_VALUE"""),45733.66666666667)</f>
        <v>45733.66667</v>
      </c>
      <c r="C1057" s="2">
        <f>IFERROR(__xludf.DUMMYFUNCTION("""COMPUTED_VALUE"""),60.89)</f>
        <v>60.89</v>
      </c>
      <c r="K1057" s="3">
        <f>IFERROR(__xludf.DUMMYFUNCTION("""COMPUTED_VALUE"""),45723.6875)</f>
        <v>45723.6875</v>
      </c>
      <c r="L1057" s="2">
        <f>IFERROR(__xludf.DUMMYFUNCTION("""COMPUTED_VALUE"""),70.92)</f>
        <v>70.92</v>
      </c>
      <c r="N1057" s="3">
        <f>IFERROR(__xludf.DUMMYFUNCTION("""COMPUTED_VALUE"""),45733.66666666667)</f>
        <v>45733.66667</v>
      </c>
      <c r="O1057" s="2">
        <f>IFERROR(__xludf.DUMMYFUNCTION("""COMPUTED_VALUE"""),33.76)</f>
        <v>33.76</v>
      </c>
      <c r="Q1057" s="3">
        <f>IFERROR(__xludf.DUMMYFUNCTION("""COMPUTED_VALUE"""),45733.66666666667)</f>
        <v>45733.66667</v>
      </c>
      <c r="R1057" s="2">
        <f>IFERROR(__xludf.DUMMYFUNCTION("""COMPUTED_VALUE"""),169.76)</f>
        <v>169.76</v>
      </c>
    </row>
    <row r="1058">
      <c r="B1058" s="3">
        <f>IFERROR(__xludf.DUMMYFUNCTION("""COMPUTED_VALUE"""),45734.66666666667)</f>
        <v>45734.66667</v>
      </c>
      <c r="C1058" s="2">
        <f>IFERROR(__xludf.DUMMYFUNCTION("""COMPUTED_VALUE"""),60.3)</f>
        <v>60.3</v>
      </c>
      <c r="K1058" s="3">
        <f>IFERROR(__xludf.DUMMYFUNCTION("""COMPUTED_VALUE"""),45726.6875)</f>
        <v>45726.6875</v>
      </c>
      <c r="L1058" s="2">
        <f>IFERROR(__xludf.DUMMYFUNCTION("""COMPUTED_VALUE"""),69.18)</f>
        <v>69.18</v>
      </c>
      <c r="N1058" s="3">
        <f>IFERROR(__xludf.DUMMYFUNCTION("""COMPUTED_VALUE"""),45734.66666666667)</f>
        <v>45734.66667</v>
      </c>
      <c r="O1058" s="2">
        <f>IFERROR(__xludf.DUMMYFUNCTION("""COMPUTED_VALUE"""),34.22)</f>
        <v>34.22</v>
      </c>
      <c r="Q1058" s="3">
        <f>IFERROR(__xludf.DUMMYFUNCTION("""COMPUTED_VALUE"""),45734.66666666667)</f>
        <v>45734.66667</v>
      </c>
      <c r="R1058" s="2">
        <f>IFERROR(__xludf.DUMMYFUNCTION("""COMPUTED_VALUE"""),167.71)</f>
        <v>167.71</v>
      </c>
    </row>
    <row r="1059">
      <c r="B1059" s="3">
        <f>IFERROR(__xludf.DUMMYFUNCTION("""COMPUTED_VALUE"""),45735.66666666667)</f>
        <v>45735.66667</v>
      </c>
      <c r="C1059" s="2">
        <f>IFERROR(__xludf.DUMMYFUNCTION("""COMPUTED_VALUE"""),61.12)</f>
        <v>61.12</v>
      </c>
      <c r="K1059" s="3">
        <f>IFERROR(__xludf.DUMMYFUNCTION("""COMPUTED_VALUE"""),45727.6875)</f>
        <v>45727.6875</v>
      </c>
      <c r="L1059" s="2">
        <f>IFERROR(__xludf.DUMMYFUNCTION("""COMPUTED_VALUE"""),67.22)</f>
        <v>67.22</v>
      </c>
      <c r="N1059" s="3">
        <f>IFERROR(__xludf.DUMMYFUNCTION("""COMPUTED_VALUE"""),45735.66666666667)</f>
        <v>45735.66667</v>
      </c>
      <c r="O1059" s="2">
        <f>IFERROR(__xludf.DUMMYFUNCTION("""COMPUTED_VALUE"""),34.61)</f>
        <v>34.61</v>
      </c>
      <c r="Q1059" s="3">
        <f>IFERROR(__xludf.DUMMYFUNCTION("""COMPUTED_VALUE"""),45735.66666666667)</f>
        <v>45735.66667</v>
      </c>
      <c r="R1059" s="2">
        <f>IFERROR(__xludf.DUMMYFUNCTION("""COMPUTED_VALUE"""),168.57)</f>
        <v>168.57</v>
      </c>
    </row>
    <row r="1060">
      <c r="B1060" s="3">
        <f>IFERROR(__xludf.DUMMYFUNCTION("""COMPUTED_VALUE"""),45736.66666666667)</f>
        <v>45736.66667</v>
      </c>
      <c r="C1060" s="2">
        <f>IFERROR(__xludf.DUMMYFUNCTION("""COMPUTED_VALUE"""),60.62)</f>
        <v>60.62</v>
      </c>
      <c r="K1060" s="3">
        <f>IFERROR(__xludf.DUMMYFUNCTION("""COMPUTED_VALUE"""),45728.6875)</f>
        <v>45728.6875</v>
      </c>
      <c r="L1060" s="2">
        <f>IFERROR(__xludf.DUMMYFUNCTION("""COMPUTED_VALUE"""),68.2)</f>
        <v>68.2</v>
      </c>
      <c r="N1060" s="3">
        <f>IFERROR(__xludf.DUMMYFUNCTION("""COMPUTED_VALUE"""),45736.66666666667)</f>
        <v>45736.66667</v>
      </c>
      <c r="O1060" s="2">
        <f>IFERROR(__xludf.DUMMYFUNCTION("""COMPUTED_VALUE"""),34.75)</f>
        <v>34.75</v>
      </c>
      <c r="Q1060" s="3">
        <f>IFERROR(__xludf.DUMMYFUNCTION("""COMPUTED_VALUE"""),45736.66666666667)</f>
        <v>45736.66667</v>
      </c>
      <c r="R1060" s="2">
        <f>IFERROR(__xludf.DUMMYFUNCTION("""COMPUTED_VALUE"""),167.55)</f>
        <v>167.55</v>
      </c>
    </row>
    <row r="1061">
      <c r="B1061" s="3">
        <f>IFERROR(__xludf.DUMMYFUNCTION("""COMPUTED_VALUE"""),45737.66666666667)</f>
        <v>45737.66667</v>
      </c>
      <c r="C1061" s="2">
        <f>IFERROR(__xludf.DUMMYFUNCTION("""COMPUTED_VALUE"""),60.3)</f>
        <v>60.3</v>
      </c>
      <c r="K1061" s="3">
        <f>IFERROR(__xludf.DUMMYFUNCTION("""COMPUTED_VALUE"""),45729.6875)</f>
        <v>45729.6875</v>
      </c>
      <c r="L1061" s="2">
        <f>IFERROR(__xludf.DUMMYFUNCTION("""COMPUTED_VALUE"""),68.32)</f>
        <v>68.32</v>
      </c>
      <c r="N1061" s="3">
        <f>IFERROR(__xludf.DUMMYFUNCTION("""COMPUTED_VALUE"""),45737.66666666667)</f>
        <v>45737.66667</v>
      </c>
      <c r="O1061" s="2">
        <f>IFERROR(__xludf.DUMMYFUNCTION("""COMPUTED_VALUE"""),34.55)</f>
        <v>34.55</v>
      </c>
      <c r="Q1061" s="3">
        <f>IFERROR(__xludf.DUMMYFUNCTION("""COMPUTED_VALUE"""),45737.66666666667)</f>
        <v>45737.66667</v>
      </c>
      <c r="R1061" s="2">
        <f>IFERROR(__xludf.DUMMYFUNCTION("""COMPUTED_VALUE"""),166.69)</f>
        <v>166.69</v>
      </c>
    </row>
    <row r="1062">
      <c r="B1062" s="3">
        <f>IFERROR(__xludf.DUMMYFUNCTION("""COMPUTED_VALUE"""),45740.66666666667)</f>
        <v>45740.66667</v>
      </c>
      <c r="C1062" s="2">
        <f>IFERROR(__xludf.DUMMYFUNCTION("""COMPUTED_VALUE"""),60.97)</f>
        <v>60.97</v>
      </c>
      <c r="K1062" s="3">
        <f>IFERROR(__xludf.DUMMYFUNCTION("""COMPUTED_VALUE"""),45730.6875)</f>
        <v>45730.6875</v>
      </c>
      <c r="L1062" s="2">
        <f>IFERROR(__xludf.DUMMYFUNCTION("""COMPUTED_VALUE"""),69.56)</f>
        <v>69.56</v>
      </c>
      <c r="N1062" s="3">
        <f>IFERROR(__xludf.DUMMYFUNCTION("""COMPUTED_VALUE"""),45740.66666666667)</f>
        <v>45740.66667</v>
      </c>
      <c r="O1062" s="2">
        <f>IFERROR(__xludf.DUMMYFUNCTION("""COMPUTED_VALUE"""),34.11)</f>
        <v>34.11</v>
      </c>
      <c r="Q1062" s="3">
        <f>IFERROR(__xludf.DUMMYFUNCTION("""COMPUTED_VALUE"""),45740.66666666667)</f>
        <v>45740.66667</v>
      </c>
      <c r="R1062" s="2">
        <f>IFERROR(__xludf.DUMMYFUNCTION("""COMPUTED_VALUE"""),165.65)</f>
        <v>165.65</v>
      </c>
    </row>
    <row r="1063">
      <c r="B1063" s="3">
        <f>IFERROR(__xludf.DUMMYFUNCTION("""COMPUTED_VALUE"""),45741.66666666667)</f>
        <v>45741.66667</v>
      </c>
      <c r="C1063" s="2">
        <f>IFERROR(__xludf.DUMMYFUNCTION("""COMPUTED_VALUE"""),60.99)</f>
        <v>60.99</v>
      </c>
      <c r="K1063" s="3">
        <f>IFERROR(__xludf.DUMMYFUNCTION("""COMPUTED_VALUE"""),45733.6875)</f>
        <v>45733.6875</v>
      </c>
      <c r="L1063" s="2">
        <f>IFERROR(__xludf.DUMMYFUNCTION("""COMPUTED_VALUE"""),69.82)</f>
        <v>69.82</v>
      </c>
      <c r="N1063" s="3">
        <f>IFERROR(__xludf.DUMMYFUNCTION("""COMPUTED_VALUE"""),45741.66666666667)</f>
        <v>45741.66667</v>
      </c>
      <c r="O1063" s="2">
        <f>IFERROR(__xludf.DUMMYFUNCTION("""COMPUTED_VALUE"""),34.29)</f>
        <v>34.29</v>
      </c>
      <c r="Q1063" s="3">
        <f>IFERROR(__xludf.DUMMYFUNCTION("""COMPUTED_VALUE"""),45741.66666666667)</f>
        <v>45741.66667</v>
      </c>
      <c r="R1063" s="2">
        <f>IFERROR(__xludf.DUMMYFUNCTION("""COMPUTED_VALUE"""),162.85)</f>
        <v>162.85</v>
      </c>
    </row>
    <row r="1064">
      <c r="B1064" s="3">
        <f>IFERROR(__xludf.DUMMYFUNCTION("""COMPUTED_VALUE"""),45742.66666666667)</f>
        <v>45742.66667</v>
      </c>
      <c r="C1064" s="2">
        <f>IFERROR(__xludf.DUMMYFUNCTION("""COMPUTED_VALUE"""),61.8)</f>
        <v>61.8</v>
      </c>
      <c r="K1064" s="3">
        <f>IFERROR(__xludf.DUMMYFUNCTION("""COMPUTED_VALUE"""),45734.6875)</f>
        <v>45734.6875</v>
      </c>
      <c r="L1064" s="2">
        <f>IFERROR(__xludf.DUMMYFUNCTION("""COMPUTED_VALUE"""),70.16)</f>
        <v>70.16</v>
      </c>
      <c r="N1064" s="3">
        <f>IFERROR(__xludf.DUMMYFUNCTION("""COMPUTED_VALUE"""),45742.66666666667)</f>
        <v>45742.66667</v>
      </c>
      <c r="O1064" s="2">
        <f>IFERROR(__xludf.DUMMYFUNCTION("""COMPUTED_VALUE"""),34.42)</f>
        <v>34.42</v>
      </c>
      <c r="Q1064" s="3">
        <f>IFERROR(__xludf.DUMMYFUNCTION("""COMPUTED_VALUE"""),45742.66666666667)</f>
        <v>45742.66667</v>
      </c>
      <c r="R1064" s="2">
        <f>IFERROR(__xludf.DUMMYFUNCTION("""COMPUTED_VALUE"""),166.58)</f>
        <v>166.58</v>
      </c>
    </row>
    <row r="1065">
      <c r="B1065" s="3">
        <f>IFERROR(__xludf.DUMMYFUNCTION("""COMPUTED_VALUE"""),45743.66666666667)</f>
        <v>45743.66667</v>
      </c>
      <c r="C1065" s="2">
        <f>IFERROR(__xludf.DUMMYFUNCTION("""COMPUTED_VALUE"""),61.4)</f>
        <v>61.4</v>
      </c>
      <c r="K1065" s="3">
        <f>IFERROR(__xludf.DUMMYFUNCTION("""COMPUTED_VALUE"""),45735.6875)</f>
        <v>45735.6875</v>
      </c>
      <c r="L1065" s="2">
        <f>IFERROR(__xludf.DUMMYFUNCTION("""COMPUTED_VALUE"""),70.58)</f>
        <v>70.58</v>
      </c>
      <c r="N1065" s="3">
        <f>IFERROR(__xludf.DUMMYFUNCTION("""COMPUTED_VALUE"""),45743.66666666667)</f>
        <v>45743.66667</v>
      </c>
      <c r="O1065" s="2">
        <f>IFERROR(__xludf.DUMMYFUNCTION("""COMPUTED_VALUE"""),34.41)</f>
        <v>34.41</v>
      </c>
      <c r="Q1065" s="3">
        <f>IFERROR(__xludf.DUMMYFUNCTION("""COMPUTED_VALUE"""),45743.66666666667)</f>
        <v>45743.66667</v>
      </c>
      <c r="R1065" s="2">
        <f>IFERROR(__xludf.DUMMYFUNCTION("""COMPUTED_VALUE"""),168.71)</f>
        <v>168.71</v>
      </c>
    </row>
    <row r="1066">
      <c r="B1066" s="3">
        <f>IFERROR(__xludf.DUMMYFUNCTION("""COMPUTED_VALUE"""),45744.66666666667)</f>
        <v>45744.66667</v>
      </c>
      <c r="C1066" s="2">
        <f>IFERROR(__xludf.DUMMYFUNCTION("""COMPUTED_VALUE"""),60.86)</f>
        <v>60.86</v>
      </c>
      <c r="K1066" s="3">
        <f>IFERROR(__xludf.DUMMYFUNCTION("""COMPUTED_VALUE"""),45736.6875)</f>
        <v>45736.6875</v>
      </c>
      <c r="L1066" s="2">
        <f>IFERROR(__xludf.DUMMYFUNCTION("""COMPUTED_VALUE"""),71.54)</f>
        <v>71.54</v>
      </c>
      <c r="N1066" s="3">
        <f>IFERROR(__xludf.DUMMYFUNCTION("""COMPUTED_VALUE"""),45744.66666666667)</f>
        <v>45744.66667</v>
      </c>
      <c r="O1066" s="2">
        <f>IFERROR(__xludf.DUMMYFUNCTION("""COMPUTED_VALUE"""),33.86)</f>
        <v>33.86</v>
      </c>
      <c r="Q1066" s="3">
        <f>IFERROR(__xludf.DUMMYFUNCTION("""COMPUTED_VALUE"""),45744.66666666667)</f>
        <v>45744.66667</v>
      </c>
      <c r="R1066" s="2">
        <f>IFERROR(__xludf.DUMMYFUNCTION("""COMPUTED_VALUE"""),168.03)</f>
        <v>168.03</v>
      </c>
    </row>
    <row r="1067">
      <c r="B1067" s="3">
        <f>IFERROR(__xludf.DUMMYFUNCTION("""COMPUTED_VALUE"""),45747.66666666667)</f>
        <v>45747.66667</v>
      </c>
      <c r="C1067" s="2">
        <f>IFERROR(__xludf.DUMMYFUNCTION("""COMPUTED_VALUE"""),61.71)</f>
        <v>61.71</v>
      </c>
      <c r="K1067" s="3">
        <f>IFERROR(__xludf.DUMMYFUNCTION("""COMPUTED_VALUE"""),45737.6875)</f>
        <v>45737.6875</v>
      </c>
      <c r="L1067" s="2">
        <f>IFERROR(__xludf.DUMMYFUNCTION("""COMPUTED_VALUE"""),70.58)</f>
        <v>70.58</v>
      </c>
      <c r="N1067" s="3">
        <f>IFERROR(__xludf.DUMMYFUNCTION("""COMPUTED_VALUE"""),45747.66666666667)</f>
        <v>45747.66667</v>
      </c>
      <c r="O1067" s="2">
        <f>IFERROR(__xludf.DUMMYFUNCTION("""COMPUTED_VALUE"""),33.79)</f>
        <v>33.79</v>
      </c>
      <c r="Q1067" s="3">
        <f>IFERROR(__xludf.DUMMYFUNCTION("""COMPUTED_VALUE"""),45747.66666666667)</f>
        <v>45747.66667</v>
      </c>
      <c r="R1067" s="2">
        <f>IFERROR(__xludf.DUMMYFUNCTION("""COMPUTED_VALUE"""),170.42)</f>
        <v>170.42</v>
      </c>
    </row>
    <row r="1068">
      <c r="B1068" s="3">
        <f>IFERROR(__xludf.DUMMYFUNCTION("""COMPUTED_VALUE"""),45748.66666666667)</f>
        <v>45748.66667</v>
      </c>
      <c r="C1068" s="2">
        <f>IFERROR(__xludf.DUMMYFUNCTION("""COMPUTED_VALUE"""),61.8)</f>
        <v>61.8</v>
      </c>
      <c r="K1068" s="3">
        <f>IFERROR(__xludf.DUMMYFUNCTION("""COMPUTED_VALUE"""),45740.6875)</f>
        <v>45740.6875</v>
      </c>
      <c r="L1068" s="2">
        <f>IFERROR(__xludf.DUMMYFUNCTION("""COMPUTED_VALUE"""),72.36)</f>
        <v>72.36</v>
      </c>
      <c r="N1068" s="3">
        <f>IFERROR(__xludf.DUMMYFUNCTION("""COMPUTED_VALUE"""),45748.66666666667)</f>
        <v>45748.66667</v>
      </c>
      <c r="O1068" s="2">
        <f>IFERROR(__xludf.DUMMYFUNCTION("""COMPUTED_VALUE"""),33.81)</f>
        <v>33.81</v>
      </c>
      <c r="Q1068" s="3">
        <f>IFERROR(__xludf.DUMMYFUNCTION("""COMPUTED_VALUE"""),45748.66666666667)</f>
        <v>45748.66667</v>
      </c>
      <c r="R1068" s="2">
        <f>IFERROR(__xludf.DUMMYFUNCTION("""COMPUTED_VALUE"""),170.56)</f>
        <v>170.56</v>
      </c>
    </row>
    <row r="1069">
      <c r="B1069" s="3">
        <f>IFERROR(__xludf.DUMMYFUNCTION("""COMPUTED_VALUE"""),45749.66666666667)</f>
        <v>45749.66667</v>
      </c>
      <c r="C1069" s="2">
        <f>IFERROR(__xludf.DUMMYFUNCTION("""COMPUTED_VALUE"""),61.82)</f>
        <v>61.82</v>
      </c>
      <c r="K1069" s="3">
        <f>IFERROR(__xludf.DUMMYFUNCTION("""COMPUTED_VALUE"""),45741.6875)</f>
        <v>45741.6875</v>
      </c>
      <c r="L1069" s="2">
        <f>IFERROR(__xludf.DUMMYFUNCTION("""COMPUTED_VALUE"""),73.38)</f>
        <v>73.38</v>
      </c>
      <c r="N1069" s="3">
        <f>IFERROR(__xludf.DUMMYFUNCTION("""COMPUTED_VALUE"""),45749.66666666667)</f>
        <v>45749.66667</v>
      </c>
      <c r="O1069" s="2">
        <f>IFERROR(__xludf.DUMMYFUNCTION("""COMPUTED_VALUE"""),33.81)</f>
        <v>33.81</v>
      </c>
      <c r="Q1069" s="3">
        <f>IFERROR(__xludf.DUMMYFUNCTION("""COMPUTED_VALUE"""),45749.66666666667)</f>
        <v>45749.66667</v>
      </c>
      <c r="R1069" s="2">
        <f>IFERROR(__xludf.DUMMYFUNCTION("""COMPUTED_VALUE"""),169.5)</f>
        <v>169.5</v>
      </c>
    </row>
    <row r="1070">
      <c r="B1070" s="3">
        <f>IFERROR(__xludf.DUMMYFUNCTION("""COMPUTED_VALUE"""),45750.66666666667)</f>
        <v>45750.66667</v>
      </c>
      <c r="C1070" s="2">
        <f>IFERROR(__xludf.DUMMYFUNCTION("""COMPUTED_VALUE"""),57.31)</f>
        <v>57.31</v>
      </c>
      <c r="K1070" s="3">
        <f>IFERROR(__xludf.DUMMYFUNCTION("""COMPUTED_VALUE"""),45742.6875)</f>
        <v>45742.6875</v>
      </c>
      <c r="L1070" s="2">
        <f>IFERROR(__xludf.DUMMYFUNCTION("""COMPUTED_VALUE"""),73.36)</f>
        <v>73.36</v>
      </c>
      <c r="N1070" s="3">
        <f>IFERROR(__xludf.DUMMYFUNCTION("""COMPUTED_VALUE"""),45750.66666666667)</f>
        <v>45750.66667</v>
      </c>
      <c r="O1070" s="2">
        <f>IFERROR(__xludf.DUMMYFUNCTION("""COMPUTED_VALUE"""),31.34)</f>
        <v>31.34</v>
      </c>
      <c r="Q1070" s="3">
        <f>IFERROR(__xludf.DUMMYFUNCTION("""COMPUTED_VALUE"""),45750.66666666667)</f>
        <v>45750.66667</v>
      </c>
      <c r="R1070" s="2">
        <f>IFERROR(__xludf.DUMMYFUNCTION("""COMPUTED_VALUE"""),172.39)</f>
        <v>172.39</v>
      </c>
    </row>
    <row r="1071">
      <c r="B1071" s="3">
        <f>IFERROR(__xludf.DUMMYFUNCTION("""COMPUTED_VALUE"""),45751.66666666667)</f>
        <v>45751.66667</v>
      </c>
      <c r="C1071" s="2">
        <f>IFERROR(__xludf.DUMMYFUNCTION("""COMPUTED_VALUE"""),54.54)</f>
        <v>54.54</v>
      </c>
      <c r="K1071" s="3">
        <f>IFERROR(__xludf.DUMMYFUNCTION("""COMPUTED_VALUE"""),45743.6875)</f>
        <v>45743.6875</v>
      </c>
      <c r="L1071" s="2">
        <f>IFERROR(__xludf.DUMMYFUNCTION("""COMPUTED_VALUE"""),74.0)</f>
        <v>74</v>
      </c>
      <c r="N1071" s="3">
        <f>IFERROR(__xludf.DUMMYFUNCTION("""COMPUTED_VALUE"""),45751.66666666667)</f>
        <v>45751.66667</v>
      </c>
      <c r="O1071" s="2">
        <f>IFERROR(__xludf.DUMMYFUNCTION("""COMPUTED_VALUE"""),28.38)</f>
        <v>28.38</v>
      </c>
      <c r="Q1071" s="3">
        <f>IFERROR(__xludf.DUMMYFUNCTION("""COMPUTED_VALUE"""),45751.66666666667)</f>
        <v>45751.66667</v>
      </c>
      <c r="R1071" s="2">
        <f>IFERROR(__xludf.DUMMYFUNCTION("""COMPUTED_VALUE"""),163.75)</f>
        <v>163.75</v>
      </c>
    </row>
    <row r="1072">
      <c r="B1072" s="3">
        <f>IFERROR(__xludf.DUMMYFUNCTION("""COMPUTED_VALUE"""),45754.66666666667)</f>
        <v>45754.66667</v>
      </c>
      <c r="C1072" s="2">
        <f>IFERROR(__xludf.DUMMYFUNCTION("""COMPUTED_VALUE"""),54.41)</f>
        <v>54.41</v>
      </c>
      <c r="K1072" s="3">
        <f>IFERROR(__xludf.DUMMYFUNCTION("""COMPUTED_VALUE"""),45744.6875)</f>
        <v>45744.6875</v>
      </c>
      <c r="L1072" s="2">
        <f>IFERROR(__xludf.DUMMYFUNCTION("""COMPUTED_VALUE"""),73.4)</f>
        <v>73.4</v>
      </c>
      <c r="N1072" s="3">
        <f>IFERROR(__xludf.DUMMYFUNCTION("""COMPUTED_VALUE"""),45754.66666666667)</f>
        <v>45754.66667</v>
      </c>
      <c r="O1072" s="2">
        <f>IFERROR(__xludf.DUMMYFUNCTION("""COMPUTED_VALUE"""),27.17)</f>
        <v>27.17</v>
      </c>
      <c r="Q1072" s="3">
        <f>IFERROR(__xludf.DUMMYFUNCTION("""COMPUTED_VALUE"""),45754.66666666667)</f>
        <v>45754.66667</v>
      </c>
      <c r="R1072" s="2">
        <f>IFERROR(__xludf.DUMMYFUNCTION("""COMPUTED_VALUE"""),160.23)</f>
        <v>160.23</v>
      </c>
    </row>
    <row r="1073">
      <c r="B1073" s="3">
        <f>IFERROR(__xludf.DUMMYFUNCTION("""COMPUTED_VALUE"""),45755.66666666667)</f>
        <v>45755.66667</v>
      </c>
      <c r="C1073" s="2">
        <f>IFERROR(__xludf.DUMMYFUNCTION("""COMPUTED_VALUE"""),53.19)</f>
        <v>53.19</v>
      </c>
      <c r="K1073" s="3">
        <f>IFERROR(__xludf.DUMMYFUNCTION("""COMPUTED_VALUE"""),45747.6875)</f>
        <v>45747.6875</v>
      </c>
      <c r="L1073" s="2">
        <f>IFERROR(__xludf.DUMMYFUNCTION("""COMPUTED_VALUE"""),72.08)</f>
        <v>72.08</v>
      </c>
      <c r="N1073" s="3">
        <f>IFERROR(__xludf.DUMMYFUNCTION("""COMPUTED_VALUE"""),45755.66666666667)</f>
        <v>45755.66667</v>
      </c>
      <c r="O1073" s="2">
        <f>IFERROR(__xludf.DUMMYFUNCTION("""COMPUTED_VALUE"""),26.11)</f>
        <v>26.11</v>
      </c>
      <c r="Q1073" s="3">
        <f>IFERROR(__xludf.DUMMYFUNCTION("""COMPUTED_VALUE"""),45755.66666666667)</f>
        <v>45755.66667</v>
      </c>
      <c r="R1073" s="2">
        <f>IFERROR(__xludf.DUMMYFUNCTION("""COMPUTED_VALUE"""),158.39)</f>
        <v>158.39</v>
      </c>
    </row>
    <row r="1074">
      <c r="B1074" s="3">
        <f>IFERROR(__xludf.DUMMYFUNCTION("""COMPUTED_VALUE"""),45756.66666666667)</f>
        <v>45756.66667</v>
      </c>
      <c r="C1074" s="2">
        <f>IFERROR(__xludf.DUMMYFUNCTION("""COMPUTED_VALUE"""),58.13)</f>
        <v>58.13</v>
      </c>
      <c r="K1074" s="3">
        <f>IFERROR(__xludf.DUMMYFUNCTION("""COMPUTED_VALUE"""),45748.6875)</f>
        <v>45748.6875</v>
      </c>
      <c r="L1074" s="2">
        <f>IFERROR(__xludf.DUMMYFUNCTION("""COMPUTED_VALUE"""),72.6)</f>
        <v>72.6</v>
      </c>
      <c r="N1074" s="3">
        <f>IFERROR(__xludf.DUMMYFUNCTION("""COMPUTED_VALUE"""),45756.66666666667)</f>
        <v>45756.66667</v>
      </c>
      <c r="O1074" s="2">
        <f>IFERROR(__xludf.DUMMYFUNCTION("""COMPUTED_VALUE"""),27.9)</f>
        <v>27.9</v>
      </c>
      <c r="Q1074" s="3">
        <f>IFERROR(__xludf.DUMMYFUNCTION("""COMPUTED_VALUE"""),45756.66666666667)</f>
        <v>45756.66667</v>
      </c>
      <c r="R1074" s="2">
        <f>IFERROR(__xludf.DUMMYFUNCTION("""COMPUTED_VALUE"""),162.32)</f>
        <v>162.32</v>
      </c>
    </row>
    <row r="1075">
      <c r="B1075" s="3">
        <f>IFERROR(__xludf.DUMMYFUNCTION("""COMPUTED_VALUE"""),45757.66666666667)</f>
        <v>45757.66667</v>
      </c>
      <c r="C1075" s="2">
        <f>IFERROR(__xludf.DUMMYFUNCTION("""COMPUTED_VALUE"""),56.59)</f>
        <v>56.59</v>
      </c>
      <c r="K1075" s="3">
        <f>IFERROR(__xludf.DUMMYFUNCTION("""COMPUTED_VALUE"""),45749.6875)</f>
        <v>45749.6875</v>
      </c>
      <c r="L1075" s="2">
        <f>IFERROR(__xludf.DUMMYFUNCTION("""COMPUTED_VALUE"""),72.46)</f>
        <v>72.46</v>
      </c>
      <c r="N1075" s="3">
        <f>IFERROR(__xludf.DUMMYFUNCTION("""COMPUTED_VALUE"""),45757.66666666667)</f>
        <v>45757.66667</v>
      </c>
      <c r="O1075" s="2">
        <f>IFERROR(__xludf.DUMMYFUNCTION("""COMPUTED_VALUE"""),26.23)</f>
        <v>26.23</v>
      </c>
      <c r="Q1075" s="3">
        <f>IFERROR(__xludf.DUMMYFUNCTION("""COMPUTED_VALUE"""),45757.66666666667)</f>
        <v>45757.66667</v>
      </c>
      <c r="R1075" s="2">
        <f>IFERROR(__xludf.DUMMYFUNCTION("""COMPUTED_VALUE"""),163.56)</f>
        <v>163.56</v>
      </c>
    </row>
    <row r="1076">
      <c r="B1076" s="3">
        <f>IFERROR(__xludf.DUMMYFUNCTION("""COMPUTED_VALUE"""),45758.66666666667)</f>
        <v>45758.66667</v>
      </c>
      <c r="C1076" s="2">
        <f>IFERROR(__xludf.DUMMYFUNCTION("""COMPUTED_VALUE"""),57.33)</f>
        <v>57.33</v>
      </c>
      <c r="K1076" s="3">
        <f>IFERROR(__xludf.DUMMYFUNCTION("""COMPUTED_VALUE"""),45750.6875)</f>
        <v>45750.6875</v>
      </c>
      <c r="L1076" s="2">
        <f>IFERROR(__xludf.DUMMYFUNCTION("""COMPUTED_VALUE"""),69.7)</f>
        <v>69.7</v>
      </c>
      <c r="N1076" s="3">
        <f>IFERROR(__xludf.DUMMYFUNCTION("""COMPUTED_VALUE"""),45758.66666666667)</f>
        <v>45758.66667</v>
      </c>
      <c r="O1076" s="2">
        <f>IFERROR(__xludf.DUMMYFUNCTION("""COMPUTED_VALUE"""),26.59)</f>
        <v>26.59</v>
      </c>
      <c r="Q1076" s="3">
        <f>IFERROR(__xludf.DUMMYFUNCTION("""COMPUTED_VALUE"""),45758.66666666667)</f>
        <v>45758.66667</v>
      </c>
      <c r="R1076" s="2">
        <f>IFERROR(__xludf.DUMMYFUNCTION("""COMPUTED_VALUE"""),166.91)</f>
        <v>166.91</v>
      </c>
    </row>
    <row r="1077">
      <c r="B1077" s="3">
        <f>IFERROR(__xludf.DUMMYFUNCTION("""COMPUTED_VALUE"""),45761.66666666667)</f>
        <v>45761.66667</v>
      </c>
      <c r="C1077" s="2">
        <f>IFERROR(__xludf.DUMMYFUNCTION("""COMPUTED_VALUE"""),57.41)</f>
        <v>57.41</v>
      </c>
      <c r="K1077" s="3">
        <f>IFERROR(__xludf.DUMMYFUNCTION("""COMPUTED_VALUE"""),45751.6875)</f>
        <v>45751.6875</v>
      </c>
      <c r="L1077" s="2">
        <f>IFERROR(__xludf.DUMMYFUNCTION("""COMPUTED_VALUE"""),65.0)</f>
        <v>65</v>
      </c>
      <c r="N1077" s="3">
        <f>IFERROR(__xludf.DUMMYFUNCTION("""COMPUTED_VALUE"""),45761.66666666667)</f>
        <v>45761.66667</v>
      </c>
      <c r="O1077" s="2">
        <f>IFERROR(__xludf.DUMMYFUNCTION("""COMPUTED_VALUE"""),26.91)</f>
        <v>26.91</v>
      </c>
      <c r="Q1077" s="3">
        <f>IFERROR(__xludf.DUMMYFUNCTION("""COMPUTED_VALUE"""),45761.66666666667)</f>
        <v>45761.66667</v>
      </c>
      <c r="R1077" s="2">
        <f>IFERROR(__xludf.DUMMYFUNCTION("""COMPUTED_VALUE"""),169.13)</f>
        <v>169.13</v>
      </c>
    </row>
    <row r="1078">
      <c r="B1078" s="3">
        <f>IFERROR(__xludf.DUMMYFUNCTION("""COMPUTED_VALUE"""),45762.66666666667)</f>
        <v>45762.66667</v>
      </c>
      <c r="C1078" s="2">
        <f>IFERROR(__xludf.DUMMYFUNCTION("""COMPUTED_VALUE"""),57.2)</f>
        <v>57.2</v>
      </c>
      <c r="K1078" s="3">
        <f>IFERROR(__xludf.DUMMYFUNCTION("""COMPUTED_VALUE"""),45754.6875)</f>
        <v>45754.6875</v>
      </c>
      <c r="L1078" s="2">
        <f>IFERROR(__xludf.DUMMYFUNCTION("""COMPUTED_VALUE"""),64.02)</f>
        <v>64.02</v>
      </c>
      <c r="N1078" s="3">
        <f>IFERROR(__xludf.DUMMYFUNCTION("""COMPUTED_VALUE"""),45762.66666666667)</f>
        <v>45762.66667</v>
      </c>
      <c r="O1078" s="2">
        <f>IFERROR(__xludf.DUMMYFUNCTION("""COMPUTED_VALUE"""),27.21)</f>
        <v>27.21</v>
      </c>
      <c r="Q1078" s="3">
        <f>IFERROR(__xludf.DUMMYFUNCTION("""COMPUTED_VALUE"""),45762.66666666667)</f>
        <v>45762.66667</v>
      </c>
      <c r="R1078" s="2">
        <f>IFERROR(__xludf.DUMMYFUNCTION("""COMPUTED_VALUE"""),168.47)</f>
        <v>168.47</v>
      </c>
    </row>
    <row r="1079">
      <c r="B1079" s="3">
        <f>IFERROR(__xludf.DUMMYFUNCTION("""COMPUTED_VALUE"""),45763.66666666667)</f>
        <v>45763.66667</v>
      </c>
      <c r="C1079" s="2">
        <f>IFERROR(__xludf.DUMMYFUNCTION("""COMPUTED_VALUE"""),55.76)</f>
        <v>55.76</v>
      </c>
      <c r="K1079" s="3">
        <f>IFERROR(__xludf.DUMMYFUNCTION("""COMPUTED_VALUE"""),45755.6875)</f>
        <v>45755.6875</v>
      </c>
      <c r="L1079" s="2">
        <f>IFERROR(__xludf.DUMMYFUNCTION("""COMPUTED_VALUE"""),66.32)</f>
        <v>66.32</v>
      </c>
      <c r="N1079" s="3">
        <f>IFERROR(__xludf.DUMMYFUNCTION("""COMPUTED_VALUE"""),45763.66666666667)</f>
        <v>45763.66667</v>
      </c>
      <c r="O1079" s="2">
        <f>IFERROR(__xludf.DUMMYFUNCTION("""COMPUTED_VALUE"""),27.66)</f>
        <v>27.66</v>
      </c>
      <c r="Q1079" s="3">
        <f>IFERROR(__xludf.DUMMYFUNCTION("""COMPUTED_VALUE"""),45763.66666666667)</f>
        <v>45763.66667</v>
      </c>
      <c r="R1079" s="2">
        <f>IFERROR(__xludf.DUMMYFUNCTION("""COMPUTED_VALUE"""),166.39)</f>
        <v>166.39</v>
      </c>
    </row>
    <row r="1080">
      <c r="B1080" s="3">
        <f>IFERROR(__xludf.DUMMYFUNCTION("""COMPUTED_VALUE"""),45764.66666666667)</f>
        <v>45764.66667</v>
      </c>
      <c r="C1080" s="2">
        <f>IFERROR(__xludf.DUMMYFUNCTION("""COMPUTED_VALUE"""),55.76)</f>
        <v>55.76</v>
      </c>
      <c r="K1080" s="3">
        <f>IFERROR(__xludf.DUMMYFUNCTION("""COMPUTED_VALUE"""),45756.6875)</f>
        <v>45756.6875</v>
      </c>
      <c r="L1080" s="2">
        <f>IFERROR(__xludf.DUMMYFUNCTION("""COMPUTED_VALUE"""),64.4)</f>
        <v>64.4</v>
      </c>
      <c r="N1080" s="3">
        <f>IFERROR(__xludf.DUMMYFUNCTION("""COMPUTED_VALUE"""),45764.66666666667)</f>
        <v>45764.66667</v>
      </c>
      <c r="O1080" s="2">
        <f>IFERROR(__xludf.DUMMYFUNCTION("""COMPUTED_VALUE"""),28.32)</f>
        <v>28.32</v>
      </c>
      <c r="Q1080" s="3">
        <f>IFERROR(__xludf.DUMMYFUNCTION("""COMPUTED_VALUE"""),45764.66666666667)</f>
        <v>45764.66667</v>
      </c>
      <c r="R1080" s="2">
        <f>IFERROR(__xludf.DUMMYFUNCTION("""COMPUTED_VALUE"""),170.63)</f>
        <v>170.63</v>
      </c>
    </row>
    <row r="1081">
      <c r="B1081" s="3">
        <f>IFERROR(__xludf.DUMMYFUNCTION("""COMPUTED_VALUE"""),45768.66666666667)</f>
        <v>45768.66667</v>
      </c>
      <c r="C1081" s="2">
        <f>IFERROR(__xludf.DUMMYFUNCTION("""COMPUTED_VALUE"""),54.37)</f>
        <v>54.37</v>
      </c>
      <c r="K1081" s="3">
        <f>IFERROR(__xludf.DUMMYFUNCTION("""COMPUTED_VALUE"""),45757.6875)</f>
        <v>45757.6875</v>
      </c>
      <c r="L1081" s="2">
        <f>IFERROR(__xludf.DUMMYFUNCTION("""COMPUTED_VALUE"""),66.34)</f>
        <v>66.34</v>
      </c>
      <c r="N1081" s="3">
        <f>IFERROR(__xludf.DUMMYFUNCTION("""COMPUTED_VALUE"""),45768.66666666667)</f>
        <v>45768.66667</v>
      </c>
      <c r="O1081" s="2">
        <f>IFERROR(__xludf.DUMMYFUNCTION("""COMPUTED_VALUE"""),28.08)</f>
        <v>28.08</v>
      </c>
      <c r="Q1081" s="3">
        <f>IFERROR(__xludf.DUMMYFUNCTION("""COMPUTED_VALUE"""),45768.66666666667)</f>
        <v>45768.66667</v>
      </c>
      <c r="R1081" s="2">
        <f>IFERROR(__xludf.DUMMYFUNCTION("""COMPUTED_VALUE"""),165.75)</f>
        <v>165.75</v>
      </c>
    </row>
    <row r="1082">
      <c r="B1082" s="3">
        <f>IFERROR(__xludf.DUMMYFUNCTION("""COMPUTED_VALUE"""),45769.66666666667)</f>
        <v>45769.66667</v>
      </c>
      <c r="C1082" s="2">
        <f>IFERROR(__xludf.DUMMYFUNCTION("""COMPUTED_VALUE"""),55.04)</f>
        <v>55.04</v>
      </c>
      <c r="K1082" s="3">
        <f>IFERROR(__xludf.DUMMYFUNCTION("""COMPUTED_VALUE"""),45758.6875)</f>
        <v>45758.6875</v>
      </c>
      <c r="L1082" s="2">
        <f>IFERROR(__xludf.DUMMYFUNCTION("""COMPUTED_VALUE"""),66.76)</f>
        <v>66.76</v>
      </c>
      <c r="N1082" s="3">
        <f>IFERROR(__xludf.DUMMYFUNCTION("""COMPUTED_VALUE"""),45769.66666666667)</f>
        <v>45769.66667</v>
      </c>
      <c r="O1082" s="2">
        <f>IFERROR(__xludf.DUMMYFUNCTION("""COMPUTED_VALUE"""),28.87)</f>
        <v>28.87</v>
      </c>
      <c r="Q1082" s="3">
        <f>IFERROR(__xludf.DUMMYFUNCTION("""COMPUTED_VALUE"""),45769.66666666667)</f>
        <v>45769.66667</v>
      </c>
      <c r="R1082" s="2">
        <f>IFERROR(__xludf.DUMMYFUNCTION("""COMPUTED_VALUE"""),167.88)</f>
        <v>167.88</v>
      </c>
    </row>
    <row r="1083">
      <c r="B1083" s="3">
        <f>IFERROR(__xludf.DUMMYFUNCTION("""COMPUTED_VALUE"""),45770.66666666667)</f>
        <v>45770.66667</v>
      </c>
      <c r="C1083" s="2">
        <f>IFERROR(__xludf.DUMMYFUNCTION("""COMPUTED_VALUE"""),55.63)</f>
        <v>55.63</v>
      </c>
      <c r="K1083" s="3">
        <f>IFERROR(__xludf.DUMMYFUNCTION("""COMPUTED_VALUE"""),45761.6875)</f>
        <v>45761.6875</v>
      </c>
      <c r="L1083" s="2">
        <f>IFERROR(__xludf.DUMMYFUNCTION("""COMPUTED_VALUE"""),68.74)</f>
        <v>68.74</v>
      </c>
      <c r="N1083" s="3">
        <f>IFERROR(__xludf.DUMMYFUNCTION("""COMPUTED_VALUE"""),45770.66666666667)</f>
        <v>45770.66667</v>
      </c>
      <c r="O1083" s="2">
        <f>IFERROR(__xludf.DUMMYFUNCTION("""COMPUTED_VALUE"""),28.6)</f>
        <v>28.6</v>
      </c>
      <c r="Q1083" s="3">
        <f>IFERROR(__xludf.DUMMYFUNCTION("""COMPUTED_VALUE"""),45770.66666666667)</f>
        <v>45770.66667</v>
      </c>
      <c r="R1083" s="2">
        <f>IFERROR(__xludf.DUMMYFUNCTION("""COMPUTED_VALUE"""),165.73)</f>
        <v>165.73</v>
      </c>
    </row>
    <row r="1084">
      <c r="B1084" s="3">
        <f>IFERROR(__xludf.DUMMYFUNCTION("""COMPUTED_VALUE"""),45771.66666666667)</f>
        <v>45771.66667</v>
      </c>
      <c r="C1084" s="2">
        <f>IFERROR(__xludf.DUMMYFUNCTION("""COMPUTED_VALUE"""),56.29)</f>
        <v>56.29</v>
      </c>
      <c r="K1084" s="3">
        <f>IFERROR(__xludf.DUMMYFUNCTION("""COMPUTED_VALUE"""),45762.6875)</f>
        <v>45762.6875</v>
      </c>
      <c r="L1084" s="2">
        <f>IFERROR(__xludf.DUMMYFUNCTION("""COMPUTED_VALUE"""),70.8)</f>
        <v>70.8</v>
      </c>
      <c r="N1084" s="3">
        <f>IFERROR(__xludf.DUMMYFUNCTION("""COMPUTED_VALUE"""),45771.66666666667)</f>
        <v>45771.66667</v>
      </c>
      <c r="O1084" s="2">
        <f>IFERROR(__xludf.DUMMYFUNCTION("""COMPUTED_VALUE"""),29.0)</f>
        <v>29</v>
      </c>
      <c r="Q1084" s="3">
        <f>IFERROR(__xludf.DUMMYFUNCTION("""COMPUTED_VALUE"""),45771.66666666667)</f>
        <v>45771.66667</v>
      </c>
      <c r="R1084" s="2">
        <f>IFERROR(__xludf.DUMMYFUNCTION("""COMPUTED_VALUE"""),159.53)</f>
        <v>159.53</v>
      </c>
    </row>
    <row r="1085">
      <c r="B1085" s="3">
        <f>IFERROR(__xludf.DUMMYFUNCTION("""COMPUTED_VALUE"""),45772.66666666667)</f>
        <v>45772.66667</v>
      </c>
      <c r="C1085" s="2">
        <f>IFERROR(__xludf.DUMMYFUNCTION("""COMPUTED_VALUE"""),56.71)</f>
        <v>56.71</v>
      </c>
      <c r="K1085" s="3">
        <f>IFERROR(__xludf.DUMMYFUNCTION("""COMPUTED_VALUE"""),45763.6875)</f>
        <v>45763.6875</v>
      </c>
      <c r="L1085" s="2">
        <f>IFERROR(__xludf.DUMMYFUNCTION("""COMPUTED_VALUE"""),70.78)</f>
        <v>70.78</v>
      </c>
      <c r="N1085" s="3">
        <f>IFERROR(__xludf.DUMMYFUNCTION("""COMPUTED_VALUE"""),45772.66666666667)</f>
        <v>45772.66667</v>
      </c>
      <c r="O1085" s="2">
        <f>IFERROR(__xludf.DUMMYFUNCTION("""COMPUTED_VALUE"""),29.19)</f>
        <v>29.19</v>
      </c>
      <c r="Q1085" s="3">
        <f>IFERROR(__xludf.DUMMYFUNCTION("""COMPUTED_VALUE"""),45772.66666666667)</f>
        <v>45772.66667</v>
      </c>
      <c r="R1085" s="2">
        <f>IFERROR(__xludf.DUMMYFUNCTION("""COMPUTED_VALUE"""),161.02)</f>
        <v>161.02</v>
      </c>
    </row>
    <row r="1086">
      <c r="B1086" s="3">
        <f>IFERROR(__xludf.DUMMYFUNCTION("""COMPUTED_VALUE"""),45775.66666666667)</f>
        <v>45775.66667</v>
      </c>
      <c r="C1086" s="2">
        <f>IFERROR(__xludf.DUMMYFUNCTION("""COMPUTED_VALUE"""),56.84)</f>
        <v>56.84</v>
      </c>
      <c r="K1086" s="3">
        <f>IFERROR(__xludf.DUMMYFUNCTION("""COMPUTED_VALUE"""),45764.6875)</f>
        <v>45764.6875</v>
      </c>
      <c r="L1086" s="2">
        <f>IFERROR(__xludf.DUMMYFUNCTION("""COMPUTED_VALUE"""),70.32)</f>
        <v>70.32</v>
      </c>
      <c r="N1086" s="3">
        <f>IFERROR(__xludf.DUMMYFUNCTION("""COMPUTED_VALUE"""),45775.66666666667)</f>
        <v>45775.66667</v>
      </c>
      <c r="O1086" s="2">
        <f>IFERROR(__xludf.DUMMYFUNCTION("""COMPUTED_VALUE"""),29.13)</f>
        <v>29.13</v>
      </c>
      <c r="Q1086" s="3">
        <f>IFERROR(__xludf.DUMMYFUNCTION("""COMPUTED_VALUE"""),45775.66666666667)</f>
        <v>45775.66667</v>
      </c>
      <c r="R1086" s="2">
        <f>IFERROR(__xludf.DUMMYFUNCTION("""COMPUTED_VALUE"""),161.85)</f>
        <v>161.85</v>
      </c>
    </row>
    <row r="1087">
      <c r="B1087" s="3">
        <f>IFERROR(__xludf.DUMMYFUNCTION("""COMPUTED_VALUE"""),45776.66666666667)</f>
        <v>45776.66667</v>
      </c>
      <c r="C1087" s="2">
        <f>IFERROR(__xludf.DUMMYFUNCTION("""COMPUTED_VALUE"""),57.34)</f>
        <v>57.34</v>
      </c>
      <c r="K1087" s="3">
        <f>IFERROR(__xludf.DUMMYFUNCTION("""COMPUTED_VALUE"""),45769.6875)</f>
        <v>45769.6875</v>
      </c>
      <c r="L1087" s="2">
        <f>IFERROR(__xludf.DUMMYFUNCTION("""COMPUTED_VALUE"""),71.28)</f>
        <v>71.28</v>
      </c>
      <c r="N1087" s="3">
        <f>IFERROR(__xludf.DUMMYFUNCTION("""COMPUTED_VALUE"""),45776.66666666667)</f>
        <v>45776.66667</v>
      </c>
      <c r="O1087" s="2">
        <f>IFERROR(__xludf.DUMMYFUNCTION("""COMPUTED_VALUE"""),28.07)</f>
        <v>28.07</v>
      </c>
      <c r="Q1087" s="3">
        <f>IFERROR(__xludf.DUMMYFUNCTION("""COMPUTED_VALUE"""),45776.66666666667)</f>
        <v>45776.66667</v>
      </c>
      <c r="R1087" s="2">
        <f>IFERROR(__xludf.DUMMYFUNCTION("""COMPUTED_VALUE"""),162.26)</f>
        <v>162.26</v>
      </c>
    </row>
    <row r="1088">
      <c r="B1088" s="3">
        <f>IFERROR(__xludf.DUMMYFUNCTION("""COMPUTED_VALUE"""),45777.66666666667)</f>
        <v>45777.66667</v>
      </c>
      <c r="C1088" s="2">
        <f>IFERROR(__xludf.DUMMYFUNCTION("""COMPUTED_VALUE"""),57.73)</f>
        <v>57.73</v>
      </c>
      <c r="K1088" s="3">
        <f>IFERROR(__xludf.DUMMYFUNCTION("""COMPUTED_VALUE"""),45770.6875)</f>
        <v>45770.6875</v>
      </c>
      <c r="L1088" s="2">
        <f>IFERROR(__xludf.DUMMYFUNCTION("""COMPUTED_VALUE"""),73.54)</f>
        <v>73.54</v>
      </c>
      <c r="N1088" s="3">
        <f>IFERROR(__xludf.DUMMYFUNCTION("""COMPUTED_VALUE"""),45777.66666666667)</f>
        <v>45777.66667</v>
      </c>
      <c r="O1088" s="2">
        <f>IFERROR(__xludf.DUMMYFUNCTION("""COMPUTED_VALUE"""),27.46)</f>
        <v>27.46</v>
      </c>
      <c r="Q1088" s="3">
        <f>IFERROR(__xludf.DUMMYFUNCTION("""COMPUTED_VALUE"""),45777.66666666667)</f>
        <v>45777.66667</v>
      </c>
      <c r="R1088" s="2">
        <f>IFERROR(__xludf.DUMMYFUNCTION("""COMPUTED_VALUE"""),162.57)</f>
        <v>162.57</v>
      </c>
    </row>
    <row r="1089">
      <c r="B1089" s="3">
        <f>IFERROR(__xludf.DUMMYFUNCTION("""COMPUTED_VALUE"""),45778.66666666667)</f>
        <v>45778.66667</v>
      </c>
      <c r="C1089" s="2">
        <f>IFERROR(__xludf.DUMMYFUNCTION("""COMPUTED_VALUE"""),58.12)</f>
        <v>58.12</v>
      </c>
      <c r="K1089" s="3">
        <f>IFERROR(__xludf.DUMMYFUNCTION("""COMPUTED_VALUE"""),45771.6875)</f>
        <v>45771.6875</v>
      </c>
      <c r="L1089" s="2">
        <f>IFERROR(__xludf.DUMMYFUNCTION("""COMPUTED_VALUE"""),72.66)</f>
        <v>72.66</v>
      </c>
      <c r="N1089" s="3">
        <f>IFERROR(__xludf.DUMMYFUNCTION("""COMPUTED_VALUE"""),45778.66666666667)</f>
        <v>45778.66667</v>
      </c>
      <c r="O1089" s="2">
        <f>IFERROR(__xludf.DUMMYFUNCTION("""COMPUTED_VALUE"""),27.88)</f>
        <v>27.88</v>
      </c>
      <c r="Q1089" s="3">
        <f>IFERROR(__xludf.DUMMYFUNCTION("""COMPUTED_VALUE"""),45778.66666666667)</f>
        <v>45778.66667</v>
      </c>
      <c r="R1089" s="2">
        <f>IFERROR(__xludf.DUMMYFUNCTION("""COMPUTED_VALUE"""),159.98)</f>
        <v>159.98</v>
      </c>
    </row>
    <row r="1090">
      <c r="B1090" s="3">
        <f>IFERROR(__xludf.DUMMYFUNCTION("""COMPUTED_VALUE"""),45779.66666666667)</f>
        <v>45779.66667</v>
      </c>
      <c r="C1090" s="2">
        <f>IFERROR(__xludf.DUMMYFUNCTION("""COMPUTED_VALUE"""),59.33)</f>
        <v>59.33</v>
      </c>
      <c r="K1090" s="3">
        <f>IFERROR(__xludf.DUMMYFUNCTION("""COMPUTED_VALUE"""),45772.6875)</f>
        <v>45772.6875</v>
      </c>
      <c r="L1090" s="2">
        <f>IFERROR(__xludf.DUMMYFUNCTION("""COMPUTED_VALUE"""),73.0)</f>
        <v>73</v>
      </c>
      <c r="N1090" s="3">
        <f>IFERROR(__xludf.DUMMYFUNCTION("""COMPUTED_VALUE"""),45779.66666666667)</f>
        <v>45779.66667</v>
      </c>
      <c r="O1090" s="2">
        <f>IFERROR(__xludf.DUMMYFUNCTION("""COMPUTED_VALUE"""),28.12)</f>
        <v>28.12</v>
      </c>
      <c r="Q1090" s="3">
        <f>IFERROR(__xludf.DUMMYFUNCTION("""COMPUTED_VALUE"""),45779.66666666667)</f>
        <v>45779.66667</v>
      </c>
      <c r="R1090" s="2">
        <f>IFERROR(__xludf.DUMMYFUNCTION("""COMPUTED_VALUE"""),160.52)</f>
        <v>160.52</v>
      </c>
    </row>
    <row r="1091">
      <c r="B1091" s="3">
        <f>IFERROR(__xludf.DUMMYFUNCTION("""COMPUTED_VALUE"""),45782.66666666667)</f>
        <v>45782.66667</v>
      </c>
      <c r="C1091" s="2">
        <f>IFERROR(__xludf.DUMMYFUNCTION("""COMPUTED_VALUE"""),59.32)</f>
        <v>59.32</v>
      </c>
      <c r="K1091" s="3">
        <f>IFERROR(__xludf.DUMMYFUNCTION("""COMPUTED_VALUE"""),45775.6875)</f>
        <v>45775.6875</v>
      </c>
      <c r="L1091" s="2">
        <f>IFERROR(__xludf.DUMMYFUNCTION("""COMPUTED_VALUE"""),72.9)</f>
        <v>72.9</v>
      </c>
      <c r="N1091" s="3">
        <f>IFERROR(__xludf.DUMMYFUNCTION("""COMPUTED_VALUE"""),45782.66666666667)</f>
        <v>45782.66667</v>
      </c>
      <c r="O1091" s="2">
        <f>IFERROR(__xludf.DUMMYFUNCTION("""COMPUTED_VALUE"""),29.18)</f>
        <v>29.18</v>
      </c>
      <c r="Q1091" s="3">
        <f>IFERROR(__xludf.DUMMYFUNCTION("""COMPUTED_VALUE"""),45782.66666666667)</f>
        <v>45782.66667</v>
      </c>
      <c r="R1091" s="2">
        <f>IFERROR(__xludf.DUMMYFUNCTION("""COMPUTED_VALUE"""),158.83)</f>
        <v>158.83</v>
      </c>
    </row>
    <row r="1092">
      <c r="B1092" s="3">
        <f>IFERROR(__xludf.DUMMYFUNCTION("""COMPUTED_VALUE"""),45783.66666666667)</f>
        <v>45783.66667</v>
      </c>
      <c r="C1092" s="2">
        <f>IFERROR(__xludf.DUMMYFUNCTION("""COMPUTED_VALUE"""),59.22)</f>
        <v>59.22</v>
      </c>
      <c r="K1092" s="3">
        <f>IFERROR(__xludf.DUMMYFUNCTION("""COMPUTED_VALUE"""),45776.6875)</f>
        <v>45776.6875</v>
      </c>
      <c r="L1092" s="2">
        <f>IFERROR(__xludf.DUMMYFUNCTION("""COMPUTED_VALUE"""),73.18)</f>
        <v>73.18</v>
      </c>
      <c r="N1092" s="3">
        <f>IFERROR(__xludf.DUMMYFUNCTION("""COMPUTED_VALUE"""),45783.66666666667)</f>
        <v>45783.66667</v>
      </c>
      <c r="O1092" s="2">
        <f>IFERROR(__xludf.DUMMYFUNCTION("""COMPUTED_VALUE"""),28.4)</f>
        <v>28.4</v>
      </c>
      <c r="Q1092" s="3">
        <f>IFERROR(__xludf.DUMMYFUNCTION("""COMPUTED_VALUE"""),45783.66666666667)</f>
        <v>45783.66667</v>
      </c>
      <c r="R1092" s="2">
        <f>IFERROR(__xludf.DUMMYFUNCTION("""COMPUTED_VALUE"""),159.25)</f>
        <v>159.25</v>
      </c>
    </row>
    <row r="1093">
      <c r="B1093" s="3">
        <f>IFERROR(__xludf.DUMMYFUNCTION("""COMPUTED_VALUE"""),45784.66666666667)</f>
        <v>45784.66667</v>
      </c>
      <c r="C1093" s="2">
        <f>IFERROR(__xludf.DUMMYFUNCTION("""COMPUTED_VALUE"""),59.57)</f>
        <v>59.57</v>
      </c>
      <c r="K1093" s="3">
        <f>IFERROR(__xludf.DUMMYFUNCTION("""COMPUTED_VALUE"""),45777.6875)</f>
        <v>45777.6875</v>
      </c>
      <c r="L1093" s="2">
        <f>IFERROR(__xludf.DUMMYFUNCTION("""COMPUTED_VALUE"""),73.28)</f>
        <v>73.28</v>
      </c>
      <c r="N1093" s="3">
        <f>IFERROR(__xludf.DUMMYFUNCTION("""COMPUTED_VALUE"""),45784.66666666667)</f>
        <v>45784.66667</v>
      </c>
      <c r="O1093" s="2">
        <f>IFERROR(__xludf.DUMMYFUNCTION("""COMPUTED_VALUE"""),28.13)</f>
        <v>28.13</v>
      </c>
      <c r="Q1093" s="3">
        <f>IFERROR(__xludf.DUMMYFUNCTION("""COMPUTED_VALUE"""),45784.66666666667)</f>
        <v>45784.66667</v>
      </c>
      <c r="R1093" s="2">
        <f>IFERROR(__xludf.DUMMYFUNCTION("""COMPUTED_VALUE"""),159.29)</f>
        <v>159.29</v>
      </c>
    </row>
    <row r="1094">
      <c r="B1094" s="3">
        <f>IFERROR(__xludf.DUMMYFUNCTION("""COMPUTED_VALUE"""),45785.66666666667)</f>
        <v>45785.66667</v>
      </c>
      <c r="C1094" s="2">
        <f>IFERROR(__xludf.DUMMYFUNCTION("""COMPUTED_VALUE"""),59.71)</f>
        <v>59.71</v>
      </c>
      <c r="K1094" s="3">
        <f>IFERROR(__xludf.DUMMYFUNCTION("""COMPUTED_VALUE"""),45778.6875)</f>
        <v>45778.6875</v>
      </c>
      <c r="L1094" s="2">
        <f>IFERROR(__xludf.DUMMYFUNCTION("""COMPUTED_VALUE"""),71.34)</f>
        <v>71.34</v>
      </c>
      <c r="N1094" s="3">
        <f>IFERROR(__xludf.DUMMYFUNCTION("""COMPUTED_VALUE"""),45785.66666666667)</f>
        <v>45785.66667</v>
      </c>
      <c r="O1094" s="2">
        <f>IFERROR(__xludf.DUMMYFUNCTION("""COMPUTED_VALUE"""),28.59)</f>
        <v>28.59</v>
      </c>
      <c r="Q1094" s="3">
        <f>IFERROR(__xludf.DUMMYFUNCTION("""COMPUTED_VALUE"""),45785.66666666667)</f>
        <v>45785.66667</v>
      </c>
      <c r="R1094" s="2">
        <f>IFERROR(__xludf.DUMMYFUNCTION("""COMPUTED_VALUE"""),158.65)</f>
        <v>158.65</v>
      </c>
    </row>
    <row r="1095">
      <c r="B1095" s="3">
        <f>IFERROR(__xludf.DUMMYFUNCTION("""COMPUTED_VALUE"""),45786.66666666667)</f>
        <v>45786.66667</v>
      </c>
      <c r="C1095" s="2">
        <f>IFERROR(__xludf.DUMMYFUNCTION("""COMPUTED_VALUE"""),59.77)</f>
        <v>59.77</v>
      </c>
      <c r="K1095" s="3">
        <f>IFERROR(__xludf.DUMMYFUNCTION("""COMPUTED_VALUE"""),45779.6875)</f>
        <v>45779.6875</v>
      </c>
      <c r="L1095" s="2">
        <f>IFERROR(__xludf.DUMMYFUNCTION("""COMPUTED_VALUE"""),70.58)</f>
        <v>70.58</v>
      </c>
      <c r="N1095" s="3">
        <f>IFERROR(__xludf.DUMMYFUNCTION("""COMPUTED_VALUE"""),45786.66666666667)</f>
        <v>45786.66667</v>
      </c>
      <c r="O1095" s="2">
        <f>IFERROR(__xludf.DUMMYFUNCTION("""COMPUTED_VALUE"""),29.77)</f>
        <v>29.77</v>
      </c>
      <c r="Q1095" s="3">
        <f>IFERROR(__xludf.DUMMYFUNCTION("""COMPUTED_VALUE"""),45786.66666666667)</f>
        <v>45786.66667</v>
      </c>
      <c r="R1095" s="2">
        <f>IFERROR(__xludf.DUMMYFUNCTION("""COMPUTED_VALUE"""),157.66)</f>
        <v>157.66</v>
      </c>
    </row>
    <row r="1096">
      <c r="B1096" s="3">
        <f>IFERROR(__xludf.DUMMYFUNCTION("""COMPUTED_VALUE"""),45789.66666666667)</f>
        <v>45789.66667</v>
      </c>
      <c r="C1096" s="2">
        <f>IFERROR(__xludf.DUMMYFUNCTION("""COMPUTED_VALUE"""),61.67)</f>
        <v>61.67</v>
      </c>
      <c r="K1096" s="3">
        <f>IFERROR(__xludf.DUMMYFUNCTION("""COMPUTED_VALUE"""),45783.6875)</f>
        <v>45783.6875</v>
      </c>
      <c r="L1096" s="2">
        <f>IFERROR(__xludf.DUMMYFUNCTION("""COMPUTED_VALUE"""),71.62)</f>
        <v>71.62</v>
      </c>
      <c r="N1096" s="3">
        <f>IFERROR(__xludf.DUMMYFUNCTION("""COMPUTED_VALUE"""),45789.66666666667)</f>
        <v>45789.66667</v>
      </c>
      <c r="O1096" s="2">
        <f>IFERROR(__xludf.DUMMYFUNCTION("""COMPUTED_VALUE"""),30.19)</f>
        <v>30.19</v>
      </c>
      <c r="Q1096" s="3">
        <f>IFERROR(__xludf.DUMMYFUNCTION("""COMPUTED_VALUE"""),45789.66666666667)</f>
        <v>45789.66667</v>
      </c>
      <c r="R1096" s="2">
        <f>IFERROR(__xludf.DUMMYFUNCTION("""COMPUTED_VALUE"""),160.9)</f>
        <v>160.9</v>
      </c>
    </row>
    <row r="1097">
      <c r="B1097" s="3">
        <f>IFERROR(__xludf.DUMMYFUNCTION("""COMPUTED_VALUE"""),45790.66666666667)</f>
        <v>45790.66667</v>
      </c>
      <c r="C1097" s="2">
        <f>IFERROR(__xludf.DUMMYFUNCTION("""COMPUTED_VALUE"""),61.78)</f>
        <v>61.78</v>
      </c>
      <c r="K1097" s="3">
        <f>IFERROR(__xludf.DUMMYFUNCTION("""COMPUTED_VALUE"""),45784.6875)</f>
        <v>45784.6875</v>
      </c>
      <c r="L1097" s="2">
        <f>IFERROR(__xludf.DUMMYFUNCTION("""COMPUTED_VALUE"""),72.24)</f>
        <v>72.24</v>
      </c>
      <c r="N1097" s="3">
        <f>IFERROR(__xludf.DUMMYFUNCTION("""COMPUTED_VALUE"""),45790.66666666667)</f>
        <v>45790.66667</v>
      </c>
      <c r="O1097" s="2">
        <f>IFERROR(__xludf.DUMMYFUNCTION("""COMPUTED_VALUE"""),30.56)</f>
        <v>30.56</v>
      </c>
      <c r="Q1097" s="3">
        <f>IFERROR(__xludf.DUMMYFUNCTION("""COMPUTED_VALUE"""),45790.66666666667)</f>
        <v>45790.66667</v>
      </c>
      <c r="R1097" s="2">
        <f>IFERROR(__xludf.DUMMYFUNCTION("""COMPUTED_VALUE"""),158.73)</f>
        <v>158.73</v>
      </c>
    </row>
    <row r="1098">
      <c r="B1098" s="3">
        <f>IFERROR(__xludf.DUMMYFUNCTION("""COMPUTED_VALUE"""),45791.66666666667)</f>
        <v>45791.66667</v>
      </c>
      <c r="C1098" s="2">
        <f>IFERROR(__xludf.DUMMYFUNCTION("""COMPUTED_VALUE"""),61.29)</f>
        <v>61.29</v>
      </c>
      <c r="K1098" s="3">
        <f>IFERROR(__xludf.DUMMYFUNCTION("""COMPUTED_VALUE"""),45785.6875)</f>
        <v>45785.6875</v>
      </c>
      <c r="L1098" s="2">
        <f>IFERROR(__xludf.DUMMYFUNCTION("""COMPUTED_VALUE"""),72.64)</f>
        <v>72.64</v>
      </c>
      <c r="N1098" s="3">
        <f>IFERROR(__xludf.DUMMYFUNCTION("""COMPUTED_VALUE"""),45791.66666666667)</f>
        <v>45791.66667</v>
      </c>
      <c r="O1098" s="2">
        <f>IFERROR(__xludf.DUMMYFUNCTION("""COMPUTED_VALUE"""),30.36)</f>
        <v>30.36</v>
      </c>
      <c r="Q1098" s="3">
        <f>IFERROR(__xludf.DUMMYFUNCTION("""COMPUTED_VALUE"""),45791.66666666667)</f>
        <v>45791.66667</v>
      </c>
      <c r="R1098" s="2">
        <f>IFERROR(__xludf.DUMMYFUNCTION("""COMPUTED_VALUE"""),158.02)</f>
        <v>158.02</v>
      </c>
    </row>
    <row r="1099">
      <c r="B1099" s="3">
        <f>IFERROR(__xludf.DUMMYFUNCTION("""COMPUTED_VALUE"""),45792.66666666667)</f>
        <v>45792.66667</v>
      </c>
      <c r="C1099" s="2">
        <f>IFERROR(__xludf.DUMMYFUNCTION("""COMPUTED_VALUE"""),64.26)</f>
        <v>64.26</v>
      </c>
      <c r="K1099" s="3">
        <f>IFERROR(__xludf.DUMMYFUNCTION("""COMPUTED_VALUE"""),45786.6875)</f>
        <v>45786.6875</v>
      </c>
      <c r="L1099" s="2">
        <f>IFERROR(__xludf.DUMMYFUNCTION("""COMPUTED_VALUE"""),73.02)</f>
        <v>73.02</v>
      </c>
      <c r="N1099" s="3">
        <f>IFERROR(__xludf.DUMMYFUNCTION("""COMPUTED_VALUE"""),45792.66666666667)</f>
        <v>45792.66667</v>
      </c>
      <c r="O1099" s="2">
        <f>IFERROR(__xludf.DUMMYFUNCTION("""COMPUTED_VALUE"""),30.11)</f>
        <v>30.11</v>
      </c>
      <c r="Q1099" s="3">
        <f>IFERROR(__xludf.DUMMYFUNCTION("""COMPUTED_VALUE"""),45792.66666666667)</f>
        <v>45792.66667</v>
      </c>
      <c r="R1099" s="2">
        <f>IFERROR(__xludf.DUMMYFUNCTION("""COMPUTED_VALUE"""),162.41)</f>
        <v>162.41</v>
      </c>
    </row>
    <row r="1100">
      <c r="B1100" s="3">
        <f>IFERROR(__xludf.DUMMYFUNCTION("""COMPUTED_VALUE"""),45793.66666666667)</f>
        <v>45793.66667</v>
      </c>
      <c r="C1100" s="2">
        <f>IFERROR(__xludf.DUMMYFUNCTION("""COMPUTED_VALUE"""),63.62)</f>
        <v>63.62</v>
      </c>
      <c r="K1100" s="3">
        <f>IFERROR(__xludf.DUMMYFUNCTION("""COMPUTED_VALUE"""),45789.6875)</f>
        <v>45789.6875</v>
      </c>
      <c r="L1100" s="2">
        <f>IFERROR(__xludf.DUMMYFUNCTION("""COMPUTED_VALUE"""),73.04)</f>
        <v>73.04</v>
      </c>
      <c r="N1100" s="3">
        <f>IFERROR(__xludf.DUMMYFUNCTION("""COMPUTED_VALUE"""),45793.66666666667)</f>
        <v>45793.66667</v>
      </c>
      <c r="O1100" s="2">
        <f>IFERROR(__xludf.DUMMYFUNCTION("""COMPUTED_VALUE"""),29.76)</f>
        <v>29.76</v>
      </c>
      <c r="Q1100" s="3">
        <f>IFERROR(__xludf.DUMMYFUNCTION("""COMPUTED_VALUE"""),45793.66666666667)</f>
        <v>45793.66667</v>
      </c>
      <c r="R1100" s="2">
        <f>IFERROR(__xludf.DUMMYFUNCTION("""COMPUTED_VALUE"""),163.28)</f>
        <v>163.28</v>
      </c>
    </row>
    <row r="1101">
      <c r="B1101" s="3">
        <f>IFERROR(__xludf.DUMMYFUNCTION("""COMPUTED_VALUE"""),45796.66666666667)</f>
        <v>45796.66667</v>
      </c>
      <c r="C1101" s="2">
        <f>IFERROR(__xludf.DUMMYFUNCTION("""COMPUTED_VALUE"""),63.92)</f>
        <v>63.92</v>
      </c>
      <c r="K1101" s="3">
        <f>IFERROR(__xludf.DUMMYFUNCTION("""COMPUTED_VALUE"""),45790.6875)</f>
        <v>45790.6875</v>
      </c>
      <c r="L1101" s="2">
        <f>IFERROR(__xludf.DUMMYFUNCTION("""COMPUTED_VALUE"""),73.4)</f>
        <v>73.4</v>
      </c>
      <c r="N1101" s="3">
        <f>IFERROR(__xludf.DUMMYFUNCTION("""COMPUTED_VALUE"""),45796.66666666667)</f>
        <v>45796.66667</v>
      </c>
      <c r="O1101" s="2">
        <f>IFERROR(__xludf.DUMMYFUNCTION("""COMPUTED_VALUE"""),29.4)</f>
        <v>29.4</v>
      </c>
      <c r="Q1101" s="3">
        <f>IFERROR(__xludf.DUMMYFUNCTION("""COMPUTED_VALUE"""),45796.66666666667)</f>
        <v>45796.66667</v>
      </c>
      <c r="R1101" s="2">
        <f>IFERROR(__xludf.DUMMYFUNCTION("""COMPUTED_VALUE"""),164.77)</f>
        <v>164.77</v>
      </c>
    </row>
    <row r="1102">
      <c r="B1102" s="3">
        <f>IFERROR(__xludf.DUMMYFUNCTION("""COMPUTED_VALUE"""),45797.66666666667)</f>
        <v>45797.66667</v>
      </c>
      <c r="C1102" s="2">
        <f>IFERROR(__xludf.DUMMYFUNCTION("""COMPUTED_VALUE"""),63.42)</f>
        <v>63.42</v>
      </c>
      <c r="K1102" s="3">
        <f>IFERROR(__xludf.DUMMYFUNCTION("""COMPUTED_VALUE"""),45791.6875)</f>
        <v>45791.6875</v>
      </c>
      <c r="L1102" s="2">
        <f>IFERROR(__xludf.DUMMYFUNCTION("""COMPUTED_VALUE"""),74.94)</f>
        <v>74.94</v>
      </c>
      <c r="N1102" s="3">
        <f>IFERROR(__xludf.DUMMYFUNCTION("""COMPUTED_VALUE"""),45797.66666666667)</f>
        <v>45797.66667</v>
      </c>
      <c r="O1102" s="2">
        <f>IFERROR(__xludf.DUMMYFUNCTION("""COMPUTED_VALUE"""),29.2)</f>
        <v>29.2</v>
      </c>
      <c r="Q1102" s="3">
        <f>IFERROR(__xludf.DUMMYFUNCTION("""COMPUTED_VALUE"""),45797.66666666667)</f>
        <v>45797.66667</v>
      </c>
      <c r="R1102" s="2">
        <f>IFERROR(__xludf.DUMMYFUNCTION("""COMPUTED_VALUE"""),165.64)</f>
        <v>165.64</v>
      </c>
    </row>
    <row r="1103">
      <c r="B1103" s="3">
        <f>IFERROR(__xludf.DUMMYFUNCTION("""COMPUTED_VALUE"""),45798.66666666667)</f>
        <v>45798.66667</v>
      </c>
      <c r="C1103" s="2">
        <f>IFERROR(__xludf.DUMMYFUNCTION("""COMPUTED_VALUE"""),63.2)</f>
        <v>63.2</v>
      </c>
      <c r="K1103" s="3">
        <f>IFERROR(__xludf.DUMMYFUNCTION("""COMPUTED_VALUE"""),45792.6875)</f>
        <v>45792.6875</v>
      </c>
      <c r="L1103" s="2">
        <f>IFERROR(__xludf.DUMMYFUNCTION("""COMPUTED_VALUE"""),74.78)</f>
        <v>74.78</v>
      </c>
      <c r="N1103" s="3">
        <f>IFERROR(__xludf.DUMMYFUNCTION("""COMPUTED_VALUE"""),45798.66666666667)</f>
        <v>45798.66667</v>
      </c>
      <c r="O1103" s="2">
        <f>IFERROR(__xludf.DUMMYFUNCTION("""COMPUTED_VALUE"""),28.88)</f>
        <v>28.88</v>
      </c>
      <c r="Q1103" s="3">
        <f>IFERROR(__xludf.DUMMYFUNCTION("""COMPUTED_VALUE"""),45798.66666666667)</f>
        <v>45798.66667</v>
      </c>
      <c r="R1103" s="2">
        <f>IFERROR(__xludf.DUMMYFUNCTION("""COMPUTED_VALUE"""),165.43)</f>
        <v>165.43</v>
      </c>
    </row>
    <row r="1104">
      <c r="B1104" s="3">
        <f>IFERROR(__xludf.DUMMYFUNCTION("""COMPUTED_VALUE"""),45799.66666666667)</f>
        <v>45799.66667</v>
      </c>
      <c r="C1104" s="2">
        <f>IFERROR(__xludf.DUMMYFUNCTION("""COMPUTED_VALUE"""),63.36)</f>
        <v>63.36</v>
      </c>
      <c r="K1104" s="3">
        <f>IFERROR(__xludf.DUMMYFUNCTION("""COMPUTED_VALUE"""),45793.6875)</f>
        <v>45793.6875</v>
      </c>
      <c r="L1104" s="2">
        <f>IFERROR(__xludf.DUMMYFUNCTION("""COMPUTED_VALUE"""),75.0)</f>
        <v>75</v>
      </c>
      <c r="N1104" s="3">
        <f>IFERROR(__xludf.DUMMYFUNCTION("""COMPUTED_VALUE"""),45799.66666666667)</f>
        <v>45799.66667</v>
      </c>
      <c r="O1104" s="2">
        <f>IFERROR(__xludf.DUMMYFUNCTION("""COMPUTED_VALUE"""),28.94)</f>
        <v>28.94</v>
      </c>
      <c r="Q1104" s="3">
        <f>IFERROR(__xludf.DUMMYFUNCTION("""COMPUTED_VALUE"""),45799.66666666667)</f>
        <v>45799.66667</v>
      </c>
      <c r="R1104" s="2">
        <f>IFERROR(__xludf.DUMMYFUNCTION("""COMPUTED_VALUE"""),165.43)</f>
        <v>165.43</v>
      </c>
    </row>
    <row r="1105">
      <c r="B1105" s="3">
        <f>IFERROR(__xludf.DUMMYFUNCTION("""COMPUTED_VALUE"""),45800.66666666667)</f>
        <v>45800.66667</v>
      </c>
      <c r="C1105" s="2">
        <f>IFERROR(__xludf.DUMMYFUNCTION("""COMPUTED_VALUE"""),63.11)</f>
        <v>63.11</v>
      </c>
      <c r="K1105" s="3">
        <f>IFERROR(__xludf.DUMMYFUNCTION("""COMPUTED_VALUE"""),45796.6875)</f>
        <v>45796.6875</v>
      </c>
      <c r="L1105" s="2">
        <f>IFERROR(__xludf.DUMMYFUNCTION("""COMPUTED_VALUE"""),75.84)</f>
        <v>75.84</v>
      </c>
      <c r="N1105" s="3">
        <f>IFERROR(__xludf.DUMMYFUNCTION("""COMPUTED_VALUE"""),45800.66666666667)</f>
        <v>45800.66667</v>
      </c>
      <c r="O1105" s="2">
        <f>IFERROR(__xludf.DUMMYFUNCTION("""COMPUTED_VALUE"""),29.09)</f>
        <v>29.09</v>
      </c>
      <c r="Q1105" s="3">
        <f>IFERROR(__xludf.DUMMYFUNCTION("""COMPUTED_VALUE"""),45800.66666666667)</f>
        <v>45800.66667</v>
      </c>
      <c r="R1105" s="2">
        <f>IFERROR(__xludf.DUMMYFUNCTION("""COMPUTED_VALUE"""),165.86)</f>
        <v>165.86</v>
      </c>
    </row>
    <row r="1106">
      <c r="B1106" s="3">
        <f>IFERROR(__xludf.DUMMYFUNCTION("""COMPUTED_VALUE"""),45804.66666666667)</f>
        <v>45804.66667</v>
      </c>
      <c r="C1106" s="2">
        <f>IFERROR(__xludf.DUMMYFUNCTION("""COMPUTED_VALUE"""),63.75)</f>
        <v>63.75</v>
      </c>
      <c r="K1106" s="3">
        <f>IFERROR(__xludf.DUMMYFUNCTION("""COMPUTED_VALUE"""),45797.6875)</f>
        <v>45797.6875</v>
      </c>
      <c r="L1106" s="2">
        <f>IFERROR(__xludf.DUMMYFUNCTION("""COMPUTED_VALUE"""),78.02)</f>
        <v>78.02</v>
      </c>
      <c r="N1106" s="3">
        <f>IFERROR(__xludf.DUMMYFUNCTION("""COMPUTED_VALUE"""),45804.66666666667)</f>
        <v>45804.66667</v>
      </c>
      <c r="O1106" s="2">
        <f>IFERROR(__xludf.DUMMYFUNCTION("""COMPUTED_VALUE"""),29.15)</f>
        <v>29.15</v>
      </c>
      <c r="Q1106" s="3">
        <f>IFERROR(__xludf.DUMMYFUNCTION("""COMPUTED_VALUE"""),45804.66666666667)</f>
        <v>45804.66667</v>
      </c>
      <c r="R1106" s="2">
        <f>IFERROR(__xludf.DUMMYFUNCTION("""COMPUTED_VALUE"""),167.76)</f>
        <v>167.76</v>
      </c>
    </row>
    <row r="1107">
      <c r="B1107" s="3">
        <f>IFERROR(__xludf.DUMMYFUNCTION("""COMPUTED_VALUE"""),45805.66666666667)</f>
        <v>45805.66667</v>
      </c>
      <c r="C1107" s="2">
        <f>IFERROR(__xludf.DUMMYFUNCTION("""COMPUTED_VALUE"""),63.34)</f>
        <v>63.34</v>
      </c>
      <c r="K1107" s="3">
        <f>IFERROR(__xludf.DUMMYFUNCTION("""COMPUTED_VALUE"""),45798.6875)</f>
        <v>45798.6875</v>
      </c>
      <c r="L1107" s="2">
        <f>IFERROR(__xludf.DUMMYFUNCTION("""COMPUTED_VALUE"""),77.98)</f>
        <v>77.98</v>
      </c>
      <c r="N1107" s="3">
        <f>IFERROR(__xludf.DUMMYFUNCTION("""COMPUTED_VALUE"""),45805.66666666667)</f>
        <v>45805.66667</v>
      </c>
      <c r="O1107" s="2">
        <f>IFERROR(__xludf.DUMMYFUNCTION("""COMPUTED_VALUE"""),28.94)</f>
        <v>28.94</v>
      </c>
      <c r="Q1107" s="3">
        <f>IFERROR(__xludf.DUMMYFUNCTION("""COMPUTED_VALUE"""),45805.66666666667)</f>
        <v>45805.66667</v>
      </c>
      <c r="R1107" s="2">
        <f>IFERROR(__xludf.DUMMYFUNCTION("""COMPUTED_VALUE"""),167.36)</f>
        <v>167.36</v>
      </c>
    </row>
    <row r="1108">
      <c r="B1108" s="3">
        <f>IFERROR(__xludf.DUMMYFUNCTION("""COMPUTED_VALUE"""),45806.66666666667)</f>
        <v>45806.66667</v>
      </c>
      <c r="C1108" s="2">
        <f>IFERROR(__xludf.DUMMYFUNCTION("""COMPUTED_VALUE"""),63.05)</f>
        <v>63.05</v>
      </c>
      <c r="K1108" s="3">
        <f>IFERROR(__xludf.DUMMYFUNCTION("""COMPUTED_VALUE"""),45799.6875)</f>
        <v>45799.6875</v>
      </c>
      <c r="L1108" s="2">
        <f>IFERROR(__xludf.DUMMYFUNCTION("""COMPUTED_VALUE"""),78.48)</f>
        <v>78.48</v>
      </c>
      <c r="N1108" s="3">
        <f>IFERROR(__xludf.DUMMYFUNCTION("""COMPUTED_VALUE"""),45806.66666666667)</f>
        <v>45806.66667</v>
      </c>
      <c r="O1108" s="2">
        <f>IFERROR(__xludf.DUMMYFUNCTION("""COMPUTED_VALUE"""),29.17)</f>
        <v>29.17</v>
      </c>
      <c r="Q1108" s="3">
        <f>IFERROR(__xludf.DUMMYFUNCTION("""COMPUTED_VALUE"""),45806.66666666667)</f>
        <v>45806.66667</v>
      </c>
      <c r="R1108" s="2">
        <f>IFERROR(__xludf.DUMMYFUNCTION("""COMPUTED_VALUE"""),168.56)</f>
        <v>168.56</v>
      </c>
    </row>
    <row r="1109">
      <c r="B1109" s="3">
        <f>IFERROR(__xludf.DUMMYFUNCTION("""COMPUTED_VALUE"""),45807.66666666667)</f>
        <v>45807.66667</v>
      </c>
      <c r="C1109" s="2">
        <f>IFERROR(__xludf.DUMMYFUNCTION("""COMPUTED_VALUE"""),63.04)</f>
        <v>63.04</v>
      </c>
      <c r="K1109" s="3">
        <f>IFERROR(__xludf.DUMMYFUNCTION("""COMPUTED_VALUE"""),45800.6875)</f>
        <v>45800.6875</v>
      </c>
      <c r="L1109" s="2">
        <f>IFERROR(__xludf.DUMMYFUNCTION("""COMPUTED_VALUE"""),77.82)</f>
        <v>77.82</v>
      </c>
      <c r="N1109" s="3">
        <f>IFERROR(__xludf.DUMMYFUNCTION("""COMPUTED_VALUE"""),45807.66666666667)</f>
        <v>45807.66667</v>
      </c>
      <c r="O1109" s="2">
        <f>IFERROR(__xludf.DUMMYFUNCTION("""COMPUTED_VALUE"""),29.1)</f>
        <v>29.1</v>
      </c>
      <c r="Q1109" s="3">
        <f>IFERROR(__xludf.DUMMYFUNCTION("""COMPUTED_VALUE"""),45807.66666666667)</f>
        <v>45807.66667</v>
      </c>
      <c r="R1109" s="2">
        <f>IFERROR(__xludf.DUMMYFUNCTION("""COMPUTED_VALUE"""),169.89)</f>
        <v>169.89</v>
      </c>
    </row>
    <row r="1110">
      <c r="B1110" s="3">
        <f>IFERROR(__xludf.DUMMYFUNCTION("""COMPUTED_VALUE"""),45810.66666666667)</f>
        <v>45810.66667</v>
      </c>
      <c r="C1110" s="2">
        <f>IFERROR(__xludf.DUMMYFUNCTION("""COMPUTED_VALUE"""),63.85)</f>
        <v>63.85</v>
      </c>
      <c r="K1110" s="3">
        <f>IFERROR(__xludf.DUMMYFUNCTION("""COMPUTED_VALUE"""),45804.6875)</f>
        <v>45804.6875</v>
      </c>
      <c r="L1110" s="2">
        <f>IFERROR(__xludf.DUMMYFUNCTION("""COMPUTED_VALUE"""),78.48)</f>
        <v>78.48</v>
      </c>
      <c r="N1110" s="3">
        <f>IFERROR(__xludf.DUMMYFUNCTION("""COMPUTED_VALUE"""),45810.66666666667)</f>
        <v>45810.66667</v>
      </c>
      <c r="O1110" s="2">
        <f>IFERROR(__xludf.DUMMYFUNCTION("""COMPUTED_VALUE"""),29.58)</f>
        <v>29.58</v>
      </c>
      <c r="Q1110" s="3">
        <f>IFERROR(__xludf.DUMMYFUNCTION("""COMPUTED_VALUE"""),45810.66666666667)</f>
        <v>45810.66667</v>
      </c>
      <c r="R1110" s="2">
        <f>IFERROR(__xludf.DUMMYFUNCTION("""COMPUTED_VALUE"""),167.78)</f>
        <v>167.78</v>
      </c>
    </row>
    <row r="1111">
      <c r="B1111" s="3">
        <f>IFERROR(__xludf.DUMMYFUNCTION("""COMPUTED_VALUE"""),45811.66666666667)</f>
        <v>45811.66667</v>
      </c>
      <c r="C1111" s="2">
        <f>IFERROR(__xludf.DUMMYFUNCTION("""COMPUTED_VALUE"""),64.36)</f>
        <v>64.36</v>
      </c>
      <c r="K1111" s="3">
        <f>IFERROR(__xludf.DUMMYFUNCTION("""COMPUTED_VALUE"""),45805.6875)</f>
        <v>45805.6875</v>
      </c>
      <c r="L1111" s="2">
        <f>IFERROR(__xludf.DUMMYFUNCTION("""COMPUTED_VALUE"""),76.62)</f>
        <v>76.62</v>
      </c>
      <c r="N1111" s="3">
        <f>IFERROR(__xludf.DUMMYFUNCTION("""COMPUTED_VALUE"""),45811.66666666667)</f>
        <v>45811.66667</v>
      </c>
      <c r="O1111" s="2">
        <f>IFERROR(__xludf.DUMMYFUNCTION("""COMPUTED_VALUE"""),29.56)</f>
        <v>29.56</v>
      </c>
      <c r="Q1111" s="3">
        <f>IFERROR(__xludf.DUMMYFUNCTION("""COMPUTED_VALUE"""),45811.66666666667)</f>
        <v>45811.66667</v>
      </c>
      <c r="R1111" s="2">
        <f>IFERROR(__xludf.DUMMYFUNCTION("""COMPUTED_VALUE"""),166.85)</f>
        <v>166.85</v>
      </c>
    </row>
    <row r="1112">
      <c r="B1112" s="3">
        <f>IFERROR(__xludf.DUMMYFUNCTION("""COMPUTED_VALUE"""),45812.66666666667)</f>
        <v>45812.66667</v>
      </c>
      <c r="C1112" s="2">
        <f>IFERROR(__xludf.DUMMYFUNCTION("""COMPUTED_VALUE"""),64.39)</f>
        <v>64.39</v>
      </c>
      <c r="K1112" s="3">
        <f>IFERROR(__xludf.DUMMYFUNCTION("""COMPUTED_VALUE"""),45806.6875)</f>
        <v>45806.6875</v>
      </c>
      <c r="L1112" s="2">
        <f>IFERROR(__xludf.DUMMYFUNCTION("""COMPUTED_VALUE"""),77.22)</f>
        <v>77.22</v>
      </c>
      <c r="N1112" s="3">
        <f>IFERROR(__xludf.DUMMYFUNCTION("""COMPUTED_VALUE"""),45812.66666666667)</f>
        <v>45812.66667</v>
      </c>
      <c r="O1112" s="2">
        <f>IFERROR(__xludf.DUMMYFUNCTION("""COMPUTED_VALUE"""),28.92)</f>
        <v>28.92</v>
      </c>
      <c r="Q1112" s="3">
        <f>IFERROR(__xludf.DUMMYFUNCTION("""COMPUTED_VALUE"""),45812.66666666667)</f>
        <v>45812.66667</v>
      </c>
      <c r="R1112" s="2">
        <f>IFERROR(__xludf.DUMMYFUNCTION("""COMPUTED_VALUE"""),165.95)</f>
        <v>165.95</v>
      </c>
    </row>
    <row r="1113">
      <c r="B1113" s="3">
        <f>IFERROR(__xludf.DUMMYFUNCTION("""COMPUTED_VALUE"""),45813.66666666667)</f>
        <v>45813.66667</v>
      </c>
      <c r="C1113" s="2">
        <f>IFERROR(__xludf.DUMMYFUNCTION("""COMPUTED_VALUE"""),64.62)</f>
        <v>64.62</v>
      </c>
      <c r="K1113" s="3">
        <f>IFERROR(__xludf.DUMMYFUNCTION("""COMPUTED_VALUE"""),45807.6875)</f>
        <v>45807.6875</v>
      </c>
      <c r="L1113" s="2">
        <f>IFERROR(__xludf.DUMMYFUNCTION("""COMPUTED_VALUE"""),77.2)</f>
        <v>77.2</v>
      </c>
      <c r="N1113" s="3">
        <f>IFERROR(__xludf.DUMMYFUNCTION("""COMPUTED_VALUE"""),45813.66666666667)</f>
        <v>45813.66667</v>
      </c>
      <c r="O1113" s="2">
        <f>IFERROR(__xludf.DUMMYFUNCTION("""COMPUTED_VALUE"""),29.05)</f>
        <v>29.05</v>
      </c>
      <c r="Q1113" s="3">
        <f>IFERROR(__xludf.DUMMYFUNCTION("""COMPUTED_VALUE"""),45813.66666666667)</f>
        <v>45813.66667</v>
      </c>
      <c r="R1113" s="2">
        <f>IFERROR(__xludf.DUMMYFUNCTION("""COMPUTED_VALUE"""),162.8)</f>
        <v>162.8</v>
      </c>
    </row>
    <row r="1114">
      <c r="B1114" s="3">
        <f>IFERROR(__xludf.DUMMYFUNCTION("""COMPUTED_VALUE"""),45814.66666666667)</f>
        <v>45814.66667</v>
      </c>
      <c r="C1114" s="2">
        <f>IFERROR(__xludf.DUMMYFUNCTION("""COMPUTED_VALUE"""),66.06)</f>
        <v>66.06</v>
      </c>
      <c r="K1114" s="3">
        <f>IFERROR(__xludf.DUMMYFUNCTION("""COMPUTED_VALUE"""),45810.6875)</f>
        <v>45810.6875</v>
      </c>
      <c r="L1114" s="2">
        <f>IFERROR(__xludf.DUMMYFUNCTION("""COMPUTED_VALUE"""),77.8)</f>
        <v>77.8</v>
      </c>
      <c r="N1114" s="3">
        <f>IFERROR(__xludf.DUMMYFUNCTION("""COMPUTED_VALUE"""),45814.66666666667)</f>
        <v>45814.66667</v>
      </c>
      <c r="O1114" s="2">
        <f>IFERROR(__xludf.DUMMYFUNCTION("""COMPUTED_VALUE"""),29.29)</f>
        <v>29.29</v>
      </c>
      <c r="Q1114" s="3">
        <f>IFERROR(__xludf.DUMMYFUNCTION("""COMPUTED_VALUE"""),45814.66666666667)</f>
        <v>45814.66667</v>
      </c>
      <c r="R1114" s="2">
        <f>IFERROR(__xludf.DUMMYFUNCTION("""COMPUTED_VALUE"""),164.02)</f>
        <v>164.02</v>
      </c>
    </row>
    <row r="1115">
      <c r="B1115" s="3">
        <f>IFERROR(__xludf.DUMMYFUNCTION("""COMPUTED_VALUE"""),45817.66666666667)</f>
        <v>45817.66667</v>
      </c>
      <c r="C1115" s="2">
        <f>IFERROR(__xludf.DUMMYFUNCTION("""COMPUTED_VALUE"""),65.9)</f>
        <v>65.9</v>
      </c>
      <c r="K1115" s="3">
        <f>IFERROR(__xludf.DUMMYFUNCTION("""COMPUTED_VALUE"""),45811.6875)</f>
        <v>45811.6875</v>
      </c>
      <c r="L1115" s="2">
        <f>IFERROR(__xludf.DUMMYFUNCTION("""COMPUTED_VALUE"""),77.04)</f>
        <v>77.04</v>
      </c>
      <c r="N1115" s="3">
        <f>IFERROR(__xludf.DUMMYFUNCTION("""COMPUTED_VALUE"""),45817.66666666667)</f>
        <v>45817.66667</v>
      </c>
      <c r="O1115" s="2">
        <f>IFERROR(__xludf.DUMMYFUNCTION("""COMPUTED_VALUE"""),29.46)</f>
        <v>29.46</v>
      </c>
      <c r="Q1115" s="3">
        <f>IFERROR(__xludf.DUMMYFUNCTION("""COMPUTED_VALUE"""),45817.66666666667)</f>
        <v>45817.66667</v>
      </c>
      <c r="R1115" s="2">
        <f>IFERROR(__xludf.DUMMYFUNCTION("""COMPUTED_VALUE"""),162.56)</f>
        <v>162.56</v>
      </c>
    </row>
    <row r="1116">
      <c r="B1116" s="3">
        <f>IFERROR(__xludf.DUMMYFUNCTION("""COMPUTED_VALUE"""),45818.66666666667)</f>
        <v>45818.66667</v>
      </c>
      <c r="C1116" s="2">
        <f>IFERROR(__xludf.DUMMYFUNCTION("""COMPUTED_VALUE"""),65.15)</f>
        <v>65.15</v>
      </c>
      <c r="K1116" s="3">
        <f>IFERROR(__xludf.DUMMYFUNCTION("""COMPUTED_VALUE"""),45812.6875)</f>
        <v>45812.6875</v>
      </c>
      <c r="L1116" s="2">
        <f>IFERROR(__xludf.DUMMYFUNCTION("""COMPUTED_VALUE"""),76.58)</f>
        <v>76.58</v>
      </c>
      <c r="N1116" s="3">
        <f>IFERROR(__xludf.DUMMYFUNCTION("""COMPUTED_VALUE"""),45818.66666666667)</f>
        <v>45818.66667</v>
      </c>
      <c r="O1116" s="2">
        <f>IFERROR(__xludf.DUMMYFUNCTION("""COMPUTED_VALUE"""),30.23)</f>
        <v>30.23</v>
      </c>
      <c r="Q1116" s="3">
        <f>IFERROR(__xludf.DUMMYFUNCTION("""COMPUTED_VALUE"""),45818.66666666667)</f>
        <v>45818.66667</v>
      </c>
      <c r="R1116" s="2">
        <f>IFERROR(__xludf.DUMMYFUNCTION("""COMPUTED_VALUE"""),162.84)</f>
        <v>162.84</v>
      </c>
    </row>
    <row r="1117">
      <c r="B1117" s="3">
        <f>IFERROR(__xludf.DUMMYFUNCTION("""COMPUTED_VALUE"""),45819.66666666667)</f>
        <v>45819.66667</v>
      </c>
      <c r="C1117" s="2">
        <f>IFERROR(__xludf.DUMMYFUNCTION("""COMPUTED_VALUE"""),64.19)</f>
        <v>64.19</v>
      </c>
      <c r="K1117" s="3">
        <f>IFERROR(__xludf.DUMMYFUNCTION("""COMPUTED_VALUE"""),45813.6875)</f>
        <v>45813.6875</v>
      </c>
      <c r="L1117" s="2">
        <f>IFERROR(__xludf.DUMMYFUNCTION("""COMPUTED_VALUE"""),76.68)</f>
        <v>76.68</v>
      </c>
      <c r="N1117" s="3">
        <f>IFERROR(__xludf.DUMMYFUNCTION("""COMPUTED_VALUE"""),45819.66666666667)</f>
        <v>45819.66667</v>
      </c>
      <c r="O1117" s="2">
        <f>IFERROR(__xludf.DUMMYFUNCTION("""COMPUTED_VALUE"""),30.81)</f>
        <v>30.81</v>
      </c>
      <c r="Q1117" s="3">
        <f>IFERROR(__xludf.DUMMYFUNCTION("""COMPUTED_VALUE"""),45819.66666666667)</f>
        <v>45819.66667</v>
      </c>
      <c r="R1117" s="2">
        <f>IFERROR(__xludf.DUMMYFUNCTION("""COMPUTED_VALUE"""),162.11)</f>
        <v>162.11</v>
      </c>
    </row>
    <row r="1118">
      <c r="B1118" s="3">
        <f>IFERROR(__xludf.DUMMYFUNCTION("""COMPUTED_VALUE"""),45820.66666666667)</f>
        <v>45820.66667</v>
      </c>
      <c r="C1118" s="2">
        <f>IFERROR(__xludf.DUMMYFUNCTION("""COMPUTED_VALUE"""),65.1)</f>
        <v>65.1</v>
      </c>
      <c r="K1118" s="3">
        <f>IFERROR(__xludf.DUMMYFUNCTION("""COMPUTED_VALUE"""),45814.6875)</f>
        <v>45814.6875</v>
      </c>
      <c r="L1118" s="2">
        <f>IFERROR(__xludf.DUMMYFUNCTION("""COMPUTED_VALUE"""),76.92)</f>
        <v>76.92</v>
      </c>
      <c r="N1118" s="3">
        <f>IFERROR(__xludf.DUMMYFUNCTION("""COMPUTED_VALUE"""),45820.66666666667)</f>
        <v>45820.66667</v>
      </c>
      <c r="O1118" s="2">
        <f>IFERROR(__xludf.DUMMYFUNCTION("""COMPUTED_VALUE"""),30.92)</f>
        <v>30.92</v>
      </c>
      <c r="Q1118" s="3">
        <f>IFERROR(__xludf.DUMMYFUNCTION("""COMPUTED_VALUE"""),45820.66666666667)</f>
        <v>45820.66667</v>
      </c>
      <c r="R1118" s="2">
        <f>IFERROR(__xludf.DUMMYFUNCTION("""COMPUTED_VALUE"""),163.18)</f>
        <v>163.18</v>
      </c>
    </row>
    <row r="1119">
      <c r="B1119" s="3">
        <f>IFERROR(__xludf.DUMMYFUNCTION("""COMPUTED_VALUE"""),45821.66666666667)</f>
        <v>45821.66667</v>
      </c>
      <c r="C1119" s="2">
        <f>IFERROR(__xludf.DUMMYFUNCTION("""COMPUTED_VALUE"""),64.09)</f>
        <v>64.09</v>
      </c>
      <c r="K1119" s="3">
        <f>IFERROR(__xludf.DUMMYFUNCTION("""COMPUTED_VALUE"""),45817.6875)</f>
        <v>45817.6875</v>
      </c>
      <c r="L1119" s="2">
        <f>IFERROR(__xludf.DUMMYFUNCTION("""COMPUTED_VALUE"""),76.98)</f>
        <v>76.98</v>
      </c>
      <c r="N1119" s="3">
        <f>IFERROR(__xludf.DUMMYFUNCTION("""COMPUTED_VALUE"""),45821.66666666667)</f>
        <v>45821.66667</v>
      </c>
      <c r="O1119" s="2">
        <f>IFERROR(__xludf.DUMMYFUNCTION("""COMPUTED_VALUE"""),31.72)</f>
        <v>31.72</v>
      </c>
      <c r="Q1119" s="3">
        <f>IFERROR(__xludf.DUMMYFUNCTION("""COMPUTED_VALUE"""),45821.66666666667)</f>
        <v>45821.66667</v>
      </c>
      <c r="R1119" s="2">
        <f>IFERROR(__xludf.DUMMYFUNCTION("""COMPUTED_VALUE"""),160.28)</f>
        <v>160.28</v>
      </c>
    </row>
    <row r="1120">
      <c r="B1120" s="3">
        <f>IFERROR(__xludf.DUMMYFUNCTION("""COMPUTED_VALUE"""),45824.66666666667)</f>
        <v>45824.66667</v>
      </c>
      <c r="C1120" s="2">
        <f>IFERROR(__xludf.DUMMYFUNCTION("""COMPUTED_VALUE"""),65.51)</f>
        <v>65.51</v>
      </c>
      <c r="K1120" s="3">
        <f>IFERROR(__xludf.DUMMYFUNCTION("""COMPUTED_VALUE"""),45818.6875)</f>
        <v>45818.6875</v>
      </c>
      <c r="L1120" s="2">
        <f>IFERROR(__xludf.DUMMYFUNCTION("""COMPUTED_VALUE"""),75.68)</f>
        <v>75.68</v>
      </c>
      <c r="N1120" s="3">
        <f>IFERROR(__xludf.DUMMYFUNCTION("""COMPUTED_VALUE"""),45824.66666666667)</f>
        <v>45824.66667</v>
      </c>
      <c r="O1120" s="2">
        <f>IFERROR(__xludf.DUMMYFUNCTION("""COMPUTED_VALUE"""),31.16)</f>
        <v>31.16</v>
      </c>
      <c r="Q1120" s="3">
        <f>IFERROR(__xludf.DUMMYFUNCTION("""COMPUTED_VALUE"""),45824.66666666667)</f>
        <v>45824.66667</v>
      </c>
      <c r="R1120" s="2">
        <f>IFERROR(__xludf.DUMMYFUNCTION("""COMPUTED_VALUE"""),160.88)</f>
        <v>160.88</v>
      </c>
    </row>
    <row r="1121">
      <c r="B1121" s="3">
        <f>IFERROR(__xludf.DUMMYFUNCTION("""COMPUTED_VALUE"""),45825.66666666667)</f>
        <v>45825.66667</v>
      </c>
      <c r="C1121" s="2">
        <f>IFERROR(__xludf.DUMMYFUNCTION("""COMPUTED_VALUE"""),65.33)</f>
        <v>65.33</v>
      </c>
      <c r="K1121" s="3">
        <f>IFERROR(__xludf.DUMMYFUNCTION("""COMPUTED_VALUE"""),45819.6875)</f>
        <v>45819.6875</v>
      </c>
      <c r="L1121" s="2">
        <f>IFERROR(__xludf.DUMMYFUNCTION("""COMPUTED_VALUE"""),76.06)</f>
        <v>76.06</v>
      </c>
      <c r="N1121" s="3">
        <f>IFERROR(__xludf.DUMMYFUNCTION("""COMPUTED_VALUE"""),45825.66666666667)</f>
        <v>45825.66667</v>
      </c>
      <c r="O1121" s="2">
        <f>IFERROR(__xludf.DUMMYFUNCTION("""COMPUTED_VALUE"""),31.58)</f>
        <v>31.58</v>
      </c>
      <c r="Q1121" s="3">
        <f>IFERROR(__xludf.DUMMYFUNCTION("""COMPUTED_VALUE"""),45825.66666666667)</f>
        <v>45825.66667</v>
      </c>
      <c r="R1121" s="2">
        <f>IFERROR(__xludf.DUMMYFUNCTION("""COMPUTED_VALUE"""),158.52)</f>
        <v>158.52</v>
      </c>
    </row>
    <row r="1122">
      <c r="B1122" s="3">
        <f>IFERROR(__xludf.DUMMYFUNCTION("""COMPUTED_VALUE"""),45826.66666666667)</f>
        <v>45826.66667</v>
      </c>
      <c r="C1122" s="2">
        <f>IFERROR(__xludf.DUMMYFUNCTION("""COMPUTED_VALUE"""),65.84)</f>
        <v>65.84</v>
      </c>
      <c r="K1122" s="3">
        <f>IFERROR(__xludf.DUMMYFUNCTION("""COMPUTED_VALUE"""),45820.6875)</f>
        <v>45820.6875</v>
      </c>
      <c r="L1122" s="2">
        <f>IFERROR(__xludf.DUMMYFUNCTION("""COMPUTED_VALUE"""),76.82)</f>
        <v>76.82</v>
      </c>
      <c r="N1122" s="3">
        <f>IFERROR(__xludf.DUMMYFUNCTION("""COMPUTED_VALUE"""),45826.66666666667)</f>
        <v>45826.66667</v>
      </c>
      <c r="O1122" s="2">
        <f>IFERROR(__xludf.DUMMYFUNCTION("""COMPUTED_VALUE"""),31.14)</f>
        <v>31.14</v>
      </c>
      <c r="Q1122" s="3">
        <f>IFERROR(__xludf.DUMMYFUNCTION("""COMPUTED_VALUE"""),45826.66666666667)</f>
        <v>45826.66667</v>
      </c>
      <c r="R1122" s="2">
        <f>IFERROR(__xludf.DUMMYFUNCTION("""COMPUTED_VALUE"""),158.02)</f>
        <v>158.02</v>
      </c>
    </row>
    <row r="1123">
      <c r="B1123" s="3">
        <f>IFERROR(__xludf.DUMMYFUNCTION("""COMPUTED_VALUE"""),45828.66666666667)</f>
        <v>45828.66667</v>
      </c>
      <c r="C1123" s="2">
        <f>IFERROR(__xludf.DUMMYFUNCTION("""COMPUTED_VALUE"""),66.32)</f>
        <v>66.32</v>
      </c>
      <c r="K1123" s="3">
        <f>IFERROR(__xludf.DUMMYFUNCTION("""COMPUTED_VALUE"""),45821.6875)</f>
        <v>45821.6875</v>
      </c>
      <c r="L1123" s="2">
        <f>IFERROR(__xludf.DUMMYFUNCTION("""COMPUTED_VALUE"""),76.5)</f>
        <v>76.5</v>
      </c>
      <c r="N1123" s="3">
        <f>IFERROR(__xludf.DUMMYFUNCTION("""COMPUTED_VALUE"""),45828.66666666667)</f>
        <v>45828.66667</v>
      </c>
      <c r="O1123" s="2">
        <f>IFERROR(__xludf.DUMMYFUNCTION("""COMPUTED_VALUE"""),31.25)</f>
        <v>31.25</v>
      </c>
      <c r="Q1123" s="3">
        <f>IFERROR(__xludf.DUMMYFUNCTION("""COMPUTED_VALUE"""),45828.66666666667)</f>
        <v>45828.66667</v>
      </c>
      <c r="R1123" s="2">
        <f>IFERROR(__xludf.DUMMYFUNCTION("""COMPUTED_VALUE"""),159.08)</f>
        <v>159.08</v>
      </c>
    </row>
    <row r="1124">
      <c r="B1124" s="3">
        <f>IFERROR(__xludf.DUMMYFUNCTION("""COMPUTED_VALUE"""),45831.66666666667)</f>
        <v>45831.66667</v>
      </c>
      <c r="C1124" s="2">
        <f>IFERROR(__xludf.DUMMYFUNCTION("""COMPUTED_VALUE"""),67.38)</f>
        <v>67.38</v>
      </c>
      <c r="K1124" s="3">
        <f>IFERROR(__xludf.DUMMYFUNCTION("""COMPUTED_VALUE"""),45824.6875)</f>
        <v>45824.6875</v>
      </c>
      <c r="L1124" s="2">
        <f>IFERROR(__xludf.DUMMYFUNCTION("""COMPUTED_VALUE"""),77.16)</f>
        <v>77.16</v>
      </c>
      <c r="N1124" s="3">
        <f>IFERROR(__xludf.DUMMYFUNCTION("""COMPUTED_VALUE"""),45831.66666666667)</f>
        <v>45831.66667</v>
      </c>
      <c r="O1124" s="2">
        <f>IFERROR(__xludf.DUMMYFUNCTION("""COMPUTED_VALUE"""),30.32)</f>
        <v>30.32</v>
      </c>
      <c r="Q1124" s="3">
        <f>IFERROR(__xludf.DUMMYFUNCTION("""COMPUTED_VALUE"""),45831.66666666667)</f>
        <v>45831.66667</v>
      </c>
      <c r="R1124" s="2">
        <f>IFERROR(__xludf.DUMMYFUNCTION("""COMPUTED_VALUE"""),161.03)</f>
        <v>161.03</v>
      </c>
    </row>
    <row r="1125">
      <c r="B1125" s="3">
        <f>IFERROR(__xludf.DUMMYFUNCTION("""COMPUTED_VALUE"""),45832.66666666667)</f>
        <v>45832.66667</v>
      </c>
      <c r="C1125" s="2">
        <f>IFERROR(__xludf.DUMMYFUNCTION("""COMPUTED_VALUE"""),67.89)</f>
        <v>67.89</v>
      </c>
      <c r="K1125" s="3">
        <f>IFERROR(__xludf.DUMMYFUNCTION("""COMPUTED_VALUE"""),45825.6875)</f>
        <v>45825.6875</v>
      </c>
      <c r="L1125" s="2">
        <f>IFERROR(__xludf.DUMMYFUNCTION("""COMPUTED_VALUE"""),75.74)</f>
        <v>75.74</v>
      </c>
      <c r="N1125" s="3">
        <f>IFERROR(__xludf.DUMMYFUNCTION("""COMPUTED_VALUE"""),45832.66666666667)</f>
        <v>45832.66667</v>
      </c>
      <c r="O1125" s="2">
        <f>IFERROR(__xludf.DUMMYFUNCTION("""COMPUTED_VALUE"""),29.83)</f>
        <v>29.83</v>
      </c>
      <c r="Q1125" s="3">
        <f>IFERROR(__xludf.DUMMYFUNCTION("""COMPUTED_VALUE"""),45832.66666666667)</f>
        <v>45832.66667</v>
      </c>
      <c r="R1125" s="2">
        <f>IFERROR(__xludf.DUMMYFUNCTION("""COMPUTED_VALUE"""),160.36)</f>
        <v>160.36</v>
      </c>
    </row>
    <row r="1126">
      <c r="B1126" s="3">
        <f>IFERROR(__xludf.DUMMYFUNCTION("""COMPUTED_VALUE"""),45833.66666666667)</f>
        <v>45833.66667</v>
      </c>
      <c r="C1126" s="2">
        <f>IFERROR(__xludf.DUMMYFUNCTION("""COMPUTED_VALUE"""),68.19)</f>
        <v>68.19</v>
      </c>
      <c r="K1126" s="3">
        <f>IFERROR(__xludf.DUMMYFUNCTION("""COMPUTED_VALUE"""),45826.6875)</f>
        <v>45826.6875</v>
      </c>
      <c r="L1126" s="2">
        <f>IFERROR(__xludf.DUMMYFUNCTION("""COMPUTED_VALUE"""),76.6)</f>
        <v>76.6</v>
      </c>
      <c r="N1126" s="3">
        <f>IFERROR(__xludf.DUMMYFUNCTION("""COMPUTED_VALUE"""),45833.66666666667)</f>
        <v>45833.66667</v>
      </c>
      <c r="O1126" s="2">
        <f>IFERROR(__xludf.DUMMYFUNCTION("""COMPUTED_VALUE"""),30.32)</f>
        <v>30.32</v>
      </c>
      <c r="Q1126" s="3">
        <f>IFERROR(__xludf.DUMMYFUNCTION("""COMPUTED_VALUE"""),45833.66666666667)</f>
        <v>45833.66667</v>
      </c>
      <c r="R1126" s="2">
        <f>IFERROR(__xludf.DUMMYFUNCTION("""COMPUTED_VALUE"""),158.97)</f>
        <v>158.97</v>
      </c>
    </row>
    <row r="1127">
      <c r="B1127" s="3">
        <f>IFERROR(__xludf.DUMMYFUNCTION("""COMPUTED_VALUE"""),45834.66666666667)</f>
        <v>45834.66667</v>
      </c>
      <c r="C1127" s="2">
        <f>IFERROR(__xludf.DUMMYFUNCTION("""COMPUTED_VALUE"""),68.95)</f>
        <v>68.95</v>
      </c>
      <c r="K1127" s="3">
        <f>IFERROR(__xludf.DUMMYFUNCTION("""COMPUTED_VALUE"""),45827.6875)</f>
        <v>45827.6875</v>
      </c>
      <c r="L1127" s="2">
        <f>IFERROR(__xludf.DUMMYFUNCTION("""COMPUTED_VALUE"""),75.48)</f>
        <v>75.48</v>
      </c>
      <c r="N1127" s="3">
        <f>IFERROR(__xludf.DUMMYFUNCTION("""COMPUTED_VALUE"""),45834.66666666667)</f>
        <v>45834.66667</v>
      </c>
      <c r="O1127" s="2">
        <f>IFERROR(__xludf.DUMMYFUNCTION("""COMPUTED_VALUE"""),30.29)</f>
        <v>30.29</v>
      </c>
      <c r="Q1127" s="3">
        <f>IFERROR(__xludf.DUMMYFUNCTION("""COMPUTED_VALUE"""),45834.66666666667)</f>
        <v>45834.66667</v>
      </c>
      <c r="R1127" s="2">
        <f>IFERROR(__xludf.DUMMYFUNCTION("""COMPUTED_VALUE"""),158.63)</f>
        <v>158.63</v>
      </c>
    </row>
    <row r="1128">
      <c r="B1128" s="3">
        <f>IFERROR(__xludf.DUMMYFUNCTION("""COMPUTED_VALUE"""),45835.66666666667)</f>
        <v>45835.66667</v>
      </c>
      <c r="C1128" s="2">
        <f>IFERROR(__xludf.DUMMYFUNCTION("""COMPUTED_VALUE"""),68.65)</f>
        <v>68.65</v>
      </c>
      <c r="K1128" s="3">
        <f>IFERROR(__xludf.DUMMYFUNCTION("""COMPUTED_VALUE"""),45828.6875)</f>
        <v>45828.6875</v>
      </c>
      <c r="L1128" s="2">
        <f>IFERROR(__xludf.DUMMYFUNCTION("""COMPUTED_VALUE"""),75.56)</f>
        <v>75.56</v>
      </c>
      <c r="N1128" s="3">
        <f>IFERROR(__xludf.DUMMYFUNCTION("""COMPUTED_VALUE"""),45835.66666666667)</f>
        <v>45835.66667</v>
      </c>
      <c r="O1128" s="2">
        <f>IFERROR(__xludf.DUMMYFUNCTION("""COMPUTED_VALUE"""),30.34)</f>
        <v>30.34</v>
      </c>
      <c r="Q1128" s="3">
        <f>IFERROR(__xludf.DUMMYFUNCTION("""COMPUTED_VALUE"""),45835.66666666667)</f>
        <v>45835.66667</v>
      </c>
      <c r="R1128" s="2">
        <f>IFERROR(__xludf.DUMMYFUNCTION("""COMPUTED_VALUE"""),159.86)</f>
        <v>159.86</v>
      </c>
    </row>
    <row r="1129">
      <c r="B1129" s="3">
        <f>IFERROR(__xludf.DUMMYFUNCTION("""COMPUTED_VALUE"""),45838.66666666667)</f>
        <v>45838.66667</v>
      </c>
      <c r="C1129" s="2">
        <f>IFERROR(__xludf.DUMMYFUNCTION("""COMPUTED_VALUE"""),69.38)</f>
        <v>69.38</v>
      </c>
      <c r="K1129" s="3">
        <f>IFERROR(__xludf.DUMMYFUNCTION("""COMPUTED_VALUE"""),45831.6875)</f>
        <v>45831.6875</v>
      </c>
      <c r="L1129" s="2">
        <f>IFERROR(__xludf.DUMMYFUNCTION("""COMPUTED_VALUE"""),74.88)</f>
        <v>74.88</v>
      </c>
      <c r="N1129" s="3">
        <f>IFERROR(__xludf.DUMMYFUNCTION("""COMPUTED_VALUE"""),45838.66666666667)</f>
        <v>45838.66667</v>
      </c>
      <c r="O1129" s="2">
        <f>IFERROR(__xludf.DUMMYFUNCTION("""COMPUTED_VALUE"""),29.93)</f>
        <v>29.93</v>
      </c>
      <c r="Q1129" s="3">
        <f>IFERROR(__xludf.DUMMYFUNCTION("""COMPUTED_VALUE"""),45838.66666666667)</f>
        <v>45838.66667</v>
      </c>
      <c r="R1129" s="2">
        <f>IFERROR(__xludf.DUMMYFUNCTION("""COMPUTED_VALUE"""),159.32)</f>
        <v>159.32</v>
      </c>
    </row>
    <row r="1130">
      <c r="B1130" s="3">
        <f>IFERROR(__xludf.DUMMYFUNCTION("""COMPUTED_VALUE"""),45839.66666666667)</f>
        <v>45839.66667</v>
      </c>
      <c r="C1130" s="2">
        <f>IFERROR(__xludf.DUMMYFUNCTION("""COMPUTED_VALUE"""),69.1)</f>
        <v>69.1</v>
      </c>
      <c r="K1130" s="3">
        <f>IFERROR(__xludf.DUMMYFUNCTION("""COMPUTED_VALUE"""),45832.6875)</f>
        <v>45832.6875</v>
      </c>
      <c r="L1130" s="2">
        <f>IFERROR(__xludf.DUMMYFUNCTION("""COMPUTED_VALUE"""),76.66)</f>
        <v>76.66</v>
      </c>
      <c r="N1130" s="3">
        <f>IFERROR(__xludf.DUMMYFUNCTION("""COMPUTED_VALUE"""),45839.66666666667)</f>
        <v>45839.66667</v>
      </c>
      <c r="O1130" s="2">
        <f>IFERROR(__xludf.DUMMYFUNCTION("""COMPUTED_VALUE"""),30.5)</f>
        <v>30.5</v>
      </c>
      <c r="Q1130" s="3">
        <f>IFERROR(__xludf.DUMMYFUNCTION("""COMPUTED_VALUE"""),45839.66666666667)</f>
        <v>45839.66667</v>
      </c>
      <c r="R1130" s="2">
        <f>IFERROR(__xludf.DUMMYFUNCTION("""COMPUTED_VALUE"""),161.22)</f>
        <v>161.22</v>
      </c>
    </row>
    <row r="1131">
      <c r="B1131" s="3">
        <f>IFERROR(__xludf.DUMMYFUNCTION("""COMPUTED_VALUE"""),45840.66666666667)</f>
        <v>45840.66667</v>
      </c>
      <c r="C1131" s="2">
        <f>IFERROR(__xludf.DUMMYFUNCTION("""COMPUTED_VALUE"""),68.59)</f>
        <v>68.59</v>
      </c>
      <c r="K1131" s="3">
        <f>IFERROR(__xludf.DUMMYFUNCTION("""COMPUTED_VALUE"""),45833.6875)</f>
        <v>45833.6875</v>
      </c>
      <c r="L1131" s="2">
        <f>IFERROR(__xludf.DUMMYFUNCTION("""COMPUTED_VALUE"""),76.02)</f>
        <v>76.02</v>
      </c>
      <c r="N1131" s="3">
        <f>IFERROR(__xludf.DUMMYFUNCTION("""COMPUTED_VALUE"""),45840.66666666667)</f>
        <v>45840.66667</v>
      </c>
      <c r="O1131" s="2">
        <f>IFERROR(__xludf.DUMMYFUNCTION("""COMPUTED_VALUE"""),31.3)</f>
        <v>31.3</v>
      </c>
      <c r="Q1131" s="3">
        <f>IFERROR(__xludf.DUMMYFUNCTION("""COMPUTED_VALUE"""),45840.66666666667)</f>
        <v>45840.66667</v>
      </c>
      <c r="R1131" s="2">
        <f>IFERROR(__xludf.DUMMYFUNCTION("""COMPUTED_VALUE"""),161.2)</f>
        <v>161.2</v>
      </c>
    </row>
    <row r="1132">
      <c r="B1132" s="3">
        <f>IFERROR(__xludf.DUMMYFUNCTION("""COMPUTED_VALUE"""),45841.54513888889)</f>
        <v>45841.54514</v>
      </c>
      <c r="C1132" s="2">
        <f>IFERROR(__xludf.DUMMYFUNCTION("""COMPUTED_VALUE"""),69.37)</f>
        <v>69.37</v>
      </c>
      <c r="K1132" s="3">
        <f>IFERROR(__xludf.DUMMYFUNCTION("""COMPUTED_VALUE"""),45834.6875)</f>
        <v>45834.6875</v>
      </c>
      <c r="L1132" s="2">
        <f>IFERROR(__xludf.DUMMYFUNCTION("""COMPUTED_VALUE"""),75.76)</f>
        <v>75.76</v>
      </c>
      <c r="N1132" s="3">
        <f>IFERROR(__xludf.DUMMYFUNCTION("""COMPUTED_VALUE"""),45841.54166666667)</f>
        <v>45841.54167</v>
      </c>
      <c r="O1132" s="2">
        <f>IFERROR(__xludf.DUMMYFUNCTION("""COMPUTED_VALUE"""),30.93)</f>
        <v>30.93</v>
      </c>
      <c r="Q1132" s="3">
        <f>IFERROR(__xludf.DUMMYFUNCTION("""COMPUTED_VALUE"""),45841.54166666667)</f>
        <v>45841.54167</v>
      </c>
      <c r="R1132" s="2">
        <f>IFERROR(__xludf.DUMMYFUNCTION("""COMPUTED_VALUE"""),160.83)</f>
        <v>160.83</v>
      </c>
    </row>
    <row r="1133">
      <c r="B1133" s="3">
        <f>IFERROR(__xludf.DUMMYFUNCTION("""COMPUTED_VALUE"""),45845.66666666667)</f>
        <v>45845.66667</v>
      </c>
      <c r="C1133" s="2">
        <f>IFERROR(__xludf.DUMMYFUNCTION("""COMPUTED_VALUE"""),68.93)</f>
        <v>68.93</v>
      </c>
      <c r="K1133" s="3">
        <f>IFERROR(__xludf.DUMMYFUNCTION("""COMPUTED_VALUE"""),45835.6875)</f>
        <v>45835.6875</v>
      </c>
      <c r="L1133" s="2">
        <f>IFERROR(__xludf.DUMMYFUNCTION("""COMPUTED_VALUE"""),76.62)</f>
        <v>76.62</v>
      </c>
      <c r="N1133" s="3">
        <f>IFERROR(__xludf.DUMMYFUNCTION("""COMPUTED_VALUE"""),45845.66666666667)</f>
        <v>45845.66667</v>
      </c>
      <c r="O1133" s="2">
        <f>IFERROR(__xludf.DUMMYFUNCTION("""COMPUTED_VALUE"""),30.25)</f>
        <v>30.25</v>
      </c>
      <c r="Q1133" s="3">
        <f>IFERROR(__xludf.DUMMYFUNCTION("""COMPUTED_VALUE"""),45845.66666666667)</f>
        <v>45845.66667</v>
      </c>
      <c r="R1133" s="2">
        <f>IFERROR(__xludf.DUMMYFUNCTION("""COMPUTED_VALUE"""),160.5)</f>
        <v>160.5</v>
      </c>
    </row>
    <row r="1134">
      <c r="B1134" s="3">
        <f>IFERROR(__xludf.DUMMYFUNCTION("""COMPUTED_VALUE"""),45846.66666666667)</f>
        <v>45846.66667</v>
      </c>
      <c r="C1134" s="2">
        <f>IFERROR(__xludf.DUMMYFUNCTION("""COMPUTED_VALUE"""),68.59)</f>
        <v>68.59</v>
      </c>
      <c r="K1134" s="3">
        <f>IFERROR(__xludf.DUMMYFUNCTION("""COMPUTED_VALUE"""),45838.6875)</f>
        <v>45838.6875</v>
      </c>
      <c r="L1134" s="2">
        <f>IFERROR(__xludf.DUMMYFUNCTION("""COMPUTED_VALUE"""),76.7)</f>
        <v>76.7</v>
      </c>
      <c r="N1134" s="3">
        <f>IFERROR(__xludf.DUMMYFUNCTION("""COMPUTED_VALUE"""),45846.66666666667)</f>
        <v>45846.66667</v>
      </c>
      <c r="O1134" s="2">
        <f>IFERROR(__xludf.DUMMYFUNCTION("""COMPUTED_VALUE"""),31.27)</f>
        <v>31.27</v>
      </c>
      <c r="Q1134" s="3">
        <f>IFERROR(__xludf.DUMMYFUNCTION("""COMPUTED_VALUE"""),45846.66666666667)</f>
        <v>45846.66667</v>
      </c>
      <c r="R1134" s="2">
        <f>IFERROR(__xludf.DUMMYFUNCTION("""COMPUTED_VALUE"""),157.89)</f>
        <v>157.89</v>
      </c>
    </row>
    <row r="1135">
      <c r="B1135" s="3">
        <f>IFERROR(__xludf.DUMMYFUNCTION("""COMPUTED_VALUE"""),45847.66666666667)</f>
        <v>45847.66667</v>
      </c>
      <c r="C1135" s="2">
        <f>IFERROR(__xludf.DUMMYFUNCTION("""COMPUTED_VALUE"""),69.27)</f>
        <v>69.27</v>
      </c>
      <c r="K1135" s="3">
        <f>IFERROR(__xludf.DUMMYFUNCTION("""COMPUTED_VALUE"""),45839.6875)</f>
        <v>45839.6875</v>
      </c>
      <c r="L1135" s="2">
        <f>IFERROR(__xludf.DUMMYFUNCTION("""COMPUTED_VALUE"""),76.36)</f>
        <v>76.36</v>
      </c>
      <c r="N1135" s="3">
        <f>IFERROR(__xludf.DUMMYFUNCTION("""COMPUTED_VALUE"""),45847.66666666667)</f>
        <v>45847.66667</v>
      </c>
      <c r="O1135" s="2">
        <f>IFERROR(__xludf.DUMMYFUNCTION("""COMPUTED_VALUE"""),31.27)</f>
        <v>31.27</v>
      </c>
      <c r="Q1135" s="3">
        <f>IFERROR(__xludf.DUMMYFUNCTION("""COMPUTED_VALUE"""),45847.66666666667)</f>
        <v>45847.66667</v>
      </c>
      <c r="R1135" s="2">
        <f>IFERROR(__xludf.DUMMYFUNCTION("""COMPUTED_VALUE"""),157.52)</f>
        <v>157.52</v>
      </c>
    </row>
    <row r="1136">
      <c r="B1136" s="3">
        <f>IFERROR(__xludf.DUMMYFUNCTION("""COMPUTED_VALUE"""),45848.66666666667)</f>
        <v>45848.66667</v>
      </c>
      <c r="C1136" s="2">
        <f>IFERROR(__xludf.DUMMYFUNCTION("""COMPUTED_VALUE"""),68.76)</f>
        <v>68.76</v>
      </c>
      <c r="K1136" s="3">
        <f>IFERROR(__xludf.DUMMYFUNCTION("""COMPUTED_VALUE"""),45840.6875)</f>
        <v>45840.6875</v>
      </c>
      <c r="L1136" s="2">
        <f>IFERROR(__xludf.DUMMYFUNCTION("""COMPUTED_VALUE"""),73.54)</f>
        <v>73.54</v>
      </c>
      <c r="N1136" s="3">
        <f>IFERROR(__xludf.DUMMYFUNCTION("""COMPUTED_VALUE"""),45848.66666666667)</f>
        <v>45848.66667</v>
      </c>
      <c r="O1136" s="2">
        <f>IFERROR(__xludf.DUMMYFUNCTION("""COMPUTED_VALUE"""),31.52)</f>
        <v>31.52</v>
      </c>
      <c r="Q1136" s="3">
        <f>IFERROR(__xludf.DUMMYFUNCTION("""COMPUTED_VALUE"""),45848.66666666667)</f>
        <v>45848.66667</v>
      </c>
      <c r="R1136" s="2">
        <f>IFERROR(__xludf.DUMMYFUNCTION("""COMPUTED_VALUE"""),158.49)</f>
        <v>158.49</v>
      </c>
    </row>
    <row r="1137">
      <c r="B1137" s="3">
        <f>IFERROR(__xludf.DUMMYFUNCTION("""COMPUTED_VALUE"""),45849.66666666667)</f>
        <v>45849.66667</v>
      </c>
      <c r="C1137" s="2">
        <f>IFERROR(__xludf.DUMMYFUNCTION("""COMPUTED_VALUE"""),67.95)</f>
        <v>67.95</v>
      </c>
      <c r="K1137" s="3">
        <f>IFERROR(__xludf.DUMMYFUNCTION("""COMPUTED_VALUE"""),45841.6875)</f>
        <v>45841.6875</v>
      </c>
      <c r="L1137" s="2">
        <f>IFERROR(__xludf.DUMMYFUNCTION("""COMPUTED_VALUE"""),75.88)</f>
        <v>75.88</v>
      </c>
      <c r="N1137" s="3">
        <f>IFERROR(__xludf.DUMMYFUNCTION("""COMPUTED_VALUE"""),45849.66666666667)</f>
        <v>45849.66667</v>
      </c>
      <c r="O1137" s="2">
        <f>IFERROR(__xludf.DUMMYFUNCTION("""COMPUTED_VALUE"""),32.64)</f>
        <v>32.64</v>
      </c>
      <c r="Q1137" s="3">
        <f>IFERROR(__xludf.DUMMYFUNCTION("""COMPUTED_VALUE"""),45849.66666666667)</f>
        <v>45849.66667</v>
      </c>
      <c r="R1137" s="2">
        <f>IFERROR(__xludf.DUMMYFUNCTION("""COMPUTED_VALUE"""),157.05)</f>
        <v>157.05</v>
      </c>
    </row>
    <row r="1138">
      <c r="B1138" s="3">
        <f>IFERROR(__xludf.DUMMYFUNCTION("""COMPUTED_VALUE"""),45852.66666666667)</f>
        <v>45852.66667</v>
      </c>
      <c r="C1138" s="2">
        <f>IFERROR(__xludf.DUMMYFUNCTION("""COMPUTED_VALUE"""),67.82)</f>
        <v>67.82</v>
      </c>
      <c r="K1138" s="3">
        <f>IFERROR(__xludf.DUMMYFUNCTION("""COMPUTED_VALUE"""),45842.6875)</f>
        <v>45842.6875</v>
      </c>
      <c r="L1138" s="2">
        <f>IFERROR(__xludf.DUMMYFUNCTION("""COMPUTED_VALUE"""),75.36)</f>
        <v>75.36</v>
      </c>
      <c r="N1138" s="3">
        <f>IFERROR(__xludf.DUMMYFUNCTION("""COMPUTED_VALUE"""),45852.66666666667)</f>
        <v>45852.66667</v>
      </c>
      <c r="O1138" s="2">
        <f>IFERROR(__xludf.DUMMYFUNCTION("""COMPUTED_VALUE"""),32.1)</f>
        <v>32.1</v>
      </c>
      <c r="Q1138" s="3">
        <f>IFERROR(__xludf.DUMMYFUNCTION("""COMPUTED_VALUE"""),45852.66666666667)</f>
        <v>45852.66667</v>
      </c>
      <c r="R1138" s="2">
        <f>IFERROR(__xludf.DUMMYFUNCTION("""COMPUTED_VALUE"""),153.76)</f>
        <v>153.76</v>
      </c>
    </row>
    <row r="1139">
      <c r="B1139" s="3">
        <f>IFERROR(__xludf.DUMMYFUNCTION("""COMPUTED_VALUE"""),45853.66666666667)</f>
        <v>45853.66667</v>
      </c>
      <c r="C1139" s="2">
        <f>IFERROR(__xludf.DUMMYFUNCTION("""COMPUTED_VALUE"""),67.18)</f>
        <v>67.18</v>
      </c>
      <c r="K1139" s="3">
        <f>IFERROR(__xludf.DUMMYFUNCTION("""COMPUTED_VALUE"""),45845.6875)</f>
        <v>45845.6875</v>
      </c>
      <c r="L1139" s="2">
        <f>IFERROR(__xludf.DUMMYFUNCTION("""COMPUTED_VALUE"""),75.68)</f>
        <v>75.68</v>
      </c>
      <c r="N1139" s="3">
        <f>IFERROR(__xludf.DUMMYFUNCTION("""COMPUTED_VALUE"""),45853.66666666667)</f>
        <v>45853.66667</v>
      </c>
      <c r="O1139" s="2">
        <f>IFERROR(__xludf.DUMMYFUNCTION("""COMPUTED_VALUE"""),31.86)</f>
        <v>31.86</v>
      </c>
      <c r="Q1139" s="3">
        <f>IFERROR(__xludf.DUMMYFUNCTION("""COMPUTED_VALUE"""),45853.66666666667)</f>
        <v>45853.66667</v>
      </c>
      <c r="R1139" s="2">
        <f>IFERROR(__xludf.DUMMYFUNCTION("""COMPUTED_VALUE"""),152.68)</f>
        <v>152.68</v>
      </c>
    </row>
    <row r="1140">
      <c r="B1140" s="3">
        <f>IFERROR(__xludf.DUMMYFUNCTION("""COMPUTED_VALUE"""),45854.66666666667)</f>
        <v>45854.66667</v>
      </c>
      <c r="C1140" s="2">
        <f>IFERROR(__xludf.DUMMYFUNCTION("""COMPUTED_VALUE"""),67.37)</f>
        <v>67.37</v>
      </c>
      <c r="K1140" s="3">
        <f>IFERROR(__xludf.DUMMYFUNCTION("""COMPUTED_VALUE"""),45846.6875)</f>
        <v>45846.6875</v>
      </c>
      <c r="L1140" s="2">
        <f>IFERROR(__xludf.DUMMYFUNCTION("""COMPUTED_VALUE"""),75.66)</f>
        <v>75.66</v>
      </c>
      <c r="N1140" s="3">
        <f>IFERROR(__xludf.DUMMYFUNCTION("""COMPUTED_VALUE"""),45854.66666666667)</f>
        <v>45854.66667</v>
      </c>
      <c r="O1140" s="2">
        <f>IFERROR(__xludf.DUMMYFUNCTION("""COMPUTED_VALUE"""),31.92)</f>
        <v>31.92</v>
      </c>
      <c r="Q1140" s="3">
        <f>IFERROR(__xludf.DUMMYFUNCTION("""COMPUTED_VALUE"""),45854.66666666667)</f>
        <v>45854.66667</v>
      </c>
      <c r="R1140" s="2">
        <f>IFERROR(__xludf.DUMMYFUNCTION("""COMPUTED_VALUE"""),153.73)</f>
        <v>153.73</v>
      </c>
    </row>
    <row r="1141">
      <c r="B1141" s="3">
        <f>IFERROR(__xludf.DUMMYFUNCTION("""COMPUTED_VALUE"""),45855.66666666667)</f>
        <v>45855.66667</v>
      </c>
      <c r="C1141" s="2">
        <f>IFERROR(__xludf.DUMMYFUNCTION("""COMPUTED_VALUE"""),68.3)</f>
        <v>68.3</v>
      </c>
      <c r="K1141" s="3">
        <f>IFERROR(__xludf.DUMMYFUNCTION("""COMPUTED_VALUE"""),45847.6875)</f>
        <v>45847.6875</v>
      </c>
      <c r="L1141" s="2">
        <f>IFERROR(__xludf.DUMMYFUNCTION("""COMPUTED_VALUE"""),75.56)</f>
        <v>75.56</v>
      </c>
      <c r="N1141" s="3">
        <f>IFERROR(__xludf.DUMMYFUNCTION("""COMPUTED_VALUE"""),45855.66666666667)</f>
        <v>45855.66667</v>
      </c>
      <c r="O1141" s="2">
        <f>IFERROR(__xludf.DUMMYFUNCTION("""COMPUTED_VALUE"""),32.09)</f>
        <v>32.09</v>
      </c>
      <c r="Q1141" s="3">
        <f>IFERROR(__xludf.DUMMYFUNCTION("""COMPUTED_VALUE"""),45855.66666666667)</f>
        <v>45855.66667</v>
      </c>
      <c r="R1141" s="2">
        <f>IFERROR(__xludf.DUMMYFUNCTION("""COMPUTED_VALUE"""),155.62)</f>
        <v>155.62</v>
      </c>
    </row>
    <row r="1142">
      <c r="B1142" s="3">
        <f>IFERROR(__xludf.DUMMYFUNCTION("""COMPUTED_VALUE"""),45856.66666666667)</f>
        <v>45856.66667</v>
      </c>
      <c r="C1142" s="2">
        <f>IFERROR(__xludf.DUMMYFUNCTION("""COMPUTED_VALUE"""),68.05)</f>
        <v>68.05</v>
      </c>
      <c r="K1142" s="3">
        <f>IFERROR(__xludf.DUMMYFUNCTION("""COMPUTED_VALUE"""),45848.6875)</f>
        <v>45848.6875</v>
      </c>
      <c r="L1142" s="2">
        <f>IFERROR(__xludf.DUMMYFUNCTION("""COMPUTED_VALUE"""),76.04)</f>
        <v>76.04</v>
      </c>
      <c r="N1142" s="3">
        <f>IFERROR(__xludf.DUMMYFUNCTION("""COMPUTED_VALUE"""),45856.66666666667)</f>
        <v>45856.66667</v>
      </c>
      <c r="O1142" s="2">
        <f>IFERROR(__xludf.DUMMYFUNCTION("""COMPUTED_VALUE"""),31.99)</f>
        <v>31.99</v>
      </c>
      <c r="Q1142" s="3">
        <f>IFERROR(__xludf.DUMMYFUNCTION("""COMPUTED_VALUE"""),45856.66666666667)</f>
        <v>45856.66667</v>
      </c>
      <c r="R1142" s="2">
        <f>IFERROR(__xludf.DUMMYFUNCTION("""COMPUTED_VALUE"""),155.1)</f>
        <v>155.1</v>
      </c>
    </row>
    <row r="1143">
      <c r="B1143" s="3">
        <f>IFERROR(__xludf.DUMMYFUNCTION("""COMPUTED_VALUE"""),45859.66666666667)</f>
        <v>45859.66667</v>
      </c>
      <c r="C1143" s="2">
        <f>IFERROR(__xludf.DUMMYFUNCTION("""COMPUTED_VALUE"""),68.34)</f>
        <v>68.34</v>
      </c>
      <c r="K1143" s="3">
        <f>IFERROR(__xludf.DUMMYFUNCTION("""COMPUTED_VALUE"""),45849.6875)</f>
        <v>45849.6875</v>
      </c>
      <c r="L1143" s="2">
        <f>IFERROR(__xludf.DUMMYFUNCTION("""COMPUTED_VALUE"""),75.68)</f>
        <v>75.68</v>
      </c>
      <c r="N1143" s="3">
        <f>IFERROR(__xludf.DUMMYFUNCTION("""COMPUTED_VALUE"""),45859.66666666667)</f>
        <v>45859.66667</v>
      </c>
      <c r="O1143" s="2">
        <f>IFERROR(__xludf.DUMMYFUNCTION("""COMPUTED_VALUE"""),32.23)</f>
        <v>32.23</v>
      </c>
      <c r="Q1143" s="3">
        <f>IFERROR(__xludf.DUMMYFUNCTION("""COMPUTED_VALUE"""),45859.66666666667)</f>
        <v>45859.66667</v>
      </c>
      <c r="R1143" s="2">
        <f>IFERROR(__xludf.DUMMYFUNCTION("""COMPUTED_VALUE"""),155.03)</f>
        <v>155.03</v>
      </c>
    </row>
    <row r="1144">
      <c r="B1144" s="3">
        <f>IFERROR(__xludf.DUMMYFUNCTION("""COMPUTED_VALUE"""),45860.66666666667)</f>
        <v>45860.66667</v>
      </c>
      <c r="C1144" s="2">
        <f>IFERROR(__xludf.DUMMYFUNCTION("""COMPUTED_VALUE"""),68.16)</f>
        <v>68.16</v>
      </c>
      <c r="K1144" s="3">
        <f>IFERROR(__xludf.DUMMYFUNCTION("""COMPUTED_VALUE"""),45852.6875)</f>
        <v>45852.6875</v>
      </c>
      <c r="L1144" s="2">
        <f>IFERROR(__xludf.DUMMYFUNCTION("""COMPUTED_VALUE"""),76.5)</f>
        <v>76.5</v>
      </c>
      <c r="N1144" s="3">
        <f>IFERROR(__xludf.DUMMYFUNCTION("""COMPUTED_VALUE"""),45860.66666666667)</f>
        <v>45860.66667</v>
      </c>
      <c r="O1144" s="2">
        <f>IFERROR(__xludf.DUMMYFUNCTION("""COMPUTED_VALUE"""),32.52)</f>
        <v>32.52</v>
      </c>
      <c r="Q1144" s="3">
        <f>IFERROR(__xludf.DUMMYFUNCTION("""COMPUTED_VALUE"""),45860.66666666667)</f>
        <v>45860.66667</v>
      </c>
      <c r="R1144" s="2">
        <f>IFERROR(__xludf.DUMMYFUNCTION("""COMPUTED_VALUE"""),158.32)</f>
        <v>158.32</v>
      </c>
    </row>
    <row r="1145">
      <c r="B1145" s="3">
        <f>IFERROR(__xludf.DUMMYFUNCTION("""COMPUTED_VALUE"""),45861.66666666667)</f>
        <v>45861.66667</v>
      </c>
      <c r="C1145" s="2">
        <f>IFERROR(__xludf.DUMMYFUNCTION("""COMPUTED_VALUE"""),68.62)</f>
        <v>68.62</v>
      </c>
      <c r="K1145" s="3">
        <f>IFERROR(__xludf.DUMMYFUNCTION("""COMPUTED_VALUE"""),45853.6875)</f>
        <v>45853.6875</v>
      </c>
      <c r="L1145" s="2">
        <f>IFERROR(__xludf.DUMMYFUNCTION("""COMPUTED_VALUE"""),76.24)</f>
        <v>76.24</v>
      </c>
      <c r="N1145" s="3">
        <f>IFERROR(__xludf.DUMMYFUNCTION("""COMPUTED_VALUE"""),45861.66666666667)</f>
        <v>45861.66667</v>
      </c>
      <c r="O1145" s="2">
        <f>IFERROR(__xludf.DUMMYFUNCTION("""COMPUTED_VALUE"""),32.71)</f>
        <v>32.71</v>
      </c>
      <c r="Q1145" s="3">
        <f>IFERROR(__xludf.DUMMYFUNCTION("""COMPUTED_VALUE"""),45861.66666666667)</f>
        <v>45861.66667</v>
      </c>
      <c r="R1145" s="2">
        <f>IFERROR(__xludf.DUMMYFUNCTION("""COMPUTED_VALUE"""),158.28)</f>
        <v>158.28</v>
      </c>
    </row>
    <row r="1146">
      <c r="B1146" s="3">
        <f>IFERROR(__xludf.DUMMYFUNCTION("""COMPUTED_VALUE"""),45862.66666666667)</f>
        <v>45862.66667</v>
      </c>
      <c r="C1146" s="2">
        <f>IFERROR(__xludf.DUMMYFUNCTION("""COMPUTED_VALUE"""),68.29)</f>
        <v>68.29</v>
      </c>
      <c r="K1146" s="3">
        <f>IFERROR(__xludf.DUMMYFUNCTION("""COMPUTED_VALUE"""),45854.6875)</f>
        <v>45854.6875</v>
      </c>
      <c r="L1146" s="2">
        <f>IFERROR(__xludf.DUMMYFUNCTION("""COMPUTED_VALUE"""),76.4)</f>
        <v>76.4</v>
      </c>
      <c r="N1146" s="3">
        <f>IFERROR(__xludf.DUMMYFUNCTION("""COMPUTED_VALUE"""),45862.66666666667)</f>
        <v>45862.66667</v>
      </c>
      <c r="O1146" s="2">
        <f>IFERROR(__xludf.DUMMYFUNCTION("""COMPUTED_VALUE"""),32.13)</f>
        <v>32.13</v>
      </c>
      <c r="Q1146" s="3">
        <f>IFERROR(__xludf.DUMMYFUNCTION("""COMPUTED_VALUE"""),45862.66666666667)</f>
        <v>45862.66667</v>
      </c>
      <c r="R1146" s="2">
        <f>IFERROR(__xludf.DUMMYFUNCTION("""COMPUTED_VALUE"""),158.81)</f>
        <v>158.81</v>
      </c>
    </row>
    <row r="1147">
      <c r="B1147" s="3">
        <f>IFERROR(__xludf.DUMMYFUNCTION("""COMPUTED_VALUE"""),45863.66666666667)</f>
        <v>45863.66667</v>
      </c>
      <c r="C1147" s="2">
        <f>IFERROR(__xludf.DUMMYFUNCTION("""COMPUTED_VALUE"""),68.69)</f>
        <v>68.69</v>
      </c>
      <c r="K1147" s="3">
        <f>IFERROR(__xludf.DUMMYFUNCTION("""COMPUTED_VALUE"""),45855.6875)</f>
        <v>45855.6875</v>
      </c>
      <c r="L1147" s="2">
        <f>IFERROR(__xludf.DUMMYFUNCTION("""COMPUTED_VALUE"""),78.2)</f>
        <v>78.2</v>
      </c>
      <c r="N1147" s="3">
        <f>IFERROR(__xludf.DUMMYFUNCTION("""COMPUTED_VALUE"""),45863.66666666667)</f>
        <v>45863.66667</v>
      </c>
      <c r="O1147" s="2">
        <f>IFERROR(__xludf.DUMMYFUNCTION("""COMPUTED_VALUE"""),32.2)</f>
        <v>32.2</v>
      </c>
      <c r="Q1147" s="3">
        <f>IFERROR(__xludf.DUMMYFUNCTION("""COMPUTED_VALUE"""),45863.66666666667)</f>
        <v>45863.66667</v>
      </c>
      <c r="R1147" s="2">
        <f>IFERROR(__xludf.DUMMYFUNCTION("""COMPUTED_VALUE"""),158.3)</f>
        <v>158.3</v>
      </c>
    </row>
    <row r="1148">
      <c r="B1148" s="3">
        <f>IFERROR(__xludf.DUMMYFUNCTION("""COMPUTED_VALUE"""),45866.66666666667)</f>
        <v>45866.66667</v>
      </c>
      <c r="C1148" s="2">
        <f>IFERROR(__xludf.DUMMYFUNCTION("""COMPUTED_VALUE"""),67.92)</f>
        <v>67.92</v>
      </c>
      <c r="K1148" s="3">
        <f>IFERROR(__xludf.DUMMYFUNCTION("""COMPUTED_VALUE"""),45856.6875)</f>
        <v>45856.6875</v>
      </c>
      <c r="L1148" s="2">
        <f>IFERROR(__xludf.DUMMYFUNCTION("""COMPUTED_VALUE"""),77.8)</f>
        <v>77.8</v>
      </c>
      <c r="N1148" s="3">
        <f>IFERROR(__xludf.DUMMYFUNCTION("""COMPUTED_VALUE"""),45866.66666666667)</f>
        <v>45866.66667</v>
      </c>
      <c r="O1148" s="2">
        <f>IFERROR(__xludf.DUMMYFUNCTION("""COMPUTED_VALUE"""),32.67)</f>
        <v>32.67</v>
      </c>
      <c r="Q1148" s="3">
        <f>IFERROR(__xludf.DUMMYFUNCTION("""COMPUTED_VALUE"""),45866.66666666667)</f>
        <v>45866.66667</v>
      </c>
      <c r="R1148" s="2">
        <f>IFERROR(__xludf.DUMMYFUNCTION("""COMPUTED_VALUE"""),157.11)</f>
        <v>157.11</v>
      </c>
    </row>
    <row r="1149">
      <c r="B1149" s="3">
        <f>IFERROR(__xludf.DUMMYFUNCTION("""COMPUTED_VALUE"""),45867.66666666667)</f>
        <v>45867.66667</v>
      </c>
      <c r="C1149" s="2">
        <f>IFERROR(__xludf.DUMMYFUNCTION("""COMPUTED_VALUE"""),67.96)</f>
        <v>67.96</v>
      </c>
      <c r="K1149" s="3">
        <f>IFERROR(__xludf.DUMMYFUNCTION("""COMPUTED_VALUE"""),45859.6875)</f>
        <v>45859.6875</v>
      </c>
      <c r="L1149" s="2">
        <f>IFERROR(__xludf.DUMMYFUNCTION("""COMPUTED_VALUE"""),78.82)</f>
        <v>78.82</v>
      </c>
      <c r="N1149" s="3">
        <f>IFERROR(__xludf.DUMMYFUNCTION("""COMPUTED_VALUE"""),45867.66666666667)</f>
        <v>45867.66667</v>
      </c>
      <c r="O1149" s="2">
        <f>IFERROR(__xludf.DUMMYFUNCTION("""COMPUTED_VALUE"""),32.96)</f>
        <v>32.96</v>
      </c>
      <c r="Q1149" s="3">
        <f>IFERROR(__xludf.DUMMYFUNCTION("""COMPUTED_VALUE"""),45867.66666666667)</f>
        <v>45867.66667</v>
      </c>
      <c r="R1149" s="2">
        <f>IFERROR(__xludf.DUMMYFUNCTION("""COMPUTED_VALUE"""),156.61)</f>
        <v>156.61</v>
      </c>
    </row>
    <row r="1150">
      <c r="B1150" s="3">
        <f>IFERROR(__xludf.DUMMYFUNCTION("""COMPUTED_VALUE"""),45868.66666666667)</f>
        <v>45868.66667</v>
      </c>
      <c r="C1150" s="2">
        <f>IFERROR(__xludf.DUMMYFUNCTION("""COMPUTED_VALUE"""),68.28)</f>
        <v>68.28</v>
      </c>
      <c r="K1150" s="3">
        <f>IFERROR(__xludf.DUMMYFUNCTION("""COMPUTED_VALUE"""),45860.6875)</f>
        <v>45860.6875</v>
      </c>
      <c r="L1150" s="2">
        <f>IFERROR(__xludf.DUMMYFUNCTION("""COMPUTED_VALUE"""),77.9)</f>
        <v>77.9</v>
      </c>
      <c r="N1150" s="3">
        <f>IFERROR(__xludf.DUMMYFUNCTION("""COMPUTED_VALUE"""),45868.66666666667)</f>
        <v>45868.66667</v>
      </c>
      <c r="O1150" s="2">
        <f>IFERROR(__xludf.DUMMYFUNCTION("""COMPUTED_VALUE"""),32.25)</f>
        <v>32.25</v>
      </c>
      <c r="Q1150" s="3">
        <f>IFERROR(__xludf.DUMMYFUNCTION("""COMPUTED_VALUE"""),45868.66666666667)</f>
        <v>45868.66667</v>
      </c>
      <c r="R1150" s="2">
        <f>IFERROR(__xludf.DUMMYFUNCTION("""COMPUTED_VALUE"""),152.88)</f>
        <v>152.88</v>
      </c>
    </row>
    <row r="1151">
      <c r="B1151" s="3">
        <f>IFERROR(__xludf.DUMMYFUNCTION("""COMPUTED_VALUE"""),45869.66666666667)</f>
        <v>45869.66667</v>
      </c>
      <c r="C1151" s="2">
        <f>IFERROR(__xludf.DUMMYFUNCTION("""COMPUTED_VALUE"""),68.08)</f>
        <v>68.08</v>
      </c>
      <c r="K1151" s="3">
        <f>IFERROR(__xludf.DUMMYFUNCTION("""COMPUTED_VALUE"""),45861.6875)</f>
        <v>45861.6875</v>
      </c>
      <c r="L1151" s="2">
        <f>IFERROR(__xludf.DUMMYFUNCTION("""COMPUTED_VALUE"""),77.64)</f>
        <v>77.64</v>
      </c>
      <c r="N1151" s="3">
        <f>IFERROR(__xludf.DUMMYFUNCTION("""COMPUTED_VALUE"""),45869.66666666667)</f>
        <v>45869.66667</v>
      </c>
      <c r="O1151" s="2">
        <f>IFERROR(__xludf.DUMMYFUNCTION("""COMPUTED_VALUE"""),32.15)</f>
        <v>32.15</v>
      </c>
      <c r="Q1151" s="3">
        <f>IFERROR(__xludf.DUMMYFUNCTION("""COMPUTED_VALUE"""),45869.66666666667)</f>
        <v>45869.66667</v>
      </c>
      <c r="R1151" s="2">
        <f>IFERROR(__xludf.DUMMYFUNCTION("""COMPUTED_VALUE"""),150.47)</f>
        <v>150.47</v>
      </c>
    </row>
    <row r="1152">
      <c r="B1152" s="3">
        <f>IFERROR(__xludf.DUMMYFUNCTION("""COMPUTED_VALUE"""),45870.66666666667)</f>
        <v>45870.66667</v>
      </c>
      <c r="C1152" s="2">
        <f>IFERROR(__xludf.DUMMYFUNCTION("""COMPUTED_VALUE"""),67.11)</f>
        <v>67.11</v>
      </c>
      <c r="K1152" s="3">
        <f>IFERROR(__xludf.DUMMYFUNCTION("""COMPUTED_VALUE"""),45862.6875)</f>
        <v>45862.6875</v>
      </c>
      <c r="L1152" s="2">
        <f>IFERROR(__xludf.DUMMYFUNCTION("""COMPUTED_VALUE"""),78.04)</f>
        <v>78.04</v>
      </c>
      <c r="N1152" s="3">
        <f>IFERROR(__xludf.DUMMYFUNCTION("""COMPUTED_VALUE"""),45870.66666666667)</f>
        <v>45870.66667</v>
      </c>
      <c r="O1152" s="2">
        <f>IFERROR(__xludf.DUMMYFUNCTION("""COMPUTED_VALUE"""),31.75)</f>
        <v>31.75</v>
      </c>
      <c r="Q1152" s="3">
        <f>IFERROR(__xludf.DUMMYFUNCTION("""COMPUTED_VALUE"""),45870.66666666667)</f>
        <v>45870.66667</v>
      </c>
      <c r="R1152" s="2">
        <f>IFERROR(__xludf.DUMMYFUNCTION("""COMPUTED_VALUE"""),150.65)</f>
        <v>150.65</v>
      </c>
    </row>
    <row r="1153">
      <c r="B1153" s="3">
        <f>IFERROR(__xludf.DUMMYFUNCTION("""COMPUTED_VALUE"""),45873.66666666667)</f>
        <v>45873.66667</v>
      </c>
      <c r="C1153" s="2">
        <f>IFERROR(__xludf.DUMMYFUNCTION("""COMPUTED_VALUE"""),68.49)</f>
        <v>68.49</v>
      </c>
      <c r="K1153" s="3">
        <f>IFERROR(__xludf.DUMMYFUNCTION("""COMPUTED_VALUE"""),45863.6875)</f>
        <v>45863.6875</v>
      </c>
      <c r="L1153" s="2">
        <f>IFERROR(__xludf.DUMMYFUNCTION("""COMPUTED_VALUE"""),79.04)</f>
        <v>79.04</v>
      </c>
      <c r="N1153" s="3">
        <f>IFERROR(__xludf.DUMMYFUNCTION("""COMPUTED_VALUE"""),45873.66666666667)</f>
        <v>45873.66667</v>
      </c>
      <c r="O1153" s="2">
        <f>IFERROR(__xludf.DUMMYFUNCTION("""COMPUTED_VALUE"""),32.49)</f>
        <v>32.49</v>
      </c>
      <c r="Q1153" s="3">
        <f>IFERROR(__xludf.DUMMYFUNCTION("""COMPUTED_VALUE"""),45873.66666666667)</f>
        <v>45873.66667</v>
      </c>
      <c r="R1153" s="2">
        <f>IFERROR(__xludf.DUMMYFUNCTION("""COMPUTED_VALUE"""),150.76)</f>
        <v>150.76</v>
      </c>
    </row>
    <row r="1154">
      <c r="B1154" s="3">
        <f>IFERROR(__xludf.DUMMYFUNCTION("""COMPUTED_VALUE"""),45874.66666666667)</f>
        <v>45874.66667</v>
      </c>
      <c r="C1154" s="2">
        <f>IFERROR(__xludf.DUMMYFUNCTION("""COMPUTED_VALUE"""),67.52)</f>
        <v>67.52</v>
      </c>
      <c r="K1154" s="3">
        <f>IFERROR(__xludf.DUMMYFUNCTION("""COMPUTED_VALUE"""),45866.6875)</f>
        <v>45866.6875</v>
      </c>
      <c r="L1154" s="2">
        <f>IFERROR(__xludf.DUMMYFUNCTION("""COMPUTED_VALUE"""),78.24)</f>
        <v>78.24</v>
      </c>
      <c r="N1154" s="3">
        <f>IFERROR(__xludf.DUMMYFUNCTION("""COMPUTED_VALUE"""),45874.66666666667)</f>
        <v>45874.66667</v>
      </c>
      <c r="O1154" s="2">
        <f>IFERROR(__xludf.DUMMYFUNCTION("""COMPUTED_VALUE"""),33.6)</f>
        <v>33.6</v>
      </c>
      <c r="Q1154" s="3">
        <f>IFERROR(__xludf.DUMMYFUNCTION("""COMPUTED_VALUE"""),45874.66666666667)</f>
        <v>45874.66667</v>
      </c>
      <c r="R1154" s="2">
        <f>IFERROR(__xludf.DUMMYFUNCTION("""COMPUTED_VALUE"""),150.51)</f>
        <v>150.51</v>
      </c>
    </row>
    <row r="1155">
      <c r="B1155" s="3">
        <f>IFERROR(__xludf.DUMMYFUNCTION("""COMPUTED_VALUE"""),45875.66666666667)</f>
        <v>45875.66667</v>
      </c>
      <c r="C1155" s="2">
        <f>IFERROR(__xludf.DUMMYFUNCTION("""COMPUTED_VALUE"""),69.21)</f>
        <v>69.21</v>
      </c>
      <c r="K1155" s="3">
        <f>IFERROR(__xludf.DUMMYFUNCTION("""COMPUTED_VALUE"""),45867.6875)</f>
        <v>45867.6875</v>
      </c>
      <c r="L1155" s="2">
        <f>IFERROR(__xludf.DUMMYFUNCTION("""COMPUTED_VALUE"""),79.22)</f>
        <v>79.22</v>
      </c>
      <c r="N1155" s="3">
        <f>IFERROR(__xludf.DUMMYFUNCTION("""COMPUTED_VALUE"""),45875.66666666667)</f>
        <v>45875.66667</v>
      </c>
      <c r="O1155" s="2">
        <f>IFERROR(__xludf.DUMMYFUNCTION("""COMPUTED_VALUE"""),33.88)</f>
        <v>33.88</v>
      </c>
      <c r="Q1155" s="3">
        <f>IFERROR(__xludf.DUMMYFUNCTION("""COMPUTED_VALUE"""),45875.66666666667)</f>
        <v>45875.66667</v>
      </c>
      <c r="R1155" s="2">
        <f>IFERROR(__xludf.DUMMYFUNCTION("""COMPUTED_VALUE"""),152.86)</f>
        <v>152.86</v>
      </c>
    </row>
    <row r="1156">
      <c r="B1156" s="3">
        <f>IFERROR(__xludf.DUMMYFUNCTION("""COMPUTED_VALUE"""),45876.66666666667)</f>
        <v>45876.66667</v>
      </c>
      <c r="C1156" s="2">
        <f>IFERROR(__xludf.DUMMYFUNCTION("""COMPUTED_VALUE"""),69.9)</f>
        <v>69.9</v>
      </c>
      <c r="K1156" s="3">
        <f>IFERROR(__xludf.DUMMYFUNCTION("""COMPUTED_VALUE"""),45868.6875)</f>
        <v>45868.6875</v>
      </c>
      <c r="L1156" s="2">
        <f>IFERROR(__xludf.DUMMYFUNCTION("""COMPUTED_VALUE"""),78.7)</f>
        <v>78.7</v>
      </c>
      <c r="N1156" s="3">
        <f>IFERROR(__xludf.DUMMYFUNCTION("""COMPUTED_VALUE"""),45876.66666666667)</f>
        <v>45876.66667</v>
      </c>
      <c r="O1156" s="2">
        <f>IFERROR(__xludf.DUMMYFUNCTION("""COMPUTED_VALUE"""),34.19)</f>
        <v>34.19</v>
      </c>
      <c r="Q1156" s="3">
        <f>IFERROR(__xludf.DUMMYFUNCTION("""COMPUTED_VALUE"""),45876.66666666667)</f>
        <v>45876.66667</v>
      </c>
      <c r="R1156" s="2">
        <f>IFERROR(__xludf.DUMMYFUNCTION("""COMPUTED_VALUE"""),153.49)</f>
        <v>153.49</v>
      </c>
    </row>
    <row r="1157">
      <c r="B1157" s="3">
        <f>IFERROR(__xludf.DUMMYFUNCTION("""COMPUTED_VALUE"""),45877.66666666667)</f>
        <v>45877.66667</v>
      </c>
      <c r="C1157" s="2">
        <f>IFERROR(__xludf.DUMMYFUNCTION("""COMPUTED_VALUE"""),71.79)</f>
        <v>71.79</v>
      </c>
      <c r="K1157" s="3">
        <f>IFERROR(__xludf.DUMMYFUNCTION("""COMPUTED_VALUE"""),45869.6875)</f>
        <v>45869.6875</v>
      </c>
      <c r="L1157" s="2">
        <f>IFERROR(__xludf.DUMMYFUNCTION("""COMPUTED_VALUE"""),77.8)</f>
        <v>77.8</v>
      </c>
      <c r="N1157" s="3">
        <f>IFERROR(__xludf.DUMMYFUNCTION("""COMPUTED_VALUE"""),45877.66666666667)</f>
        <v>45877.66667</v>
      </c>
      <c r="O1157" s="2">
        <f>IFERROR(__xludf.DUMMYFUNCTION("""COMPUTED_VALUE"""),34.14)</f>
        <v>34.14</v>
      </c>
      <c r="Q1157" s="3">
        <f>IFERROR(__xludf.DUMMYFUNCTION("""COMPUTED_VALUE"""),45877.66666666667)</f>
        <v>45877.66667</v>
      </c>
      <c r="R1157" s="2">
        <f>IFERROR(__xludf.DUMMYFUNCTION("""COMPUTED_VALUE"""),153.51)</f>
        <v>153.51</v>
      </c>
    </row>
    <row r="1158">
      <c r="B1158" s="3">
        <f>IFERROR(__xludf.DUMMYFUNCTION("""COMPUTED_VALUE"""),45880.66666666667)</f>
        <v>45880.66667</v>
      </c>
      <c r="C1158" s="2">
        <f>IFERROR(__xludf.DUMMYFUNCTION("""COMPUTED_VALUE"""),70.67)</f>
        <v>70.67</v>
      </c>
      <c r="K1158" s="3">
        <f>IFERROR(__xludf.DUMMYFUNCTION("""COMPUTED_VALUE"""),45870.6875)</f>
        <v>45870.6875</v>
      </c>
      <c r="L1158" s="2">
        <f>IFERROR(__xludf.DUMMYFUNCTION("""COMPUTED_VALUE"""),75.74)</f>
        <v>75.74</v>
      </c>
      <c r="N1158" s="3">
        <f>IFERROR(__xludf.DUMMYFUNCTION("""COMPUTED_VALUE"""),45880.66666666667)</f>
        <v>45880.66667</v>
      </c>
      <c r="O1158" s="2">
        <f>IFERROR(__xludf.DUMMYFUNCTION("""COMPUTED_VALUE"""),33.95)</f>
        <v>33.95</v>
      </c>
      <c r="Q1158" s="3">
        <f>IFERROR(__xludf.DUMMYFUNCTION("""COMPUTED_VALUE"""),45880.66666666667)</f>
        <v>45880.66667</v>
      </c>
      <c r="R1158" s="2">
        <f>IFERROR(__xludf.DUMMYFUNCTION("""COMPUTED_VALUE"""),154.98)</f>
        <v>154.98</v>
      </c>
    </row>
    <row r="1159">
      <c r="B1159" s="3">
        <f>IFERROR(__xludf.DUMMYFUNCTION("""COMPUTED_VALUE"""),45881.66666666667)</f>
        <v>45881.66667</v>
      </c>
      <c r="C1159" s="2">
        <f>IFERROR(__xludf.DUMMYFUNCTION("""COMPUTED_VALUE"""),71.38)</f>
        <v>71.38</v>
      </c>
      <c r="K1159" s="3">
        <f>IFERROR(__xludf.DUMMYFUNCTION("""COMPUTED_VALUE"""),45873.6875)</f>
        <v>45873.6875</v>
      </c>
      <c r="L1159" s="2">
        <f>IFERROR(__xludf.DUMMYFUNCTION("""COMPUTED_VALUE"""),82.56)</f>
        <v>82.56</v>
      </c>
      <c r="N1159" s="3">
        <f>IFERROR(__xludf.DUMMYFUNCTION("""COMPUTED_VALUE"""),45881.66666666667)</f>
        <v>45881.66667</v>
      </c>
      <c r="O1159" s="2">
        <f>IFERROR(__xludf.DUMMYFUNCTION("""COMPUTED_VALUE"""),34.07)</f>
        <v>34.07</v>
      </c>
      <c r="Q1159" s="3">
        <f>IFERROR(__xludf.DUMMYFUNCTION("""COMPUTED_VALUE"""),45881.66666666667)</f>
        <v>45881.66667</v>
      </c>
      <c r="R1159" s="2">
        <f>IFERROR(__xludf.DUMMYFUNCTION("""COMPUTED_VALUE"""),155.09)</f>
        <v>155.09</v>
      </c>
    </row>
    <row r="1160">
      <c r="B1160" s="3">
        <f>IFERROR(__xludf.DUMMYFUNCTION("""COMPUTED_VALUE"""),45882.66666666667)</f>
        <v>45882.66667</v>
      </c>
      <c r="C1160" s="2">
        <f>IFERROR(__xludf.DUMMYFUNCTION("""COMPUTED_VALUE"""),70.4)</f>
        <v>70.4</v>
      </c>
      <c r="K1160" s="3">
        <f>IFERROR(__xludf.DUMMYFUNCTION("""COMPUTED_VALUE"""),45874.6875)</f>
        <v>45874.6875</v>
      </c>
      <c r="L1160" s="2">
        <f>IFERROR(__xludf.DUMMYFUNCTION("""COMPUTED_VALUE"""),80.76)</f>
        <v>80.76</v>
      </c>
      <c r="N1160" s="3">
        <f>IFERROR(__xludf.DUMMYFUNCTION("""COMPUTED_VALUE"""),45882.66666666667)</f>
        <v>45882.66667</v>
      </c>
      <c r="O1160" s="2">
        <f>IFERROR(__xludf.DUMMYFUNCTION("""COMPUTED_VALUE"""),34.31)</f>
        <v>34.31</v>
      </c>
      <c r="Q1160" s="3">
        <f>IFERROR(__xludf.DUMMYFUNCTION("""COMPUTED_VALUE"""),45882.66666666667)</f>
        <v>45882.66667</v>
      </c>
      <c r="R1160" s="2">
        <f>IFERROR(__xludf.DUMMYFUNCTION("""COMPUTED_VALUE"""),155.41)</f>
        <v>155.41</v>
      </c>
    </row>
    <row r="1161">
      <c r="B1161" s="3">
        <f>IFERROR(__xludf.DUMMYFUNCTION("""COMPUTED_VALUE"""),45883.66666666667)</f>
        <v>45883.66667</v>
      </c>
      <c r="C1161" s="2">
        <f>IFERROR(__xludf.DUMMYFUNCTION("""COMPUTED_VALUE"""),69.3)</f>
        <v>69.3</v>
      </c>
      <c r="K1161" s="3">
        <f>IFERROR(__xludf.DUMMYFUNCTION("""COMPUTED_VALUE"""),45875.6875)</f>
        <v>45875.6875</v>
      </c>
      <c r="L1161" s="2">
        <f>IFERROR(__xludf.DUMMYFUNCTION("""COMPUTED_VALUE"""),80.96)</f>
        <v>80.96</v>
      </c>
      <c r="N1161" s="3">
        <f>IFERROR(__xludf.DUMMYFUNCTION("""COMPUTED_VALUE"""),45883.66666666667)</f>
        <v>45883.66667</v>
      </c>
      <c r="O1161" s="2">
        <f>IFERROR(__xludf.DUMMYFUNCTION("""COMPUTED_VALUE"""),34.64)</f>
        <v>34.64</v>
      </c>
      <c r="Q1161" s="3">
        <f>IFERROR(__xludf.DUMMYFUNCTION("""COMPUTED_VALUE"""),45883.66666666667)</f>
        <v>45883.66667</v>
      </c>
      <c r="R1161" s="2">
        <f>IFERROR(__xludf.DUMMYFUNCTION("""COMPUTED_VALUE"""),153.74)</f>
        <v>153.74</v>
      </c>
    </row>
    <row r="1162">
      <c r="B1162" s="3">
        <f>IFERROR(__xludf.DUMMYFUNCTION("""COMPUTED_VALUE"""),45884.66666666667)</f>
        <v>45884.66667</v>
      </c>
      <c r="C1162" s="2">
        <f>IFERROR(__xludf.DUMMYFUNCTION("""COMPUTED_VALUE"""),66.2)</f>
        <v>66.2</v>
      </c>
      <c r="K1162" s="3">
        <f>IFERROR(__xludf.DUMMYFUNCTION("""COMPUTED_VALUE"""),45876.6875)</f>
        <v>45876.6875</v>
      </c>
      <c r="L1162" s="2">
        <f>IFERROR(__xludf.DUMMYFUNCTION("""COMPUTED_VALUE"""),80.48)</f>
        <v>80.48</v>
      </c>
      <c r="N1162" s="3">
        <f>IFERROR(__xludf.DUMMYFUNCTION("""COMPUTED_VALUE"""),45884.66666666667)</f>
        <v>45884.66667</v>
      </c>
      <c r="O1162" s="2">
        <f>IFERROR(__xludf.DUMMYFUNCTION("""COMPUTED_VALUE"""),34.33)</f>
        <v>34.33</v>
      </c>
      <c r="Q1162" s="3">
        <f>IFERROR(__xludf.DUMMYFUNCTION("""COMPUTED_VALUE"""),45884.66666666667)</f>
        <v>45884.66667</v>
      </c>
      <c r="R1162" s="2">
        <f>IFERROR(__xludf.DUMMYFUNCTION("""COMPUTED_VALUE"""),154.36)</f>
        <v>154.36</v>
      </c>
    </row>
    <row r="1163">
      <c r="B1163" s="3">
        <f>IFERROR(__xludf.DUMMYFUNCTION("""COMPUTED_VALUE"""),45887.66666666667)</f>
        <v>45887.66667</v>
      </c>
      <c r="C1163" s="2">
        <f>IFERROR(__xludf.DUMMYFUNCTION("""COMPUTED_VALUE"""),66.95)</f>
        <v>66.95</v>
      </c>
      <c r="K1163" s="3">
        <f>IFERROR(__xludf.DUMMYFUNCTION("""COMPUTED_VALUE"""),45877.6875)</f>
        <v>45877.6875</v>
      </c>
      <c r="L1163" s="2">
        <f>IFERROR(__xludf.DUMMYFUNCTION("""COMPUTED_VALUE"""),80.94)</f>
        <v>80.94</v>
      </c>
      <c r="N1163" s="3">
        <f>IFERROR(__xludf.DUMMYFUNCTION("""COMPUTED_VALUE"""),45887.66666666667)</f>
        <v>45887.66667</v>
      </c>
      <c r="O1163" s="2">
        <f>IFERROR(__xludf.DUMMYFUNCTION("""COMPUTED_VALUE"""),34.05)</f>
        <v>34.05</v>
      </c>
      <c r="Q1163" s="3">
        <f>IFERROR(__xludf.DUMMYFUNCTION("""COMPUTED_VALUE"""),45887.66666666667)</f>
        <v>45887.66667</v>
      </c>
      <c r="R1163" s="2">
        <f>IFERROR(__xludf.DUMMYFUNCTION("""COMPUTED_VALUE"""),155.72)</f>
        <v>155.72</v>
      </c>
    </row>
    <row r="1164">
      <c r="B1164" s="3">
        <f>IFERROR(__xludf.DUMMYFUNCTION("""COMPUTED_VALUE"""),45888.66666666667)</f>
        <v>45888.66667</v>
      </c>
      <c r="C1164" s="2">
        <f>IFERROR(__xludf.DUMMYFUNCTION("""COMPUTED_VALUE"""),66.76)</f>
        <v>66.76</v>
      </c>
      <c r="K1164" s="3">
        <f>IFERROR(__xludf.DUMMYFUNCTION("""COMPUTED_VALUE"""),45880.6875)</f>
        <v>45880.6875</v>
      </c>
      <c r="L1164" s="2">
        <f>IFERROR(__xludf.DUMMYFUNCTION("""COMPUTED_VALUE"""),82.44)</f>
        <v>82.44</v>
      </c>
      <c r="N1164" s="3">
        <f>IFERROR(__xludf.DUMMYFUNCTION("""COMPUTED_VALUE"""),45888.66666666667)</f>
        <v>45888.66667</v>
      </c>
      <c r="O1164" s="2">
        <f>IFERROR(__xludf.DUMMYFUNCTION("""COMPUTED_VALUE"""),33.82)</f>
        <v>33.82</v>
      </c>
      <c r="Q1164" s="3">
        <f>IFERROR(__xludf.DUMMYFUNCTION("""COMPUTED_VALUE"""),45888.66666666667)</f>
        <v>45888.66667</v>
      </c>
      <c r="R1164" s="2">
        <f>IFERROR(__xludf.DUMMYFUNCTION("""COMPUTED_VALUE"""),158.4)</f>
        <v>158.4</v>
      </c>
    </row>
    <row r="1165">
      <c r="B1165" s="3">
        <f>IFERROR(__xludf.DUMMYFUNCTION("""COMPUTED_VALUE"""),45889.66666666667)</f>
        <v>45889.66667</v>
      </c>
      <c r="C1165" s="2">
        <f>IFERROR(__xludf.DUMMYFUNCTION("""COMPUTED_VALUE"""),67.11)</f>
        <v>67.11</v>
      </c>
      <c r="K1165" s="3">
        <f>IFERROR(__xludf.DUMMYFUNCTION("""COMPUTED_VALUE"""),45881.6875)</f>
        <v>45881.6875</v>
      </c>
      <c r="L1165" s="2">
        <f>IFERROR(__xludf.DUMMYFUNCTION("""COMPUTED_VALUE"""),83.04)</f>
        <v>83.04</v>
      </c>
      <c r="N1165" s="3">
        <f>IFERROR(__xludf.DUMMYFUNCTION("""COMPUTED_VALUE"""),45889.66666666667)</f>
        <v>45889.66667</v>
      </c>
      <c r="O1165" s="2">
        <f>IFERROR(__xludf.DUMMYFUNCTION("""COMPUTED_VALUE"""),33.88)</f>
        <v>33.88</v>
      </c>
      <c r="Q1165" s="3">
        <f>IFERROR(__xludf.DUMMYFUNCTION("""COMPUTED_VALUE"""),45889.66666666667)</f>
        <v>45889.66667</v>
      </c>
      <c r="R1165" s="2">
        <f>IFERROR(__xludf.DUMMYFUNCTION("""COMPUTED_VALUE"""),159.51)</f>
        <v>159.51</v>
      </c>
    </row>
    <row r="1166">
      <c r="B1166" s="3">
        <f>IFERROR(__xludf.DUMMYFUNCTION("""COMPUTED_VALUE"""),45890.66666666667)</f>
        <v>45890.66667</v>
      </c>
      <c r="C1166" s="2">
        <f>IFERROR(__xludf.DUMMYFUNCTION("""COMPUTED_VALUE"""),67.02)</f>
        <v>67.02</v>
      </c>
      <c r="K1166" s="3">
        <f>IFERROR(__xludf.DUMMYFUNCTION("""COMPUTED_VALUE"""),45882.6875)</f>
        <v>45882.6875</v>
      </c>
      <c r="L1166" s="2">
        <f>IFERROR(__xludf.DUMMYFUNCTION("""COMPUTED_VALUE"""),83.44)</f>
        <v>83.44</v>
      </c>
      <c r="N1166" s="3">
        <f>IFERROR(__xludf.DUMMYFUNCTION("""COMPUTED_VALUE"""),45890.66666666667)</f>
        <v>45890.66667</v>
      </c>
      <c r="O1166" s="2">
        <f>IFERROR(__xludf.DUMMYFUNCTION("""COMPUTED_VALUE"""),34.05)</f>
        <v>34.05</v>
      </c>
      <c r="Q1166" s="3">
        <f>IFERROR(__xludf.DUMMYFUNCTION("""COMPUTED_VALUE"""),45890.66666666667)</f>
        <v>45890.66667</v>
      </c>
      <c r="R1166" s="2">
        <f>IFERROR(__xludf.DUMMYFUNCTION("""COMPUTED_VALUE"""),158.73)</f>
        <v>158.73</v>
      </c>
    </row>
    <row r="1167">
      <c r="B1167" s="3">
        <f>IFERROR(__xludf.DUMMYFUNCTION("""COMPUTED_VALUE"""),45891.66666666667)</f>
        <v>45891.66667</v>
      </c>
      <c r="C1167" s="2">
        <f>IFERROR(__xludf.DUMMYFUNCTION("""COMPUTED_VALUE"""),67.32)</f>
        <v>67.32</v>
      </c>
      <c r="K1167" s="3">
        <f>IFERROR(__xludf.DUMMYFUNCTION("""COMPUTED_VALUE"""),45883.6875)</f>
        <v>45883.6875</v>
      </c>
      <c r="L1167" s="2">
        <f>IFERROR(__xludf.DUMMYFUNCTION("""COMPUTED_VALUE"""),83.58)</f>
        <v>83.58</v>
      </c>
      <c r="N1167" s="3">
        <f>IFERROR(__xludf.DUMMYFUNCTION("""COMPUTED_VALUE"""),45891.66666666667)</f>
        <v>45891.66667</v>
      </c>
      <c r="O1167" s="2">
        <f>IFERROR(__xludf.DUMMYFUNCTION("""COMPUTED_VALUE"""),34.74)</f>
        <v>34.74</v>
      </c>
      <c r="Q1167" s="3">
        <f>IFERROR(__xludf.DUMMYFUNCTION("""COMPUTED_VALUE"""),45891.66666666667)</f>
        <v>45891.66667</v>
      </c>
      <c r="R1167" s="2">
        <f>IFERROR(__xludf.DUMMYFUNCTION("""COMPUTED_VALUE"""),158.67)</f>
        <v>158.67</v>
      </c>
    </row>
    <row r="1168">
      <c r="B1168" s="3">
        <f>IFERROR(__xludf.DUMMYFUNCTION("""COMPUTED_VALUE"""),45894.66666666667)</f>
        <v>45894.66667</v>
      </c>
      <c r="C1168" s="2">
        <f>IFERROR(__xludf.DUMMYFUNCTION("""COMPUTED_VALUE"""),67.14)</f>
        <v>67.14</v>
      </c>
      <c r="K1168" s="3">
        <f>IFERROR(__xludf.DUMMYFUNCTION("""COMPUTED_VALUE"""),45884.6875)</f>
        <v>45884.6875</v>
      </c>
      <c r="L1168" s="2">
        <f>IFERROR(__xludf.DUMMYFUNCTION("""COMPUTED_VALUE"""),82.78)</f>
        <v>82.78</v>
      </c>
      <c r="N1168" s="3">
        <f>IFERROR(__xludf.DUMMYFUNCTION("""COMPUTED_VALUE"""),45894.66666666667)</f>
        <v>45894.66667</v>
      </c>
      <c r="O1168" s="2">
        <f>IFERROR(__xludf.DUMMYFUNCTION("""COMPUTED_VALUE"""),34.97)</f>
        <v>34.97</v>
      </c>
      <c r="Q1168" s="3">
        <f>IFERROR(__xludf.DUMMYFUNCTION("""COMPUTED_VALUE"""),45894.66666666667)</f>
        <v>45894.66667</v>
      </c>
      <c r="R1168" s="2">
        <f>IFERROR(__xludf.DUMMYFUNCTION("""COMPUTED_VALUE"""),156.15)</f>
        <v>156.15</v>
      </c>
    </row>
    <row r="1169">
      <c r="B1169" s="3">
        <f>IFERROR(__xludf.DUMMYFUNCTION("""COMPUTED_VALUE"""),45895.66666666667)</f>
        <v>45895.66667</v>
      </c>
      <c r="C1169" s="2">
        <f>IFERROR(__xludf.DUMMYFUNCTION("""COMPUTED_VALUE"""),68.39)</f>
        <v>68.39</v>
      </c>
      <c r="K1169" s="3">
        <f>IFERROR(__xludf.DUMMYFUNCTION("""COMPUTED_VALUE"""),45887.6875)</f>
        <v>45887.6875</v>
      </c>
      <c r="L1169" s="2">
        <f>IFERROR(__xludf.DUMMYFUNCTION("""COMPUTED_VALUE"""),82.98)</f>
        <v>82.98</v>
      </c>
      <c r="N1169" s="3">
        <f>IFERROR(__xludf.DUMMYFUNCTION("""COMPUTED_VALUE"""),45895.66666666667)</f>
        <v>45895.66667</v>
      </c>
      <c r="O1169" s="2">
        <f>IFERROR(__xludf.DUMMYFUNCTION("""COMPUTED_VALUE"""),34.67)</f>
        <v>34.67</v>
      </c>
      <c r="Q1169" s="3">
        <f>IFERROR(__xludf.DUMMYFUNCTION("""COMPUTED_VALUE"""),45895.66666666667)</f>
        <v>45895.66667</v>
      </c>
      <c r="R1169" s="2">
        <f>IFERROR(__xludf.DUMMYFUNCTION("""COMPUTED_VALUE"""),155.97)</f>
        <v>155.97</v>
      </c>
    </row>
    <row r="1170">
      <c r="B1170" s="3">
        <f>IFERROR(__xludf.DUMMYFUNCTION("""COMPUTED_VALUE"""),45896.66666666667)</f>
        <v>45896.66667</v>
      </c>
      <c r="C1170" s="2">
        <f>IFERROR(__xludf.DUMMYFUNCTION("""COMPUTED_VALUE"""),68.44)</f>
        <v>68.44</v>
      </c>
      <c r="K1170" s="3">
        <f>IFERROR(__xludf.DUMMYFUNCTION("""COMPUTED_VALUE"""),45888.6875)</f>
        <v>45888.6875</v>
      </c>
      <c r="L1170" s="2">
        <f>IFERROR(__xludf.DUMMYFUNCTION("""COMPUTED_VALUE"""),82.88)</f>
        <v>82.88</v>
      </c>
      <c r="N1170" s="3">
        <f>IFERROR(__xludf.DUMMYFUNCTION("""COMPUTED_VALUE"""),45896.66666666667)</f>
        <v>45896.66667</v>
      </c>
      <c r="O1170" s="2">
        <f>IFERROR(__xludf.DUMMYFUNCTION("""COMPUTED_VALUE"""),34.89)</f>
        <v>34.89</v>
      </c>
      <c r="Q1170" s="3">
        <f>IFERROR(__xludf.DUMMYFUNCTION("""COMPUTED_VALUE"""),45896.66666666667)</f>
        <v>45896.66667</v>
      </c>
      <c r="R1170" s="2">
        <f>IFERROR(__xludf.DUMMYFUNCTION("""COMPUTED_VALUE"""),156.96)</f>
        <v>156.96</v>
      </c>
    </row>
    <row r="1171">
      <c r="B1171" s="3">
        <f>IFERROR(__xludf.DUMMYFUNCTION("""COMPUTED_VALUE"""),45897.66666666667)</f>
        <v>45897.66667</v>
      </c>
      <c r="C1171" s="2">
        <f>IFERROR(__xludf.DUMMYFUNCTION("""COMPUTED_VALUE"""),69.43)</f>
        <v>69.43</v>
      </c>
      <c r="K1171" s="3">
        <f>IFERROR(__xludf.DUMMYFUNCTION("""COMPUTED_VALUE"""),45889.6875)</f>
        <v>45889.6875</v>
      </c>
      <c r="L1171" s="2">
        <f>IFERROR(__xludf.DUMMYFUNCTION("""COMPUTED_VALUE"""),83.46)</f>
        <v>83.46</v>
      </c>
      <c r="N1171" s="3">
        <f>IFERROR(__xludf.DUMMYFUNCTION("""COMPUTED_VALUE"""),45897.66666666667)</f>
        <v>45897.66667</v>
      </c>
      <c r="O1171" s="2">
        <f>IFERROR(__xludf.DUMMYFUNCTION("""COMPUTED_VALUE"""),35.35)</f>
        <v>35.35</v>
      </c>
      <c r="Q1171" s="3">
        <f>IFERROR(__xludf.DUMMYFUNCTION("""COMPUTED_VALUE"""),45897.66666666667)</f>
        <v>45897.66667</v>
      </c>
      <c r="R1171" s="2">
        <f>IFERROR(__xludf.DUMMYFUNCTION("""COMPUTED_VALUE"""),155.65)</f>
        <v>155.65</v>
      </c>
    </row>
    <row r="1172">
      <c r="B1172" s="3">
        <f>IFERROR(__xludf.DUMMYFUNCTION("""COMPUTED_VALUE"""),45898.66666666667)</f>
        <v>45898.66667</v>
      </c>
      <c r="C1172" s="2">
        <f>IFERROR(__xludf.DUMMYFUNCTION("""COMPUTED_VALUE"""),69.09)</f>
        <v>69.09</v>
      </c>
      <c r="K1172" s="3">
        <f>IFERROR(__xludf.DUMMYFUNCTION("""COMPUTED_VALUE"""),45890.6875)</f>
        <v>45890.6875</v>
      </c>
      <c r="L1172" s="2">
        <f>IFERROR(__xludf.DUMMYFUNCTION("""COMPUTED_VALUE"""),83.7)</f>
        <v>83.7</v>
      </c>
      <c r="N1172" s="3">
        <f>IFERROR(__xludf.DUMMYFUNCTION("""COMPUTED_VALUE"""),45898.66666666667)</f>
        <v>45898.66667</v>
      </c>
      <c r="O1172" s="2">
        <f>IFERROR(__xludf.DUMMYFUNCTION("""COMPUTED_VALUE"""),35.23)</f>
        <v>35.23</v>
      </c>
      <c r="Q1172" s="3">
        <f>IFERROR(__xludf.DUMMYFUNCTION("""COMPUTED_VALUE"""),45898.66666666667)</f>
        <v>45898.66667</v>
      </c>
      <c r="R1172" s="2">
        <f>IFERROR(__xludf.DUMMYFUNCTION("""COMPUTED_VALUE"""),157.04)</f>
        <v>157.04</v>
      </c>
    </row>
    <row r="1173">
      <c r="B1173" s="3">
        <f>IFERROR(__xludf.DUMMYFUNCTION("""COMPUTED_VALUE"""),45902.66666666667)</f>
        <v>45902.66667</v>
      </c>
      <c r="C1173" s="2">
        <f>IFERROR(__xludf.DUMMYFUNCTION("""COMPUTED_VALUE"""),67.8)</f>
        <v>67.8</v>
      </c>
      <c r="K1173" s="3">
        <f>IFERROR(__xludf.DUMMYFUNCTION("""COMPUTED_VALUE"""),45891.6875)</f>
        <v>45891.6875</v>
      </c>
      <c r="L1173" s="2">
        <f>IFERROR(__xludf.DUMMYFUNCTION("""COMPUTED_VALUE"""),84.1)</f>
        <v>84.1</v>
      </c>
      <c r="N1173" s="3">
        <f>IFERROR(__xludf.DUMMYFUNCTION("""COMPUTED_VALUE"""),45902.66666666667)</f>
        <v>45902.66667</v>
      </c>
      <c r="O1173" s="2">
        <f>IFERROR(__xludf.DUMMYFUNCTION("""COMPUTED_VALUE"""),35.23)</f>
        <v>35.23</v>
      </c>
      <c r="Q1173" s="3">
        <f>IFERROR(__xludf.DUMMYFUNCTION("""COMPUTED_VALUE"""),45902.66666666667)</f>
        <v>45902.66667</v>
      </c>
      <c r="R1173" s="2">
        <f>IFERROR(__xludf.DUMMYFUNCTION("""COMPUTED_VALUE"""),157.99)</f>
        <v>157.99</v>
      </c>
    </row>
    <row r="1174">
      <c r="B1174" s="3">
        <f>IFERROR(__xludf.DUMMYFUNCTION("""COMPUTED_VALUE"""),45903.66666666667)</f>
        <v>45903.66667</v>
      </c>
      <c r="C1174" s="2">
        <f>IFERROR(__xludf.DUMMYFUNCTION("""COMPUTED_VALUE"""),67.67)</f>
        <v>67.67</v>
      </c>
      <c r="K1174" s="3">
        <f>IFERROR(__xludf.DUMMYFUNCTION("""COMPUTED_VALUE"""),45895.6875)</f>
        <v>45895.6875</v>
      </c>
      <c r="L1174" s="2">
        <f>IFERROR(__xludf.DUMMYFUNCTION("""COMPUTED_VALUE"""),83.04)</f>
        <v>83.04</v>
      </c>
      <c r="N1174" s="3">
        <f>IFERROR(__xludf.DUMMYFUNCTION("""COMPUTED_VALUE"""),45903.66666666667)</f>
        <v>45903.66667</v>
      </c>
      <c r="O1174" s="2">
        <f>IFERROR(__xludf.DUMMYFUNCTION("""COMPUTED_VALUE"""),34.46)</f>
        <v>34.46</v>
      </c>
      <c r="Q1174" s="3">
        <f>IFERROR(__xludf.DUMMYFUNCTION("""COMPUTED_VALUE"""),45903.66666666667)</f>
        <v>45903.66667</v>
      </c>
      <c r="R1174" s="2">
        <f>IFERROR(__xludf.DUMMYFUNCTION("""COMPUTED_VALUE"""),158.17)</f>
        <v>158.17</v>
      </c>
    </row>
    <row r="1175">
      <c r="B1175" s="3">
        <f>IFERROR(__xludf.DUMMYFUNCTION("""COMPUTED_VALUE"""),45904.66666666667)</f>
        <v>45904.66667</v>
      </c>
      <c r="C1175" s="2">
        <f>IFERROR(__xludf.DUMMYFUNCTION("""COMPUTED_VALUE"""),67.99)</f>
        <v>67.99</v>
      </c>
      <c r="K1175" s="3">
        <f>IFERROR(__xludf.DUMMYFUNCTION("""COMPUTED_VALUE"""),45896.6875)</f>
        <v>45896.6875</v>
      </c>
      <c r="L1175" s="2">
        <f>IFERROR(__xludf.DUMMYFUNCTION("""COMPUTED_VALUE"""),82.62)</f>
        <v>82.62</v>
      </c>
      <c r="N1175" s="3">
        <f>IFERROR(__xludf.DUMMYFUNCTION("""COMPUTED_VALUE"""),45904.66666666667)</f>
        <v>45904.66667</v>
      </c>
      <c r="O1175" s="2">
        <f>IFERROR(__xludf.DUMMYFUNCTION("""COMPUTED_VALUE"""),34.3)</f>
        <v>34.3</v>
      </c>
      <c r="Q1175" s="3">
        <f>IFERROR(__xludf.DUMMYFUNCTION("""COMPUTED_VALUE"""),45904.66666666667)</f>
        <v>45904.66667</v>
      </c>
      <c r="R1175" s="2">
        <f>IFERROR(__xludf.DUMMYFUNCTION("""COMPUTED_VALUE"""),159.19)</f>
        <v>159.19</v>
      </c>
    </row>
    <row r="1176">
      <c r="B1176" s="3">
        <f>IFERROR(__xludf.DUMMYFUNCTION("""COMPUTED_VALUE"""),45905.66666666667)</f>
        <v>45905.66667</v>
      </c>
      <c r="C1176" s="2">
        <f>IFERROR(__xludf.DUMMYFUNCTION("""COMPUTED_VALUE"""),66.9)</f>
        <v>66.9</v>
      </c>
      <c r="K1176" s="3">
        <f>IFERROR(__xludf.DUMMYFUNCTION("""COMPUTED_VALUE"""),45897.6875)</f>
        <v>45897.6875</v>
      </c>
      <c r="L1176" s="2">
        <f>IFERROR(__xludf.DUMMYFUNCTION("""COMPUTED_VALUE"""),82.3)</f>
        <v>82.3</v>
      </c>
      <c r="N1176" s="3">
        <f>IFERROR(__xludf.DUMMYFUNCTION("""COMPUTED_VALUE"""),45905.66666666667)</f>
        <v>45905.66667</v>
      </c>
      <c r="O1176" s="2">
        <f>IFERROR(__xludf.DUMMYFUNCTION("""COMPUTED_VALUE"""),33.93)</f>
        <v>33.93</v>
      </c>
      <c r="Q1176" s="3">
        <f>IFERROR(__xludf.DUMMYFUNCTION("""COMPUTED_VALUE"""),45905.66666666667)</f>
        <v>45905.66667</v>
      </c>
      <c r="R1176" s="2">
        <f>IFERROR(__xludf.DUMMYFUNCTION("""COMPUTED_VALUE"""),160.02)</f>
        <v>160.02</v>
      </c>
    </row>
    <row r="1177">
      <c r="B1177" s="3">
        <f>IFERROR(__xludf.DUMMYFUNCTION("""COMPUTED_VALUE"""),45908.66666666667)</f>
        <v>45908.66667</v>
      </c>
      <c r="C1177" s="2">
        <f>IFERROR(__xludf.DUMMYFUNCTION("""COMPUTED_VALUE"""),66.88)</f>
        <v>66.88</v>
      </c>
      <c r="K1177" s="3">
        <f>IFERROR(__xludf.DUMMYFUNCTION("""COMPUTED_VALUE"""),45898.6875)</f>
        <v>45898.6875</v>
      </c>
      <c r="L1177" s="2">
        <f>IFERROR(__xludf.DUMMYFUNCTION("""COMPUTED_VALUE"""),79.52)</f>
        <v>79.52</v>
      </c>
      <c r="N1177" s="3">
        <f>IFERROR(__xludf.DUMMYFUNCTION("""COMPUTED_VALUE"""),45908.66666666667)</f>
        <v>45908.66667</v>
      </c>
      <c r="O1177" s="2">
        <f>IFERROR(__xludf.DUMMYFUNCTION("""COMPUTED_VALUE"""),33.91)</f>
        <v>33.91</v>
      </c>
      <c r="Q1177" s="3">
        <f>IFERROR(__xludf.DUMMYFUNCTION("""COMPUTED_VALUE"""),45908.66666666667)</f>
        <v>45908.66667</v>
      </c>
      <c r="R1177" s="2">
        <f>IFERROR(__xludf.DUMMYFUNCTION("""COMPUTED_VALUE"""),159.01)</f>
        <v>159.01</v>
      </c>
    </row>
    <row r="1178">
      <c r="B1178" s="3">
        <f>IFERROR(__xludf.DUMMYFUNCTION("""COMPUTED_VALUE"""),45909.66666666667)</f>
        <v>45909.66667</v>
      </c>
      <c r="C1178" s="2">
        <f>IFERROR(__xludf.DUMMYFUNCTION("""COMPUTED_VALUE"""),67.34)</f>
        <v>67.34</v>
      </c>
      <c r="K1178" s="3">
        <f>IFERROR(__xludf.DUMMYFUNCTION("""COMPUTED_VALUE"""),45901.6875)</f>
        <v>45901.6875</v>
      </c>
      <c r="L1178" s="2">
        <f>IFERROR(__xludf.DUMMYFUNCTION("""COMPUTED_VALUE"""),80.06)</f>
        <v>80.06</v>
      </c>
      <c r="N1178" s="3">
        <f>IFERROR(__xludf.DUMMYFUNCTION("""COMPUTED_VALUE"""),45909.66666666667)</f>
        <v>45909.66667</v>
      </c>
      <c r="O1178" s="2">
        <f>IFERROR(__xludf.DUMMYFUNCTION("""COMPUTED_VALUE"""),34.09)</f>
        <v>34.09</v>
      </c>
      <c r="Q1178" s="3">
        <f>IFERROR(__xludf.DUMMYFUNCTION("""COMPUTED_VALUE"""),45909.66666666667)</f>
        <v>45909.66667</v>
      </c>
      <c r="R1178" s="2">
        <f>IFERROR(__xludf.DUMMYFUNCTION("""COMPUTED_VALUE"""),159.46)</f>
        <v>159.46</v>
      </c>
    </row>
    <row r="1179">
      <c r="B1179" s="3">
        <f>IFERROR(__xludf.DUMMYFUNCTION("""COMPUTED_VALUE"""),45910.66666666667)</f>
        <v>45910.66667</v>
      </c>
      <c r="C1179" s="2">
        <f>IFERROR(__xludf.DUMMYFUNCTION("""COMPUTED_VALUE"""),68.13)</f>
        <v>68.13</v>
      </c>
      <c r="K1179" s="3">
        <f>IFERROR(__xludf.DUMMYFUNCTION("""COMPUTED_VALUE"""),45902.6875)</f>
        <v>45902.6875</v>
      </c>
      <c r="L1179" s="2">
        <f>IFERROR(__xludf.DUMMYFUNCTION("""COMPUTED_VALUE"""),78.5)</f>
        <v>78.5</v>
      </c>
      <c r="N1179" s="3">
        <f>IFERROR(__xludf.DUMMYFUNCTION("""COMPUTED_VALUE"""),45910.66666666667)</f>
        <v>45910.66667</v>
      </c>
      <c r="O1179" s="2">
        <f>IFERROR(__xludf.DUMMYFUNCTION("""COMPUTED_VALUE"""),34.76)</f>
        <v>34.76</v>
      </c>
      <c r="Q1179" s="3">
        <f>IFERROR(__xludf.DUMMYFUNCTION("""COMPUTED_VALUE"""),45910.66666666667)</f>
        <v>45910.66667</v>
      </c>
      <c r="R1179" s="2">
        <f>IFERROR(__xludf.DUMMYFUNCTION("""COMPUTED_VALUE"""),157.35)</f>
        <v>157.35</v>
      </c>
    </row>
    <row r="1180">
      <c r="B1180" s="3">
        <f>IFERROR(__xludf.DUMMYFUNCTION("""COMPUTED_VALUE"""),45911.66666666667)</f>
        <v>45911.66667</v>
      </c>
      <c r="C1180" s="2">
        <f>IFERROR(__xludf.DUMMYFUNCTION("""COMPUTED_VALUE"""),67.69)</f>
        <v>67.69</v>
      </c>
      <c r="K1180" s="3">
        <f>IFERROR(__xludf.DUMMYFUNCTION("""COMPUTED_VALUE"""),45903.6875)</f>
        <v>45903.6875</v>
      </c>
      <c r="L1180" s="2">
        <f>IFERROR(__xludf.DUMMYFUNCTION("""COMPUTED_VALUE"""),78.8)</f>
        <v>78.8</v>
      </c>
      <c r="N1180" s="3">
        <f>IFERROR(__xludf.DUMMYFUNCTION("""COMPUTED_VALUE"""),45911.66666666667)</f>
        <v>45911.66667</v>
      </c>
      <c r="O1180" s="2">
        <f>IFERROR(__xludf.DUMMYFUNCTION("""COMPUTED_VALUE"""),34.47)</f>
        <v>34.47</v>
      </c>
      <c r="Q1180" s="3">
        <f>IFERROR(__xludf.DUMMYFUNCTION("""COMPUTED_VALUE"""),45911.66666666667)</f>
        <v>45911.66667</v>
      </c>
      <c r="R1180" s="2">
        <f>IFERROR(__xludf.DUMMYFUNCTION("""COMPUTED_VALUE"""),158.63)</f>
        <v>158.63</v>
      </c>
    </row>
    <row r="1181">
      <c r="B1181" s="3">
        <f>IFERROR(__xludf.DUMMYFUNCTION("""COMPUTED_VALUE"""),45912.66666666667)</f>
        <v>45912.66667</v>
      </c>
      <c r="C1181" s="2">
        <f>IFERROR(__xludf.DUMMYFUNCTION("""COMPUTED_VALUE"""),66.53)</f>
        <v>66.53</v>
      </c>
      <c r="K1181" s="3">
        <f>IFERROR(__xludf.DUMMYFUNCTION("""COMPUTED_VALUE"""),45904.6875)</f>
        <v>45904.6875</v>
      </c>
      <c r="L1181" s="2">
        <f>IFERROR(__xludf.DUMMYFUNCTION("""COMPUTED_VALUE"""),80.48)</f>
        <v>80.48</v>
      </c>
      <c r="N1181" s="3">
        <f>IFERROR(__xludf.DUMMYFUNCTION("""COMPUTED_VALUE"""),45912.66666666667)</f>
        <v>45912.66667</v>
      </c>
      <c r="O1181" s="2">
        <f>IFERROR(__xludf.DUMMYFUNCTION("""COMPUTED_VALUE"""),33.89)</f>
        <v>33.89</v>
      </c>
      <c r="Q1181" s="3">
        <f>IFERROR(__xludf.DUMMYFUNCTION("""COMPUTED_VALUE"""),45912.66666666667)</f>
        <v>45912.66667</v>
      </c>
      <c r="R1181" s="2">
        <f>IFERROR(__xludf.DUMMYFUNCTION("""COMPUTED_VALUE"""),157.9)</f>
        <v>157.9</v>
      </c>
    </row>
    <row r="1182">
      <c r="B1182" s="3">
        <f>IFERROR(__xludf.DUMMYFUNCTION("""COMPUTED_VALUE"""),45915.66666666667)</f>
        <v>45915.66667</v>
      </c>
      <c r="C1182" s="2">
        <f>IFERROR(__xludf.DUMMYFUNCTION("""COMPUTED_VALUE"""),67.02)</f>
        <v>67.02</v>
      </c>
      <c r="K1182" s="3">
        <f>IFERROR(__xludf.DUMMYFUNCTION("""COMPUTED_VALUE"""),45905.6875)</f>
        <v>45905.6875</v>
      </c>
      <c r="L1182" s="2">
        <f>IFERROR(__xludf.DUMMYFUNCTION("""COMPUTED_VALUE"""),79.36)</f>
        <v>79.36</v>
      </c>
      <c r="N1182" s="3">
        <f>IFERROR(__xludf.DUMMYFUNCTION("""COMPUTED_VALUE"""),45915.66666666667)</f>
        <v>45915.66667</v>
      </c>
      <c r="O1182" s="2">
        <f>IFERROR(__xludf.DUMMYFUNCTION("""COMPUTED_VALUE"""),34.21)</f>
        <v>34.21</v>
      </c>
      <c r="Q1182" s="3">
        <f>IFERROR(__xludf.DUMMYFUNCTION("""COMPUTED_VALUE"""),45915.66666666667)</f>
        <v>45915.66667</v>
      </c>
      <c r="R1182" s="2">
        <f>IFERROR(__xludf.DUMMYFUNCTION("""COMPUTED_VALUE"""),156.83)</f>
        <v>156.83</v>
      </c>
    </row>
    <row r="1183">
      <c r="B1183" s="3">
        <f>IFERROR(__xludf.DUMMYFUNCTION("""COMPUTED_VALUE"""),45916.66666666667)</f>
        <v>45916.66667</v>
      </c>
      <c r="C1183" s="2">
        <f>IFERROR(__xludf.DUMMYFUNCTION("""COMPUTED_VALUE"""),66.93)</f>
        <v>66.93</v>
      </c>
      <c r="K1183" s="3">
        <f>IFERROR(__xludf.DUMMYFUNCTION("""COMPUTED_VALUE"""),45908.6875)</f>
        <v>45908.6875</v>
      </c>
      <c r="L1183" s="2">
        <f>IFERROR(__xludf.DUMMYFUNCTION("""COMPUTED_VALUE"""),80.12)</f>
        <v>80.12</v>
      </c>
      <c r="N1183" s="3">
        <f>IFERROR(__xludf.DUMMYFUNCTION("""COMPUTED_VALUE"""),45916.66666666667)</f>
        <v>45916.66667</v>
      </c>
      <c r="O1183" s="2">
        <f>IFERROR(__xludf.DUMMYFUNCTION("""COMPUTED_VALUE"""),34.43)</f>
        <v>34.43</v>
      </c>
      <c r="Q1183" s="3">
        <f>IFERROR(__xludf.DUMMYFUNCTION("""COMPUTED_VALUE"""),45916.66666666667)</f>
        <v>45916.66667</v>
      </c>
      <c r="R1183" s="2">
        <f>IFERROR(__xludf.DUMMYFUNCTION("""COMPUTED_VALUE"""),158.05)</f>
        <v>158.05</v>
      </c>
    </row>
    <row r="1184">
      <c r="B1184" s="3">
        <f>IFERROR(__xludf.DUMMYFUNCTION("""COMPUTED_VALUE"""),45917.66666666667)</f>
        <v>45917.66667</v>
      </c>
      <c r="C1184" s="2">
        <f>IFERROR(__xludf.DUMMYFUNCTION("""COMPUTED_VALUE"""),67.72)</f>
        <v>67.72</v>
      </c>
      <c r="K1184" s="3">
        <f>IFERROR(__xludf.DUMMYFUNCTION("""COMPUTED_VALUE"""),45909.6875)</f>
        <v>45909.6875</v>
      </c>
      <c r="L1184" s="2">
        <f>IFERROR(__xludf.DUMMYFUNCTION("""COMPUTED_VALUE"""),81.58)</f>
        <v>81.58</v>
      </c>
      <c r="N1184" s="3">
        <f>IFERROR(__xludf.DUMMYFUNCTION("""COMPUTED_VALUE"""),45917.66666666667)</f>
        <v>45917.66667</v>
      </c>
      <c r="O1184" s="2">
        <f>IFERROR(__xludf.DUMMYFUNCTION("""COMPUTED_VALUE"""),34.3)</f>
        <v>34.3</v>
      </c>
      <c r="Q1184" s="3">
        <f>IFERROR(__xludf.DUMMYFUNCTION("""COMPUTED_VALUE"""),45917.66666666667)</f>
        <v>45917.66667</v>
      </c>
      <c r="R1184" s="2">
        <f>IFERROR(__xludf.DUMMYFUNCTION("""COMPUTED_VALUE"""),160.33)</f>
        <v>160.33</v>
      </c>
    </row>
    <row r="1185">
      <c r="B1185" s="3">
        <f>IFERROR(__xludf.DUMMYFUNCTION("""COMPUTED_VALUE"""),45918.66666666667)</f>
        <v>45918.66667</v>
      </c>
      <c r="C1185" s="2">
        <f>IFERROR(__xludf.DUMMYFUNCTION("""COMPUTED_VALUE"""),68.68)</f>
        <v>68.68</v>
      </c>
      <c r="K1185" s="3">
        <f>IFERROR(__xludf.DUMMYFUNCTION("""COMPUTED_VALUE"""),45910.6875)</f>
        <v>45910.6875</v>
      </c>
      <c r="L1185" s="2">
        <f>IFERROR(__xludf.DUMMYFUNCTION("""COMPUTED_VALUE"""),81.62)</f>
        <v>81.62</v>
      </c>
      <c r="N1185" s="3">
        <f>IFERROR(__xludf.DUMMYFUNCTION("""COMPUTED_VALUE"""),45918.66666666667)</f>
        <v>45918.66667</v>
      </c>
      <c r="O1185" s="2">
        <f>IFERROR(__xludf.DUMMYFUNCTION("""COMPUTED_VALUE"""),34.56)</f>
        <v>34.56</v>
      </c>
      <c r="Q1185" s="3">
        <f>IFERROR(__xludf.DUMMYFUNCTION("""COMPUTED_VALUE"""),45918.66666666667)</f>
        <v>45918.66667</v>
      </c>
      <c r="R1185" s="2">
        <f>IFERROR(__xludf.DUMMYFUNCTION("""COMPUTED_VALUE"""),157.32)</f>
        <v>157.32</v>
      </c>
    </row>
    <row r="1186">
      <c r="B1186" s="3">
        <f>IFERROR(__xludf.DUMMYFUNCTION("""COMPUTED_VALUE"""),45919.66666666667)</f>
        <v>45919.66667</v>
      </c>
      <c r="C1186" s="2">
        <f>IFERROR(__xludf.DUMMYFUNCTION("""COMPUTED_VALUE"""),68.21)</f>
        <v>68.21</v>
      </c>
      <c r="K1186" s="3">
        <f>IFERROR(__xludf.DUMMYFUNCTION("""COMPUTED_VALUE"""),45911.6875)</f>
        <v>45911.6875</v>
      </c>
      <c r="L1186" s="2">
        <f>IFERROR(__xludf.DUMMYFUNCTION("""COMPUTED_VALUE"""),82.18)</f>
        <v>82.18</v>
      </c>
      <c r="N1186" s="3">
        <f>IFERROR(__xludf.DUMMYFUNCTION("""COMPUTED_VALUE"""),45919.66666666667)</f>
        <v>45919.66667</v>
      </c>
      <c r="O1186" s="2">
        <f>IFERROR(__xludf.DUMMYFUNCTION("""COMPUTED_VALUE"""),34.12)</f>
        <v>34.12</v>
      </c>
      <c r="Q1186" s="3">
        <f>IFERROR(__xludf.DUMMYFUNCTION("""COMPUTED_VALUE"""),45919.66666666667)</f>
        <v>45919.66667</v>
      </c>
      <c r="R1186" s="2">
        <f>IFERROR(__xludf.DUMMYFUNCTION("""COMPUTED_VALUE"""),156.04)</f>
        <v>156.04</v>
      </c>
    </row>
    <row r="1187">
      <c r="B1187" s="3">
        <f>IFERROR(__xludf.DUMMYFUNCTION("""COMPUTED_VALUE"""),45922.66666666667)</f>
        <v>45922.66667</v>
      </c>
      <c r="C1187" s="2">
        <f>IFERROR(__xludf.DUMMYFUNCTION("""COMPUTED_VALUE"""),67.75)</f>
        <v>67.75</v>
      </c>
      <c r="K1187" s="3">
        <f>IFERROR(__xludf.DUMMYFUNCTION("""COMPUTED_VALUE"""),45912.6875)</f>
        <v>45912.6875</v>
      </c>
      <c r="L1187" s="2">
        <f>IFERROR(__xludf.DUMMYFUNCTION("""COMPUTED_VALUE"""),82.6)</f>
        <v>82.6</v>
      </c>
      <c r="N1187" s="3">
        <f>IFERROR(__xludf.DUMMYFUNCTION("""COMPUTED_VALUE"""),45922.66666666667)</f>
        <v>45922.66667</v>
      </c>
      <c r="O1187" s="2">
        <f>IFERROR(__xludf.DUMMYFUNCTION("""COMPUTED_VALUE"""),34.37)</f>
        <v>34.37</v>
      </c>
      <c r="Q1187" s="3">
        <f>IFERROR(__xludf.DUMMYFUNCTION("""COMPUTED_VALUE"""),45922.66666666667)</f>
        <v>45922.66667</v>
      </c>
      <c r="R1187" s="2">
        <f>IFERROR(__xludf.DUMMYFUNCTION("""COMPUTED_VALUE"""),153.07)</f>
        <v>153.07</v>
      </c>
    </row>
    <row r="1188">
      <c r="B1188" s="3">
        <f>IFERROR(__xludf.DUMMYFUNCTION("""COMPUTED_VALUE"""),45923.66666666667)</f>
        <v>45923.66667</v>
      </c>
      <c r="C1188" s="2">
        <f>IFERROR(__xludf.DUMMYFUNCTION("""COMPUTED_VALUE"""),67.54)</f>
        <v>67.54</v>
      </c>
      <c r="K1188" s="3">
        <f>IFERROR(__xludf.DUMMYFUNCTION("""COMPUTED_VALUE"""),45915.6875)</f>
        <v>45915.6875</v>
      </c>
      <c r="L1188" s="2">
        <f>IFERROR(__xludf.DUMMYFUNCTION("""COMPUTED_VALUE"""),84.46)</f>
        <v>84.46</v>
      </c>
      <c r="N1188" s="3">
        <f>IFERROR(__xludf.DUMMYFUNCTION("""COMPUTED_VALUE"""),45923.66666666667)</f>
        <v>45923.66667</v>
      </c>
      <c r="O1188" s="2">
        <f>IFERROR(__xludf.DUMMYFUNCTION("""COMPUTED_VALUE"""),34.74)</f>
        <v>34.74</v>
      </c>
      <c r="Q1188" s="3">
        <f>IFERROR(__xludf.DUMMYFUNCTION("""COMPUTED_VALUE"""),45923.66666666667)</f>
        <v>45923.66667</v>
      </c>
      <c r="R1188" s="2">
        <f>IFERROR(__xludf.DUMMYFUNCTION("""COMPUTED_VALUE"""),152.5)</f>
        <v>152.5</v>
      </c>
    </row>
    <row r="1189">
      <c r="B1189" s="3">
        <f>IFERROR(__xludf.DUMMYFUNCTION("""COMPUTED_VALUE"""),45924.66666666667)</f>
        <v>45924.66667</v>
      </c>
      <c r="C1189" s="2">
        <f>IFERROR(__xludf.DUMMYFUNCTION("""COMPUTED_VALUE"""),67.32)</f>
        <v>67.32</v>
      </c>
      <c r="K1189" s="3">
        <f>IFERROR(__xludf.DUMMYFUNCTION("""COMPUTED_VALUE"""),45916.6875)</f>
        <v>45916.6875</v>
      </c>
      <c r="L1189" s="2">
        <f>IFERROR(__xludf.DUMMYFUNCTION("""COMPUTED_VALUE"""),82.94)</f>
        <v>82.94</v>
      </c>
      <c r="N1189" s="3">
        <f>IFERROR(__xludf.DUMMYFUNCTION("""COMPUTED_VALUE"""),45924.66666666667)</f>
        <v>45924.66667</v>
      </c>
      <c r="O1189" s="2">
        <f>IFERROR(__xludf.DUMMYFUNCTION("""COMPUTED_VALUE"""),35.21)</f>
        <v>35.21</v>
      </c>
      <c r="Q1189" s="3">
        <f>IFERROR(__xludf.DUMMYFUNCTION("""COMPUTED_VALUE"""),45924.66666666667)</f>
        <v>45924.66667</v>
      </c>
      <c r="R1189" s="2">
        <f>IFERROR(__xludf.DUMMYFUNCTION("""COMPUTED_VALUE"""),152.42)</f>
        <v>152.42</v>
      </c>
    </row>
    <row r="1190">
      <c r="B1190" s="3">
        <f>IFERROR(__xludf.DUMMYFUNCTION("""COMPUTED_VALUE"""),45925.66666666667)</f>
        <v>45925.66667</v>
      </c>
      <c r="C1190" s="2">
        <f>IFERROR(__xludf.DUMMYFUNCTION("""COMPUTED_VALUE"""),67.85)</f>
        <v>67.85</v>
      </c>
      <c r="K1190" s="3">
        <f>IFERROR(__xludf.DUMMYFUNCTION("""COMPUTED_VALUE"""),45917.6875)</f>
        <v>45917.6875</v>
      </c>
      <c r="L1190" s="2">
        <f>IFERROR(__xludf.DUMMYFUNCTION("""COMPUTED_VALUE"""),83.12)</f>
        <v>83.12</v>
      </c>
      <c r="N1190" s="3">
        <f>IFERROR(__xludf.DUMMYFUNCTION("""COMPUTED_VALUE"""),45925.66666666667)</f>
        <v>45925.66667</v>
      </c>
      <c r="O1190" s="2">
        <f>IFERROR(__xludf.DUMMYFUNCTION("""COMPUTED_VALUE"""),35.26)</f>
        <v>35.26</v>
      </c>
      <c r="Q1190" s="3">
        <f>IFERROR(__xludf.DUMMYFUNCTION("""COMPUTED_VALUE"""),45925.66666666667)</f>
        <v>45925.66667</v>
      </c>
      <c r="R1190" s="2">
        <f>IFERROR(__xludf.DUMMYFUNCTION("""COMPUTED_VALUE"""),152.15)</f>
        <v>152.15</v>
      </c>
    </row>
    <row r="1191">
      <c r="B1191" s="3">
        <f>IFERROR(__xludf.DUMMYFUNCTION("""COMPUTED_VALUE"""),45926.66666666667)</f>
        <v>45926.66667</v>
      </c>
      <c r="C1191" s="2">
        <f>IFERROR(__xludf.DUMMYFUNCTION("""COMPUTED_VALUE"""),67.22)</f>
        <v>67.22</v>
      </c>
      <c r="K1191" s="3">
        <f>IFERROR(__xludf.DUMMYFUNCTION("""COMPUTED_VALUE"""),45918.6875)</f>
        <v>45918.6875</v>
      </c>
      <c r="L1191" s="2">
        <f>IFERROR(__xludf.DUMMYFUNCTION("""COMPUTED_VALUE"""),83.8)</f>
        <v>83.8</v>
      </c>
      <c r="N1191" s="3">
        <f>IFERROR(__xludf.DUMMYFUNCTION("""COMPUTED_VALUE"""),45926.66666666667)</f>
        <v>45926.66667</v>
      </c>
      <c r="O1191" s="2">
        <f>IFERROR(__xludf.DUMMYFUNCTION("""COMPUTED_VALUE"""),35.69)</f>
        <v>35.69</v>
      </c>
      <c r="Q1191" s="3">
        <f>IFERROR(__xludf.DUMMYFUNCTION("""COMPUTED_VALUE"""),45926.66666666667)</f>
        <v>45926.66667</v>
      </c>
      <c r="R1191" s="2">
        <f>IFERROR(__xludf.DUMMYFUNCTION("""COMPUTED_VALUE"""),152.5)</f>
        <v>152.5</v>
      </c>
    </row>
    <row r="1192">
      <c r="B1192" s="3">
        <f>IFERROR(__xludf.DUMMYFUNCTION("""COMPUTED_VALUE"""),45929.66666666667)</f>
        <v>45929.66667</v>
      </c>
      <c r="C1192" s="2">
        <f>IFERROR(__xludf.DUMMYFUNCTION("""COMPUTED_VALUE"""),67.72)</f>
        <v>67.72</v>
      </c>
      <c r="K1192" s="3">
        <f>IFERROR(__xludf.DUMMYFUNCTION("""COMPUTED_VALUE"""),45919.6875)</f>
        <v>45919.6875</v>
      </c>
      <c r="L1192" s="2">
        <f>IFERROR(__xludf.DUMMYFUNCTION("""COMPUTED_VALUE"""),82.14)</f>
        <v>82.14</v>
      </c>
      <c r="N1192" s="3">
        <f>IFERROR(__xludf.DUMMYFUNCTION("""COMPUTED_VALUE"""),45929.66666666667)</f>
        <v>45929.66667</v>
      </c>
      <c r="O1192" s="2">
        <f>IFERROR(__xludf.DUMMYFUNCTION("""COMPUTED_VALUE"""),34.75)</f>
        <v>34.75</v>
      </c>
      <c r="Q1192" s="3">
        <f>IFERROR(__xludf.DUMMYFUNCTION("""COMPUTED_VALUE"""),45929.66666666667)</f>
        <v>45929.66667</v>
      </c>
      <c r="R1192" s="2">
        <f>IFERROR(__xludf.DUMMYFUNCTION("""COMPUTED_VALUE"""),153.53)</f>
        <v>153.53</v>
      </c>
    </row>
    <row r="1193">
      <c r="B1193" s="3">
        <f>IFERROR(__xludf.DUMMYFUNCTION("""COMPUTED_VALUE"""),45930.66666666667)</f>
        <v>45930.66667</v>
      </c>
      <c r="C1193" s="2">
        <f>IFERROR(__xludf.DUMMYFUNCTION("""COMPUTED_VALUE"""),68.42)</f>
        <v>68.42</v>
      </c>
      <c r="K1193" s="3">
        <f>IFERROR(__xludf.DUMMYFUNCTION("""COMPUTED_VALUE"""),45922.6875)</f>
        <v>45922.6875</v>
      </c>
      <c r="L1193" s="2">
        <f>IFERROR(__xludf.DUMMYFUNCTION("""COMPUTED_VALUE"""),81.98)</f>
        <v>81.98</v>
      </c>
      <c r="N1193" s="3">
        <f>IFERROR(__xludf.DUMMYFUNCTION("""COMPUTED_VALUE"""),45930.66666666667)</f>
        <v>45930.66667</v>
      </c>
      <c r="O1193" s="2">
        <f>IFERROR(__xludf.DUMMYFUNCTION("""COMPUTED_VALUE"""),34.46)</f>
        <v>34.46</v>
      </c>
      <c r="Q1193" s="3">
        <f>IFERROR(__xludf.DUMMYFUNCTION("""COMPUTED_VALUE"""),45930.66666666667)</f>
        <v>45930.66667</v>
      </c>
      <c r="R1193" s="2">
        <f>IFERROR(__xludf.DUMMYFUNCTION("""COMPUTED_VALUE"""),153.65)</f>
        <v>153.65</v>
      </c>
    </row>
    <row r="1194">
      <c r="B1194" s="3">
        <f>IFERROR(__xludf.DUMMYFUNCTION("""COMPUTED_VALUE"""),45931.66666666667)</f>
        <v>45931.66667</v>
      </c>
      <c r="C1194" s="2">
        <f>IFERROR(__xludf.DUMMYFUNCTION("""COMPUTED_VALUE"""),68.75)</f>
        <v>68.75</v>
      </c>
      <c r="K1194" s="3">
        <f>IFERROR(__xludf.DUMMYFUNCTION("""COMPUTED_VALUE"""),45923.6875)</f>
        <v>45923.6875</v>
      </c>
      <c r="L1194" s="2">
        <f>IFERROR(__xludf.DUMMYFUNCTION("""COMPUTED_VALUE"""),82.08)</f>
        <v>82.08</v>
      </c>
      <c r="N1194" s="3">
        <f>IFERROR(__xludf.DUMMYFUNCTION("""COMPUTED_VALUE"""),45931.66666666667)</f>
        <v>45931.66667</v>
      </c>
      <c r="O1194" s="2">
        <f>IFERROR(__xludf.DUMMYFUNCTION("""COMPUTED_VALUE"""),34.46)</f>
        <v>34.46</v>
      </c>
      <c r="Q1194" s="3">
        <f>IFERROR(__xludf.DUMMYFUNCTION("""COMPUTED_VALUE"""),45931.66666666667)</f>
        <v>45931.66667</v>
      </c>
      <c r="R1194" s="2">
        <f>IFERROR(__xludf.DUMMYFUNCTION("""COMPUTED_VALUE"""),153.18)</f>
        <v>153.18</v>
      </c>
    </row>
    <row r="1195">
      <c r="B1195" s="3">
        <f>IFERROR(__xludf.DUMMYFUNCTION("""COMPUTED_VALUE"""),45932.66666666667)</f>
        <v>45932.66667</v>
      </c>
      <c r="C1195" s="2">
        <f>IFERROR(__xludf.DUMMYFUNCTION("""COMPUTED_VALUE"""),68.31)</f>
        <v>68.31</v>
      </c>
      <c r="K1195" s="3">
        <f>IFERROR(__xludf.DUMMYFUNCTION("""COMPUTED_VALUE"""),45924.6875)</f>
        <v>45924.6875</v>
      </c>
      <c r="L1195" s="2">
        <f>IFERROR(__xludf.DUMMYFUNCTION("""COMPUTED_VALUE"""),82.36)</f>
        <v>82.36</v>
      </c>
      <c r="N1195" s="3">
        <f>IFERROR(__xludf.DUMMYFUNCTION("""COMPUTED_VALUE"""),45932.66666666667)</f>
        <v>45932.66667</v>
      </c>
      <c r="O1195" s="2">
        <f>IFERROR(__xludf.DUMMYFUNCTION("""COMPUTED_VALUE"""),33.86)</f>
        <v>33.86</v>
      </c>
      <c r="Q1195" s="3">
        <f>IFERROR(__xludf.DUMMYFUNCTION("""COMPUTED_VALUE"""),45932.66666666667)</f>
        <v>45932.66667</v>
      </c>
      <c r="R1195" s="2">
        <f>IFERROR(__xludf.DUMMYFUNCTION("""COMPUTED_VALUE"""),152.05)</f>
        <v>152.05</v>
      </c>
    </row>
    <row r="1196">
      <c r="B1196" s="3">
        <f>IFERROR(__xludf.DUMMYFUNCTION("""COMPUTED_VALUE"""),45933.66666666667)</f>
        <v>45933.66667</v>
      </c>
      <c r="C1196" s="2">
        <f>IFERROR(__xludf.DUMMYFUNCTION("""COMPUTED_VALUE"""),67.92)</f>
        <v>67.92</v>
      </c>
      <c r="K1196" s="3">
        <f>IFERROR(__xludf.DUMMYFUNCTION("""COMPUTED_VALUE"""),45925.6875)</f>
        <v>45925.6875</v>
      </c>
      <c r="L1196" s="2">
        <f>IFERROR(__xludf.DUMMYFUNCTION("""COMPUTED_VALUE"""),81.38)</f>
        <v>81.38</v>
      </c>
      <c r="N1196" s="3">
        <f>IFERROR(__xludf.DUMMYFUNCTION("""COMPUTED_VALUE"""),45933.66666666667)</f>
        <v>45933.66667</v>
      </c>
      <c r="O1196" s="2">
        <f>IFERROR(__xludf.DUMMYFUNCTION("""COMPUTED_VALUE"""),34.16)</f>
        <v>34.16</v>
      </c>
      <c r="Q1196" s="3">
        <f>IFERROR(__xludf.DUMMYFUNCTION("""COMPUTED_VALUE"""),45933.66666666667)</f>
        <v>45933.66667</v>
      </c>
      <c r="R1196" s="2">
        <f>IFERROR(__xludf.DUMMYFUNCTION("""COMPUTED_VALUE"""),152.27)</f>
        <v>152.27</v>
      </c>
    </row>
    <row r="1197">
      <c r="B1197" s="3">
        <f>IFERROR(__xludf.DUMMYFUNCTION("""COMPUTED_VALUE"""),45936.66666666667)</f>
        <v>45936.66667</v>
      </c>
      <c r="C1197" s="2">
        <f>IFERROR(__xludf.DUMMYFUNCTION("""COMPUTED_VALUE"""),68.91)</f>
        <v>68.91</v>
      </c>
      <c r="K1197" s="3">
        <f>IFERROR(__xludf.DUMMYFUNCTION("""COMPUTED_VALUE"""),45926.6875)</f>
        <v>45926.6875</v>
      </c>
      <c r="L1197" s="2">
        <f>IFERROR(__xludf.DUMMYFUNCTION("""COMPUTED_VALUE"""),83.0)</f>
        <v>83</v>
      </c>
      <c r="N1197" s="3">
        <f>IFERROR(__xludf.DUMMYFUNCTION("""COMPUTED_VALUE"""),45936.66666666667)</f>
        <v>45936.66667</v>
      </c>
      <c r="O1197" s="2">
        <f>IFERROR(__xludf.DUMMYFUNCTION("""COMPUTED_VALUE"""),34.83)</f>
        <v>34.83</v>
      </c>
      <c r="Q1197" s="3">
        <f>IFERROR(__xludf.DUMMYFUNCTION("""COMPUTED_VALUE"""),45936.66666666667)</f>
        <v>45936.66667</v>
      </c>
      <c r="R1197" s="2">
        <f>IFERROR(__xludf.DUMMYFUNCTION("""COMPUTED_VALUE"""),150.41)</f>
        <v>150.41</v>
      </c>
    </row>
    <row r="1198">
      <c r="B1198" s="3">
        <f>IFERROR(__xludf.DUMMYFUNCTION("""COMPUTED_VALUE"""),45937.66666666667)</f>
        <v>45937.66667</v>
      </c>
      <c r="C1198" s="2">
        <f>IFERROR(__xludf.DUMMYFUNCTION("""COMPUTED_VALUE"""),68.99)</f>
        <v>68.99</v>
      </c>
      <c r="K1198" s="3">
        <f>IFERROR(__xludf.DUMMYFUNCTION("""COMPUTED_VALUE"""),45929.6875)</f>
        <v>45929.6875</v>
      </c>
      <c r="L1198" s="2">
        <f>IFERROR(__xludf.DUMMYFUNCTION("""COMPUTED_VALUE"""),82.8)</f>
        <v>82.8</v>
      </c>
      <c r="N1198" s="3">
        <f>IFERROR(__xludf.DUMMYFUNCTION("""COMPUTED_VALUE"""),45937.66666666667)</f>
        <v>45937.66667</v>
      </c>
      <c r="O1198" s="2">
        <f>IFERROR(__xludf.DUMMYFUNCTION("""COMPUTED_VALUE"""),34.97)</f>
        <v>34.97</v>
      </c>
      <c r="Q1198" s="3">
        <f>IFERROR(__xludf.DUMMYFUNCTION("""COMPUTED_VALUE"""),45937.66666666667)</f>
        <v>45937.66667</v>
      </c>
      <c r="R1198" s="2">
        <f>IFERROR(__xludf.DUMMYFUNCTION("""COMPUTED_VALUE"""),152.54)</f>
        <v>152.54</v>
      </c>
    </row>
    <row r="1199">
      <c r="B1199" s="3">
        <f>IFERROR(__xludf.DUMMYFUNCTION("""COMPUTED_VALUE"""),45938.66666666667)</f>
        <v>45938.66667</v>
      </c>
      <c r="C1199" s="2">
        <f>IFERROR(__xludf.DUMMYFUNCTION("""COMPUTED_VALUE"""),70.33)</f>
        <v>70.33</v>
      </c>
      <c r="K1199" s="3">
        <f>IFERROR(__xludf.DUMMYFUNCTION("""COMPUTED_VALUE"""),45930.6875)</f>
        <v>45930.6875</v>
      </c>
      <c r="L1199" s="2">
        <f>IFERROR(__xludf.DUMMYFUNCTION("""COMPUTED_VALUE"""),83.82)</f>
        <v>83.82</v>
      </c>
      <c r="N1199" s="3">
        <f>IFERROR(__xludf.DUMMYFUNCTION("""COMPUTED_VALUE"""),45938.66666666667)</f>
        <v>45938.66667</v>
      </c>
      <c r="O1199" s="2">
        <f>IFERROR(__xludf.DUMMYFUNCTION("""COMPUTED_VALUE"""),34.52)</f>
        <v>34.52</v>
      </c>
      <c r="Q1199" s="3">
        <f>IFERROR(__xludf.DUMMYFUNCTION("""COMPUTED_VALUE"""),45938.66666666667)</f>
        <v>45938.66667</v>
      </c>
      <c r="R1199" s="2">
        <f>IFERROR(__xludf.DUMMYFUNCTION("""COMPUTED_VALUE"""),150.69)</f>
        <v>150.69</v>
      </c>
    </row>
    <row r="1200">
      <c r="B1200" s="3">
        <f>IFERROR(__xludf.DUMMYFUNCTION("""COMPUTED_VALUE"""),45939.66666666667)</f>
        <v>45939.66667</v>
      </c>
      <c r="C1200" s="2">
        <f>IFERROR(__xludf.DUMMYFUNCTION("""COMPUTED_VALUE"""),69.96)</f>
        <v>69.96</v>
      </c>
      <c r="K1200" s="3">
        <f>IFERROR(__xludf.DUMMYFUNCTION("""COMPUTED_VALUE"""),45931.6875)</f>
        <v>45931.6875</v>
      </c>
      <c r="L1200" s="2">
        <f>IFERROR(__xludf.DUMMYFUNCTION("""COMPUTED_VALUE"""),83.42)</f>
        <v>83.42</v>
      </c>
      <c r="N1200" s="3">
        <f>IFERROR(__xludf.DUMMYFUNCTION("""COMPUTED_VALUE"""),45939.66666666667)</f>
        <v>45939.66667</v>
      </c>
      <c r="O1200" s="2">
        <f>IFERROR(__xludf.DUMMYFUNCTION("""COMPUTED_VALUE"""),34.29)</f>
        <v>34.29</v>
      </c>
      <c r="Q1200" s="3">
        <f>IFERROR(__xludf.DUMMYFUNCTION("""COMPUTED_VALUE"""),45939.66666666667)</f>
        <v>45939.66667</v>
      </c>
      <c r="R1200" s="2">
        <f>IFERROR(__xludf.DUMMYFUNCTION("""COMPUTED_VALUE"""),150.58)</f>
        <v>150.58</v>
      </c>
    </row>
    <row r="1201">
      <c r="B1201" s="3">
        <f>IFERROR(__xludf.DUMMYFUNCTION("""COMPUTED_VALUE"""),45940.66666666667)</f>
        <v>45940.66667</v>
      </c>
      <c r="C1201" s="2">
        <f>IFERROR(__xludf.DUMMYFUNCTION("""COMPUTED_VALUE"""),67.94)</f>
        <v>67.94</v>
      </c>
      <c r="K1201" s="3">
        <f>IFERROR(__xludf.DUMMYFUNCTION("""COMPUTED_VALUE"""),45932.6875)</f>
        <v>45932.6875</v>
      </c>
      <c r="L1201" s="2">
        <f>IFERROR(__xludf.DUMMYFUNCTION("""COMPUTED_VALUE"""),83.76)</f>
        <v>83.76</v>
      </c>
      <c r="N1201" s="3">
        <f>IFERROR(__xludf.DUMMYFUNCTION("""COMPUTED_VALUE"""),45940.66666666667)</f>
        <v>45940.66667</v>
      </c>
      <c r="O1201" s="2">
        <f>IFERROR(__xludf.DUMMYFUNCTION("""COMPUTED_VALUE"""),33.49)</f>
        <v>33.49</v>
      </c>
      <c r="Q1201" s="3">
        <f>IFERROR(__xludf.DUMMYFUNCTION("""COMPUTED_VALUE"""),45940.66666666667)</f>
        <v>45940.66667</v>
      </c>
      <c r="R1201" s="2">
        <f>IFERROR(__xludf.DUMMYFUNCTION("""COMPUTED_VALUE"""),149.69)</f>
        <v>149.69</v>
      </c>
    </row>
    <row r="1202">
      <c r="B1202" s="3">
        <f>IFERROR(__xludf.DUMMYFUNCTION("""COMPUTED_VALUE"""),45943.66666666667)</f>
        <v>45943.66667</v>
      </c>
      <c r="C1202" s="2">
        <f>IFERROR(__xludf.DUMMYFUNCTION("""COMPUTED_VALUE"""),67.46)</f>
        <v>67.46</v>
      </c>
      <c r="K1202" s="3">
        <f>IFERROR(__xludf.DUMMYFUNCTION("""COMPUTED_VALUE"""),45933.6875)</f>
        <v>45933.6875</v>
      </c>
      <c r="L1202" s="2">
        <f>IFERROR(__xludf.DUMMYFUNCTION("""COMPUTED_VALUE"""),84.36)</f>
        <v>84.36</v>
      </c>
      <c r="N1202" s="3">
        <f>IFERROR(__xludf.DUMMYFUNCTION("""COMPUTED_VALUE"""),45943.66666666667)</f>
        <v>45943.66667</v>
      </c>
      <c r="O1202" s="2">
        <f>IFERROR(__xludf.DUMMYFUNCTION("""COMPUTED_VALUE"""),33.7)</f>
        <v>33.7</v>
      </c>
      <c r="Q1202" s="3">
        <f>IFERROR(__xludf.DUMMYFUNCTION("""COMPUTED_VALUE"""),45943.66666666667)</f>
        <v>45943.66667</v>
      </c>
      <c r="R1202" s="2">
        <f>IFERROR(__xludf.DUMMYFUNCTION("""COMPUTED_VALUE"""),147.49)</f>
        <v>147.49</v>
      </c>
    </row>
    <row r="1203">
      <c r="B1203" s="3">
        <f>IFERROR(__xludf.DUMMYFUNCTION("""COMPUTED_VALUE"""),45944.66666666667)</f>
        <v>45944.66667</v>
      </c>
      <c r="C1203" s="2">
        <f>IFERROR(__xludf.DUMMYFUNCTION("""COMPUTED_VALUE"""),68.66)</f>
        <v>68.66</v>
      </c>
      <c r="K1203" s="3">
        <f>IFERROR(__xludf.DUMMYFUNCTION("""COMPUTED_VALUE"""),45936.6875)</f>
        <v>45936.6875</v>
      </c>
      <c r="L1203" s="2">
        <f>IFERROR(__xludf.DUMMYFUNCTION("""COMPUTED_VALUE"""),84.34)</f>
        <v>84.34</v>
      </c>
      <c r="N1203" s="3">
        <f>IFERROR(__xludf.DUMMYFUNCTION("""COMPUTED_VALUE"""),45944.66666666667)</f>
        <v>45944.66667</v>
      </c>
      <c r="O1203" s="2">
        <f>IFERROR(__xludf.DUMMYFUNCTION("""COMPUTED_VALUE"""),33.11)</f>
        <v>33.11</v>
      </c>
      <c r="Q1203" s="3">
        <f>IFERROR(__xludf.DUMMYFUNCTION("""COMPUTED_VALUE"""),45944.66666666667)</f>
        <v>45944.66667</v>
      </c>
      <c r="R1203" s="2">
        <f>IFERROR(__xludf.DUMMYFUNCTION("""COMPUTED_VALUE"""),149.16)</f>
        <v>149.16</v>
      </c>
    </row>
    <row r="1204">
      <c r="B1204" s="3">
        <f>IFERROR(__xludf.DUMMYFUNCTION("""COMPUTED_VALUE"""),45945.66666666667)</f>
        <v>45945.66667</v>
      </c>
      <c r="C1204" s="2">
        <f>IFERROR(__xludf.DUMMYFUNCTION("""COMPUTED_VALUE"""),69.52)</f>
        <v>69.52</v>
      </c>
      <c r="K1204" s="3">
        <f>IFERROR(__xludf.DUMMYFUNCTION("""COMPUTED_VALUE"""),45937.6875)</f>
        <v>45937.6875</v>
      </c>
      <c r="L1204" s="2">
        <f>IFERROR(__xludf.DUMMYFUNCTION("""COMPUTED_VALUE"""),83.3)</f>
        <v>83.3</v>
      </c>
      <c r="N1204" s="3">
        <f>IFERROR(__xludf.DUMMYFUNCTION("""COMPUTED_VALUE"""),45945.66666666667)</f>
        <v>45945.66667</v>
      </c>
      <c r="O1204" s="2">
        <f>IFERROR(__xludf.DUMMYFUNCTION("""COMPUTED_VALUE"""),33.34)</f>
        <v>33.34</v>
      </c>
      <c r="Q1204" s="3">
        <f>IFERROR(__xludf.DUMMYFUNCTION("""COMPUTED_VALUE"""),45945.66666666667)</f>
        <v>45945.66667</v>
      </c>
      <c r="R1204" s="2">
        <f>IFERROR(__xludf.DUMMYFUNCTION("""COMPUTED_VALUE"""),147.42)</f>
        <v>147.42</v>
      </c>
    </row>
    <row r="1205">
      <c r="B1205" s="3">
        <f>IFERROR(__xludf.DUMMYFUNCTION("""COMPUTED_VALUE"""),45946.66666666667)</f>
        <v>45946.66667</v>
      </c>
      <c r="C1205" s="2">
        <f>IFERROR(__xludf.DUMMYFUNCTION("""COMPUTED_VALUE"""),69.09)</f>
        <v>69.09</v>
      </c>
      <c r="K1205" s="3">
        <f>IFERROR(__xludf.DUMMYFUNCTION("""COMPUTED_VALUE"""),45938.6875)</f>
        <v>45938.6875</v>
      </c>
      <c r="L1205" s="2">
        <f>IFERROR(__xludf.DUMMYFUNCTION("""COMPUTED_VALUE"""),86.38)</f>
        <v>86.38</v>
      </c>
      <c r="N1205" s="3">
        <f>IFERROR(__xludf.DUMMYFUNCTION("""COMPUTED_VALUE"""),45946.66666666667)</f>
        <v>45946.66667</v>
      </c>
      <c r="O1205" s="2">
        <f>IFERROR(__xludf.DUMMYFUNCTION("""COMPUTED_VALUE"""),32.78)</f>
        <v>32.78</v>
      </c>
      <c r="Q1205" s="3">
        <f>IFERROR(__xludf.DUMMYFUNCTION("""COMPUTED_VALUE"""),45946.66666666667)</f>
        <v>45946.66667</v>
      </c>
      <c r="R1205" s="2">
        <f>IFERROR(__xludf.DUMMYFUNCTION("""COMPUTED_VALUE"""),149.6)</f>
        <v>149.6</v>
      </c>
    </row>
    <row r="1206">
      <c r="B1206" s="3">
        <f>IFERROR(__xludf.DUMMYFUNCTION("""COMPUTED_VALUE"""),45947.66666666667)</f>
        <v>45947.66667</v>
      </c>
      <c r="C1206" s="2">
        <f>IFERROR(__xludf.DUMMYFUNCTION("""COMPUTED_VALUE"""),70.13)</f>
        <v>70.13</v>
      </c>
      <c r="K1206" s="3">
        <f>IFERROR(__xludf.DUMMYFUNCTION("""COMPUTED_VALUE"""),45939.6875)</f>
        <v>45939.6875</v>
      </c>
      <c r="L1206" s="2">
        <f>IFERROR(__xludf.DUMMYFUNCTION("""COMPUTED_VALUE"""),83.5)</f>
        <v>83.5</v>
      </c>
      <c r="N1206" s="3">
        <f>IFERROR(__xludf.DUMMYFUNCTION("""COMPUTED_VALUE"""),45947.66666666667)</f>
        <v>45947.66667</v>
      </c>
      <c r="O1206" s="2">
        <f>IFERROR(__xludf.DUMMYFUNCTION("""COMPUTED_VALUE"""),33.13)</f>
        <v>33.13</v>
      </c>
      <c r="Q1206" s="3">
        <f>IFERROR(__xludf.DUMMYFUNCTION("""COMPUTED_VALUE"""),45947.66666666667)</f>
        <v>45947.66667</v>
      </c>
      <c r="R1206" s="2">
        <f>IFERROR(__xludf.DUMMYFUNCTION("""COMPUTED_VALUE"""),151.4)</f>
        <v>151.4</v>
      </c>
    </row>
    <row r="1207">
      <c r="B1207" s="3">
        <f>IFERROR(__xludf.DUMMYFUNCTION("""COMPUTED_VALUE"""),45950.66666666667)</f>
        <v>45950.66667</v>
      </c>
      <c r="C1207" s="2">
        <f>IFERROR(__xludf.DUMMYFUNCTION("""COMPUTED_VALUE"""),70.65)</f>
        <v>70.65</v>
      </c>
      <c r="K1207" s="3">
        <f>IFERROR(__xludf.DUMMYFUNCTION("""COMPUTED_VALUE"""),45940.6875)</f>
        <v>45940.6875</v>
      </c>
      <c r="L1207" s="2">
        <f>IFERROR(__xludf.DUMMYFUNCTION("""COMPUTED_VALUE"""),82.9)</f>
        <v>82.9</v>
      </c>
      <c r="N1207" s="3">
        <f>IFERROR(__xludf.DUMMYFUNCTION("""COMPUTED_VALUE"""),45950.66666666667)</f>
        <v>45950.66667</v>
      </c>
      <c r="O1207" s="2">
        <f>IFERROR(__xludf.DUMMYFUNCTION("""COMPUTED_VALUE"""),33.22)</f>
        <v>33.22</v>
      </c>
      <c r="Q1207" s="3">
        <f>IFERROR(__xludf.DUMMYFUNCTION("""COMPUTED_VALUE"""),45950.66666666667)</f>
        <v>45950.66667</v>
      </c>
      <c r="R1207" s="2">
        <f>IFERROR(__xludf.DUMMYFUNCTION("""COMPUTED_VALUE"""),151.96)</f>
        <v>151.96</v>
      </c>
    </row>
    <row r="1208">
      <c r="B1208" s="3">
        <f>IFERROR(__xludf.DUMMYFUNCTION("""COMPUTED_VALUE"""),45951.66666666667)</f>
        <v>45951.66667</v>
      </c>
      <c r="C1208" s="2">
        <f>IFERROR(__xludf.DUMMYFUNCTION("""COMPUTED_VALUE"""),70.72)</f>
        <v>70.72</v>
      </c>
      <c r="K1208" s="3">
        <f>IFERROR(__xludf.DUMMYFUNCTION("""COMPUTED_VALUE"""),45943.6875)</f>
        <v>45943.6875</v>
      </c>
      <c r="L1208" s="2">
        <f>IFERROR(__xludf.DUMMYFUNCTION("""COMPUTED_VALUE"""),83.68)</f>
        <v>83.68</v>
      </c>
      <c r="N1208" s="3">
        <f>IFERROR(__xludf.DUMMYFUNCTION("""COMPUTED_VALUE"""),45951.66666666667)</f>
        <v>45951.66667</v>
      </c>
      <c r="O1208" s="2">
        <f>IFERROR(__xludf.DUMMYFUNCTION("""COMPUTED_VALUE"""),33.16)</f>
        <v>33.16</v>
      </c>
      <c r="Q1208" s="3">
        <f>IFERROR(__xludf.DUMMYFUNCTION("""COMPUTED_VALUE"""),45951.66666666667)</f>
        <v>45951.66667</v>
      </c>
      <c r="R1208" s="2">
        <f>IFERROR(__xludf.DUMMYFUNCTION("""COMPUTED_VALUE"""),151.62)</f>
        <v>151.62</v>
      </c>
    </row>
    <row r="1209">
      <c r="B1209" s="3">
        <f>IFERROR(__xludf.DUMMYFUNCTION("""COMPUTED_VALUE"""),45952.66666666667)</f>
        <v>45952.66667</v>
      </c>
      <c r="C1209" s="2">
        <f>IFERROR(__xludf.DUMMYFUNCTION("""COMPUTED_VALUE"""),70.66)</f>
        <v>70.66</v>
      </c>
      <c r="K1209" s="3">
        <f>IFERROR(__xludf.DUMMYFUNCTION("""COMPUTED_VALUE"""),45944.6875)</f>
        <v>45944.6875</v>
      </c>
      <c r="L1209" s="2">
        <f>IFERROR(__xludf.DUMMYFUNCTION("""COMPUTED_VALUE"""),84.18)</f>
        <v>84.18</v>
      </c>
      <c r="N1209" s="3">
        <f>IFERROR(__xludf.DUMMYFUNCTION("""COMPUTED_VALUE"""),45952.66666666667)</f>
        <v>45952.66667</v>
      </c>
      <c r="O1209" s="2">
        <f>IFERROR(__xludf.DUMMYFUNCTION("""COMPUTED_VALUE"""),34.32)</f>
        <v>34.32</v>
      </c>
      <c r="Q1209" s="3">
        <f>IFERROR(__xludf.DUMMYFUNCTION("""COMPUTED_VALUE"""),45952.66666666667)</f>
        <v>45952.66667</v>
      </c>
      <c r="R1209" s="2">
        <f>IFERROR(__xludf.DUMMYFUNCTION("""COMPUTED_VALUE"""),152.2)</f>
        <v>152.2</v>
      </c>
    </row>
    <row r="1210">
      <c r="B1210" s="3">
        <f>IFERROR(__xludf.DUMMYFUNCTION("""COMPUTED_VALUE"""),45953.66666666667)</f>
        <v>45953.66667</v>
      </c>
      <c r="C1210" s="2">
        <f>IFERROR(__xludf.DUMMYFUNCTION("""COMPUTED_VALUE"""),70.27)</f>
        <v>70.27</v>
      </c>
      <c r="K1210" s="3">
        <f>IFERROR(__xludf.DUMMYFUNCTION("""COMPUTED_VALUE"""),45945.6875)</f>
        <v>45945.6875</v>
      </c>
      <c r="L1210" s="2">
        <f>IFERROR(__xludf.DUMMYFUNCTION("""COMPUTED_VALUE"""),84.86)</f>
        <v>84.86</v>
      </c>
      <c r="N1210" s="3">
        <f>IFERROR(__xludf.DUMMYFUNCTION("""COMPUTED_VALUE"""),45953.66666666667)</f>
        <v>45953.66667</v>
      </c>
      <c r="O1210" s="2">
        <f>IFERROR(__xludf.DUMMYFUNCTION("""COMPUTED_VALUE"""),35.0)</f>
        <v>35</v>
      </c>
      <c r="Q1210" s="3">
        <f>IFERROR(__xludf.DUMMYFUNCTION("""COMPUTED_VALUE"""),45953.66666666667)</f>
        <v>45953.66667</v>
      </c>
      <c r="R1210" s="2">
        <f>IFERROR(__xludf.DUMMYFUNCTION("""COMPUTED_VALUE"""),152.21)</f>
        <v>152.21</v>
      </c>
    </row>
    <row r="1211">
      <c r="B1211" s="3">
        <f>IFERROR(__xludf.DUMMYFUNCTION("""COMPUTED_VALUE"""),45954.66666666667)</f>
        <v>45954.66667</v>
      </c>
      <c r="C1211" s="2">
        <f>IFERROR(__xludf.DUMMYFUNCTION("""COMPUTED_VALUE"""),70.63)</f>
        <v>70.63</v>
      </c>
      <c r="K1211" s="3">
        <f>IFERROR(__xludf.DUMMYFUNCTION("""COMPUTED_VALUE"""),45946.6875)</f>
        <v>45946.6875</v>
      </c>
      <c r="L1211" s="2">
        <f>IFERROR(__xludf.DUMMYFUNCTION("""COMPUTED_VALUE"""),84.48)</f>
        <v>84.48</v>
      </c>
      <c r="N1211" s="3">
        <f>IFERROR(__xludf.DUMMYFUNCTION("""COMPUTED_VALUE"""),45954.66666666667)</f>
        <v>45954.66667</v>
      </c>
      <c r="O1211" s="2">
        <f>IFERROR(__xludf.DUMMYFUNCTION("""COMPUTED_VALUE"""),34.54)</f>
        <v>34.54</v>
      </c>
      <c r="Q1211" s="3">
        <f>IFERROR(__xludf.DUMMYFUNCTION("""COMPUTED_VALUE"""),45954.66666666667)</f>
        <v>45954.66667</v>
      </c>
      <c r="R1211" s="2">
        <f>IFERROR(__xludf.DUMMYFUNCTION("""COMPUTED_VALUE"""),152.49)</f>
        <v>152.49</v>
      </c>
    </row>
    <row r="1212">
      <c r="B1212" s="3">
        <f>IFERROR(__xludf.DUMMYFUNCTION("""COMPUTED_VALUE"""),45957.66666666667)</f>
        <v>45957.66667</v>
      </c>
      <c r="C1212" s="2">
        <f>IFERROR(__xludf.DUMMYFUNCTION("""COMPUTED_VALUE"""),71.39)</f>
        <v>71.39</v>
      </c>
      <c r="K1212" s="3">
        <f>IFERROR(__xludf.DUMMYFUNCTION("""COMPUTED_VALUE"""),45947.6875)</f>
        <v>45947.6875</v>
      </c>
      <c r="L1212" s="2">
        <f>IFERROR(__xludf.DUMMYFUNCTION("""COMPUTED_VALUE"""),82.44)</f>
        <v>82.44</v>
      </c>
      <c r="N1212" s="3">
        <f>IFERROR(__xludf.DUMMYFUNCTION("""COMPUTED_VALUE"""),45957.66666666667)</f>
        <v>45957.66667</v>
      </c>
      <c r="O1212" s="2">
        <f>IFERROR(__xludf.DUMMYFUNCTION("""COMPUTED_VALUE"""),34.77)</f>
        <v>34.77</v>
      </c>
      <c r="Q1212" s="3">
        <f>IFERROR(__xludf.DUMMYFUNCTION("""COMPUTED_VALUE"""),45957.66666666667)</f>
        <v>45957.66667</v>
      </c>
      <c r="R1212" s="2">
        <f>IFERROR(__xludf.DUMMYFUNCTION("""COMPUTED_VALUE"""),151.74)</f>
        <v>151.74</v>
      </c>
    </row>
    <row r="1213">
      <c r="B1213" s="3">
        <f>IFERROR(__xludf.DUMMYFUNCTION("""COMPUTED_VALUE"""),45958.66666666667)</f>
        <v>45958.66667</v>
      </c>
      <c r="C1213" s="2">
        <f>IFERROR(__xludf.DUMMYFUNCTION("""COMPUTED_VALUE"""),72.62)</f>
        <v>72.62</v>
      </c>
      <c r="K1213" s="3">
        <f>IFERROR(__xludf.DUMMYFUNCTION("""COMPUTED_VALUE"""),45950.6875)</f>
        <v>45950.6875</v>
      </c>
      <c r="L1213" s="2">
        <f>IFERROR(__xludf.DUMMYFUNCTION("""COMPUTED_VALUE"""),83.0)</f>
        <v>83</v>
      </c>
      <c r="N1213" s="3">
        <f>IFERROR(__xludf.DUMMYFUNCTION("""COMPUTED_VALUE"""),45958.66666666667)</f>
        <v>45958.66667</v>
      </c>
      <c r="O1213" s="2">
        <f>IFERROR(__xludf.DUMMYFUNCTION("""COMPUTED_VALUE"""),34.46)</f>
        <v>34.46</v>
      </c>
      <c r="Q1213" s="3">
        <f>IFERROR(__xludf.DUMMYFUNCTION("""COMPUTED_VALUE"""),45958.66666666667)</f>
        <v>45958.66667</v>
      </c>
      <c r="R1213" s="2">
        <f>IFERROR(__xludf.DUMMYFUNCTION("""COMPUTED_VALUE"""),151.37)</f>
        <v>151.37</v>
      </c>
    </row>
    <row r="1214">
      <c r="B1214" s="3">
        <f>IFERROR(__xludf.DUMMYFUNCTION("""COMPUTED_VALUE"""),45959.66666666667)</f>
        <v>45959.66667</v>
      </c>
      <c r="C1214" s="2">
        <f>IFERROR(__xludf.DUMMYFUNCTION("""COMPUTED_VALUE"""),71.33)</f>
        <v>71.33</v>
      </c>
      <c r="K1214" s="3">
        <f>IFERROR(__xludf.DUMMYFUNCTION("""COMPUTED_VALUE"""),45951.6875)</f>
        <v>45951.6875</v>
      </c>
      <c r="L1214" s="2">
        <f>IFERROR(__xludf.DUMMYFUNCTION("""COMPUTED_VALUE"""),83.34)</f>
        <v>83.34</v>
      </c>
      <c r="N1214" s="3">
        <f>IFERROR(__xludf.DUMMYFUNCTION("""COMPUTED_VALUE"""),45959.66666666667)</f>
        <v>45959.66667</v>
      </c>
      <c r="O1214" s="2">
        <f>IFERROR(__xludf.DUMMYFUNCTION("""COMPUTED_VALUE"""),35.2)</f>
        <v>35.2</v>
      </c>
      <c r="Q1214" s="3">
        <f>IFERROR(__xludf.DUMMYFUNCTION("""COMPUTED_VALUE"""),45959.66666666667)</f>
        <v>45959.66667</v>
      </c>
      <c r="R1214" s="2">
        <f>IFERROR(__xludf.DUMMYFUNCTION("""COMPUTED_VALUE"""),148.77)</f>
        <v>148.77</v>
      </c>
    </row>
    <row r="1215">
      <c r="B1215" s="3">
        <f>IFERROR(__xludf.DUMMYFUNCTION("""COMPUTED_VALUE"""),45960.66666666667)</f>
        <v>45960.66667</v>
      </c>
      <c r="C1215" s="2">
        <f>IFERROR(__xludf.DUMMYFUNCTION("""COMPUTED_VALUE"""),72.91)</f>
        <v>72.91</v>
      </c>
      <c r="K1215" s="3">
        <f>IFERROR(__xludf.DUMMYFUNCTION("""COMPUTED_VALUE"""),45952.6875)</f>
        <v>45952.6875</v>
      </c>
      <c r="L1215" s="2">
        <f>IFERROR(__xludf.DUMMYFUNCTION("""COMPUTED_VALUE"""),84.48)</f>
        <v>84.48</v>
      </c>
      <c r="N1215" s="3">
        <f>IFERROR(__xludf.DUMMYFUNCTION("""COMPUTED_VALUE"""),45960.66666666667)</f>
        <v>45960.66667</v>
      </c>
      <c r="O1215" s="2">
        <f>IFERROR(__xludf.DUMMYFUNCTION("""COMPUTED_VALUE"""),34.77)</f>
        <v>34.77</v>
      </c>
      <c r="Q1215" s="3">
        <f>IFERROR(__xludf.DUMMYFUNCTION("""COMPUTED_VALUE"""),45960.66666666667)</f>
        <v>45960.66667</v>
      </c>
      <c r="R1215" s="2">
        <f>IFERROR(__xludf.DUMMYFUNCTION("""COMPUTED_VALUE"""),149.58)</f>
        <v>149.58</v>
      </c>
    </row>
    <row r="1216">
      <c r="B1216" s="3">
        <f>IFERROR(__xludf.DUMMYFUNCTION("""COMPUTED_VALUE"""),45961.66666666667)</f>
        <v>45961.66667</v>
      </c>
      <c r="C1216" s="2">
        <f>IFERROR(__xludf.DUMMYFUNCTION("""COMPUTED_VALUE"""),73.11)</f>
        <v>73.11</v>
      </c>
      <c r="K1216" s="3">
        <f>IFERROR(__xludf.DUMMYFUNCTION("""COMPUTED_VALUE"""),45953.6875)</f>
        <v>45953.6875</v>
      </c>
      <c r="L1216" s="2">
        <f>IFERROR(__xludf.DUMMYFUNCTION("""COMPUTED_VALUE"""),85.46)</f>
        <v>85.46</v>
      </c>
      <c r="N1216" s="3">
        <f>IFERROR(__xludf.DUMMYFUNCTION("""COMPUTED_VALUE"""),45961.66666666667)</f>
        <v>45961.66667</v>
      </c>
      <c r="O1216" s="2">
        <f>IFERROR(__xludf.DUMMYFUNCTION("""COMPUTED_VALUE"""),35.13)</f>
        <v>35.13</v>
      </c>
      <c r="Q1216" s="3">
        <f>IFERROR(__xludf.DUMMYFUNCTION("""COMPUTED_VALUE"""),45961.66666666667)</f>
        <v>45961.66667</v>
      </c>
      <c r="R1216" s="2">
        <f>IFERROR(__xludf.DUMMYFUNCTION("""COMPUTED_VALUE"""),150.37)</f>
        <v>150.37</v>
      </c>
    </row>
    <row r="1217">
      <c r="B1217" s="3">
        <f>IFERROR(__xludf.DUMMYFUNCTION("""COMPUTED_VALUE"""),45964.66666666667)</f>
        <v>45964.66667</v>
      </c>
      <c r="C1217" s="2">
        <f>IFERROR(__xludf.DUMMYFUNCTION("""COMPUTED_VALUE"""),74.45)</f>
        <v>74.45</v>
      </c>
      <c r="K1217" s="3">
        <f>IFERROR(__xludf.DUMMYFUNCTION("""COMPUTED_VALUE"""),45954.6875)</f>
        <v>45954.6875</v>
      </c>
      <c r="L1217" s="2">
        <f>IFERROR(__xludf.DUMMYFUNCTION("""COMPUTED_VALUE"""),85.86)</f>
        <v>85.86</v>
      </c>
      <c r="N1217" s="3">
        <f>IFERROR(__xludf.DUMMYFUNCTION("""COMPUTED_VALUE"""),45964.66666666667)</f>
        <v>45964.66667</v>
      </c>
      <c r="O1217" s="2">
        <f>IFERROR(__xludf.DUMMYFUNCTION("""COMPUTED_VALUE"""),34.87)</f>
        <v>34.87</v>
      </c>
      <c r="Q1217" s="3">
        <f>IFERROR(__xludf.DUMMYFUNCTION("""COMPUTED_VALUE"""),45964.66666666667)</f>
        <v>45964.66667</v>
      </c>
      <c r="R1217" s="2">
        <f>IFERROR(__xludf.DUMMYFUNCTION("""COMPUTED_VALUE"""),148.02)</f>
        <v>148.02</v>
      </c>
    </row>
    <row r="1218">
      <c r="B1218" s="3">
        <f>IFERROR(__xludf.DUMMYFUNCTION("""COMPUTED_VALUE"""),45965.66666666667)</f>
        <v>45965.66667</v>
      </c>
      <c r="C1218" s="2">
        <f>IFERROR(__xludf.DUMMYFUNCTION("""COMPUTED_VALUE"""),72.32)</f>
        <v>72.32</v>
      </c>
      <c r="K1218" s="3">
        <f>IFERROR(__xludf.DUMMYFUNCTION("""COMPUTED_VALUE"""),45957.6875)</f>
        <v>45957.6875</v>
      </c>
      <c r="L1218" s="2">
        <f>IFERROR(__xludf.DUMMYFUNCTION("""COMPUTED_VALUE"""),87.84)</f>
        <v>87.84</v>
      </c>
      <c r="N1218" s="3">
        <f>IFERROR(__xludf.DUMMYFUNCTION("""COMPUTED_VALUE"""),45965.66666666667)</f>
        <v>45965.66667</v>
      </c>
      <c r="O1218" s="2">
        <f>IFERROR(__xludf.DUMMYFUNCTION("""COMPUTED_VALUE"""),35.12)</f>
        <v>35.12</v>
      </c>
      <c r="Q1218" s="3">
        <f>IFERROR(__xludf.DUMMYFUNCTION("""COMPUTED_VALUE"""),45965.66666666667)</f>
        <v>45965.66667</v>
      </c>
      <c r="R1218" s="2">
        <f>IFERROR(__xludf.DUMMYFUNCTION("""COMPUTED_VALUE"""),147.17)</f>
        <v>147.17</v>
      </c>
    </row>
    <row r="1219">
      <c r="B1219" s="3">
        <f>IFERROR(__xludf.DUMMYFUNCTION("""COMPUTED_VALUE"""),45966.66666666667)</f>
        <v>45966.66667</v>
      </c>
      <c r="C1219" s="2">
        <f>IFERROR(__xludf.DUMMYFUNCTION("""COMPUTED_VALUE"""),72.1)</f>
        <v>72.1</v>
      </c>
      <c r="K1219" s="3">
        <f>IFERROR(__xludf.DUMMYFUNCTION("""COMPUTED_VALUE"""),45958.6875)</f>
        <v>45958.6875</v>
      </c>
      <c r="L1219" s="2">
        <f>IFERROR(__xludf.DUMMYFUNCTION("""COMPUTED_VALUE"""),87.86)</f>
        <v>87.86</v>
      </c>
      <c r="N1219" s="3">
        <f>IFERROR(__xludf.DUMMYFUNCTION("""COMPUTED_VALUE"""),45966.66666666667)</f>
        <v>45966.66667</v>
      </c>
      <c r="O1219" s="2">
        <f>IFERROR(__xludf.DUMMYFUNCTION("""COMPUTED_VALUE"""),35.68)</f>
        <v>35.68</v>
      </c>
      <c r="Q1219" s="3">
        <f>IFERROR(__xludf.DUMMYFUNCTION("""COMPUTED_VALUE"""),45966.66666666667)</f>
        <v>45966.66667</v>
      </c>
      <c r="R1219" s="2">
        <f>IFERROR(__xludf.DUMMYFUNCTION("""COMPUTED_VALUE"""),145.79)</f>
        <v>145.79</v>
      </c>
    </row>
    <row r="1220">
      <c r="B1220" s="3">
        <f>IFERROR(__xludf.DUMMYFUNCTION("""COMPUTED_VALUE"""),45967.66666666667)</f>
        <v>45967.66667</v>
      </c>
      <c r="C1220" s="2">
        <f>IFERROR(__xludf.DUMMYFUNCTION("""COMPUTED_VALUE"""),71.04)</f>
        <v>71.04</v>
      </c>
      <c r="K1220" s="3">
        <f>IFERROR(__xludf.DUMMYFUNCTION("""COMPUTED_VALUE"""),45959.6875)</f>
        <v>45959.6875</v>
      </c>
      <c r="L1220" s="2">
        <f>IFERROR(__xludf.DUMMYFUNCTION("""COMPUTED_VALUE"""),88.58)</f>
        <v>88.58</v>
      </c>
      <c r="N1220" s="3">
        <f>IFERROR(__xludf.DUMMYFUNCTION("""COMPUTED_VALUE"""),45967.66666666667)</f>
        <v>45967.66667</v>
      </c>
      <c r="O1220" s="2">
        <f>IFERROR(__xludf.DUMMYFUNCTION("""COMPUTED_VALUE"""),35.82)</f>
        <v>35.82</v>
      </c>
      <c r="Q1220" s="3">
        <f>IFERROR(__xludf.DUMMYFUNCTION("""COMPUTED_VALUE"""),45967.66666666667)</f>
        <v>45967.66667</v>
      </c>
      <c r="R1220" s="2">
        <f>IFERROR(__xludf.DUMMYFUNCTION("""COMPUTED_VALUE"""),146.13)</f>
        <v>146.13</v>
      </c>
    </row>
    <row r="1221">
      <c r="B1221" s="3">
        <f>IFERROR(__xludf.DUMMYFUNCTION("""COMPUTED_VALUE"""),45968.66666666667)</f>
        <v>45968.66667</v>
      </c>
      <c r="C1221" s="2">
        <f>IFERROR(__xludf.DUMMYFUNCTION("""COMPUTED_VALUE"""),71.07)</f>
        <v>71.07</v>
      </c>
      <c r="K1221" s="3">
        <f>IFERROR(__xludf.DUMMYFUNCTION("""COMPUTED_VALUE"""),45960.6875)</f>
        <v>45960.6875</v>
      </c>
      <c r="L1221" s="2">
        <f>IFERROR(__xludf.DUMMYFUNCTION("""COMPUTED_VALUE"""),88.82)</f>
        <v>88.82</v>
      </c>
      <c r="N1221" s="3">
        <f>IFERROR(__xludf.DUMMYFUNCTION("""COMPUTED_VALUE"""),45968.66666666667)</f>
        <v>45968.66667</v>
      </c>
      <c r="O1221" s="2">
        <f>IFERROR(__xludf.DUMMYFUNCTION("""COMPUTED_VALUE"""),36.58)</f>
        <v>36.58</v>
      </c>
      <c r="Q1221" s="3">
        <f>IFERROR(__xludf.DUMMYFUNCTION("""COMPUTED_VALUE"""),45968.66666666667)</f>
        <v>45968.66667</v>
      </c>
      <c r="R1221" s="2">
        <f>IFERROR(__xludf.DUMMYFUNCTION("""COMPUTED_VALUE"""),146.98)</f>
        <v>146.98</v>
      </c>
    </row>
    <row r="1222">
      <c r="B1222" s="3">
        <f>IFERROR(__xludf.DUMMYFUNCTION("""COMPUTED_VALUE"""),45971.66666666667)</f>
        <v>45971.66667</v>
      </c>
      <c r="C1222" s="2">
        <f>IFERROR(__xludf.DUMMYFUNCTION("""COMPUTED_VALUE"""),72.09)</f>
        <v>72.09</v>
      </c>
      <c r="K1222" s="3">
        <f>IFERROR(__xludf.DUMMYFUNCTION("""COMPUTED_VALUE"""),45961.6875)</f>
        <v>45961.6875</v>
      </c>
      <c r="L1222" s="2">
        <f>IFERROR(__xludf.DUMMYFUNCTION("""COMPUTED_VALUE"""),89.08)</f>
        <v>89.08</v>
      </c>
      <c r="N1222" s="3">
        <f>IFERROR(__xludf.DUMMYFUNCTION("""COMPUTED_VALUE"""),45971.66666666667)</f>
        <v>45971.66667</v>
      </c>
      <c r="O1222" s="2">
        <f>IFERROR(__xludf.DUMMYFUNCTION("""COMPUTED_VALUE"""),37.12)</f>
        <v>37.12</v>
      </c>
      <c r="Q1222" s="3">
        <f>IFERROR(__xludf.DUMMYFUNCTION("""COMPUTED_VALUE"""),45971.66666666667)</f>
        <v>45971.66667</v>
      </c>
      <c r="R1222" s="2">
        <f>IFERROR(__xludf.DUMMYFUNCTION("""COMPUTED_VALUE"""),145.5)</f>
        <v>145.5</v>
      </c>
    </row>
    <row r="1223">
      <c r="B1223" s="3">
        <f>IFERROR(__xludf.DUMMYFUNCTION("""COMPUTED_VALUE"""),45972.66666666667)</f>
        <v>45972.66667</v>
      </c>
      <c r="C1223" s="2">
        <f>IFERROR(__xludf.DUMMYFUNCTION("""COMPUTED_VALUE"""),71.71)</f>
        <v>71.71</v>
      </c>
      <c r="K1223" s="3">
        <f>IFERROR(__xludf.DUMMYFUNCTION("""COMPUTED_VALUE"""),45964.6875)</f>
        <v>45964.6875</v>
      </c>
      <c r="L1223" s="2">
        <f>IFERROR(__xludf.DUMMYFUNCTION("""COMPUTED_VALUE"""),89.4)</f>
        <v>89.4</v>
      </c>
      <c r="N1223" s="3">
        <f>IFERROR(__xludf.DUMMYFUNCTION("""COMPUTED_VALUE"""),45972.66666666667)</f>
        <v>45972.66667</v>
      </c>
      <c r="O1223" s="2">
        <f>IFERROR(__xludf.DUMMYFUNCTION("""COMPUTED_VALUE"""),37.35)</f>
        <v>37.35</v>
      </c>
      <c r="Q1223" s="3">
        <f>IFERROR(__xludf.DUMMYFUNCTION("""COMPUTED_VALUE"""),45972.66666666667)</f>
        <v>45972.66667</v>
      </c>
      <c r="R1223" s="2">
        <f>IFERROR(__xludf.DUMMYFUNCTION("""COMPUTED_VALUE"""),148.54)</f>
        <v>148.54</v>
      </c>
    </row>
    <row r="1224">
      <c r="B1224" s="3">
        <f>IFERROR(__xludf.DUMMYFUNCTION("""COMPUTED_VALUE"""),45973.66666666667)</f>
        <v>45973.66667</v>
      </c>
      <c r="C1224" s="2">
        <f>IFERROR(__xludf.DUMMYFUNCTION("""COMPUTED_VALUE"""),73.96)</f>
        <v>73.96</v>
      </c>
      <c r="K1224" s="3">
        <f>IFERROR(__xludf.DUMMYFUNCTION("""COMPUTED_VALUE"""),45965.6875)</f>
        <v>45965.6875</v>
      </c>
      <c r="L1224" s="2">
        <f>IFERROR(__xludf.DUMMYFUNCTION("""COMPUTED_VALUE"""),88.9)</f>
        <v>88.9</v>
      </c>
      <c r="N1224" s="3">
        <f>IFERROR(__xludf.DUMMYFUNCTION("""COMPUTED_VALUE"""),45973.66666666667)</f>
        <v>45973.66667</v>
      </c>
      <c r="O1224" s="2">
        <f>IFERROR(__xludf.DUMMYFUNCTION("""COMPUTED_VALUE"""),36.86)</f>
        <v>36.86</v>
      </c>
      <c r="Q1224" s="3">
        <f>IFERROR(__xludf.DUMMYFUNCTION("""COMPUTED_VALUE"""),45973.66666666667)</f>
        <v>45973.66667</v>
      </c>
      <c r="R1224" s="2">
        <f>IFERROR(__xludf.DUMMYFUNCTION("""COMPUTED_VALUE"""),148.01)</f>
        <v>148.01</v>
      </c>
    </row>
    <row r="1225">
      <c r="B1225" s="3">
        <f>IFERROR(__xludf.DUMMYFUNCTION("""COMPUTED_VALUE"""),45974.66666666667)</f>
        <v>45974.66667</v>
      </c>
      <c r="C1225" s="2">
        <f>IFERROR(__xludf.DUMMYFUNCTION("""COMPUTED_VALUE"""),77.38)</f>
        <v>77.38</v>
      </c>
      <c r="K1225" s="3">
        <f>IFERROR(__xludf.DUMMYFUNCTION("""COMPUTED_VALUE"""),45966.6875)</f>
        <v>45966.6875</v>
      </c>
      <c r="L1225" s="2">
        <f>IFERROR(__xludf.DUMMYFUNCTION("""COMPUTED_VALUE"""),89.56)</f>
        <v>89.56</v>
      </c>
      <c r="N1225" s="3">
        <f>IFERROR(__xludf.DUMMYFUNCTION("""COMPUTED_VALUE"""),45974.66666666667)</f>
        <v>45974.66667</v>
      </c>
      <c r="O1225" s="2">
        <f>IFERROR(__xludf.DUMMYFUNCTION("""COMPUTED_VALUE"""),36.49)</f>
        <v>36.49</v>
      </c>
      <c r="Q1225" s="3">
        <f>IFERROR(__xludf.DUMMYFUNCTION("""COMPUTED_VALUE"""),45974.66666666667)</f>
        <v>45974.66667</v>
      </c>
      <c r="R1225" s="2">
        <f>IFERROR(__xludf.DUMMYFUNCTION("""COMPUTED_VALUE"""),147.96)</f>
        <v>147.96</v>
      </c>
    </row>
    <row r="1226">
      <c r="B1226" s="3">
        <f>IFERROR(__xludf.DUMMYFUNCTION("""COMPUTED_VALUE"""),45975.66666666667)</f>
        <v>45975.66667</v>
      </c>
      <c r="C1226" s="2">
        <f>IFERROR(__xludf.DUMMYFUNCTION("""COMPUTED_VALUE"""),78.0)</f>
        <v>78</v>
      </c>
      <c r="K1226" s="3">
        <f>IFERROR(__xludf.DUMMYFUNCTION("""COMPUTED_VALUE"""),45967.6875)</f>
        <v>45967.6875</v>
      </c>
      <c r="L1226" s="2">
        <f>IFERROR(__xludf.DUMMYFUNCTION("""COMPUTED_VALUE"""),91.14)</f>
        <v>91.14</v>
      </c>
      <c r="N1226" s="3">
        <f>IFERROR(__xludf.DUMMYFUNCTION("""COMPUTED_VALUE"""),45975.66666666667)</f>
        <v>45975.66667</v>
      </c>
      <c r="O1226" s="2">
        <f>IFERROR(__xludf.DUMMYFUNCTION("""COMPUTED_VALUE"""),36.53)</f>
        <v>36.53</v>
      </c>
      <c r="Q1226" s="3">
        <f>IFERROR(__xludf.DUMMYFUNCTION("""COMPUTED_VALUE"""),45975.66666666667)</f>
        <v>45975.66667</v>
      </c>
      <c r="R1226" s="2">
        <f>IFERROR(__xludf.DUMMYFUNCTION("""COMPUTED_VALUE"""),147.67)</f>
        <v>147.67</v>
      </c>
    </row>
    <row r="1227">
      <c r="B1227" s="3">
        <f>IFERROR(__xludf.DUMMYFUNCTION("""COMPUTED_VALUE"""),45978.66666666667)</f>
        <v>45978.66667</v>
      </c>
      <c r="C1227" s="2">
        <f>IFERROR(__xludf.DUMMYFUNCTION("""COMPUTED_VALUE"""),77.78)</f>
        <v>77.78</v>
      </c>
      <c r="K1227" s="3">
        <f>IFERROR(__xludf.DUMMYFUNCTION("""COMPUTED_VALUE"""),45968.6875)</f>
        <v>45968.6875</v>
      </c>
      <c r="L1227" s="2">
        <f>IFERROR(__xludf.DUMMYFUNCTION("""COMPUTED_VALUE"""),90.6)</f>
        <v>90.6</v>
      </c>
      <c r="N1227" s="3">
        <f>IFERROR(__xludf.DUMMYFUNCTION("""COMPUTED_VALUE"""),45978.66666666667)</f>
        <v>45978.66667</v>
      </c>
      <c r="O1227" s="2">
        <f>IFERROR(__xludf.DUMMYFUNCTION("""COMPUTED_VALUE"""),36.5)</f>
        <v>36.5</v>
      </c>
      <c r="Q1227" s="3">
        <f>IFERROR(__xludf.DUMMYFUNCTION("""COMPUTED_VALUE"""),45978.66666666667)</f>
        <v>45978.66667</v>
      </c>
      <c r="R1227" s="2">
        <f>IFERROR(__xludf.DUMMYFUNCTION("""COMPUTED_VALUE"""),145.82)</f>
        <v>145.82</v>
      </c>
    </row>
    <row r="1228">
      <c r="B1228" s="3">
        <f>IFERROR(__xludf.DUMMYFUNCTION("""COMPUTED_VALUE"""),45979.66666666667)</f>
        <v>45979.66667</v>
      </c>
      <c r="C1228" s="2">
        <f>IFERROR(__xludf.DUMMYFUNCTION("""COMPUTED_VALUE"""),77.37)</f>
        <v>77.37</v>
      </c>
      <c r="K1228" s="3">
        <f>IFERROR(__xludf.DUMMYFUNCTION("""COMPUTED_VALUE"""),45971.6875)</f>
        <v>45971.6875</v>
      </c>
      <c r="L1228" s="2">
        <f>IFERROR(__xludf.DUMMYFUNCTION("""COMPUTED_VALUE"""),92.92)</f>
        <v>92.92</v>
      </c>
      <c r="N1228" s="3">
        <f>IFERROR(__xludf.DUMMYFUNCTION("""COMPUTED_VALUE"""),45979.66666666667)</f>
        <v>45979.66667</v>
      </c>
      <c r="O1228" s="2">
        <f>IFERROR(__xludf.DUMMYFUNCTION("""COMPUTED_VALUE"""),36.69)</f>
        <v>36.69</v>
      </c>
      <c r="Q1228" s="3">
        <f>IFERROR(__xludf.DUMMYFUNCTION("""COMPUTED_VALUE"""),45979.66666666667)</f>
        <v>45979.66667</v>
      </c>
      <c r="R1228" s="2">
        <f>IFERROR(__xludf.DUMMYFUNCTION("""COMPUTED_VALUE"""),146.99)</f>
        <v>146.99</v>
      </c>
    </row>
    <row r="1229">
      <c r="B1229" s="3">
        <f>IFERROR(__xludf.DUMMYFUNCTION("""COMPUTED_VALUE"""),45980.66666666667)</f>
        <v>45980.66667</v>
      </c>
      <c r="C1229" s="2">
        <f>IFERROR(__xludf.DUMMYFUNCTION("""COMPUTED_VALUE"""),78.39)</f>
        <v>78.39</v>
      </c>
      <c r="K1229" s="3">
        <f>IFERROR(__xludf.DUMMYFUNCTION("""COMPUTED_VALUE"""),45972.6875)</f>
        <v>45972.6875</v>
      </c>
      <c r="L1229" s="2">
        <f>IFERROR(__xludf.DUMMYFUNCTION("""COMPUTED_VALUE"""),94.62)</f>
        <v>94.62</v>
      </c>
      <c r="N1229" s="3">
        <f>IFERROR(__xludf.DUMMYFUNCTION("""COMPUTED_VALUE"""),45980.66666666667)</f>
        <v>45980.66667</v>
      </c>
      <c r="O1229" s="2">
        <f>IFERROR(__xludf.DUMMYFUNCTION("""COMPUTED_VALUE"""),35.95)</f>
        <v>35.95</v>
      </c>
      <c r="Q1229" s="3">
        <f>IFERROR(__xludf.DUMMYFUNCTION("""COMPUTED_VALUE"""),45980.66666666667)</f>
        <v>45980.66667</v>
      </c>
      <c r="R1229" s="2">
        <f>IFERROR(__xludf.DUMMYFUNCTION("""COMPUTED_VALUE"""),146.99)</f>
        <v>146.99</v>
      </c>
    </row>
    <row r="1230">
      <c r="B1230" s="3">
        <f>IFERROR(__xludf.DUMMYFUNCTION("""COMPUTED_VALUE"""),45981.66666666667)</f>
        <v>45981.66667</v>
      </c>
      <c r="C1230" s="2">
        <f>IFERROR(__xludf.DUMMYFUNCTION("""COMPUTED_VALUE"""),75.44)</f>
        <v>75.44</v>
      </c>
      <c r="K1230" s="3">
        <f>IFERROR(__xludf.DUMMYFUNCTION("""COMPUTED_VALUE"""),45973.6875)</f>
        <v>45973.6875</v>
      </c>
      <c r="L1230" s="2">
        <f>IFERROR(__xludf.DUMMYFUNCTION("""COMPUTED_VALUE"""),95.16)</f>
        <v>95.16</v>
      </c>
      <c r="N1230" s="3">
        <f>IFERROR(__xludf.DUMMYFUNCTION("""COMPUTED_VALUE"""),45981.66666666667)</f>
        <v>45981.66667</v>
      </c>
      <c r="O1230" s="2">
        <f>IFERROR(__xludf.DUMMYFUNCTION("""COMPUTED_VALUE"""),35.72)</f>
        <v>35.72</v>
      </c>
      <c r="Q1230" s="3">
        <f>IFERROR(__xludf.DUMMYFUNCTION("""COMPUTED_VALUE"""),45981.66666666667)</f>
        <v>45981.66667</v>
      </c>
      <c r="R1230" s="2">
        <f>IFERROR(__xludf.DUMMYFUNCTION("""COMPUTED_VALUE"""),148.19)</f>
        <v>148.19</v>
      </c>
    </row>
    <row r="1231">
      <c r="B1231" s="3">
        <f>IFERROR(__xludf.DUMMYFUNCTION("""COMPUTED_VALUE"""),45982.66666666667)</f>
        <v>45982.66667</v>
      </c>
      <c r="C1231" s="2">
        <f>IFERROR(__xludf.DUMMYFUNCTION("""COMPUTED_VALUE"""),76.1)</f>
        <v>76.1</v>
      </c>
      <c r="K1231" s="3">
        <f>IFERROR(__xludf.DUMMYFUNCTION("""COMPUTED_VALUE"""),45974.6875)</f>
        <v>45974.6875</v>
      </c>
      <c r="L1231" s="2">
        <f>IFERROR(__xludf.DUMMYFUNCTION("""COMPUTED_VALUE"""),94.12)</f>
        <v>94.12</v>
      </c>
      <c r="N1231" s="3">
        <f>IFERROR(__xludf.DUMMYFUNCTION("""COMPUTED_VALUE"""),45982.66666666667)</f>
        <v>45982.66667</v>
      </c>
      <c r="O1231" s="2">
        <f>IFERROR(__xludf.DUMMYFUNCTION("""COMPUTED_VALUE"""),35.98)</f>
        <v>35.98</v>
      </c>
      <c r="Q1231" s="3">
        <f>IFERROR(__xludf.DUMMYFUNCTION("""COMPUTED_VALUE"""),45982.66666666667)</f>
        <v>45982.66667</v>
      </c>
      <c r="R1231" s="2">
        <f>IFERROR(__xludf.DUMMYFUNCTION("""COMPUTED_VALUE"""),150.92)</f>
        <v>150.92</v>
      </c>
    </row>
    <row r="1232">
      <c r="B1232" s="3">
        <f>IFERROR(__xludf.DUMMYFUNCTION("""COMPUTED_VALUE"""),45985.66666666667)</f>
        <v>45985.66667</v>
      </c>
      <c r="C1232" s="2">
        <f>IFERROR(__xludf.DUMMYFUNCTION("""COMPUTED_VALUE"""),76.24)</f>
        <v>76.24</v>
      </c>
      <c r="K1232" s="3">
        <f>IFERROR(__xludf.DUMMYFUNCTION("""COMPUTED_VALUE"""),45975.6875)</f>
        <v>45975.6875</v>
      </c>
      <c r="L1232" s="2">
        <f>IFERROR(__xludf.DUMMYFUNCTION("""COMPUTED_VALUE"""),91.5)</f>
        <v>91.5</v>
      </c>
      <c r="N1232" s="3">
        <f>IFERROR(__xludf.DUMMYFUNCTION("""COMPUTED_VALUE"""),45985.66666666667)</f>
        <v>45985.66667</v>
      </c>
      <c r="O1232" s="2">
        <f>IFERROR(__xludf.DUMMYFUNCTION("""COMPUTED_VALUE"""),35.91)</f>
        <v>35.91</v>
      </c>
      <c r="Q1232" s="3">
        <f>IFERROR(__xludf.DUMMYFUNCTION("""COMPUTED_VALUE"""),45985.66666666667)</f>
        <v>45985.66667</v>
      </c>
      <c r="R1232" s="2">
        <f>IFERROR(__xludf.DUMMYFUNCTION("""COMPUTED_VALUE"""),146.98)</f>
        <v>146.98</v>
      </c>
    </row>
    <row r="1233">
      <c r="B1233" s="3">
        <f>IFERROR(__xludf.DUMMYFUNCTION("""COMPUTED_VALUE"""),45986.66666666667)</f>
        <v>45986.66667</v>
      </c>
      <c r="C1233" s="2">
        <f>IFERROR(__xludf.DUMMYFUNCTION("""COMPUTED_VALUE"""),76.32)</f>
        <v>76.32</v>
      </c>
      <c r="K1233" s="3">
        <f>IFERROR(__xludf.DUMMYFUNCTION("""COMPUTED_VALUE"""),45978.6875)</f>
        <v>45978.6875</v>
      </c>
      <c r="L1233" s="2">
        <f>IFERROR(__xludf.DUMMYFUNCTION("""COMPUTED_VALUE"""),90.84)</f>
        <v>90.84</v>
      </c>
      <c r="N1233" s="3">
        <f>IFERROR(__xludf.DUMMYFUNCTION("""COMPUTED_VALUE"""),45986.66666666667)</f>
        <v>45986.66667</v>
      </c>
      <c r="O1233" s="2">
        <f>IFERROR(__xludf.DUMMYFUNCTION("""COMPUTED_VALUE"""),35.69)</f>
        <v>35.69</v>
      </c>
      <c r="Q1233" s="3">
        <f>IFERROR(__xludf.DUMMYFUNCTION("""COMPUTED_VALUE"""),45986.66666666667)</f>
        <v>45986.66667</v>
      </c>
      <c r="R1233" s="2">
        <f>IFERROR(__xludf.DUMMYFUNCTION("""COMPUTED_VALUE"""),148.49)</f>
        <v>148.49</v>
      </c>
    </row>
    <row r="1234">
      <c r="B1234" s="3">
        <f>IFERROR(__xludf.DUMMYFUNCTION("""COMPUTED_VALUE"""),45987.66666666667)</f>
        <v>45987.66667</v>
      </c>
      <c r="C1234" s="2">
        <f>IFERROR(__xludf.DUMMYFUNCTION("""COMPUTED_VALUE"""),76.07)</f>
        <v>76.07</v>
      </c>
      <c r="K1234" s="3">
        <f>IFERROR(__xludf.DUMMYFUNCTION("""COMPUTED_VALUE"""),45979.6875)</f>
        <v>45979.6875</v>
      </c>
      <c r="L1234" s="2">
        <f>IFERROR(__xludf.DUMMYFUNCTION("""COMPUTED_VALUE"""),89.08)</f>
        <v>89.08</v>
      </c>
      <c r="N1234" s="3">
        <f>IFERROR(__xludf.DUMMYFUNCTION("""COMPUTED_VALUE"""),45987.66666666667)</f>
        <v>45987.66667</v>
      </c>
      <c r="O1234" s="2">
        <f>IFERROR(__xludf.DUMMYFUNCTION("""COMPUTED_VALUE"""),35.93)</f>
        <v>35.93</v>
      </c>
      <c r="Q1234" s="3">
        <f>IFERROR(__xludf.DUMMYFUNCTION("""COMPUTED_VALUE"""),45987.66666666667)</f>
        <v>45987.66667</v>
      </c>
      <c r="R1234" s="2">
        <f>IFERROR(__xludf.DUMMYFUNCTION("""COMPUTED_VALUE"""),148.25)</f>
        <v>148.25</v>
      </c>
    </row>
    <row r="1235">
      <c r="B1235" s="3">
        <f>IFERROR(__xludf.DUMMYFUNCTION("""COMPUTED_VALUE"""),45989.54513888889)</f>
        <v>45989.54514</v>
      </c>
      <c r="C1235" s="2">
        <f>IFERROR(__xludf.DUMMYFUNCTION("""COMPUTED_VALUE"""),76.94)</f>
        <v>76.94</v>
      </c>
      <c r="K1235" s="3">
        <f>IFERROR(__xludf.DUMMYFUNCTION("""COMPUTED_VALUE"""),45980.6875)</f>
        <v>45980.6875</v>
      </c>
      <c r="L1235" s="2">
        <f>IFERROR(__xludf.DUMMYFUNCTION("""COMPUTED_VALUE"""),87.62)</f>
        <v>87.62</v>
      </c>
      <c r="N1235" s="3">
        <f>IFERROR(__xludf.DUMMYFUNCTION("""COMPUTED_VALUE"""),45989.54166666667)</f>
        <v>45989.54167</v>
      </c>
      <c r="O1235" s="2">
        <f>IFERROR(__xludf.DUMMYFUNCTION("""COMPUTED_VALUE"""),36.1)</f>
        <v>36.1</v>
      </c>
      <c r="Q1235" s="3">
        <f>IFERROR(__xludf.DUMMYFUNCTION("""COMPUTED_VALUE"""),45989.54166666667)</f>
        <v>45989.54167</v>
      </c>
      <c r="R1235" s="2">
        <f>IFERROR(__xludf.DUMMYFUNCTION("""COMPUTED_VALUE"""),148.16)</f>
        <v>148.16</v>
      </c>
    </row>
    <row r="1236">
      <c r="B1236" s="3">
        <f>IFERROR(__xludf.DUMMYFUNCTION("""COMPUTED_VALUE"""),45992.66666666667)</f>
        <v>45992.66667</v>
      </c>
      <c r="C1236" s="2">
        <f>IFERROR(__xludf.DUMMYFUNCTION("""COMPUTED_VALUE"""),76.04)</f>
        <v>76.04</v>
      </c>
      <c r="K1236" s="3">
        <f>IFERROR(__xludf.DUMMYFUNCTION("""COMPUTED_VALUE"""),45981.6875)</f>
        <v>45981.6875</v>
      </c>
      <c r="L1236" s="2">
        <f>IFERROR(__xludf.DUMMYFUNCTION("""COMPUTED_VALUE"""),87.42)</f>
        <v>87.42</v>
      </c>
      <c r="N1236" s="3">
        <f>IFERROR(__xludf.DUMMYFUNCTION("""COMPUTED_VALUE"""),45992.66666666667)</f>
        <v>45992.66667</v>
      </c>
      <c r="O1236" s="2">
        <f>IFERROR(__xludf.DUMMYFUNCTION("""COMPUTED_VALUE"""),36.51)</f>
        <v>36.51</v>
      </c>
      <c r="Q1236" s="3">
        <f>IFERROR(__xludf.DUMMYFUNCTION("""COMPUTED_VALUE"""),45992.66666666667)</f>
        <v>45992.66667</v>
      </c>
      <c r="R1236" s="2">
        <f>IFERROR(__xludf.DUMMYFUNCTION("""COMPUTED_VALUE"""),147.44)</f>
        <v>147.44</v>
      </c>
    </row>
    <row r="1237">
      <c r="B1237" s="3">
        <f>IFERROR(__xludf.DUMMYFUNCTION("""COMPUTED_VALUE"""),45993.66666666667)</f>
        <v>45993.66667</v>
      </c>
      <c r="C1237" s="2">
        <f>IFERROR(__xludf.DUMMYFUNCTION("""COMPUTED_VALUE"""),76.87)</f>
        <v>76.87</v>
      </c>
      <c r="K1237" s="3">
        <f>IFERROR(__xludf.DUMMYFUNCTION("""COMPUTED_VALUE"""),45982.6875)</f>
        <v>45982.6875</v>
      </c>
      <c r="L1237" s="2">
        <f>IFERROR(__xludf.DUMMYFUNCTION("""COMPUTED_VALUE"""),87.12)</f>
        <v>87.12</v>
      </c>
      <c r="N1237" s="3">
        <f>IFERROR(__xludf.DUMMYFUNCTION("""COMPUTED_VALUE"""),45993.66666666667)</f>
        <v>45993.66667</v>
      </c>
      <c r="O1237" s="2">
        <f>IFERROR(__xludf.DUMMYFUNCTION("""COMPUTED_VALUE"""),36.36)</f>
        <v>36.36</v>
      </c>
      <c r="Q1237" s="3">
        <f>IFERROR(__xludf.DUMMYFUNCTION("""COMPUTED_VALUE"""),45993.66666666667)</f>
        <v>45993.66667</v>
      </c>
      <c r="R1237" s="2">
        <f>IFERROR(__xludf.DUMMYFUNCTION("""COMPUTED_VALUE"""),145.86)</f>
        <v>145.86</v>
      </c>
    </row>
    <row r="1238">
      <c r="B1238" s="3">
        <f>IFERROR(__xludf.DUMMYFUNCTION("""COMPUTED_VALUE"""),45994.66666666667)</f>
        <v>45994.66667</v>
      </c>
      <c r="C1238" s="2">
        <f>IFERROR(__xludf.DUMMYFUNCTION("""COMPUTED_VALUE"""),77.75)</f>
        <v>77.75</v>
      </c>
      <c r="K1238" s="3">
        <f>IFERROR(__xludf.DUMMYFUNCTION("""COMPUTED_VALUE"""),45985.6875)</f>
        <v>45985.6875</v>
      </c>
      <c r="L1238" s="2">
        <f>IFERROR(__xludf.DUMMYFUNCTION("""COMPUTED_VALUE"""),87.38)</f>
        <v>87.38</v>
      </c>
      <c r="N1238" s="3">
        <f>IFERROR(__xludf.DUMMYFUNCTION("""COMPUTED_VALUE"""),45994.66666666667)</f>
        <v>45994.66667</v>
      </c>
      <c r="O1238" s="2">
        <f>IFERROR(__xludf.DUMMYFUNCTION("""COMPUTED_VALUE"""),37.24)</f>
        <v>37.24</v>
      </c>
      <c r="Q1238" s="3">
        <f>IFERROR(__xludf.DUMMYFUNCTION("""COMPUTED_VALUE"""),45994.66666666667)</f>
        <v>45994.66667</v>
      </c>
      <c r="R1238" s="2">
        <f>IFERROR(__xludf.DUMMYFUNCTION("""COMPUTED_VALUE"""),146.71)</f>
        <v>146.71</v>
      </c>
    </row>
    <row r="1239">
      <c r="B1239" s="3">
        <f>IFERROR(__xludf.DUMMYFUNCTION("""COMPUTED_VALUE"""),45995.66666666667)</f>
        <v>45995.66667</v>
      </c>
      <c r="C1239" s="2">
        <f>IFERROR(__xludf.DUMMYFUNCTION("""COMPUTED_VALUE"""),77.76)</f>
        <v>77.76</v>
      </c>
      <c r="K1239" s="3">
        <f>IFERROR(__xludf.DUMMYFUNCTION("""COMPUTED_VALUE"""),45986.6875)</f>
        <v>45986.6875</v>
      </c>
      <c r="L1239" s="2">
        <f>IFERROR(__xludf.DUMMYFUNCTION("""COMPUTED_VALUE"""),90.68)</f>
        <v>90.68</v>
      </c>
      <c r="N1239" s="3">
        <f>IFERROR(__xludf.DUMMYFUNCTION("""COMPUTED_VALUE"""),45995.66666666667)</f>
        <v>45995.66667</v>
      </c>
      <c r="O1239" s="2">
        <f>IFERROR(__xludf.DUMMYFUNCTION("""COMPUTED_VALUE"""),37.23)</f>
        <v>37.23</v>
      </c>
      <c r="Q1239" s="3">
        <f>IFERROR(__xludf.DUMMYFUNCTION("""COMPUTED_VALUE"""),45995.66666666667)</f>
        <v>45995.66667</v>
      </c>
      <c r="R1239" s="2">
        <f>IFERROR(__xludf.DUMMYFUNCTION("""COMPUTED_VALUE"""),145.36)</f>
        <v>145.36</v>
      </c>
    </row>
    <row r="1240">
      <c r="B1240" s="3">
        <f>IFERROR(__xludf.DUMMYFUNCTION("""COMPUTED_VALUE"""),45996.66666666667)</f>
        <v>45996.66667</v>
      </c>
      <c r="C1240" s="2">
        <f>IFERROR(__xludf.DUMMYFUNCTION("""COMPUTED_VALUE"""),77.97)</f>
        <v>77.97</v>
      </c>
      <c r="K1240" s="3">
        <f>IFERROR(__xludf.DUMMYFUNCTION("""COMPUTED_VALUE"""),45987.6875)</f>
        <v>45987.6875</v>
      </c>
      <c r="L1240" s="2">
        <f>IFERROR(__xludf.DUMMYFUNCTION("""COMPUTED_VALUE"""),93.8)</f>
        <v>93.8</v>
      </c>
      <c r="N1240" s="3">
        <f>IFERROR(__xludf.DUMMYFUNCTION("""COMPUTED_VALUE"""),45996.66666666667)</f>
        <v>45996.66667</v>
      </c>
      <c r="O1240" s="2">
        <f>IFERROR(__xludf.DUMMYFUNCTION("""COMPUTED_VALUE"""),35.83)</f>
        <v>35.83</v>
      </c>
      <c r="Q1240" s="3">
        <f>IFERROR(__xludf.DUMMYFUNCTION("""COMPUTED_VALUE"""),45996.66666666667)</f>
        <v>45996.66667</v>
      </c>
      <c r="R1240" s="2">
        <f>IFERROR(__xludf.DUMMYFUNCTION("""COMPUTED_VALUE"""),143.45)</f>
        <v>143.45</v>
      </c>
    </row>
    <row r="1241">
      <c r="B1241" s="3">
        <f>IFERROR(__xludf.DUMMYFUNCTION("""COMPUTED_VALUE"""),45999.66666666667)</f>
        <v>45999.66667</v>
      </c>
      <c r="C1241" s="2">
        <f>IFERROR(__xludf.DUMMYFUNCTION("""COMPUTED_VALUE"""),78.86)</f>
        <v>78.86</v>
      </c>
      <c r="K1241" s="3">
        <f>IFERROR(__xludf.DUMMYFUNCTION("""COMPUTED_VALUE"""),45988.6875)</f>
        <v>45988.6875</v>
      </c>
      <c r="L1241" s="2">
        <f>IFERROR(__xludf.DUMMYFUNCTION("""COMPUTED_VALUE"""),96.6)</f>
        <v>96.6</v>
      </c>
      <c r="N1241" s="3">
        <f>IFERROR(__xludf.DUMMYFUNCTION("""COMPUTED_VALUE"""),45999.66666666667)</f>
        <v>45999.66667</v>
      </c>
      <c r="O1241" s="2">
        <f>IFERROR(__xludf.DUMMYFUNCTION("""COMPUTED_VALUE"""),35.78)</f>
        <v>35.78</v>
      </c>
      <c r="Q1241" s="3">
        <f>IFERROR(__xludf.DUMMYFUNCTION("""COMPUTED_VALUE"""),45999.66666666667)</f>
        <v>45999.66667</v>
      </c>
      <c r="R1241" s="2">
        <f>IFERROR(__xludf.DUMMYFUNCTION("""COMPUTED_VALUE"""),138.34)</f>
        <v>138.34</v>
      </c>
    </row>
    <row r="1242">
      <c r="B1242" s="3">
        <f>IFERROR(__xludf.DUMMYFUNCTION("""COMPUTED_VALUE"""),46000.66666666667)</f>
        <v>46000.66667</v>
      </c>
      <c r="C1242" s="2">
        <f>IFERROR(__xludf.DUMMYFUNCTION("""COMPUTED_VALUE"""),79.51)</f>
        <v>79.51</v>
      </c>
      <c r="K1242" s="3">
        <f>IFERROR(__xludf.DUMMYFUNCTION("""COMPUTED_VALUE"""),45989.6875)</f>
        <v>45989.6875</v>
      </c>
      <c r="L1242" s="2">
        <f>IFERROR(__xludf.DUMMYFUNCTION("""COMPUTED_VALUE"""),96.14)</f>
        <v>96.14</v>
      </c>
      <c r="N1242" s="3">
        <f>IFERROR(__xludf.DUMMYFUNCTION("""COMPUTED_VALUE"""),46000.66666666667)</f>
        <v>46000.66667</v>
      </c>
      <c r="O1242" s="2">
        <f>IFERROR(__xludf.DUMMYFUNCTION("""COMPUTED_VALUE"""),35.55)</f>
        <v>35.55</v>
      </c>
      <c r="Q1242" s="3">
        <f>IFERROR(__xludf.DUMMYFUNCTION("""COMPUTED_VALUE"""),46000.66666666667)</f>
        <v>46000.66667</v>
      </c>
      <c r="R1242" s="2">
        <f>IFERROR(__xludf.DUMMYFUNCTION("""COMPUTED_VALUE"""),139.63)</f>
        <v>139.63</v>
      </c>
    </row>
    <row r="1243">
      <c r="B1243" s="3">
        <f>IFERROR(__xludf.DUMMYFUNCTION("""COMPUTED_VALUE"""),46001.66666666667)</f>
        <v>46001.66667</v>
      </c>
      <c r="C1243" s="2">
        <f>IFERROR(__xludf.DUMMYFUNCTION("""COMPUTED_VALUE"""),80.25)</f>
        <v>80.25</v>
      </c>
      <c r="K1243" s="3">
        <f>IFERROR(__xludf.DUMMYFUNCTION("""COMPUTED_VALUE"""),45992.6875)</f>
        <v>45992.6875</v>
      </c>
      <c r="L1243" s="2">
        <f>IFERROR(__xludf.DUMMYFUNCTION("""COMPUTED_VALUE"""),95.5)</f>
        <v>95.5</v>
      </c>
      <c r="N1243" s="3">
        <f>IFERROR(__xludf.DUMMYFUNCTION("""COMPUTED_VALUE"""),46001.66666666667)</f>
        <v>46001.66667</v>
      </c>
      <c r="O1243" s="2">
        <f>IFERROR(__xludf.DUMMYFUNCTION("""COMPUTED_VALUE"""),35.88)</f>
        <v>35.88</v>
      </c>
      <c r="Q1243" s="3">
        <f>IFERROR(__xludf.DUMMYFUNCTION("""COMPUTED_VALUE"""),46001.66666666667)</f>
        <v>46001.66667</v>
      </c>
      <c r="R1243" s="2">
        <f>IFERROR(__xludf.DUMMYFUNCTION("""COMPUTED_VALUE"""),139.82)</f>
        <v>139.82</v>
      </c>
    </row>
    <row r="1244">
      <c r="B1244" s="3">
        <f>IFERROR(__xludf.DUMMYFUNCTION("""COMPUTED_VALUE"""),46002.66666666667)</f>
        <v>46002.66667</v>
      </c>
      <c r="C1244" s="2">
        <f>IFERROR(__xludf.DUMMYFUNCTION("""COMPUTED_VALUE"""),79.27)</f>
        <v>79.27</v>
      </c>
      <c r="K1244" s="3">
        <f>IFERROR(__xludf.DUMMYFUNCTION("""COMPUTED_VALUE"""),45993.6875)</f>
        <v>45993.6875</v>
      </c>
      <c r="L1244" s="2">
        <f>IFERROR(__xludf.DUMMYFUNCTION("""COMPUTED_VALUE"""),97.36)</f>
        <v>97.36</v>
      </c>
      <c r="N1244" s="3">
        <f>IFERROR(__xludf.DUMMYFUNCTION("""COMPUTED_VALUE"""),46002.66666666667)</f>
        <v>46002.66667</v>
      </c>
      <c r="O1244" s="2">
        <f>IFERROR(__xludf.DUMMYFUNCTION("""COMPUTED_VALUE"""),35.53)</f>
        <v>35.53</v>
      </c>
      <c r="Q1244" s="3">
        <f>IFERROR(__xludf.DUMMYFUNCTION("""COMPUTED_VALUE"""),46002.66666666667)</f>
        <v>46002.66667</v>
      </c>
      <c r="R1244" s="2">
        <f>IFERROR(__xludf.DUMMYFUNCTION("""COMPUTED_VALUE"""),140.76)</f>
        <v>140.76</v>
      </c>
    </row>
    <row r="1245">
      <c r="B1245" s="3">
        <f>IFERROR(__xludf.DUMMYFUNCTION("""COMPUTED_VALUE"""),46003.66666666667)</f>
        <v>46003.66667</v>
      </c>
      <c r="C1245" s="2">
        <f>IFERROR(__xludf.DUMMYFUNCTION("""COMPUTED_VALUE"""),77.8)</f>
        <v>77.8</v>
      </c>
      <c r="K1245" s="3">
        <f>IFERROR(__xludf.DUMMYFUNCTION("""COMPUTED_VALUE"""),45994.6875)</f>
        <v>45994.6875</v>
      </c>
      <c r="L1245" s="2">
        <f>IFERROR(__xludf.DUMMYFUNCTION("""COMPUTED_VALUE"""),95.96)</f>
        <v>95.96</v>
      </c>
      <c r="N1245" s="3">
        <f>IFERROR(__xludf.DUMMYFUNCTION("""COMPUTED_VALUE"""),46003.66666666667)</f>
        <v>46003.66667</v>
      </c>
      <c r="O1245" s="2">
        <f>IFERROR(__xludf.DUMMYFUNCTION("""COMPUTED_VALUE"""),35.26)</f>
        <v>35.26</v>
      </c>
      <c r="Q1245" s="3">
        <f>IFERROR(__xludf.DUMMYFUNCTION("""COMPUTED_VALUE"""),46003.66666666667)</f>
        <v>46003.66667</v>
      </c>
      <c r="R1245" s="2">
        <f>IFERROR(__xludf.DUMMYFUNCTION("""COMPUTED_VALUE"""),142.84)</f>
        <v>142.84</v>
      </c>
    </row>
    <row r="1246">
      <c r="B1246" s="3">
        <f>IFERROR(__xludf.DUMMYFUNCTION("""COMPUTED_VALUE"""),46006.66666666667)</f>
        <v>46006.66667</v>
      </c>
      <c r="C1246" s="2">
        <f>IFERROR(__xludf.DUMMYFUNCTION("""COMPUTED_VALUE"""),78.25)</f>
        <v>78.25</v>
      </c>
      <c r="K1246" s="3">
        <f>IFERROR(__xludf.DUMMYFUNCTION("""COMPUTED_VALUE"""),45995.6875)</f>
        <v>45995.6875</v>
      </c>
      <c r="L1246" s="2">
        <f>IFERROR(__xludf.DUMMYFUNCTION("""COMPUTED_VALUE"""),96.96)</f>
        <v>96.96</v>
      </c>
      <c r="N1246" s="3">
        <f>IFERROR(__xludf.DUMMYFUNCTION("""COMPUTED_VALUE"""),46006.66666666667)</f>
        <v>46006.66667</v>
      </c>
      <c r="O1246" s="2">
        <f>IFERROR(__xludf.DUMMYFUNCTION("""COMPUTED_VALUE"""),35.25)</f>
        <v>35.25</v>
      </c>
      <c r="Q1246" s="3">
        <f>IFERROR(__xludf.DUMMYFUNCTION("""COMPUTED_VALUE"""),46006.66666666667)</f>
        <v>46006.66667</v>
      </c>
      <c r="R1246" s="2">
        <f>IFERROR(__xludf.DUMMYFUNCTION("""COMPUTED_VALUE"""),145.13)</f>
        <v>145.13</v>
      </c>
    </row>
    <row r="1247">
      <c r="B1247" s="3">
        <f>IFERROR(__xludf.DUMMYFUNCTION("""COMPUTED_VALUE"""),46007.66666666667)</f>
        <v>46007.66667</v>
      </c>
      <c r="C1247" s="2">
        <f>IFERROR(__xludf.DUMMYFUNCTION("""COMPUTED_VALUE"""),77.55)</f>
        <v>77.55</v>
      </c>
      <c r="K1247" s="3">
        <f>IFERROR(__xludf.DUMMYFUNCTION("""COMPUTED_VALUE"""),45996.6875)</f>
        <v>45996.6875</v>
      </c>
      <c r="L1247" s="2">
        <f>IFERROR(__xludf.DUMMYFUNCTION("""COMPUTED_VALUE"""),95.76)</f>
        <v>95.76</v>
      </c>
      <c r="N1247" s="3">
        <f>IFERROR(__xludf.DUMMYFUNCTION("""COMPUTED_VALUE"""),46007.66666666667)</f>
        <v>46007.66667</v>
      </c>
      <c r="O1247" s="2">
        <f>IFERROR(__xludf.DUMMYFUNCTION("""COMPUTED_VALUE"""),33.76)</f>
        <v>33.76</v>
      </c>
      <c r="Q1247" s="3">
        <f>IFERROR(__xludf.DUMMYFUNCTION("""COMPUTED_VALUE"""),46007.66666666667)</f>
        <v>46007.66667</v>
      </c>
      <c r="R1247" s="2">
        <f>IFERROR(__xludf.DUMMYFUNCTION("""COMPUTED_VALUE"""),145.21)</f>
        <v>145.21</v>
      </c>
    </row>
    <row r="1248">
      <c r="B1248" s="3">
        <f>IFERROR(__xludf.DUMMYFUNCTION("""COMPUTED_VALUE"""),46008.66666666667)</f>
        <v>46008.66667</v>
      </c>
      <c r="C1248" s="2">
        <f>IFERROR(__xludf.DUMMYFUNCTION("""COMPUTED_VALUE"""),76.0)</f>
        <v>76</v>
      </c>
      <c r="K1248" s="3">
        <f>IFERROR(__xludf.DUMMYFUNCTION("""COMPUTED_VALUE"""),45999.6875)</f>
        <v>45999.6875</v>
      </c>
      <c r="L1248" s="2">
        <f>IFERROR(__xludf.DUMMYFUNCTION("""COMPUTED_VALUE"""),95.7)</f>
        <v>95.7</v>
      </c>
      <c r="N1248" s="3">
        <f>IFERROR(__xludf.DUMMYFUNCTION("""COMPUTED_VALUE"""),46008.66666666667)</f>
        <v>46008.66667</v>
      </c>
      <c r="O1248" s="2">
        <f>IFERROR(__xludf.DUMMYFUNCTION("""COMPUTED_VALUE"""),34.47)</f>
        <v>34.47</v>
      </c>
      <c r="Q1248" s="3">
        <f>IFERROR(__xludf.DUMMYFUNCTION("""COMPUTED_VALUE"""),46008.66666666667)</f>
        <v>46008.66667</v>
      </c>
      <c r="R1248" s="2">
        <f>IFERROR(__xludf.DUMMYFUNCTION("""COMPUTED_VALUE"""),147.81)</f>
        <v>147.81</v>
      </c>
    </row>
    <row r="1249">
      <c r="B1249" s="3">
        <f>IFERROR(__xludf.DUMMYFUNCTION("""COMPUTED_VALUE"""),46009.66666666667)</f>
        <v>46009.66667</v>
      </c>
      <c r="C1249" s="2">
        <f>IFERROR(__xludf.DUMMYFUNCTION("""COMPUTED_VALUE"""),76.95)</f>
        <v>76.95</v>
      </c>
      <c r="K1249" s="3">
        <f>IFERROR(__xludf.DUMMYFUNCTION("""COMPUTED_VALUE"""),46000.6875)</f>
        <v>46000.6875</v>
      </c>
      <c r="L1249" s="2">
        <f>IFERROR(__xludf.DUMMYFUNCTION("""COMPUTED_VALUE"""),94.32)</f>
        <v>94.32</v>
      </c>
      <c r="N1249" s="3">
        <f>IFERROR(__xludf.DUMMYFUNCTION("""COMPUTED_VALUE"""),46009.66666666667)</f>
        <v>46009.66667</v>
      </c>
      <c r="O1249" s="2">
        <f>IFERROR(__xludf.DUMMYFUNCTION("""COMPUTED_VALUE"""),33.31)</f>
        <v>33.31</v>
      </c>
      <c r="Q1249" s="3">
        <f>IFERROR(__xludf.DUMMYFUNCTION("""COMPUTED_VALUE"""),46009.66666666667)</f>
        <v>46009.66667</v>
      </c>
      <c r="R1249" s="2">
        <f>IFERROR(__xludf.DUMMYFUNCTION("""COMPUTED_VALUE"""),145.52)</f>
        <v>145.52</v>
      </c>
    </row>
    <row r="1250">
      <c r="B1250" s="3">
        <f>IFERROR(__xludf.DUMMYFUNCTION("""COMPUTED_VALUE"""),46010.66666666667)</f>
        <v>46010.66667</v>
      </c>
      <c r="C1250" s="2">
        <f>IFERROR(__xludf.DUMMYFUNCTION("""COMPUTED_VALUE"""),78.42)</f>
        <v>78.42</v>
      </c>
      <c r="K1250" s="3">
        <f>IFERROR(__xludf.DUMMYFUNCTION("""COMPUTED_VALUE"""),46001.6875)</f>
        <v>46001.6875</v>
      </c>
      <c r="L1250" s="2">
        <f>IFERROR(__xludf.DUMMYFUNCTION("""COMPUTED_VALUE"""),94.84)</f>
        <v>94.84</v>
      </c>
      <c r="N1250" s="3">
        <f>IFERROR(__xludf.DUMMYFUNCTION("""COMPUTED_VALUE"""),46010.66666666667)</f>
        <v>46010.66667</v>
      </c>
      <c r="O1250" s="2">
        <f>IFERROR(__xludf.DUMMYFUNCTION("""COMPUTED_VALUE"""),33.94)</f>
        <v>33.94</v>
      </c>
      <c r="Q1250" s="3">
        <f>IFERROR(__xludf.DUMMYFUNCTION("""COMPUTED_VALUE"""),46010.66666666667)</f>
        <v>46010.66667</v>
      </c>
      <c r="R1250" s="2">
        <f>IFERROR(__xludf.DUMMYFUNCTION("""COMPUTED_VALUE"""),144.46)</f>
        <v>144.46</v>
      </c>
    </row>
    <row r="1251">
      <c r="B1251" s="3">
        <f>IFERROR(__xludf.DUMMYFUNCTION("""COMPUTED_VALUE"""),46013.66666666667)</f>
        <v>46013.66667</v>
      </c>
      <c r="C1251" s="2">
        <f>IFERROR(__xludf.DUMMYFUNCTION("""COMPUTED_VALUE"""),78.11)</f>
        <v>78.11</v>
      </c>
      <c r="K1251" s="3">
        <f>IFERROR(__xludf.DUMMYFUNCTION("""COMPUTED_VALUE"""),46002.6875)</f>
        <v>46002.6875</v>
      </c>
      <c r="L1251" s="2">
        <f>IFERROR(__xludf.DUMMYFUNCTION("""COMPUTED_VALUE"""),95.02)</f>
        <v>95.02</v>
      </c>
      <c r="N1251" s="3">
        <f>IFERROR(__xludf.DUMMYFUNCTION("""COMPUTED_VALUE"""),46013.66666666667)</f>
        <v>46013.66667</v>
      </c>
      <c r="O1251" s="2">
        <f>IFERROR(__xludf.DUMMYFUNCTION("""COMPUTED_VALUE"""),34.14)</f>
        <v>34.14</v>
      </c>
      <c r="Q1251" s="3">
        <f>IFERROR(__xludf.DUMMYFUNCTION("""COMPUTED_VALUE"""),46013.66666666667)</f>
        <v>46013.66667</v>
      </c>
      <c r="R1251" s="2">
        <f>IFERROR(__xludf.DUMMYFUNCTION("""COMPUTED_VALUE"""),142.69)</f>
        <v>142.69</v>
      </c>
    </row>
    <row r="1252">
      <c r="B1252" s="3">
        <f>IFERROR(__xludf.DUMMYFUNCTION("""COMPUTED_VALUE"""),46014.66666666667)</f>
        <v>46014.66667</v>
      </c>
      <c r="C1252" s="2">
        <f>IFERROR(__xludf.DUMMYFUNCTION("""COMPUTED_VALUE"""),78.02)</f>
        <v>78.02</v>
      </c>
      <c r="K1252" s="3">
        <f>IFERROR(__xludf.DUMMYFUNCTION("""COMPUTED_VALUE"""),46003.6875)</f>
        <v>46003.6875</v>
      </c>
      <c r="L1252" s="2">
        <f>IFERROR(__xludf.DUMMYFUNCTION("""COMPUTED_VALUE"""),93.72)</f>
        <v>93.72</v>
      </c>
      <c r="N1252" s="3">
        <f>IFERROR(__xludf.DUMMYFUNCTION("""COMPUTED_VALUE"""),46014.66666666667)</f>
        <v>46014.66667</v>
      </c>
      <c r="O1252" s="2">
        <f>IFERROR(__xludf.DUMMYFUNCTION("""COMPUTED_VALUE"""),34.58)</f>
        <v>34.58</v>
      </c>
      <c r="Q1252" s="3">
        <f>IFERROR(__xludf.DUMMYFUNCTION("""COMPUTED_VALUE"""),46014.66666666667)</f>
        <v>46014.66667</v>
      </c>
      <c r="R1252" s="2">
        <f>IFERROR(__xludf.DUMMYFUNCTION("""COMPUTED_VALUE"""),143.18)</f>
        <v>143.18</v>
      </c>
    </row>
    <row r="1253">
      <c r="B1253" s="3">
        <f>IFERROR(__xludf.DUMMYFUNCTION("""COMPUTED_VALUE"""),46015.54513888889)</f>
        <v>46015.54514</v>
      </c>
      <c r="C1253" s="2">
        <f>IFERROR(__xludf.DUMMYFUNCTION("""COMPUTED_VALUE"""),78.02)</f>
        <v>78.02</v>
      </c>
      <c r="K1253" s="3">
        <f>IFERROR(__xludf.DUMMYFUNCTION("""COMPUTED_VALUE"""),46006.6875)</f>
        <v>46006.6875</v>
      </c>
      <c r="L1253" s="2">
        <f>IFERROR(__xludf.DUMMYFUNCTION("""COMPUTED_VALUE"""),95.14)</f>
        <v>95.14</v>
      </c>
      <c r="N1253" s="3">
        <f>IFERROR(__xludf.DUMMYFUNCTION("""COMPUTED_VALUE"""),46015.54166666667)</f>
        <v>46015.54167</v>
      </c>
      <c r="O1253" s="2">
        <f>IFERROR(__xludf.DUMMYFUNCTION("""COMPUTED_VALUE"""),34.31)</f>
        <v>34.31</v>
      </c>
      <c r="Q1253" s="3">
        <f>IFERROR(__xludf.DUMMYFUNCTION("""COMPUTED_VALUE"""),46015.54166666667)</f>
        <v>46015.54167</v>
      </c>
      <c r="R1253" s="2">
        <f>IFERROR(__xludf.DUMMYFUNCTION("""COMPUTED_VALUE"""),144.49)</f>
        <v>144.49</v>
      </c>
    </row>
    <row r="1254">
      <c r="B1254" s="3">
        <f>IFERROR(__xludf.DUMMYFUNCTION("""COMPUTED_VALUE"""),46017.66666666667)</f>
        <v>46017.66667</v>
      </c>
      <c r="C1254" s="2">
        <f>IFERROR(__xludf.DUMMYFUNCTION("""COMPUTED_VALUE"""),78.16)</f>
        <v>78.16</v>
      </c>
      <c r="K1254" s="3">
        <f>IFERROR(__xludf.DUMMYFUNCTION("""COMPUTED_VALUE"""),46007.6875)</f>
        <v>46007.6875</v>
      </c>
      <c r="L1254" s="2">
        <f>IFERROR(__xludf.DUMMYFUNCTION("""COMPUTED_VALUE"""),95.02)</f>
        <v>95.02</v>
      </c>
      <c r="N1254" s="3">
        <f>IFERROR(__xludf.DUMMYFUNCTION("""COMPUTED_VALUE"""),46017.66666666667)</f>
        <v>46017.66667</v>
      </c>
      <c r="O1254" s="2">
        <f>IFERROR(__xludf.DUMMYFUNCTION("""COMPUTED_VALUE"""),34.27)</f>
        <v>34.27</v>
      </c>
      <c r="Q1254" s="3">
        <f>IFERROR(__xludf.DUMMYFUNCTION("""COMPUTED_VALUE"""),46017.66666666667)</f>
        <v>46017.66667</v>
      </c>
      <c r="R1254" s="2">
        <f>IFERROR(__xludf.DUMMYFUNCTION("""COMPUTED_VALUE"""),144.74)</f>
        <v>144.74</v>
      </c>
    </row>
    <row r="1255">
      <c r="B1255" s="3">
        <f>IFERROR(__xludf.DUMMYFUNCTION("""COMPUTED_VALUE"""),46020.66666666667)</f>
        <v>46020.66667</v>
      </c>
      <c r="C1255" s="2">
        <f>IFERROR(__xludf.DUMMYFUNCTION("""COMPUTED_VALUE"""),77.79)</f>
        <v>77.79</v>
      </c>
      <c r="K1255" s="3">
        <f>IFERROR(__xludf.DUMMYFUNCTION("""COMPUTED_VALUE"""),46008.6875)</f>
        <v>46008.6875</v>
      </c>
      <c r="L1255" s="2">
        <f>IFERROR(__xludf.DUMMYFUNCTION("""COMPUTED_VALUE"""),95.94)</f>
        <v>95.94</v>
      </c>
      <c r="N1255" s="3">
        <f>IFERROR(__xludf.DUMMYFUNCTION("""COMPUTED_VALUE"""),46020.66666666667)</f>
        <v>46020.66667</v>
      </c>
      <c r="O1255" s="2">
        <f>IFERROR(__xludf.DUMMYFUNCTION("""COMPUTED_VALUE"""),34.45)</f>
        <v>34.45</v>
      </c>
      <c r="Q1255" s="3">
        <f>IFERROR(__xludf.DUMMYFUNCTION("""COMPUTED_VALUE"""),46020.66666666667)</f>
        <v>46020.66667</v>
      </c>
      <c r="R1255" s="2">
        <f>IFERROR(__xludf.DUMMYFUNCTION("""COMPUTED_VALUE"""),144.57)</f>
        <v>144.57</v>
      </c>
    </row>
    <row r="1256">
      <c r="B1256" s="3">
        <f>IFERROR(__xludf.DUMMYFUNCTION("""COMPUTED_VALUE"""),46021.66666666667)</f>
        <v>46021.66667</v>
      </c>
      <c r="C1256" s="2">
        <f>IFERROR(__xludf.DUMMYFUNCTION("""COMPUTED_VALUE"""),77.41)</f>
        <v>77.41</v>
      </c>
      <c r="K1256" s="3">
        <f>IFERROR(__xludf.DUMMYFUNCTION("""COMPUTED_VALUE"""),46009.6875)</f>
        <v>46009.6875</v>
      </c>
      <c r="L1256" s="2">
        <f>IFERROR(__xludf.DUMMYFUNCTION("""COMPUTED_VALUE"""),96.34)</f>
        <v>96.34</v>
      </c>
      <c r="N1256" s="3">
        <f>IFERROR(__xludf.DUMMYFUNCTION("""COMPUTED_VALUE"""),46021.66666666667)</f>
        <v>46021.66667</v>
      </c>
      <c r="O1256" s="2">
        <f>IFERROR(__xludf.DUMMYFUNCTION("""COMPUTED_VALUE"""),34.75)</f>
        <v>34.75</v>
      </c>
      <c r="Q1256" s="3">
        <f>IFERROR(__xludf.DUMMYFUNCTION("""COMPUTED_VALUE"""),46021.66666666667)</f>
        <v>46021.66667</v>
      </c>
      <c r="R1256" s="2">
        <f>IFERROR(__xludf.DUMMYFUNCTION("""COMPUTED_VALUE"""),144.05)</f>
        <v>144.05</v>
      </c>
    </row>
    <row r="1257">
      <c r="B1257" s="3">
        <f>IFERROR(__xludf.DUMMYFUNCTION("""COMPUTED_VALUE"""),46022.66666666667)</f>
        <v>46022.66667</v>
      </c>
      <c r="C1257" s="2">
        <f>IFERROR(__xludf.DUMMYFUNCTION("""COMPUTED_VALUE"""),77.03)</f>
        <v>77.03</v>
      </c>
      <c r="K1257" s="3">
        <f>IFERROR(__xludf.DUMMYFUNCTION("""COMPUTED_VALUE"""),46010.6875)</f>
        <v>46010.6875</v>
      </c>
      <c r="L1257" s="2">
        <f>IFERROR(__xludf.DUMMYFUNCTION("""COMPUTED_VALUE"""),97.42)</f>
        <v>97.42</v>
      </c>
      <c r="N1257" s="3">
        <f>IFERROR(__xludf.DUMMYFUNCTION("""COMPUTED_VALUE"""),46022.66666666667)</f>
        <v>46022.66667</v>
      </c>
      <c r="O1257" s="2">
        <f>IFERROR(__xludf.DUMMYFUNCTION("""COMPUTED_VALUE"""),34.73)</f>
        <v>34.73</v>
      </c>
      <c r="Q1257" s="3">
        <f>IFERROR(__xludf.DUMMYFUNCTION("""COMPUTED_VALUE"""),46022.66666666667)</f>
        <v>46022.66667</v>
      </c>
      <c r="R1257" s="2">
        <f>IFERROR(__xludf.DUMMYFUNCTION("""COMPUTED_VALUE"""),143.31)</f>
        <v>143.31</v>
      </c>
    </row>
    <row r="1258">
      <c r="B1258" s="3">
        <f>IFERROR(__xludf.DUMMYFUNCTION("""COMPUTED_VALUE"""),46024.66666666667)</f>
        <v>46024.66667</v>
      </c>
      <c r="C1258" s="2">
        <f>IFERROR(__xludf.DUMMYFUNCTION("""COMPUTED_VALUE"""),76.04)</f>
        <v>76.04</v>
      </c>
      <c r="K1258" s="3">
        <f>IFERROR(__xludf.DUMMYFUNCTION("""COMPUTED_VALUE"""),46013.6875)</f>
        <v>46013.6875</v>
      </c>
      <c r="L1258" s="2">
        <f>IFERROR(__xludf.DUMMYFUNCTION("""COMPUTED_VALUE"""),97.08)</f>
        <v>97.08</v>
      </c>
      <c r="N1258" s="3">
        <f>IFERROR(__xludf.DUMMYFUNCTION("""COMPUTED_VALUE"""),46024.66666666667)</f>
        <v>46024.66667</v>
      </c>
      <c r="O1258" s="2">
        <f>IFERROR(__xludf.DUMMYFUNCTION("""COMPUTED_VALUE"""),35.83)</f>
        <v>35.83</v>
      </c>
      <c r="Q1258" s="3">
        <f>IFERROR(__xludf.DUMMYFUNCTION("""COMPUTED_VALUE"""),46024.66666666667)</f>
        <v>46024.66667</v>
      </c>
      <c r="R1258" s="2">
        <f>IFERROR(__xludf.DUMMYFUNCTION("""COMPUTED_VALUE"""),141.79)</f>
        <v>141.79</v>
      </c>
    </row>
    <row r="1259">
      <c r="B1259" s="3">
        <f>IFERROR(__xludf.DUMMYFUNCTION("""COMPUTED_VALUE"""),46027.66666666667)</f>
        <v>46027.66667</v>
      </c>
      <c r="C1259" s="2">
        <f>IFERROR(__xludf.DUMMYFUNCTION("""COMPUTED_VALUE"""),75.58)</f>
        <v>75.58</v>
      </c>
      <c r="K1259" s="3">
        <f>IFERROR(__xludf.DUMMYFUNCTION("""COMPUTED_VALUE"""),46014.6875)</f>
        <v>46014.6875</v>
      </c>
      <c r="L1259" s="2">
        <f>IFERROR(__xludf.DUMMYFUNCTION("""COMPUTED_VALUE"""),97.52)</f>
        <v>97.52</v>
      </c>
      <c r="N1259" s="3">
        <f>IFERROR(__xludf.DUMMYFUNCTION("""COMPUTED_VALUE"""),46027.66666666667)</f>
        <v>46027.66667</v>
      </c>
      <c r="O1259" s="2">
        <f>IFERROR(__xludf.DUMMYFUNCTION("""COMPUTED_VALUE"""),36.12)</f>
        <v>36.12</v>
      </c>
      <c r="Q1259" s="3">
        <f>IFERROR(__xludf.DUMMYFUNCTION("""COMPUTED_VALUE"""),46027.66666666667)</f>
        <v>46027.66667</v>
      </c>
      <c r="R1259" s="2">
        <f>IFERROR(__xludf.DUMMYFUNCTION("""COMPUTED_VALUE"""),140.37)</f>
        <v>140.37</v>
      </c>
    </row>
    <row r="1260">
      <c r="B1260" s="3">
        <f>IFERROR(__xludf.DUMMYFUNCTION("""COMPUTED_VALUE"""),46028.66666666667)</f>
        <v>46028.66667</v>
      </c>
      <c r="C1260" s="2">
        <f>IFERROR(__xludf.DUMMYFUNCTION("""COMPUTED_VALUE"""),75.23)</f>
        <v>75.23</v>
      </c>
      <c r="K1260" s="3">
        <f>IFERROR(__xludf.DUMMYFUNCTION("""COMPUTED_VALUE"""),46015.52083333333)</f>
        <v>46015.52083</v>
      </c>
      <c r="L1260" s="2">
        <f>IFERROR(__xludf.DUMMYFUNCTION("""COMPUTED_VALUE"""),97.0)</f>
        <v>97</v>
      </c>
      <c r="N1260" s="3">
        <f>IFERROR(__xludf.DUMMYFUNCTION("""COMPUTED_VALUE"""),46028.66666666667)</f>
        <v>46028.66667</v>
      </c>
      <c r="O1260" s="2">
        <f>IFERROR(__xludf.DUMMYFUNCTION("""COMPUTED_VALUE"""),34.36)</f>
        <v>34.36</v>
      </c>
      <c r="Q1260" s="3">
        <f>IFERROR(__xludf.DUMMYFUNCTION("""COMPUTED_VALUE"""),46028.66666666667)</f>
        <v>46028.66667</v>
      </c>
      <c r="R1260" s="2">
        <f>IFERROR(__xludf.DUMMYFUNCTION("""COMPUTED_VALUE"""),139.91)</f>
        <v>139.91</v>
      </c>
    </row>
    <row r="1261">
      <c r="B1261" s="3">
        <f>IFERROR(__xludf.DUMMYFUNCTION("""COMPUTED_VALUE"""),46029.66666666667)</f>
        <v>46029.66667</v>
      </c>
      <c r="C1261" s="2">
        <f>IFERROR(__xludf.DUMMYFUNCTION("""COMPUTED_VALUE"""),74.72)</f>
        <v>74.72</v>
      </c>
      <c r="K1261" s="3">
        <f>IFERROR(__xludf.DUMMYFUNCTION("""COMPUTED_VALUE"""),46020.6875)</f>
        <v>46020.6875</v>
      </c>
      <c r="L1261" s="2">
        <f>IFERROR(__xludf.DUMMYFUNCTION("""COMPUTED_VALUE"""),97.26)</f>
        <v>97.26</v>
      </c>
      <c r="N1261" s="3">
        <f>IFERROR(__xludf.DUMMYFUNCTION("""COMPUTED_VALUE"""),46029.66666666667)</f>
        <v>46029.66667</v>
      </c>
      <c r="O1261" s="2">
        <f>IFERROR(__xludf.DUMMYFUNCTION("""COMPUTED_VALUE"""),33.67)</f>
        <v>33.67</v>
      </c>
      <c r="Q1261" s="3">
        <f>IFERROR(__xludf.DUMMYFUNCTION("""COMPUTED_VALUE"""),46029.66666666667)</f>
        <v>46029.66667</v>
      </c>
      <c r="R1261" s="2">
        <f>IFERROR(__xludf.DUMMYFUNCTION("""COMPUTED_VALUE"""),138.04)</f>
        <v>138.04</v>
      </c>
    </row>
    <row r="1262">
      <c r="B1262" s="3">
        <f>IFERROR(__xludf.DUMMYFUNCTION("""COMPUTED_VALUE"""),46030.66666666667)</f>
        <v>46030.66667</v>
      </c>
      <c r="C1262" s="2">
        <f>IFERROR(__xludf.DUMMYFUNCTION("""COMPUTED_VALUE"""),73.96)</f>
        <v>73.96</v>
      </c>
      <c r="K1262" s="3">
        <f>IFERROR(__xludf.DUMMYFUNCTION("""COMPUTED_VALUE"""),46021.6875)</f>
        <v>46021.6875</v>
      </c>
      <c r="L1262" s="2">
        <f>IFERROR(__xludf.DUMMYFUNCTION("""COMPUTED_VALUE"""),98.34)</f>
        <v>98.34</v>
      </c>
      <c r="N1262" s="3">
        <f>IFERROR(__xludf.DUMMYFUNCTION("""COMPUTED_VALUE"""),46030.66666666667)</f>
        <v>46030.66667</v>
      </c>
      <c r="O1262" s="2">
        <f>IFERROR(__xludf.DUMMYFUNCTION("""COMPUTED_VALUE"""),34.13)</f>
        <v>34.13</v>
      </c>
      <c r="Q1262" s="3">
        <f>IFERROR(__xludf.DUMMYFUNCTION("""COMPUTED_VALUE"""),46030.66666666667)</f>
        <v>46030.66667</v>
      </c>
      <c r="R1262" s="2">
        <f>IFERROR(__xludf.DUMMYFUNCTION("""COMPUTED_VALUE"""),141.53)</f>
        <v>141.53</v>
      </c>
    </row>
    <row r="1263">
      <c r="B1263" s="3">
        <f>IFERROR(__xludf.DUMMYFUNCTION("""COMPUTED_VALUE"""),46031.66666666667)</f>
        <v>46031.66667</v>
      </c>
      <c r="C1263" s="2">
        <f>IFERROR(__xludf.DUMMYFUNCTION("""COMPUTED_VALUE"""),73.88)</f>
        <v>73.88</v>
      </c>
      <c r="K1263" s="3">
        <f>IFERROR(__xludf.DUMMYFUNCTION("""COMPUTED_VALUE"""),46022.52083333333)</f>
        <v>46022.52083</v>
      </c>
      <c r="L1263" s="2">
        <f>IFERROR(__xludf.DUMMYFUNCTION("""COMPUTED_VALUE"""),98.24)</f>
        <v>98.24</v>
      </c>
      <c r="N1263" s="3">
        <f>IFERROR(__xludf.DUMMYFUNCTION("""COMPUTED_VALUE"""),46031.66666666667)</f>
        <v>46031.66667</v>
      </c>
      <c r="O1263" s="2">
        <f>IFERROR(__xludf.DUMMYFUNCTION("""COMPUTED_VALUE"""),34.29)</f>
        <v>34.29</v>
      </c>
      <c r="Q1263" s="3">
        <f>IFERROR(__xludf.DUMMYFUNCTION("""COMPUTED_VALUE"""),46031.66666666667)</f>
        <v>46031.66667</v>
      </c>
      <c r="R1263" s="2">
        <f>IFERROR(__xludf.DUMMYFUNCTION("""COMPUTED_VALUE"""),141.87)</f>
        <v>141.87</v>
      </c>
    </row>
    <row r="1264">
      <c r="B1264" s="3">
        <f>IFERROR(__xludf.DUMMYFUNCTION("""COMPUTED_VALUE"""),46034.66666666667)</f>
        <v>46034.66667</v>
      </c>
      <c r="C1264" s="2">
        <f>IFERROR(__xludf.DUMMYFUNCTION("""COMPUTED_VALUE"""),74.01)</f>
        <v>74.01</v>
      </c>
      <c r="K1264" s="3">
        <f>IFERROR(__xludf.DUMMYFUNCTION("""COMPUTED_VALUE"""),46024.6875)</f>
        <v>46024.6875</v>
      </c>
      <c r="L1264" s="2">
        <f>IFERROR(__xludf.DUMMYFUNCTION("""COMPUTED_VALUE"""),99.24)</f>
        <v>99.24</v>
      </c>
      <c r="N1264" s="3">
        <f>IFERROR(__xludf.DUMMYFUNCTION("""COMPUTED_VALUE"""),46034.66666666667)</f>
        <v>46034.66667</v>
      </c>
      <c r="O1264" s="2">
        <f>IFERROR(__xludf.DUMMYFUNCTION("""COMPUTED_VALUE"""),34.41)</f>
        <v>34.41</v>
      </c>
      <c r="Q1264" s="3">
        <f>IFERROR(__xludf.DUMMYFUNCTION("""COMPUTED_VALUE"""),46034.66666666667)</f>
        <v>46034.66667</v>
      </c>
      <c r="R1264" s="2">
        <f>IFERROR(__xludf.DUMMYFUNCTION("""COMPUTED_VALUE"""),143.46)</f>
        <v>143.46</v>
      </c>
    </row>
    <row r="1265">
      <c r="B1265" s="3">
        <f>IFERROR(__xludf.DUMMYFUNCTION("""COMPUTED_VALUE"""),46035.66666666667)</f>
        <v>46035.66667</v>
      </c>
      <c r="C1265" s="2">
        <f>IFERROR(__xludf.DUMMYFUNCTION("""COMPUTED_VALUE"""),75.47)</f>
        <v>75.47</v>
      </c>
      <c r="K1265" s="3">
        <f>IFERROR(__xludf.DUMMYFUNCTION("""COMPUTED_VALUE"""),46027.6875)</f>
        <v>46027.6875</v>
      </c>
      <c r="L1265" s="2">
        <f>IFERROR(__xludf.DUMMYFUNCTION("""COMPUTED_VALUE"""),99.96)</f>
        <v>99.96</v>
      </c>
      <c r="N1265" s="3">
        <f>IFERROR(__xludf.DUMMYFUNCTION("""COMPUTED_VALUE"""),46035.66666666667)</f>
        <v>46035.66667</v>
      </c>
      <c r="O1265" s="2">
        <f>IFERROR(__xludf.DUMMYFUNCTION("""COMPUTED_VALUE"""),35.36)</f>
        <v>35.36</v>
      </c>
      <c r="Q1265" s="3">
        <f>IFERROR(__xludf.DUMMYFUNCTION("""COMPUTED_VALUE"""),46035.66666666667)</f>
        <v>46035.66667</v>
      </c>
      <c r="R1265" s="2">
        <f>IFERROR(__xludf.DUMMYFUNCTION("""COMPUTED_VALUE"""),144.24)</f>
        <v>144.24</v>
      </c>
    </row>
    <row r="1266">
      <c r="B1266" s="3">
        <f>IFERROR(__xludf.DUMMYFUNCTION("""COMPUTED_VALUE"""),46036.66666666667)</f>
        <v>46036.66667</v>
      </c>
      <c r="C1266" s="2">
        <f>IFERROR(__xludf.DUMMYFUNCTION("""COMPUTED_VALUE"""),74.41)</f>
        <v>74.41</v>
      </c>
      <c r="K1266" s="3">
        <f>IFERROR(__xludf.DUMMYFUNCTION("""COMPUTED_VALUE"""),46028.6875)</f>
        <v>46028.6875</v>
      </c>
      <c r="L1266" s="2">
        <f>IFERROR(__xludf.DUMMYFUNCTION("""COMPUTED_VALUE"""),100.3)</f>
        <v>100.3</v>
      </c>
      <c r="N1266" s="3">
        <f>IFERROR(__xludf.DUMMYFUNCTION("""COMPUTED_VALUE"""),46036.66666666667)</f>
        <v>46036.66667</v>
      </c>
      <c r="O1266" s="2">
        <f>IFERROR(__xludf.DUMMYFUNCTION("""COMPUTED_VALUE"""),35.82)</f>
        <v>35.82</v>
      </c>
      <c r="Q1266" s="3">
        <f>IFERROR(__xludf.DUMMYFUNCTION("""COMPUTED_VALUE"""),46036.66666666667)</f>
        <v>46036.66667</v>
      </c>
      <c r="R1266" s="2">
        <f>IFERROR(__xludf.DUMMYFUNCTION("""COMPUTED_VALUE"""),146.35)</f>
        <v>146.35</v>
      </c>
    </row>
    <row r="1267">
      <c r="B1267" s="3">
        <f>IFERROR(__xludf.DUMMYFUNCTION("""COMPUTED_VALUE"""),46037.66666666667)</f>
        <v>46037.66667</v>
      </c>
      <c r="C1267" s="2">
        <f>IFERROR(__xludf.DUMMYFUNCTION("""COMPUTED_VALUE"""),75.25)</f>
        <v>75.25</v>
      </c>
      <c r="K1267" s="3">
        <f>IFERROR(__xludf.DUMMYFUNCTION("""COMPUTED_VALUE"""),46029.6875)</f>
        <v>46029.6875</v>
      </c>
      <c r="L1267" s="2">
        <f>IFERROR(__xludf.DUMMYFUNCTION("""COMPUTED_VALUE"""),98.9)</f>
        <v>98.9</v>
      </c>
      <c r="N1267" s="3">
        <f>IFERROR(__xludf.DUMMYFUNCTION("""COMPUTED_VALUE"""),46037.66666666667)</f>
        <v>46037.66667</v>
      </c>
      <c r="O1267" s="2">
        <f>IFERROR(__xludf.DUMMYFUNCTION("""COMPUTED_VALUE"""),35.15)</f>
        <v>35.15</v>
      </c>
      <c r="Q1267" s="3">
        <f>IFERROR(__xludf.DUMMYFUNCTION("""COMPUTED_VALUE"""),46037.66666666667)</f>
        <v>46037.66667</v>
      </c>
      <c r="R1267" s="2">
        <f>IFERROR(__xludf.DUMMYFUNCTION("""COMPUTED_VALUE"""),144.63)</f>
        <v>144.63</v>
      </c>
    </row>
    <row r="1268">
      <c r="B1268" s="3">
        <f>IFERROR(__xludf.DUMMYFUNCTION("""COMPUTED_VALUE"""),46038.66666666667)</f>
        <v>46038.66667</v>
      </c>
      <c r="C1268" s="2">
        <f>IFERROR(__xludf.DUMMYFUNCTION("""COMPUTED_VALUE"""),75.19)</f>
        <v>75.19</v>
      </c>
      <c r="K1268" s="3">
        <f>IFERROR(__xludf.DUMMYFUNCTION("""COMPUTED_VALUE"""),46030.6875)</f>
        <v>46030.6875</v>
      </c>
      <c r="L1268" s="2">
        <f>IFERROR(__xludf.DUMMYFUNCTION("""COMPUTED_VALUE"""),100.05)</f>
        <v>100.05</v>
      </c>
      <c r="N1268" s="3">
        <f>IFERROR(__xludf.DUMMYFUNCTION("""COMPUTED_VALUE"""),46038.66666666667)</f>
        <v>46038.66667</v>
      </c>
      <c r="O1268" s="2">
        <f>IFERROR(__xludf.DUMMYFUNCTION("""COMPUTED_VALUE"""),35.38)</f>
        <v>35.38</v>
      </c>
      <c r="Q1268" s="3">
        <f>IFERROR(__xludf.DUMMYFUNCTION("""COMPUTED_VALUE"""),46038.66666666667)</f>
        <v>46038.66667</v>
      </c>
      <c r="R1268" s="2">
        <f>IFERROR(__xludf.DUMMYFUNCTION("""COMPUTED_VALUE"""),144.53)</f>
        <v>144.53</v>
      </c>
    </row>
    <row r="1269">
      <c r="B1269" s="3">
        <f>IFERROR(__xludf.DUMMYFUNCTION("""COMPUTED_VALUE"""),46042.66666666667)</f>
        <v>46042.66667</v>
      </c>
      <c r="C1269" s="2">
        <f>IFERROR(__xludf.DUMMYFUNCTION("""COMPUTED_VALUE"""),73.35)</f>
        <v>73.35</v>
      </c>
      <c r="K1269" s="3">
        <f>IFERROR(__xludf.DUMMYFUNCTION("""COMPUTED_VALUE"""),46031.6875)</f>
        <v>46031.6875</v>
      </c>
      <c r="L1269" s="2">
        <f>IFERROR(__xludf.DUMMYFUNCTION("""COMPUTED_VALUE"""),100.3)</f>
        <v>100.3</v>
      </c>
      <c r="N1269" s="3">
        <f>IFERROR(__xludf.DUMMYFUNCTION("""COMPUTED_VALUE"""),46042.66666666667)</f>
        <v>46042.66667</v>
      </c>
      <c r="O1269" s="2">
        <f>IFERROR(__xludf.DUMMYFUNCTION("""COMPUTED_VALUE"""),35.15)</f>
        <v>35.15</v>
      </c>
      <c r="Q1269" s="3">
        <f>IFERROR(__xludf.DUMMYFUNCTION("""COMPUTED_VALUE"""),46042.66666666667)</f>
        <v>46042.66667</v>
      </c>
      <c r="R1269" s="2">
        <f>IFERROR(__xludf.DUMMYFUNCTION("""COMPUTED_VALUE"""),147.0)</f>
        <v>147</v>
      </c>
    </row>
    <row r="1270">
      <c r="B1270" s="3">
        <f>IFERROR(__xludf.DUMMYFUNCTION("""COMPUTED_VALUE"""),46043.66666666667)</f>
        <v>46043.66667</v>
      </c>
      <c r="C1270" s="2">
        <f>IFERROR(__xludf.DUMMYFUNCTION("""COMPUTED_VALUE"""),73.69)</f>
        <v>73.69</v>
      </c>
      <c r="K1270" s="3">
        <f>IFERROR(__xludf.DUMMYFUNCTION("""COMPUTED_VALUE"""),46034.6875)</f>
        <v>46034.6875</v>
      </c>
      <c r="L1270" s="2">
        <f>IFERROR(__xludf.DUMMYFUNCTION("""COMPUTED_VALUE"""),101.0)</f>
        <v>101</v>
      </c>
      <c r="N1270" s="3">
        <f>IFERROR(__xludf.DUMMYFUNCTION("""COMPUTED_VALUE"""),46043.66666666667)</f>
        <v>46043.66667</v>
      </c>
      <c r="O1270" s="2">
        <f>IFERROR(__xludf.DUMMYFUNCTION("""COMPUTED_VALUE"""),35.92)</f>
        <v>35.92</v>
      </c>
      <c r="Q1270" s="3">
        <f>IFERROR(__xludf.DUMMYFUNCTION("""COMPUTED_VALUE"""),46043.66666666667)</f>
        <v>46043.66667</v>
      </c>
      <c r="R1270" s="2">
        <f>IFERROR(__xludf.DUMMYFUNCTION("""COMPUTED_VALUE"""),146.06)</f>
        <v>146.06</v>
      </c>
    </row>
    <row r="1271">
      <c r="B1271" s="3">
        <f>IFERROR(__xludf.DUMMYFUNCTION("""COMPUTED_VALUE"""),46044.66666666667)</f>
        <v>46044.66667</v>
      </c>
      <c r="C1271" s="2">
        <f>IFERROR(__xludf.DUMMYFUNCTION("""COMPUTED_VALUE"""),74.33)</f>
        <v>74.33</v>
      </c>
      <c r="K1271" s="3">
        <f>IFERROR(__xludf.DUMMYFUNCTION("""COMPUTED_VALUE"""),46035.6875)</f>
        <v>46035.6875</v>
      </c>
      <c r="L1271" s="2">
        <f>IFERROR(__xludf.DUMMYFUNCTION("""COMPUTED_VALUE"""),101.35)</f>
        <v>101.35</v>
      </c>
      <c r="N1271" s="3">
        <f>IFERROR(__xludf.DUMMYFUNCTION("""COMPUTED_VALUE"""),46044.66666666667)</f>
        <v>46044.66667</v>
      </c>
      <c r="O1271" s="2">
        <f>IFERROR(__xludf.DUMMYFUNCTION("""COMPUTED_VALUE"""),35.43)</f>
        <v>35.43</v>
      </c>
      <c r="Q1271" s="3">
        <f>IFERROR(__xludf.DUMMYFUNCTION("""COMPUTED_VALUE"""),46044.66666666667)</f>
        <v>46044.66667</v>
      </c>
      <c r="R1271" s="2">
        <f>IFERROR(__xludf.DUMMYFUNCTION("""COMPUTED_VALUE"""),149.93)</f>
        <v>149.93</v>
      </c>
    </row>
    <row r="1272">
      <c r="B1272" s="3">
        <f>IFERROR(__xludf.DUMMYFUNCTION("""COMPUTED_VALUE"""),46045.66666666667)</f>
        <v>46045.66667</v>
      </c>
      <c r="C1272" s="2">
        <f>IFERROR(__xludf.DUMMYFUNCTION("""COMPUTED_VALUE"""),74.59)</f>
        <v>74.59</v>
      </c>
      <c r="K1272" s="3">
        <f>IFERROR(__xludf.DUMMYFUNCTION("""COMPUTED_VALUE"""),46036.6875)</f>
        <v>46036.6875</v>
      </c>
      <c r="L1272" s="2">
        <f>IFERROR(__xludf.DUMMYFUNCTION("""COMPUTED_VALUE"""),101.0)</f>
        <v>101</v>
      </c>
      <c r="N1272" s="3">
        <f>IFERROR(__xludf.DUMMYFUNCTION("""COMPUTED_VALUE"""),46045.66666666667)</f>
        <v>46045.66667</v>
      </c>
      <c r="O1272" s="2">
        <f>IFERROR(__xludf.DUMMYFUNCTION("""COMPUTED_VALUE"""),36.53)</f>
        <v>36.53</v>
      </c>
      <c r="Q1272" s="3">
        <f>IFERROR(__xludf.DUMMYFUNCTION("""COMPUTED_VALUE"""),46045.66666666667)</f>
        <v>46045.66667</v>
      </c>
      <c r="R1272" s="2">
        <f>IFERROR(__xludf.DUMMYFUNCTION("""COMPUTED_VALUE"""),150.15)</f>
        <v>150.15</v>
      </c>
    </row>
    <row r="1273">
      <c r="B1273" s="3">
        <f>IFERROR(__xludf.DUMMYFUNCTION("""COMPUTED_VALUE"""),46048.66666666667)</f>
        <v>46048.66667</v>
      </c>
      <c r="C1273" s="2">
        <f>IFERROR(__xludf.DUMMYFUNCTION("""COMPUTED_VALUE"""),77.01)</f>
        <v>77.01</v>
      </c>
      <c r="K1273" s="3">
        <f>IFERROR(__xludf.DUMMYFUNCTION("""COMPUTED_VALUE"""),46037.6875)</f>
        <v>46037.6875</v>
      </c>
      <c r="L1273" s="2">
        <f>IFERROR(__xludf.DUMMYFUNCTION("""COMPUTED_VALUE"""),102.2)</f>
        <v>102.2</v>
      </c>
      <c r="N1273" s="3">
        <f>IFERROR(__xludf.DUMMYFUNCTION("""COMPUTED_VALUE"""),46048.66666666667)</f>
        <v>46048.66667</v>
      </c>
      <c r="O1273" s="2">
        <f>IFERROR(__xludf.DUMMYFUNCTION("""COMPUTED_VALUE"""),36.76)</f>
        <v>36.76</v>
      </c>
      <c r="Q1273" s="3">
        <f>IFERROR(__xludf.DUMMYFUNCTION("""COMPUTED_VALUE"""),46048.66666666667)</f>
        <v>46048.66667</v>
      </c>
      <c r="R1273" s="2">
        <f>IFERROR(__xludf.DUMMYFUNCTION("""COMPUTED_VALUE"""),149.49)</f>
        <v>149.49</v>
      </c>
    </row>
    <row r="1274">
      <c r="B1274" s="3">
        <f>IFERROR(__xludf.DUMMYFUNCTION("""COMPUTED_VALUE"""),46049.66666666667)</f>
        <v>46049.66667</v>
      </c>
      <c r="C1274" s="2">
        <f>IFERROR(__xludf.DUMMYFUNCTION("""COMPUTED_VALUE"""),78.68)</f>
        <v>78.68</v>
      </c>
      <c r="K1274" s="3">
        <f>IFERROR(__xludf.DUMMYFUNCTION("""COMPUTED_VALUE"""),46038.6875)</f>
        <v>46038.6875</v>
      </c>
      <c r="L1274" s="2">
        <f>IFERROR(__xludf.DUMMYFUNCTION("""COMPUTED_VALUE"""),102.1)</f>
        <v>102.1</v>
      </c>
      <c r="N1274" s="3">
        <f>IFERROR(__xludf.DUMMYFUNCTION("""COMPUTED_VALUE"""),46049.66666666667)</f>
        <v>46049.66667</v>
      </c>
      <c r="O1274" s="2">
        <f>IFERROR(__xludf.DUMMYFUNCTION("""COMPUTED_VALUE"""),37.62)</f>
        <v>37.62</v>
      </c>
      <c r="Q1274" s="3">
        <f>IFERROR(__xludf.DUMMYFUNCTION("""COMPUTED_VALUE"""),46049.66666666667)</f>
        <v>46049.66667</v>
      </c>
      <c r="R1274" s="2">
        <f>IFERROR(__xludf.DUMMYFUNCTION("""COMPUTED_VALUE"""),148.34)</f>
        <v>148.34</v>
      </c>
    </row>
    <row r="1275">
      <c r="B1275" s="3">
        <f>IFERROR(__xludf.DUMMYFUNCTION("""COMPUTED_VALUE"""),46050.66666666667)</f>
        <v>46050.66667</v>
      </c>
      <c r="C1275" s="2">
        <f>IFERROR(__xludf.DUMMYFUNCTION("""COMPUTED_VALUE"""),78.96)</f>
        <v>78.96</v>
      </c>
      <c r="K1275" s="3">
        <f>IFERROR(__xludf.DUMMYFUNCTION("""COMPUTED_VALUE"""),46041.6875)</f>
        <v>46041.6875</v>
      </c>
      <c r="L1275" s="2">
        <f>IFERROR(__xludf.DUMMYFUNCTION("""COMPUTED_VALUE"""),102.3)</f>
        <v>102.3</v>
      </c>
      <c r="N1275" s="3">
        <f>IFERROR(__xludf.DUMMYFUNCTION("""COMPUTED_VALUE"""),46050.66666666667)</f>
        <v>46050.66667</v>
      </c>
      <c r="O1275" s="2">
        <f>IFERROR(__xludf.DUMMYFUNCTION("""COMPUTED_VALUE"""),37.7)</f>
        <v>37.7</v>
      </c>
      <c r="Q1275" s="3">
        <f>IFERROR(__xludf.DUMMYFUNCTION("""COMPUTED_VALUE"""),46050.66666666667)</f>
        <v>46050.66667</v>
      </c>
      <c r="R1275" s="2">
        <f>IFERROR(__xludf.DUMMYFUNCTION("""COMPUTED_VALUE"""),147.34)</f>
        <v>147.34</v>
      </c>
    </row>
    <row r="1276">
      <c r="B1276" s="3">
        <f>IFERROR(__xludf.DUMMYFUNCTION("""COMPUTED_VALUE"""),46051.66666666667)</f>
        <v>46051.66667</v>
      </c>
      <c r="C1276" s="2">
        <f>IFERROR(__xludf.DUMMYFUNCTION("""COMPUTED_VALUE"""),78.43)</f>
        <v>78.43</v>
      </c>
      <c r="K1276" s="3">
        <f>IFERROR(__xludf.DUMMYFUNCTION("""COMPUTED_VALUE"""),46042.6875)</f>
        <v>46042.6875</v>
      </c>
      <c r="L1276" s="2">
        <f>IFERROR(__xludf.DUMMYFUNCTION("""COMPUTED_VALUE"""),102.4)</f>
        <v>102.4</v>
      </c>
      <c r="N1276" s="3">
        <f>IFERROR(__xludf.DUMMYFUNCTION("""COMPUTED_VALUE"""),46051.66666666667)</f>
        <v>46051.66667</v>
      </c>
      <c r="O1276" s="2">
        <f>IFERROR(__xludf.DUMMYFUNCTION("""COMPUTED_VALUE"""),38.04)</f>
        <v>38.04</v>
      </c>
      <c r="Q1276" s="3">
        <f>IFERROR(__xludf.DUMMYFUNCTION("""COMPUTED_VALUE"""),46051.66666666667)</f>
        <v>46051.66667</v>
      </c>
      <c r="R1276" s="2">
        <f>IFERROR(__xludf.DUMMYFUNCTION("""COMPUTED_VALUE"""),149.9)</f>
        <v>149.9</v>
      </c>
    </row>
    <row r="1277">
      <c r="B1277" s="3">
        <f>IFERROR(__xludf.DUMMYFUNCTION("""COMPUTED_VALUE"""),46052.66666666667)</f>
        <v>46052.66667</v>
      </c>
      <c r="C1277" s="2">
        <f>IFERROR(__xludf.DUMMYFUNCTION("""COMPUTED_VALUE"""),78.32)</f>
        <v>78.32</v>
      </c>
      <c r="K1277" s="3">
        <f>IFERROR(__xludf.DUMMYFUNCTION("""COMPUTED_VALUE"""),46043.6875)</f>
        <v>46043.6875</v>
      </c>
      <c r="L1277" s="2">
        <f>IFERROR(__xludf.DUMMYFUNCTION("""COMPUTED_VALUE"""),101.4)</f>
        <v>101.4</v>
      </c>
      <c r="N1277" s="3">
        <f>IFERROR(__xludf.DUMMYFUNCTION("""COMPUTED_VALUE"""),46052.66666666667)</f>
        <v>46052.66667</v>
      </c>
      <c r="O1277" s="2">
        <f>IFERROR(__xludf.DUMMYFUNCTION("""COMPUTED_VALUE"""),37.88)</f>
        <v>37.88</v>
      </c>
      <c r="Q1277" s="3">
        <f>IFERROR(__xludf.DUMMYFUNCTION("""COMPUTED_VALUE"""),46052.66666666667)</f>
        <v>46052.66667</v>
      </c>
      <c r="R1277" s="2">
        <f>IFERROR(__xludf.DUMMYFUNCTION("""COMPUTED_VALUE"""),151.77)</f>
        <v>151.77</v>
      </c>
    </row>
    <row r="1278">
      <c r="B1278" s="3">
        <f>IFERROR(__xludf.DUMMYFUNCTION("""COMPUTED_VALUE"""),46055.66666666667)</f>
        <v>46055.66667</v>
      </c>
      <c r="C1278" s="2">
        <f>IFERROR(__xludf.DUMMYFUNCTION("""COMPUTED_VALUE"""),80.64)</f>
        <v>80.64</v>
      </c>
      <c r="K1278" s="3">
        <f>IFERROR(__xludf.DUMMYFUNCTION("""COMPUTED_VALUE"""),46044.6875)</f>
        <v>46044.6875</v>
      </c>
      <c r="L1278" s="2">
        <f>IFERROR(__xludf.DUMMYFUNCTION("""COMPUTED_VALUE"""),101.9)</f>
        <v>101.9</v>
      </c>
      <c r="N1278" s="3">
        <f>IFERROR(__xludf.DUMMYFUNCTION("""COMPUTED_VALUE"""),46055.66666666667)</f>
        <v>46055.66667</v>
      </c>
      <c r="O1278" s="2">
        <f>IFERROR(__xludf.DUMMYFUNCTION("""COMPUTED_VALUE"""),37.7)</f>
        <v>37.7</v>
      </c>
      <c r="Q1278" s="3">
        <f>IFERROR(__xludf.DUMMYFUNCTION("""COMPUTED_VALUE"""),46055.66666666667)</f>
        <v>46055.66667</v>
      </c>
      <c r="R1278" s="2">
        <f>IFERROR(__xludf.DUMMYFUNCTION("""COMPUTED_VALUE"""),153.19)</f>
        <v>153.19</v>
      </c>
    </row>
    <row r="1279">
      <c r="B1279" s="3">
        <f>IFERROR(__xludf.DUMMYFUNCTION("""COMPUTED_VALUE"""),46056.66666666667)</f>
        <v>46056.66667</v>
      </c>
      <c r="C1279" s="2">
        <f>IFERROR(__xludf.DUMMYFUNCTION("""COMPUTED_VALUE"""),83.11)</f>
        <v>83.11</v>
      </c>
      <c r="K1279" s="3">
        <f>IFERROR(__xludf.DUMMYFUNCTION("""COMPUTED_VALUE"""),46045.6875)</f>
        <v>46045.6875</v>
      </c>
      <c r="L1279" s="2">
        <f>IFERROR(__xludf.DUMMYFUNCTION("""COMPUTED_VALUE"""),101.65)</f>
        <v>101.65</v>
      </c>
      <c r="N1279" s="3">
        <f>IFERROR(__xludf.DUMMYFUNCTION("""COMPUTED_VALUE"""),46056.66666666667)</f>
        <v>46056.66667</v>
      </c>
      <c r="O1279" s="2">
        <f>IFERROR(__xludf.DUMMYFUNCTION("""COMPUTED_VALUE"""),38.82)</f>
        <v>38.82</v>
      </c>
      <c r="Q1279" s="3">
        <f>IFERROR(__xludf.DUMMYFUNCTION("""COMPUTED_VALUE"""),46056.66666666667)</f>
        <v>46056.66667</v>
      </c>
      <c r="R1279" s="2">
        <f>IFERROR(__xludf.DUMMYFUNCTION("""COMPUTED_VALUE"""),155.32)</f>
        <v>155.32</v>
      </c>
    </row>
    <row r="1280">
      <c r="B1280" s="3">
        <f>IFERROR(__xludf.DUMMYFUNCTION("""COMPUTED_VALUE"""),46057.66666666667)</f>
        <v>46057.66667</v>
      </c>
      <c r="C1280" s="2">
        <f>IFERROR(__xludf.DUMMYFUNCTION("""COMPUTED_VALUE"""),81.16)</f>
        <v>81.16</v>
      </c>
      <c r="K1280" s="3">
        <f>IFERROR(__xludf.DUMMYFUNCTION("""COMPUTED_VALUE"""),46048.6875)</f>
        <v>46048.6875</v>
      </c>
      <c r="L1280" s="2">
        <f>IFERROR(__xludf.DUMMYFUNCTION("""COMPUTED_VALUE"""),103.0)</f>
        <v>103</v>
      </c>
      <c r="N1280" s="3">
        <f>IFERROR(__xludf.DUMMYFUNCTION("""COMPUTED_VALUE"""),46057.66666666667)</f>
        <v>46057.66667</v>
      </c>
      <c r="O1280" s="2">
        <f>IFERROR(__xludf.DUMMYFUNCTION("""COMPUTED_VALUE"""),39.2)</f>
        <v>39.2</v>
      </c>
      <c r="Q1280" s="3">
        <f>IFERROR(__xludf.DUMMYFUNCTION("""COMPUTED_VALUE"""),46057.66666666667)</f>
        <v>46057.66667</v>
      </c>
      <c r="R1280" s="2">
        <f>IFERROR(__xludf.DUMMYFUNCTION("""COMPUTED_VALUE"""),156.87)</f>
        <v>156.87</v>
      </c>
    </row>
    <row r="1281">
      <c r="B1281" s="3">
        <f>IFERROR(__xludf.DUMMYFUNCTION("""COMPUTED_VALUE"""),46058.66666666667)</f>
        <v>46058.66667</v>
      </c>
      <c r="C1281" s="2">
        <f>IFERROR(__xludf.DUMMYFUNCTION("""COMPUTED_VALUE"""),82.36)</f>
        <v>82.36</v>
      </c>
      <c r="K1281" s="3">
        <f>IFERROR(__xludf.DUMMYFUNCTION("""COMPUTED_VALUE"""),46049.6875)</f>
        <v>46049.6875</v>
      </c>
      <c r="L1281" s="2">
        <f>IFERROR(__xludf.DUMMYFUNCTION("""COMPUTED_VALUE"""),105.25)</f>
        <v>105.25</v>
      </c>
      <c r="N1281" s="3">
        <f>IFERROR(__xludf.DUMMYFUNCTION("""COMPUTED_VALUE"""),46058.66666666667)</f>
        <v>46058.66667</v>
      </c>
      <c r="O1281" s="2">
        <f>IFERROR(__xludf.DUMMYFUNCTION("""COMPUTED_VALUE"""),38.17)</f>
        <v>38.17</v>
      </c>
      <c r="Q1281" s="3">
        <f>IFERROR(__xludf.DUMMYFUNCTION("""COMPUTED_VALUE"""),46058.66666666667)</f>
        <v>46058.66667</v>
      </c>
      <c r="R1281" s="2">
        <f>IFERROR(__xludf.DUMMYFUNCTION("""COMPUTED_VALUE"""),158.61)</f>
        <v>158.61</v>
      </c>
    </row>
    <row r="1282">
      <c r="B1282" s="3">
        <f>IFERROR(__xludf.DUMMYFUNCTION("""COMPUTED_VALUE"""),46059.66666666667)</f>
        <v>46059.66667</v>
      </c>
      <c r="C1282" s="2">
        <f>IFERROR(__xludf.DUMMYFUNCTION("""COMPUTED_VALUE"""),84.82)</f>
        <v>84.82</v>
      </c>
      <c r="K1282" s="3">
        <f>IFERROR(__xludf.DUMMYFUNCTION("""COMPUTED_VALUE"""),46050.6875)</f>
        <v>46050.6875</v>
      </c>
      <c r="L1282" s="2">
        <f>IFERROR(__xludf.DUMMYFUNCTION("""COMPUTED_VALUE"""),104.5)</f>
        <v>104.5</v>
      </c>
      <c r="N1282" s="3">
        <f>IFERROR(__xludf.DUMMYFUNCTION("""COMPUTED_VALUE"""),46059.66666666667)</f>
        <v>46059.66667</v>
      </c>
      <c r="O1282" s="2">
        <f>IFERROR(__xludf.DUMMYFUNCTION("""COMPUTED_VALUE"""),39.01)</f>
        <v>39.01</v>
      </c>
      <c r="Q1282" s="3">
        <f>IFERROR(__xludf.DUMMYFUNCTION("""COMPUTED_VALUE"""),46059.66666666667)</f>
        <v>46059.66667</v>
      </c>
      <c r="R1282" s="2">
        <f>IFERROR(__xludf.DUMMYFUNCTION("""COMPUTED_VALUE"""),159.17)</f>
        <v>159.17</v>
      </c>
    </row>
    <row r="1283">
      <c r="B1283" s="3">
        <f>IFERROR(__xludf.DUMMYFUNCTION("""COMPUTED_VALUE"""),46062.66666666667)</f>
        <v>46062.66667</v>
      </c>
      <c r="C1283" s="2">
        <f>IFERROR(__xludf.DUMMYFUNCTION("""COMPUTED_VALUE"""),86.78)</f>
        <v>86.78</v>
      </c>
      <c r="K1283" s="3">
        <f>IFERROR(__xludf.DUMMYFUNCTION("""COMPUTED_VALUE"""),46051.6875)</f>
        <v>46051.6875</v>
      </c>
      <c r="L1283" s="2">
        <f>IFERROR(__xludf.DUMMYFUNCTION("""COMPUTED_VALUE"""),105.45)</f>
        <v>105.45</v>
      </c>
      <c r="N1283" s="3">
        <f>IFERROR(__xludf.DUMMYFUNCTION("""COMPUTED_VALUE"""),46062.66666666667)</f>
        <v>46062.66667</v>
      </c>
      <c r="O1283" s="2">
        <f>IFERROR(__xludf.DUMMYFUNCTION("""COMPUTED_VALUE"""),39.22)</f>
        <v>39.22</v>
      </c>
      <c r="Q1283" s="3">
        <f>IFERROR(__xludf.DUMMYFUNCTION("""COMPUTED_VALUE"""),46062.66666666667)</f>
        <v>46062.66667</v>
      </c>
      <c r="R1283" s="2">
        <f>IFERROR(__xludf.DUMMYFUNCTION("""COMPUTED_VALUE"""),157.33)</f>
        <v>157.33</v>
      </c>
    </row>
    <row r="1284">
      <c r="B1284" s="3">
        <f>IFERROR(__xludf.DUMMYFUNCTION("""COMPUTED_VALUE"""),46063.66666666667)</f>
        <v>46063.66667</v>
      </c>
      <c r="C1284" s="2">
        <f>IFERROR(__xludf.DUMMYFUNCTION("""COMPUTED_VALUE"""),86.29)</f>
        <v>86.29</v>
      </c>
      <c r="K1284" s="3">
        <f>IFERROR(__xludf.DUMMYFUNCTION("""COMPUTED_VALUE"""),46052.6875)</f>
        <v>46052.6875</v>
      </c>
      <c r="L1284" s="2">
        <f>IFERROR(__xludf.DUMMYFUNCTION("""COMPUTED_VALUE"""),108.95)</f>
        <v>108.95</v>
      </c>
      <c r="N1284" s="3">
        <f>IFERROR(__xludf.DUMMYFUNCTION("""COMPUTED_VALUE"""),46063.66666666667)</f>
        <v>46063.66667</v>
      </c>
      <c r="O1284" s="2">
        <f>IFERROR(__xludf.DUMMYFUNCTION("""COMPUTED_VALUE"""),36.97)</f>
        <v>36.97</v>
      </c>
      <c r="Q1284" s="3">
        <f>IFERROR(__xludf.DUMMYFUNCTION("""COMPUTED_VALUE"""),46063.66666666667)</f>
        <v>46063.66667</v>
      </c>
      <c r="R1284" s="2">
        <f>IFERROR(__xludf.DUMMYFUNCTION("""COMPUTED_VALUE"""),159.08)</f>
        <v>159.08</v>
      </c>
    </row>
    <row r="1285">
      <c r="B1285" s="3">
        <f>IFERROR(__xludf.DUMMYFUNCTION("""COMPUTED_VALUE"""),46064.66666666667)</f>
        <v>46064.66667</v>
      </c>
      <c r="C1285" s="2">
        <f>IFERROR(__xludf.DUMMYFUNCTION("""COMPUTED_VALUE"""),85.54)</f>
        <v>85.54</v>
      </c>
      <c r="K1285" s="3">
        <f>IFERROR(__xludf.DUMMYFUNCTION("""COMPUTED_VALUE"""),46055.6875)</f>
        <v>46055.6875</v>
      </c>
      <c r="L1285" s="2">
        <f>IFERROR(__xludf.DUMMYFUNCTION("""COMPUTED_VALUE"""),111.45)</f>
        <v>111.45</v>
      </c>
      <c r="N1285" s="3">
        <f>IFERROR(__xludf.DUMMYFUNCTION("""COMPUTED_VALUE"""),46064.66666666667)</f>
        <v>46064.66667</v>
      </c>
      <c r="O1285" s="2">
        <f>IFERROR(__xludf.DUMMYFUNCTION("""COMPUTED_VALUE"""),38.55)</f>
        <v>38.55</v>
      </c>
      <c r="Q1285" s="3">
        <f>IFERROR(__xludf.DUMMYFUNCTION("""COMPUTED_VALUE"""),46064.66666666667)</f>
        <v>46064.66667</v>
      </c>
      <c r="R1285" s="2">
        <f>IFERROR(__xludf.DUMMYFUNCTION("""COMPUTED_VALUE"""),160.0)</f>
        <v>160</v>
      </c>
    </row>
    <row r="1286">
      <c r="B1286" s="3">
        <f>IFERROR(__xludf.DUMMYFUNCTION("""COMPUTED_VALUE"""),46065.66666666667)</f>
        <v>46065.66667</v>
      </c>
      <c r="C1286" s="2">
        <f>IFERROR(__xludf.DUMMYFUNCTION("""COMPUTED_VALUE"""),75.0)</f>
        <v>75</v>
      </c>
      <c r="K1286" s="3">
        <f>IFERROR(__xludf.DUMMYFUNCTION("""COMPUTED_VALUE"""),46056.6875)</f>
        <v>46056.6875</v>
      </c>
      <c r="L1286" s="2">
        <f>IFERROR(__xludf.DUMMYFUNCTION("""COMPUTED_VALUE"""),112.6)</f>
        <v>112.6</v>
      </c>
      <c r="N1286" s="3">
        <f>IFERROR(__xludf.DUMMYFUNCTION("""COMPUTED_VALUE"""),46065.66666666667)</f>
        <v>46065.66667</v>
      </c>
      <c r="O1286" s="2">
        <f>IFERROR(__xludf.DUMMYFUNCTION("""COMPUTED_VALUE"""),37.19)</f>
        <v>37.19</v>
      </c>
      <c r="Q1286" s="3">
        <f>IFERROR(__xludf.DUMMYFUNCTION("""COMPUTED_VALUE"""),46065.66666666667)</f>
        <v>46065.66667</v>
      </c>
      <c r="R1286" s="2">
        <f>IFERROR(__xludf.DUMMYFUNCTION("""COMPUTED_VALUE"""),161.21)</f>
        <v>161.21</v>
      </c>
    </row>
    <row r="1287">
      <c r="B1287" s="3">
        <f>IFERROR(__xludf.DUMMYFUNCTION("""COMPUTED_VALUE"""),46066.66666666667)</f>
        <v>46066.66667</v>
      </c>
      <c r="C1287" s="2">
        <f>IFERROR(__xludf.DUMMYFUNCTION("""COMPUTED_VALUE"""),76.85)</f>
        <v>76.85</v>
      </c>
      <c r="K1287" s="3">
        <f>IFERROR(__xludf.DUMMYFUNCTION("""COMPUTED_VALUE"""),46057.6875)</f>
        <v>46057.6875</v>
      </c>
      <c r="L1287" s="2">
        <f>IFERROR(__xludf.DUMMYFUNCTION("""COMPUTED_VALUE"""),112.05)</f>
        <v>112.05</v>
      </c>
      <c r="N1287" s="3">
        <f>IFERROR(__xludf.DUMMYFUNCTION("""COMPUTED_VALUE"""),46066.66666666667)</f>
        <v>46066.66667</v>
      </c>
      <c r="O1287" s="2">
        <f>IFERROR(__xludf.DUMMYFUNCTION("""COMPUTED_VALUE"""),37.66)</f>
        <v>37.66</v>
      </c>
      <c r="Q1287" s="3">
        <f>IFERROR(__xludf.DUMMYFUNCTION("""COMPUTED_VALUE"""),46066.66666666667)</f>
        <v>46066.66667</v>
      </c>
      <c r="R1287" s="2">
        <f>IFERROR(__xludf.DUMMYFUNCTION("""COMPUTED_VALUE"""),160.07)</f>
        <v>160.07</v>
      </c>
    </row>
    <row r="1288">
      <c r="B1288" s="3">
        <f>IFERROR(__xludf.DUMMYFUNCTION("""COMPUTED_VALUE"""),46070.66666666667)</f>
        <v>46070.66667</v>
      </c>
      <c r="C1288" s="2">
        <f>IFERROR(__xludf.DUMMYFUNCTION("""COMPUTED_VALUE"""),76.85)</f>
        <v>76.85</v>
      </c>
      <c r="K1288" s="3">
        <f>IFERROR(__xludf.DUMMYFUNCTION("""COMPUTED_VALUE"""),46058.6875)</f>
        <v>46058.6875</v>
      </c>
      <c r="L1288" s="2">
        <f>IFERROR(__xludf.DUMMYFUNCTION("""COMPUTED_VALUE"""),105.8)</f>
        <v>105.8</v>
      </c>
      <c r="N1288" s="3">
        <f>IFERROR(__xludf.DUMMYFUNCTION("""COMPUTED_VALUE"""),46070.66666666667)</f>
        <v>46070.66667</v>
      </c>
      <c r="O1288" s="2">
        <f>IFERROR(__xludf.DUMMYFUNCTION("""COMPUTED_VALUE"""),37.56)</f>
        <v>37.56</v>
      </c>
      <c r="Q1288" s="3">
        <f>IFERROR(__xludf.DUMMYFUNCTION("""COMPUTED_VALUE"""),46070.66666666667)</f>
        <v>46070.66667</v>
      </c>
      <c r="R1288" s="2">
        <f>IFERROR(__xludf.DUMMYFUNCTION("""COMPUTED_VALUE"""),159.55)</f>
        <v>159.55</v>
      </c>
    </row>
    <row r="1289">
      <c r="B1289" s="3">
        <f>IFERROR(__xludf.DUMMYFUNCTION("""COMPUTED_VALUE"""),46071.66666666667)</f>
        <v>46071.66667</v>
      </c>
      <c r="C1289" s="2">
        <f>IFERROR(__xludf.DUMMYFUNCTION("""COMPUTED_VALUE"""),78.18)</f>
        <v>78.18</v>
      </c>
      <c r="K1289" s="3">
        <f>IFERROR(__xludf.DUMMYFUNCTION("""COMPUTED_VALUE"""),46059.6875)</f>
        <v>46059.6875</v>
      </c>
      <c r="L1289" s="2">
        <f>IFERROR(__xludf.DUMMYFUNCTION("""COMPUTED_VALUE"""),106.75)</f>
        <v>106.75</v>
      </c>
      <c r="N1289" s="3">
        <f>IFERROR(__xludf.DUMMYFUNCTION("""COMPUTED_VALUE"""),46071.66666666667)</f>
        <v>46071.66667</v>
      </c>
      <c r="O1289" s="2">
        <f>IFERROR(__xludf.DUMMYFUNCTION("""COMPUTED_VALUE"""),38.53)</f>
        <v>38.53</v>
      </c>
      <c r="Q1289" s="3">
        <f>IFERROR(__xludf.DUMMYFUNCTION("""COMPUTED_VALUE"""),46071.66666666667)</f>
        <v>46071.66667</v>
      </c>
      <c r="R1289" s="2">
        <f>IFERROR(__xludf.DUMMYFUNCTION("""COMPUTED_VALUE"""),156.86)</f>
        <v>156.86</v>
      </c>
    </row>
    <row r="1290">
      <c r="B1290" s="3">
        <f>IFERROR(__xludf.DUMMYFUNCTION("""COMPUTED_VALUE"""),46072.66666666667)</f>
        <v>46072.66667</v>
      </c>
      <c r="C1290" s="2">
        <f>IFERROR(__xludf.DUMMYFUNCTION("""COMPUTED_VALUE"""),78.56)</f>
        <v>78.56</v>
      </c>
      <c r="K1290" s="3">
        <f>IFERROR(__xludf.DUMMYFUNCTION("""COMPUTED_VALUE"""),46062.6875)</f>
        <v>46062.6875</v>
      </c>
      <c r="L1290" s="2">
        <f>IFERROR(__xludf.DUMMYFUNCTION("""COMPUTED_VALUE"""),105.25)</f>
        <v>105.25</v>
      </c>
      <c r="N1290" s="3">
        <f>IFERROR(__xludf.DUMMYFUNCTION("""COMPUTED_VALUE"""),46072.66666666667)</f>
        <v>46072.66667</v>
      </c>
      <c r="O1290" s="2">
        <f>IFERROR(__xludf.DUMMYFUNCTION("""COMPUTED_VALUE"""),39.01)</f>
        <v>39.01</v>
      </c>
      <c r="Q1290" s="3">
        <f>IFERROR(__xludf.DUMMYFUNCTION("""COMPUTED_VALUE"""),46072.66666666667)</f>
        <v>46072.66667</v>
      </c>
      <c r="R1290" s="2">
        <f>IFERROR(__xludf.DUMMYFUNCTION("""COMPUTED_VALUE"""),158.56)</f>
        <v>158.56</v>
      </c>
    </row>
    <row r="1291">
      <c r="B1291" s="3">
        <f>IFERROR(__xludf.DUMMYFUNCTION("""COMPUTED_VALUE"""),46073.66666666667)</f>
        <v>46073.66667</v>
      </c>
      <c r="C1291" s="2">
        <f>IFERROR(__xludf.DUMMYFUNCTION("""COMPUTED_VALUE"""),79.2)</f>
        <v>79.2</v>
      </c>
      <c r="K1291" s="3">
        <f>IFERROR(__xludf.DUMMYFUNCTION("""COMPUTED_VALUE"""),46063.6875)</f>
        <v>46063.6875</v>
      </c>
      <c r="L1291" s="2">
        <f>IFERROR(__xludf.DUMMYFUNCTION("""COMPUTED_VALUE"""),102.8)</f>
        <v>102.8</v>
      </c>
      <c r="N1291" s="3">
        <f>IFERROR(__xludf.DUMMYFUNCTION("""COMPUTED_VALUE"""),46073.66666666667)</f>
        <v>46073.66667</v>
      </c>
      <c r="O1291" s="2">
        <f>IFERROR(__xludf.DUMMYFUNCTION("""COMPUTED_VALUE"""),38.18)</f>
        <v>38.18</v>
      </c>
      <c r="Q1291" s="3">
        <f>IFERROR(__xludf.DUMMYFUNCTION("""COMPUTED_VALUE"""),46073.66666666667)</f>
        <v>46073.66667</v>
      </c>
      <c r="R1291" s="2">
        <f>IFERROR(__xludf.DUMMYFUNCTION("""COMPUTED_VALUE"""),160.78)</f>
        <v>160.78</v>
      </c>
    </row>
    <row r="1292">
      <c r="B1292" s="3">
        <f>IFERROR(__xludf.DUMMYFUNCTION("""COMPUTED_VALUE"""),46076.66666666667)</f>
        <v>46076.66667</v>
      </c>
      <c r="C1292" s="2">
        <f>IFERROR(__xludf.DUMMYFUNCTION("""COMPUTED_VALUE"""),77.74)</f>
        <v>77.74</v>
      </c>
      <c r="K1292" s="3">
        <f>IFERROR(__xludf.DUMMYFUNCTION("""COMPUTED_VALUE"""),46064.6875)</f>
        <v>46064.6875</v>
      </c>
      <c r="L1292" s="2">
        <f>IFERROR(__xludf.DUMMYFUNCTION("""COMPUTED_VALUE"""),103.05)</f>
        <v>103.05</v>
      </c>
      <c r="N1292" s="3">
        <f>IFERROR(__xludf.DUMMYFUNCTION("""COMPUTED_VALUE"""),46076.66666666667)</f>
        <v>46076.66667</v>
      </c>
      <c r="O1292" s="2">
        <f>IFERROR(__xludf.DUMMYFUNCTION("""COMPUTED_VALUE"""),38.41)</f>
        <v>38.41</v>
      </c>
      <c r="Q1292" s="3">
        <f>IFERROR(__xludf.DUMMYFUNCTION("""COMPUTED_VALUE"""),46076.66666666667)</f>
        <v>46076.66667</v>
      </c>
      <c r="R1292" s="2">
        <f>IFERROR(__xludf.DUMMYFUNCTION("""COMPUTED_VALUE"""),165.17)</f>
        <v>165.17</v>
      </c>
    </row>
    <row r="1293">
      <c r="B1293" s="3">
        <f>IFERROR(__xludf.DUMMYFUNCTION("""COMPUTED_VALUE"""),46077.66666666667)</f>
        <v>46077.66667</v>
      </c>
      <c r="C1293" s="2">
        <f>IFERROR(__xludf.DUMMYFUNCTION("""COMPUTED_VALUE"""),78.14)</f>
        <v>78.14</v>
      </c>
      <c r="K1293" s="3">
        <f>IFERROR(__xludf.DUMMYFUNCTION("""COMPUTED_VALUE"""),46065.6875)</f>
        <v>46065.6875</v>
      </c>
      <c r="L1293" s="2">
        <f>IFERROR(__xludf.DUMMYFUNCTION("""COMPUTED_VALUE"""),102.4)</f>
        <v>102.4</v>
      </c>
      <c r="N1293" s="3">
        <f>IFERROR(__xludf.DUMMYFUNCTION("""COMPUTED_VALUE"""),46077.66666666667)</f>
        <v>46077.66667</v>
      </c>
      <c r="O1293" s="2">
        <f>IFERROR(__xludf.DUMMYFUNCTION("""COMPUTED_VALUE"""),38.3)</f>
        <v>38.3</v>
      </c>
      <c r="Q1293" s="3">
        <f>IFERROR(__xludf.DUMMYFUNCTION("""COMPUTED_VALUE"""),46077.66666666667)</f>
        <v>46077.66667</v>
      </c>
      <c r="R1293" s="2">
        <f>IFERROR(__xludf.DUMMYFUNCTION("""COMPUTED_VALUE"""),165.28)</f>
        <v>165.28</v>
      </c>
    </row>
    <row r="1294">
      <c r="B1294" s="3">
        <f>IFERROR(__xludf.DUMMYFUNCTION("""COMPUTED_VALUE"""),46078.66666666667)</f>
        <v>46078.66667</v>
      </c>
      <c r="C1294" s="2">
        <f>IFERROR(__xludf.DUMMYFUNCTION("""COMPUTED_VALUE"""),79.12)</f>
        <v>79.12</v>
      </c>
      <c r="K1294" s="3">
        <f>IFERROR(__xludf.DUMMYFUNCTION("""COMPUTED_VALUE"""),46066.6875)</f>
        <v>46066.6875</v>
      </c>
      <c r="L1294" s="2">
        <f>IFERROR(__xludf.DUMMYFUNCTION("""COMPUTED_VALUE"""),100.4)</f>
        <v>100.4</v>
      </c>
      <c r="N1294" s="3">
        <f>IFERROR(__xludf.DUMMYFUNCTION("""COMPUTED_VALUE"""),46078.66666666667)</f>
        <v>46078.66667</v>
      </c>
      <c r="O1294" s="2">
        <f>IFERROR(__xludf.DUMMYFUNCTION("""COMPUTED_VALUE"""),38.09)</f>
        <v>38.09</v>
      </c>
      <c r="Q1294" s="3">
        <f>IFERROR(__xludf.DUMMYFUNCTION("""COMPUTED_VALUE"""),46078.66666666667)</f>
        <v>46078.66667</v>
      </c>
      <c r="R1294" s="2">
        <f>IFERROR(__xludf.DUMMYFUNCTION("""COMPUTED_VALUE"""),163.39)</f>
        <v>163.39</v>
      </c>
    </row>
    <row r="1295">
      <c r="B1295" s="3">
        <f>IFERROR(__xludf.DUMMYFUNCTION("""COMPUTED_VALUE"""),46079.66666666667)</f>
        <v>46079.66667</v>
      </c>
      <c r="C1295" s="2">
        <f>IFERROR(__xludf.DUMMYFUNCTION("""COMPUTED_VALUE"""),78.1)</f>
        <v>78.1</v>
      </c>
      <c r="K1295" s="3">
        <f>IFERROR(__xludf.DUMMYFUNCTION("""COMPUTED_VALUE"""),46069.6875)</f>
        <v>46069.6875</v>
      </c>
      <c r="L1295" s="2">
        <f>IFERROR(__xludf.DUMMYFUNCTION("""COMPUTED_VALUE"""),101.4)</f>
        <v>101.4</v>
      </c>
      <c r="N1295" s="3">
        <f>IFERROR(__xludf.DUMMYFUNCTION("""COMPUTED_VALUE"""),46079.66666666667)</f>
        <v>46079.66667</v>
      </c>
      <c r="O1295" s="2">
        <f>IFERROR(__xludf.DUMMYFUNCTION("""COMPUTED_VALUE"""),37.99)</f>
        <v>37.99</v>
      </c>
      <c r="Q1295" s="3">
        <f>IFERROR(__xludf.DUMMYFUNCTION("""COMPUTED_VALUE"""),46079.66666666667)</f>
        <v>46079.66667</v>
      </c>
      <c r="R1295" s="2">
        <f>IFERROR(__xludf.DUMMYFUNCTION("""COMPUTED_VALUE"""),163.75)</f>
        <v>163.75</v>
      </c>
    </row>
    <row r="1296">
      <c r="B1296" s="3">
        <f>IFERROR(__xludf.DUMMYFUNCTION("""COMPUTED_VALUE"""),46080.66666666667)</f>
        <v>46080.66667</v>
      </c>
      <c r="C1296" s="2">
        <f>IFERROR(__xludf.DUMMYFUNCTION("""COMPUTED_VALUE"""),79.46)</f>
        <v>79.46</v>
      </c>
      <c r="K1296" s="3">
        <f>IFERROR(__xludf.DUMMYFUNCTION("""COMPUTED_VALUE"""),46070.6875)</f>
        <v>46070.6875</v>
      </c>
      <c r="L1296" s="2">
        <f>IFERROR(__xludf.DUMMYFUNCTION("""COMPUTED_VALUE"""),102.75)</f>
        <v>102.75</v>
      </c>
      <c r="N1296" s="3">
        <f>IFERROR(__xludf.DUMMYFUNCTION("""COMPUTED_VALUE"""),46080.66666666667)</f>
        <v>46080.66667</v>
      </c>
      <c r="O1296" s="2">
        <f>IFERROR(__xludf.DUMMYFUNCTION("""COMPUTED_VALUE"""),38.86)</f>
        <v>38.86</v>
      </c>
      <c r="Q1296" s="3">
        <f>IFERROR(__xludf.DUMMYFUNCTION("""COMPUTED_VALUE"""),46080.66666666667)</f>
        <v>46080.66667</v>
      </c>
      <c r="R1296" s="2">
        <f>IFERROR(__xludf.DUMMYFUNCTION("""COMPUTED_VALUE"""),167.2)</f>
        <v>167.2</v>
      </c>
    </row>
    <row r="1297">
      <c r="B1297" s="3">
        <f>IFERROR(__xludf.DUMMYFUNCTION("""COMPUTED_VALUE"""),46083.66666666667)</f>
        <v>46083.66667</v>
      </c>
      <c r="C1297" s="2">
        <f>IFERROR(__xludf.DUMMYFUNCTION("""COMPUTED_VALUE"""),79.42)</f>
        <v>79.42</v>
      </c>
      <c r="K1297" s="3">
        <f>IFERROR(__xludf.DUMMYFUNCTION("""COMPUTED_VALUE"""),46071.6875)</f>
        <v>46071.6875</v>
      </c>
      <c r="L1297" s="2">
        <f>IFERROR(__xludf.DUMMYFUNCTION("""COMPUTED_VALUE"""),104.6)</f>
        <v>104.6</v>
      </c>
      <c r="N1297" s="3">
        <f>IFERROR(__xludf.DUMMYFUNCTION("""COMPUTED_VALUE"""),46083.66666666667)</f>
        <v>46083.66667</v>
      </c>
      <c r="O1297" s="2">
        <f>IFERROR(__xludf.DUMMYFUNCTION("""COMPUTED_VALUE"""),39.47)</f>
        <v>39.47</v>
      </c>
      <c r="Q1297" s="3">
        <f>IFERROR(__xludf.DUMMYFUNCTION("""COMPUTED_VALUE"""),46083.66666666667)</f>
        <v>46083.66667</v>
      </c>
      <c r="R1297" s="2">
        <f>IFERROR(__xludf.DUMMYFUNCTION("""COMPUTED_VALUE"""),163.51)</f>
        <v>163.51</v>
      </c>
    </row>
    <row r="1298">
      <c r="B1298" s="3">
        <f>IFERROR(__xludf.DUMMYFUNCTION("""COMPUTED_VALUE"""),46084.66666666667)</f>
        <v>46084.66667</v>
      </c>
      <c r="C1298" s="2">
        <f>IFERROR(__xludf.DUMMYFUNCTION("""COMPUTED_VALUE"""),78.96)</f>
        <v>78.96</v>
      </c>
      <c r="K1298" s="3">
        <f>IFERROR(__xludf.DUMMYFUNCTION("""COMPUTED_VALUE"""),46072.6875)</f>
        <v>46072.6875</v>
      </c>
      <c r="L1298" s="2">
        <f>IFERROR(__xludf.DUMMYFUNCTION("""COMPUTED_VALUE"""),102.0)</f>
        <v>102</v>
      </c>
      <c r="N1298" s="3">
        <f>IFERROR(__xludf.DUMMYFUNCTION("""COMPUTED_VALUE"""),46084.66666666667)</f>
        <v>46084.66667</v>
      </c>
      <c r="O1298" s="2">
        <f>IFERROR(__xludf.DUMMYFUNCTION("""COMPUTED_VALUE"""),38.86)</f>
        <v>38.86</v>
      </c>
      <c r="Q1298" s="3">
        <f>IFERROR(__xludf.DUMMYFUNCTION("""COMPUTED_VALUE"""),46084.66666666667)</f>
        <v>46084.66667</v>
      </c>
      <c r="R1298" s="2">
        <f>IFERROR(__xludf.DUMMYFUNCTION("""COMPUTED_VALUE"""),159.72)</f>
        <v>159.72</v>
      </c>
    </row>
    <row r="1299">
      <c r="K1299" s="3">
        <f>IFERROR(__xludf.DUMMYFUNCTION("""COMPUTED_VALUE"""),46073.6875)</f>
        <v>46073.6875</v>
      </c>
      <c r="L1299" s="2">
        <f>IFERROR(__xludf.DUMMYFUNCTION("""COMPUTED_VALUE"""),104.15)</f>
        <v>104.15</v>
      </c>
    </row>
    <row r="1300">
      <c r="K1300" s="3">
        <f>IFERROR(__xludf.DUMMYFUNCTION("""COMPUTED_VALUE"""),46076.6875)</f>
        <v>46076.6875</v>
      </c>
      <c r="L1300" s="2">
        <f>IFERROR(__xludf.DUMMYFUNCTION("""COMPUTED_VALUE"""),103.8)</f>
        <v>103.8</v>
      </c>
    </row>
    <row r="1301">
      <c r="K1301" s="3">
        <f>IFERROR(__xludf.DUMMYFUNCTION("""COMPUTED_VALUE"""),46077.6875)</f>
        <v>46077.6875</v>
      </c>
      <c r="L1301" s="2">
        <f>IFERROR(__xludf.DUMMYFUNCTION("""COMPUTED_VALUE"""),102.6)</f>
        <v>102.6</v>
      </c>
    </row>
    <row r="1302">
      <c r="K1302" s="3">
        <f>IFERROR(__xludf.DUMMYFUNCTION("""COMPUTED_VALUE"""),46078.6875)</f>
        <v>46078.6875</v>
      </c>
      <c r="L1302" s="2">
        <f>IFERROR(__xludf.DUMMYFUNCTION("""COMPUTED_VALUE"""),104.5)</f>
        <v>104.5</v>
      </c>
    </row>
    <row r="1303">
      <c r="K1303" s="3">
        <f>IFERROR(__xludf.DUMMYFUNCTION("""COMPUTED_VALUE"""),46079.6875)</f>
        <v>46079.6875</v>
      </c>
      <c r="L1303" s="2">
        <f>IFERROR(__xludf.DUMMYFUNCTION("""COMPUTED_VALUE"""),104.9)</f>
        <v>104.9</v>
      </c>
    </row>
    <row r="1304">
      <c r="K1304" s="3">
        <f>IFERROR(__xludf.DUMMYFUNCTION("""COMPUTED_VALUE"""),46080.6875)</f>
        <v>46080.6875</v>
      </c>
      <c r="L1304" s="2">
        <f>IFERROR(__xludf.DUMMYFUNCTION("""COMPUTED_VALUE"""),102.45)</f>
        <v>102.45</v>
      </c>
    </row>
    <row r="1305">
      <c r="K1305" s="3">
        <f>IFERROR(__xludf.DUMMYFUNCTION("""COMPUTED_VALUE"""),46083.6875)</f>
        <v>46083.6875</v>
      </c>
      <c r="L1305" s="2">
        <f>IFERROR(__xludf.DUMMYFUNCTION("""COMPUTED_VALUE"""),99.92)</f>
        <v>99.92</v>
      </c>
    </row>
    <row r="1306">
      <c r="K1306" s="3">
        <f>IFERROR(__xludf.DUMMYFUNCTION("""COMPUTED_VALUE"""),46084.6875)</f>
        <v>46084.6875</v>
      </c>
      <c r="L1306" s="2">
        <f>IFERROR(__xludf.DUMMYFUNCTION("""COMPUTED_VALUE"""),96.94)</f>
        <v>96.94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J1" s="1" t="s">
        <v>12</v>
      </c>
      <c r="K1" s="1" t="s">
        <v>13</v>
      </c>
      <c r="L1" s="1" t="s">
        <v>14</v>
      </c>
      <c r="P1" s="1" t="str">
        <f>J2</f>
        <v>Cisco</v>
      </c>
      <c r="Q1" s="1" t="str">
        <f>O3</f>
        <v>NVIDAI</v>
      </c>
      <c r="R1" s="1" t="str">
        <f>O4</f>
        <v>RR</v>
      </c>
      <c r="S1" s="1" t="str">
        <f>O5</f>
        <v>Lloydes</v>
      </c>
      <c r="T1" s="1" t="str">
        <f>O6</f>
        <v>BP</v>
      </c>
      <c r="U1" s="1" t="str">
        <f>O7</f>
        <v>PG</v>
      </c>
    </row>
    <row r="2">
      <c r="A2" s="2">
        <f>(('Historical Data'!C4)-('Historical Data'!C3))/('Historical Data'!C3)</f>
        <v>0.0004549590537</v>
      </c>
      <c r="B2" s="2">
        <f>(('Historical Data'!F4)-('Historical Data'!F3))/('Historical Data'!F3)</f>
        <v>0</v>
      </c>
      <c r="C2" s="2">
        <f>(('Historical Data'!I4)-('Historical Data'!I3))/('Historical Data'!I3)</f>
        <v>0.0780952381</v>
      </c>
      <c r="D2" s="2">
        <f>(('Historical Data'!L4)-('Historical Data'!L3))/('Historical Data'!L3)</f>
        <v>0.01061997704</v>
      </c>
      <c r="E2" s="2">
        <f>(('Historical Data'!O4)-('Historical Data'!O3))/('Historical Data'!O3)</f>
        <v>0.0744119059</v>
      </c>
      <c r="F2" s="2">
        <f>(('Historical Data'!R4)-('Historical Data'!R3))/('Historical Data'!R3)</f>
        <v>0.006385140038</v>
      </c>
      <c r="J2" s="1" t="s">
        <v>15</v>
      </c>
      <c r="K2" s="2">
        <f>AVERAGE(A:A)</f>
        <v>0.0005658580495</v>
      </c>
      <c r="L2" s="2">
        <f>STDEV(A:A)</f>
        <v>0.01465790622</v>
      </c>
      <c r="O2" s="1" t="str">
        <f t="shared" ref="O2:O7" si="1">J2</f>
        <v>Cisco</v>
      </c>
      <c r="P2" s="4">
        <f>_xlfn.VAR.S(A2:A2000)</f>
        <v>0.0002148542149</v>
      </c>
      <c r="Q2" s="2">
        <f>_xlfn.COVARIANCE.S(A2:A2000,B2:B2000)</f>
        <v>0.00008369139441</v>
      </c>
      <c r="R2" s="2">
        <f>_xlfn.COVARIANCE.S(A2:A2000,C2:C2000)</f>
        <v>0.00005008062253</v>
      </c>
      <c r="S2" s="2">
        <f>_xlfn.COVARIANCE.S(A2:A2000,D2:D2000)</f>
        <v>0.000005758169813</v>
      </c>
      <c r="T2" s="2">
        <f>_xlfn.COVARIANCE.S(A2:A2000,E2:E2000)</f>
        <v>0.00006281887739</v>
      </c>
      <c r="U2" s="2">
        <f>_xlfn.COVARIANCE.S(A2:A2000,F2:F2000)</f>
        <v>0.00005296679811</v>
      </c>
    </row>
    <row r="3">
      <c r="A3" s="2">
        <f>(('Historical Data'!C5)-('Historical Data'!C4))/('Historical Data'!C4)</f>
        <v>0.009549795362</v>
      </c>
      <c r="B3" s="2">
        <f>(('Historical Data'!F5)-('Historical Data'!F4))/('Historical Data'!F4)</f>
        <v>0.04166666667</v>
      </c>
      <c r="C3" s="2">
        <f>(('Historical Data'!I5)-('Historical Data'!I4))/('Historical Data'!I4)</f>
        <v>-0.01943462898</v>
      </c>
      <c r="D3" s="2">
        <f>(('Historical Data'!L5)-('Historical Data'!L4))/('Historical Data'!L4)</f>
        <v>0.05538199375</v>
      </c>
      <c r="E3" s="2">
        <f>(('Historical Data'!O5)-('Historical Data'!O4))/('Historical Data'!O4)</f>
        <v>0.04602323503</v>
      </c>
      <c r="F3" s="2">
        <f>(('Historical Data'!R5)-('Historical Data'!R4))/('Historical Data'!R4)</f>
        <v>0.01052631579</v>
      </c>
      <c r="J3" s="1" t="s">
        <v>16</v>
      </c>
      <c r="K3" s="2">
        <f>AVERAGE(B:B)</f>
        <v>0.0059292059</v>
      </c>
      <c r="L3" s="2">
        <f>STDEV(B:B)</f>
        <v>0.1018309772</v>
      </c>
      <c r="O3" s="1" t="str">
        <f t="shared" si="1"/>
        <v>NVIDAI</v>
      </c>
      <c r="P3" s="2">
        <f>_xlfn.COVARIANCE.S(A2:A2000,B2:B2000)</f>
        <v>0.00008369139441</v>
      </c>
      <c r="Q3" s="4">
        <f>_xlfn.VAR.S(B2:B2000)</f>
        <v>0.01036954791</v>
      </c>
      <c r="R3" s="2">
        <f>_xlfn.COVARIANCE.S(B2:B2000,C2:C2000)</f>
        <v>-0.00001779851577</v>
      </c>
      <c r="S3" s="2">
        <f>_xlfn.COVARIANCE.S(B2:B2000,D2:D2000)</f>
        <v>0.000113318869</v>
      </c>
      <c r="T3" s="2">
        <f>_xlfn.COVARIANCE.S(B2:B2000,E2:E2000)</f>
        <v>0.00009489847382</v>
      </c>
      <c r="U3" s="2">
        <f>_xlfn.COVARIANCE.S(B2:B2000,F2:F2000)</f>
        <v>-0.00007100776498</v>
      </c>
    </row>
    <row r="4">
      <c r="A4" s="2">
        <f>(('Historical Data'!C6)-('Historical Data'!C5))/('Historical Data'!C5)</f>
        <v>0.01261261261</v>
      </c>
      <c r="B4" s="2">
        <f>(('Historical Data'!F6)-('Historical Data'!F5))/('Historical Data'!F5)</f>
        <v>0.01</v>
      </c>
      <c r="C4" s="2">
        <f>(('Historical Data'!I6)-('Historical Data'!I5))/('Historical Data'!I5)</f>
        <v>-0.06126126126</v>
      </c>
      <c r="D4" s="2">
        <f>(('Historical Data'!L6)-('Historical Data'!L5))/('Historical Data'!L5)</f>
        <v>-0.007265877287</v>
      </c>
      <c r="E4" s="2">
        <f>(('Historical Data'!O6)-('Historical Data'!O5))/('Historical Data'!O5)</f>
        <v>0.02135839385</v>
      </c>
      <c r="F4" s="2">
        <f>(('Historical Data'!R6)-('Historical Data'!R5))/('Historical Data'!R5)</f>
        <v>-0.009346461187</v>
      </c>
      <c r="J4" s="1" t="s">
        <v>17</v>
      </c>
      <c r="K4" s="2">
        <f>AVERAGE(C:C)</f>
        <v>0.005661559361</v>
      </c>
      <c r="L4" s="2">
        <f>STDEV(C:C)</f>
        <v>0.1074899532</v>
      </c>
      <c r="O4" s="1" t="str">
        <f t="shared" si="1"/>
        <v>RR</v>
      </c>
      <c r="P4" s="2">
        <f>_xlfn.COVARIANCE.S(A2:A2000,C2:C2000)</f>
        <v>0.00005008062253</v>
      </c>
      <c r="Q4" s="2">
        <f>_xlfn.COVARIANCE.S(C2:C2000,B2:B2000)</f>
        <v>-0.00001779851577</v>
      </c>
      <c r="R4" s="4">
        <f>_xlfn.VAR.S(C2:C2000)</f>
        <v>0.01155409003</v>
      </c>
      <c r="S4" s="2">
        <f>_xlfn.COVARIANCE.S(C2:C2000,D2:D2000)</f>
        <v>0.0000755462745</v>
      </c>
      <c r="T4" s="2">
        <f>_xlfn.COVARIANCE.S(C2:C2000,E2:E2000)</f>
        <v>0.0001452138029</v>
      </c>
      <c r="U4" s="2">
        <f>_xlfn.COVARIANCE.S(C2:C2000,F2:F2000)</f>
        <v>0.00001700032885</v>
      </c>
    </row>
    <row r="5">
      <c r="A5" s="2">
        <f>(('Historical Data'!C7)-('Historical Data'!C6))/('Historical Data'!C6)</f>
        <v>0.002224199288</v>
      </c>
      <c r="B5" s="2">
        <f>(('Historical Data'!F7)-('Historical Data'!F6))/('Historical Data'!F6)</f>
        <v>0.009900990099</v>
      </c>
      <c r="C5" s="2">
        <f>(('Historical Data'!I7)-('Historical Data'!I6))/('Historical Data'!I6)</f>
        <v>-0.113243762</v>
      </c>
      <c r="D5" s="2">
        <f>(('Historical Data'!L7)-('Historical Data'!L6))/('Historical Data'!L6)</f>
        <v>-0.001626457034</v>
      </c>
      <c r="E5" s="2">
        <f>(('Historical Data'!O7)-('Historical Data'!O6))/('Historical Data'!O6)</f>
        <v>0.02049351736</v>
      </c>
      <c r="F5" s="2">
        <f>(('Historical Data'!R7)-('Historical Data'!R6))/('Historical Data'!R6)</f>
        <v>-0.0004321209939</v>
      </c>
      <c r="J5" s="1" t="s">
        <v>18</v>
      </c>
      <c r="K5" s="2">
        <f>AVERAGE(D:D)</f>
        <v>0.0009933579245</v>
      </c>
      <c r="L5" s="2">
        <f>stdev(D:D)</f>
        <v>0.01692752417</v>
      </c>
      <c r="O5" s="1" t="str">
        <f t="shared" si="1"/>
        <v>Lloydes</v>
      </c>
      <c r="P5" s="2">
        <f>_xlfn.COVARIANCE.S(A2:A2000,D2:D2000)</f>
        <v>0.000005758169813</v>
      </c>
      <c r="Q5" s="2">
        <f>_xlfn.COVARIANCE.S(D2:D2000,B2:B2000)</f>
        <v>0.000113318869</v>
      </c>
      <c r="R5" s="2">
        <f>_xlfn.COVARIANCE.S(C2:C2000,D2:D2000)</f>
        <v>0.0000755462745</v>
      </c>
      <c r="S5" s="4">
        <f>_xlfn.VAR.S(D2:D2000)</f>
        <v>0.0002865410746</v>
      </c>
      <c r="T5" s="2">
        <f>_xlfn.COVARIANCE.S(D2:D2000,E2:E2000)</f>
        <v>0.00001739000728</v>
      </c>
      <c r="U5" s="2">
        <f>_xlfn.COVARIANCE.S(D2:D2000,F2:F2000)</f>
        <v>0.00000842125937</v>
      </c>
    </row>
    <row r="6">
      <c r="A6" s="2">
        <f>(('Historical Data'!C8)-('Historical Data'!C7))/('Historical Data'!C7)</f>
        <v>0.006657789614</v>
      </c>
      <c r="B6" s="2">
        <f>(('Historical Data'!F8)-('Historical Data'!F7))/('Historical Data'!F7)</f>
        <v>0.009803921569</v>
      </c>
      <c r="C6" s="2">
        <f>(('Historical Data'!I8)-('Historical Data'!I7))/('Historical Data'!I7)</f>
        <v>-0.01298701299</v>
      </c>
      <c r="D6" s="2">
        <f>(('Historical Data'!L8)-('Historical Data'!L7))/('Historical Data'!L7)</f>
        <v>-0.01792017377</v>
      </c>
      <c r="E6" s="2">
        <f>(('Historical Data'!O8)-('Historical Data'!O7))/('Historical Data'!O7)</f>
        <v>-0.0008196721311</v>
      </c>
      <c r="F6" s="2">
        <f>(('Historical Data'!R8)-('Historical Data'!R7))/('Historical Data'!R7)</f>
        <v>-0.006772822249</v>
      </c>
      <c r="J6" s="1" t="s">
        <v>4</v>
      </c>
      <c r="K6" s="2">
        <f>AVERAGE(E:E)</f>
        <v>0.0006675295705</v>
      </c>
      <c r="L6" s="2">
        <f>stdev(E:E)</f>
        <v>0.01860604714</v>
      </c>
      <c r="O6" s="1" t="str">
        <f t="shared" si="1"/>
        <v>BP</v>
      </c>
      <c r="P6" s="2">
        <f>_xlfn.COVARIANCE.S(A2:A2000,E2:E2000)</f>
        <v>0.00006281887739</v>
      </c>
      <c r="Q6" s="2">
        <f>_xlfn.COVARIANCE.S(B2:B2000,E2:E2000)</f>
        <v>0.00009489847382</v>
      </c>
      <c r="R6" s="2">
        <f>_xlfn.COVARIANCE.S(C2:C2000,E2:E2000)</f>
        <v>0.0001452138029</v>
      </c>
      <c r="S6" s="2">
        <f>_xlfn.COVARIANCE.S(D2:D2000,E2:E2000)</f>
        <v>0.00001739000728</v>
      </c>
      <c r="T6" s="4">
        <f>_xlfn.VAR.S(E2:E2000)</f>
        <v>0.0003461849901</v>
      </c>
      <c r="U6" s="2">
        <f>_xlfn.COVARIANCE.S(E2:E2000,F2:F2000)</f>
        <v>0.0000123502167</v>
      </c>
    </row>
    <row r="7">
      <c r="A7" s="2">
        <f>(('Historical Data'!C9)-('Historical Data'!C8))/('Historical Data'!C8)</f>
        <v>0.009479717813</v>
      </c>
      <c r="B7" s="2">
        <f>(('Historical Data'!F9)-('Historical Data'!F8))/('Historical Data'!F8)</f>
        <v>-0.009708737864</v>
      </c>
      <c r="C7" s="2">
        <f>(('Historical Data'!I9)-('Historical Data'!I8))/('Historical Data'!I8)</f>
        <v>0.02192982456</v>
      </c>
      <c r="D7" s="2">
        <f>(('Historical Data'!L9)-('Historical Data'!L8))/('Historical Data'!L8)</f>
        <v>0.01575891623</v>
      </c>
      <c r="E7" s="2">
        <f>(('Historical Data'!O9)-('Historical Data'!O8))/('Historical Data'!O8)</f>
        <v>0.02584085316</v>
      </c>
      <c r="F7" s="2">
        <f>(('Historical Data'!R9)-('Historical Data'!R8))/('Historical Data'!R8)</f>
        <v>-0.005803409503</v>
      </c>
      <c r="J7" s="1" t="s">
        <v>19</v>
      </c>
      <c r="K7" s="2">
        <f>AVERAGE(F:F)</f>
        <v>0.0002729946431</v>
      </c>
      <c r="L7" s="2">
        <f>STDEV(F:F)</f>
        <v>0.01072894685</v>
      </c>
      <c r="O7" s="1" t="str">
        <f t="shared" si="1"/>
        <v>PG</v>
      </c>
      <c r="P7" s="2">
        <f>_xlfn.COVARIANCE.S(A2:A2000,F2:F2000)</f>
        <v>0.00005296679811</v>
      </c>
      <c r="Q7" s="2">
        <f>_xlfn.COVARIANCE.S(B2:B2000,F2:F2000)</f>
        <v>-0.00007100776498</v>
      </c>
      <c r="R7" s="2">
        <f>_xlfn.COVARIANCE.S(C2:C2000,F2:F2000)</f>
        <v>0.00001700032885</v>
      </c>
      <c r="S7" s="2">
        <f>_xlfn.COVARIANCE.S(D2:D2000,F2:F2000)</f>
        <v>0.00000842125937</v>
      </c>
      <c r="T7" s="2">
        <f>_xlfn.COVARIANCE.S(E2:E2000,F2:F2000)</f>
        <v>0.0000123502167</v>
      </c>
      <c r="U7" s="4">
        <f>_xlfn.VAR.S(F2:F2000)</f>
        <v>0.0001151103006</v>
      </c>
    </row>
    <row r="8">
      <c r="A8" s="2">
        <f>(('Historical Data'!C10)-('Historical Data'!C9))/('Historical Data'!C9)</f>
        <v>-0.009390696659</v>
      </c>
      <c r="B8" s="2">
        <f>(('Historical Data'!F10)-('Historical Data'!F9))/('Historical Data'!F9)</f>
        <v>-0.02941176471</v>
      </c>
      <c r="C8" s="2">
        <f>(('Historical Data'!I10)-('Historical Data'!I9))/('Historical Data'!I9)</f>
        <v>-0.1008583691</v>
      </c>
      <c r="D8" s="2">
        <f>(('Historical Data'!L10)-('Historical Data'!L9))/('Historical Data'!L9)</f>
        <v>-0.01360914535</v>
      </c>
      <c r="E8" s="2">
        <f>(('Historical Data'!O10)-('Historical Data'!O9))/('Historical Data'!O9)</f>
        <v>-0.009196321471</v>
      </c>
      <c r="F8" s="2">
        <f>(('Historical Data'!R10)-('Historical Data'!R9))/('Historical Data'!R9)</f>
        <v>0.001532287486</v>
      </c>
    </row>
    <row r="9">
      <c r="A9" s="2">
        <f>(('Historical Data'!C11)-('Historical Data'!C10))/('Historical Data'!C10)</f>
        <v>-0.00462962963</v>
      </c>
      <c r="B9" s="2">
        <f>(('Historical Data'!F11)-('Historical Data'!F10))/('Historical Data'!F10)</f>
        <v>0</v>
      </c>
      <c r="C9" s="2">
        <f>(('Historical Data'!I11)-('Historical Data'!I10))/('Historical Data'!I10)</f>
        <v>0.01909307876</v>
      </c>
      <c r="D9" s="2">
        <f>(('Historical Data'!L11)-('Historical Data'!L10))/('Historical Data'!L10)</f>
        <v>0.006070640177</v>
      </c>
      <c r="E9" s="2">
        <f>(('Historical Data'!O11)-('Historical Data'!O10))/('Historical Data'!O10)</f>
        <v>0.02784503632</v>
      </c>
      <c r="F9" s="2">
        <f>(('Historical Data'!R11)-('Historical Data'!R10))/('Historical Data'!R10)</f>
        <v>-0.01063674778</v>
      </c>
    </row>
    <row r="10">
      <c r="A10" s="2">
        <f>(('Historical Data'!C12)-('Historical Data'!C11))/('Historical Data'!C11)</f>
        <v>0.006201550388</v>
      </c>
      <c r="B10" s="2">
        <f>(('Historical Data'!F12)-('Historical Data'!F11))/('Historical Data'!F11)</f>
        <v>0.0202020202</v>
      </c>
      <c r="C10" s="2">
        <f>(('Historical Data'!I12)-('Historical Data'!I11))/('Historical Data'!I11)</f>
        <v>0.04918032787</v>
      </c>
      <c r="D10" s="2">
        <f>(('Historical Data'!L12)-('Historical Data'!L11))/('Historical Data'!L11)</f>
        <v>-0.01426220516</v>
      </c>
      <c r="E10" s="2">
        <f>(('Historical Data'!O12)-('Historical Data'!O11))/('Historical Data'!O11)</f>
        <v>-0.04750687083</v>
      </c>
      <c r="F10" s="2">
        <f>(('Historical Data'!R12)-('Historical Data'!R11))/('Historical Data'!R11)</f>
        <v>-0.007511045655</v>
      </c>
      <c r="J10" s="1" t="s">
        <v>20</v>
      </c>
      <c r="K10" s="2">
        <f>_xlfn.COVARIANCE.S(K2:K7,L2:L7)</f>
        <v>0.0001236312901</v>
      </c>
    </row>
    <row r="11">
      <c r="A11" s="2">
        <f>(('Historical Data'!C13)-('Historical Data'!C12))/('Historical Data'!C12)</f>
        <v>-0.00528285274</v>
      </c>
      <c r="B11" s="2">
        <f>(('Historical Data'!F13)-('Historical Data'!F12))/('Historical Data'!F12)</f>
        <v>0</v>
      </c>
      <c r="C11" s="2">
        <f>(('Historical Data'!I13)-('Historical Data'!I12))/('Historical Data'!I12)</f>
        <v>0.1227678571</v>
      </c>
      <c r="D11" s="2">
        <f>(('Historical Data'!L13)-('Historical Data'!L12))/('Historical Data'!L12)</f>
        <v>0.006399554814</v>
      </c>
      <c r="E11" s="2">
        <f>(('Historical Data'!O13)-('Historical Data'!O12))/('Historical Data'!O12)</f>
        <v>0.01607584501</v>
      </c>
      <c r="F11" s="2">
        <f>(('Historical Data'!R13)-('Historical Data'!R12))/('Historical Data'!R12)</f>
        <v>-0.008755008161</v>
      </c>
    </row>
    <row r="12">
      <c r="A12" s="2">
        <f>(('Historical Data'!C14)-('Historical Data'!C13))/('Historical Data'!C13)</f>
        <v>0.003319318433</v>
      </c>
      <c r="B12" s="2">
        <f>(('Historical Data'!F14)-('Historical Data'!F13))/('Historical Data'!F13)</f>
        <v>0.1287128713</v>
      </c>
      <c r="C12" s="2">
        <f>(('Historical Data'!I14)-('Historical Data'!I13))/('Historical Data'!I13)</f>
        <v>-0.01192842942</v>
      </c>
      <c r="D12" s="2">
        <f>(('Historical Data'!L14)-('Historical Data'!L13))/('Historical Data'!L13)</f>
        <v>-0.004700027647</v>
      </c>
      <c r="E12" s="2">
        <f>(('Historical Data'!O14)-('Historical Data'!O13))/('Historical Data'!O13)</f>
        <v>0.006490872211</v>
      </c>
      <c r="F12" s="2">
        <f>(('Historical Data'!R14)-('Historical Data'!R13))/('Historical Data'!R13)</f>
        <v>-0.0125</v>
      </c>
    </row>
    <row r="13">
      <c r="A13" s="2">
        <f>(('Historical Data'!C15)-('Historical Data'!C14))/('Historical Data'!C14)</f>
        <v>-0.005072783414</v>
      </c>
      <c r="B13" s="2">
        <f>(('Historical Data'!F15)-('Historical Data'!F14))/('Historical Data'!F14)</f>
        <v>0.008771929825</v>
      </c>
      <c r="C13" s="2">
        <f>(('Historical Data'!I15)-('Historical Data'!I14))/('Historical Data'!I14)</f>
        <v>0.02414486922</v>
      </c>
      <c r="D13" s="2">
        <f>(('Historical Data'!L15)-('Historical Data'!L14))/('Historical Data'!L14)</f>
        <v>-0.006111111111</v>
      </c>
      <c r="E13" s="2">
        <f>(('Historical Data'!O15)-('Historical Data'!O14))/('Historical Data'!O14)</f>
        <v>-0.03184199919</v>
      </c>
      <c r="F13" s="2">
        <f>(('Historical Data'!R15)-('Historical Data'!R14))/('Historical Data'!R14)</f>
        <v>-0.006973394982</v>
      </c>
    </row>
    <row r="14">
      <c r="A14" s="2">
        <f>(('Historical Data'!C16)-('Historical Data'!C15))/('Historical Data'!C15)</f>
        <v>-0.007537131456</v>
      </c>
      <c r="B14" s="2">
        <f>(('Historical Data'!F16)-('Historical Data'!F15))/('Historical Data'!F15)</f>
        <v>-0.1304347826</v>
      </c>
      <c r="C14" s="2">
        <f>(('Historical Data'!I16)-('Historical Data'!I15))/('Historical Data'!I15)</f>
        <v>0.003929273084</v>
      </c>
      <c r="D14" s="2">
        <f>(('Historical Data'!L16)-('Historical Data'!L15))/('Historical Data'!L15)</f>
        <v>-0.01285634433</v>
      </c>
      <c r="E14" s="2">
        <f>(('Historical Data'!O16)-('Historical Data'!O15))/('Historical Data'!O15)</f>
        <v>-0.006244796003</v>
      </c>
      <c r="F14" s="2">
        <f>(('Historical Data'!R16)-('Historical Data'!R15))/('Historical Data'!R15)</f>
        <v>-0.007709335165</v>
      </c>
    </row>
    <row r="15">
      <c r="A15" s="2">
        <f>(('Historical Data'!C17)-('Historical Data'!C16))/('Historical Data'!C16)</f>
        <v>0.005807460353</v>
      </c>
      <c r="B15" s="2">
        <f>(('Historical Data'!F17)-('Historical Data'!F16))/('Historical Data'!F16)</f>
        <v>-0.03</v>
      </c>
      <c r="C15" s="2">
        <f>(('Historical Data'!I17)-('Historical Data'!I16))/('Historical Data'!I16)</f>
        <v>-0.01956947162</v>
      </c>
      <c r="D15" s="2">
        <f>(('Historical Data'!L17)-('Historical Data'!L16))/('Historical Data'!L16)</f>
        <v>-0.01557191393</v>
      </c>
      <c r="E15" s="2">
        <f>(('Historical Data'!O17)-('Historical Data'!O16))/('Historical Data'!O16)</f>
        <v>-0.03351487222</v>
      </c>
      <c r="F15" s="2">
        <f>(('Historical Data'!R17)-('Historical Data'!R16))/('Historical Data'!R16)</f>
        <v>0.01723076923</v>
      </c>
    </row>
    <row r="16">
      <c r="A16" s="2">
        <f>(('Historical Data'!C18)-('Historical Data'!C17))/('Historical Data'!C17)</f>
        <v>0.005107705974</v>
      </c>
      <c r="B16" s="2">
        <f>(('Historical Data'!F18)-('Historical Data'!F17))/('Historical Data'!F17)</f>
        <v>-0.03092783505</v>
      </c>
      <c r="C16" s="2">
        <f>(('Historical Data'!I18)-('Historical Data'!I17))/('Historical Data'!I17)</f>
        <v>-0.005988023952</v>
      </c>
      <c r="D16" s="2">
        <f>(('Historical Data'!L18)-('Historical Data'!L17))/('Historical Data'!L17)</f>
        <v>-0.02674719586</v>
      </c>
      <c r="E16" s="2">
        <f>(('Historical Data'!O18)-('Historical Data'!O17))/('Historical Data'!O17)</f>
        <v>-0.001733853489</v>
      </c>
      <c r="F16" s="2">
        <f>(('Historical Data'!R18)-('Historical Data'!R17))/('Historical Data'!R17)</f>
        <v>0.006427707199</v>
      </c>
    </row>
    <row r="17">
      <c r="A17" s="2">
        <f>(('Historical Data'!C19)-('Historical Data'!C18))/('Historical Data'!C18)</f>
        <v>0.009721608484</v>
      </c>
      <c r="B17" s="2">
        <f>(('Historical Data'!F19)-('Historical Data'!F18))/('Historical Data'!F18)</f>
        <v>0.1382978723</v>
      </c>
      <c r="C17" s="2">
        <f>(('Historical Data'!I19)-('Historical Data'!I18))/('Historical Data'!I18)</f>
        <v>-0.04016064257</v>
      </c>
      <c r="D17" s="2">
        <f>(('Historical Data'!L19)-('Historical Data'!L18))/('Historical Data'!L18)</f>
        <v>0.01684397163</v>
      </c>
      <c r="E17" s="2">
        <f>(('Historical Data'!O19)-('Historical Data'!O18))/('Historical Data'!O18)</f>
        <v>-0.01302648719</v>
      </c>
      <c r="F17" s="2">
        <f>(('Historical Data'!R19)-('Historical Data'!R18))/('Historical Data'!R18)</f>
        <v>-0.03538958599</v>
      </c>
    </row>
    <row r="18">
      <c r="A18" s="2">
        <f>(('Historical Data'!C20)-('Historical Data'!C19))/('Historical Data'!C19)</f>
        <v>-0.007877461707</v>
      </c>
      <c r="B18" s="2">
        <f>(('Historical Data'!F20)-('Historical Data'!F19))/('Historical Data'!F19)</f>
        <v>0.09345794393</v>
      </c>
      <c r="C18" s="2">
        <f>(('Historical Data'!I20)-('Historical Data'!I19))/('Historical Data'!I19)</f>
        <v>0.004184100418</v>
      </c>
      <c r="D18" s="2">
        <f>(('Historical Data'!L20)-('Historical Data'!L19))/('Historical Data'!L19)</f>
        <v>-0.03371113049</v>
      </c>
      <c r="E18" s="2">
        <f>(('Historical Data'!O20)-('Historical Data'!O19))/('Historical Data'!O19)</f>
        <v>0.005719313682</v>
      </c>
      <c r="F18" s="2">
        <f>(('Historical Data'!R20)-('Historical Data'!R19))/('Historical Data'!R19)</f>
        <v>0.01542296308</v>
      </c>
    </row>
    <row r="19">
      <c r="A19" s="2">
        <f>(('Historical Data'!C21)-('Historical Data'!C20))/('Historical Data'!C20)</f>
        <v>-0.01676224085</v>
      </c>
      <c r="B19" s="2">
        <f>(('Historical Data'!F21)-('Historical Data'!F20))/('Historical Data'!F20)</f>
        <v>0</v>
      </c>
      <c r="C19" s="2">
        <f>(('Historical Data'!I21)-('Historical Data'!I20))/('Historical Data'!I20)</f>
        <v>-0.01458333333</v>
      </c>
      <c r="D19" s="2">
        <f>(('Historical Data'!L21)-('Historical Data'!L20))/('Historical Data'!L20)</f>
        <v>0.006616541353</v>
      </c>
      <c r="E19" s="2">
        <f>(('Historical Data'!O21)-('Historical Data'!O20))/('Historical Data'!O20)</f>
        <v>-0.02799650044</v>
      </c>
      <c r="F19" s="2">
        <f>(('Historical Data'!R21)-('Historical Data'!R20))/('Historical Data'!R20)</f>
        <v>-0.0164927892</v>
      </c>
    </row>
    <row r="20">
      <c r="A20" s="2">
        <f>(('Historical Data'!C22)-('Historical Data'!C21))/('Historical Data'!C21)</f>
        <v>0.01839389861</v>
      </c>
      <c r="B20" s="2">
        <f>(('Historical Data'!F22)-('Historical Data'!F21))/('Historical Data'!F21)</f>
        <v>0.008547008547</v>
      </c>
      <c r="C20" s="2">
        <f>(('Historical Data'!I22)-('Historical Data'!I21))/('Historical Data'!I21)</f>
        <v>-0.00422832981</v>
      </c>
      <c r="D20" s="2">
        <f>(('Historical Data'!L22)-('Historical Data'!L21))/('Historical Data'!L21)</f>
        <v>-0.01404242605</v>
      </c>
      <c r="E20" s="2">
        <f>(('Historical Data'!O22)-('Historical Data'!O21))/('Historical Data'!O21)</f>
        <v>-0.0004500450045</v>
      </c>
      <c r="F20" s="2">
        <f>(('Historical Data'!R22)-('Historical Data'!R21))/('Historical Data'!R21)</f>
        <v>0.005927774745</v>
      </c>
    </row>
    <row r="21">
      <c r="A21" s="2">
        <f>(('Historical Data'!C23)-('Historical Data'!C22))/('Historical Data'!C22)</f>
        <v>0.009471365639</v>
      </c>
      <c r="B21" s="2">
        <f>(('Historical Data'!F23)-('Historical Data'!F22))/('Historical Data'!F22)</f>
        <v>0</v>
      </c>
      <c r="C21" s="2">
        <f>(('Historical Data'!I23)-('Historical Data'!I22))/('Historical Data'!I22)</f>
        <v>0.01910828025</v>
      </c>
      <c r="D21" s="2">
        <f>(('Historical Data'!L23)-('Historical Data'!L22))/('Historical Data'!L22)</f>
        <v>0.01606060606</v>
      </c>
      <c r="E21" s="2">
        <f>(('Historical Data'!O23)-('Historical Data'!O22))/('Historical Data'!O22)</f>
        <v>-0.06573615489</v>
      </c>
      <c r="F21" s="2">
        <f>(('Historical Data'!R23)-('Historical Data'!R22))/('Historical Data'!R22)</f>
        <v>-0.001395673412</v>
      </c>
    </row>
    <row r="22">
      <c r="A22" s="2">
        <f>(('Historical Data'!C24)-('Historical Data'!C23))/('Historical Data'!C23)</f>
        <v>-0.001309186123</v>
      </c>
      <c r="B22" s="2">
        <f>(('Historical Data'!F24)-('Historical Data'!F23))/('Historical Data'!F23)</f>
        <v>0.05084745763</v>
      </c>
      <c r="C22" s="2">
        <f>(('Historical Data'!I24)-('Historical Data'!I23))/('Historical Data'!I23)</f>
        <v>0.05625</v>
      </c>
      <c r="D22" s="2">
        <f>(('Historical Data'!L24)-('Historical Data'!L23))/('Historical Data'!L23)</f>
        <v>0.01371905756</v>
      </c>
      <c r="E22" s="2">
        <f>(('Historical Data'!O24)-('Historical Data'!O23))/('Historical Data'!O23)</f>
        <v>0.02506024096</v>
      </c>
      <c r="F22" s="2">
        <f>(('Historical Data'!R24)-('Historical Data'!R23))/('Historical Data'!R23)</f>
        <v>0.001242332479</v>
      </c>
    </row>
    <row r="23">
      <c r="A23" s="2">
        <f>(('Historical Data'!C25)-('Historical Data'!C24))/('Historical Data'!C24)</f>
        <v>0.032335591</v>
      </c>
      <c r="B23" s="2">
        <f>(('Historical Data'!F25)-('Historical Data'!F24))/('Historical Data'!F24)</f>
        <v>-0.02419354839</v>
      </c>
      <c r="C23" s="2">
        <f>(('Historical Data'!I25)-('Historical Data'!I24))/('Historical Data'!I24)</f>
        <v>-0.0157790927</v>
      </c>
      <c r="D23" s="2">
        <f>(('Historical Data'!L25)-('Historical Data'!L24))/('Historical Data'!L24)</f>
        <v>0.005589879376</v>
      </c>
      <c r="E23" s="2">
        <f>(('Historical Data'!O25)-('Historical Data'!O24))/('Historical Data'!O24)</f>
        <v>-0.01316408087</v>
      </c>
      <c r="F23" s="2">
        <f>(('Historical Data'!R25)-('Historical Data'!R24))/('Historical Data'!R24)</f>
        <v>0.0006203955021</v>
      </c>
    </row>
    <row r="24">
      <c r="A24" s="2">
        <f>(('Historical Data'!C26)-('Historical Data'!C25))/('Historical Data'!C25)</f>
        <v>0.01756613757</v>
      </c>
      <c r="B24" s="2">
        <f>(('Historical Data'!F26)-('Historical Data'!F25))/('Historical Data'!F25)</f>
        <v>0.01652892562</v>
      </c>
      <c r="C24" s="2">
        <f>(('Historical Data'!I26)-('Historical Data'!I25))/('Historical Data'!I25)</f>
        <v>0.1022044088</v>
      </c>
      <c r="D24" s="2">
        <f>(('Historical Data'!L26)-('Historical Data'!L25))/('Historical Data'!L25)</f>
        <v>0.05646576946</v>
      </c>
      <c r="E24" s="2">
        <f>(('Historical Data'!O26)-('Historical Data'!O25))/('Historical Data'!O25)</f>
        <v>-0.008575512149</v>
      </c>
      <c r="F24" s="2">
        <f>(('Historical Data'!R26)-('Historical Data'!R25))/('Historical Data'!R25)</f>
        <v>0.004185073239</v>
      </c>
    </row>
    <row r="25">
      <c r="A25" s="2">
        <f>(('Historical Data'!C27)-('Historical Data'!C26))/('Historical Data'!C26)</f>
        <v>0.01788685524</v>
      </c>
      <c r="B25" s="2">
        <f>(('Historical Data'!F27)-('Historical Data'!F26))/('Historical Data'!F26)</f>
        <v>-0.0243902439</v>
      </c>
      <c r="C25" s="2">
        <f>(('Historical Data'!I27)-('Historical Data'!I26))/('Historical Data'!I26)</f>
        <v>0.02</v>
      </c>
      <c r="D25" s="2">
        <f>(('Historical Data'!L27)-('Historical Data'!L26))/('Historical Data'!L26)</f>
        <v>0.02464691221</v>
      </c>
      <c r="E25" s="2">
        <f>(('Historical Data'!O27)-('Historical Data'!O26))/('Historical Data'!O26)</f>
        <v>0.05862566074</v>
      </c>
      <c r="F25" s="2">
        <f>(('Historical Data'!R27)-('Historical Data'!R26))/('Historical Data'!R26)</f>
        <v>-0.003087134368</v>
      </c>
    </row>
    <row r="26">
      <c r="A26" s="2">
        <f>(('Historical Data'!C28)-('Historical Data'!C27))/('Historical Data'!C27)</f>
        <v>-0.008990600736</v>
      </c>
      <c r="B26" s="2">
        <f>(('Historical Data'!F28)-('Historical Data'!F27))/('Historical Data'!F27)</f>
        <v>0.05</v>
      </c>
      <c r="C26" s="2">
        <f>(('Historical Data'!I28)-('Historical Data'!I27))/('Historical Data'!I27)</f>
        <v>-0.03743315508</v>
      </c>
      <c r="D26" s="2">
        <f>(('Historical Data'!L28)-('Historical Data'!L27))/('Historical Data'!L27)</f>
        <v>0.01891891892</v>
      </c>
      <c r="E26" s="2">
        <f>(('Historical Data'!O28)-('Historical Data'!O27))/('Historical Data'!O27)</f>
        <v>-0.01361779392</v>
      </c>
      <c r="F26" s="2">
        <f>(('Historical Data'!R28)-('Historical Data'!R27))/('Historical Data'!R27)</f>
        <v>-0.003870867849</v>
      </c>
    </row>
    <row r="27">
      <c r="A27" s="2">
        <f>(('Historical Data'!C29)-('Historical Data'!C28))/('Historical Data'!C28)</f>
        <v>-0.02597938144</v>
      </c>
      <c r="B27" s="2">
        <f>(('Historical Data'!F29)-('Historical Data'!F28))/('Historical Data'!F28)</f>
        <v>-0.03174603175</v>
      </c>
      <c r="C27" s="2">
        <f>(('Historical Data'!I29)-('Historical Data'!I28))/('Historical Data'!I28)</f>
        <v>0.07777777778</v>
      </c>
      <c r="D27" s="2">
        <f>(('Historical Data'!L29)-('Historical Data'!L28))/('Historical Data'!L28)</f>
        <v>-0.003978779841</v>
      </c>
      <c r="E27" s="2">
        <f>(('Historical Data'!O29)-('Historical Data'!O28))/('Historical Data'!O28)</f>
        <v>-0.006902899218</v>
      </c>
      <c r="F27" s="2">
        <f>(('Historical Data'!R29)-('Historical Data'!R28))/('Historical Data'!R28)</f>
        <v>-0.003497318722</v>
      </c>
    </row>
    <row r="28">
      <c r="A28" s="2">
        <f>(('Historical Data'!C30)-('Historical Data'!C29))/('Historical Data'!C29)</f>
        <v>0.007197290432</v>
      </c>
      <c r="B28" s="2">
        <f>(('Historical Data'!F30)-('Historical Data'!F29))/('Historical Data'!F29)</f>
        <v>-0.09016393443</v>
      </c>
      <c r="C28" s="2">
        <f>(('Historical Data'!I30)-('Historical Data'!I29))/('Historical Data'!I29)</f>
        <v>0.01890034364</v>
      </c>
      <c r="D28" s="2">
        <f>(('Historical Data'!L30)-('Historical Data'!L29))/('Historical Data'!L29)</f>
        <v>-0.001331557923</v>
      </c>
      <c r="E28" s="2">
        <f>(('Historical Data'!O30)-('Historical Data'!O29))/('Historical Data'!O29)</f>
        <v>-0.009731232623</v>
      </c>
      <c r="F28" s="2">
        <f>(('Historical Data'!R30)-('Historical Data'!R29))/('Historical Data'!R29)</f>
        <v>0.0008579004835</v>
      </c>
    </row>
    <row r="29">
      <c r="A29" s="2">
        <f>(('Historical Data'!C31)-('Historical Data'!C30))/('Historical Data'!C30)</f>
        <v>-0.006094997898</v>
      </c>
      <c r="B29" s="2">
        <f>(('Historical Data'!F31)-('Historical Data'!F30))/('Historical Data'!F30)</f>
        <v>0.04504504505</v>
      </c>
      <c r="C29" s="2">
        <f>(('Historical Data'!I31)-('Historical Data'!I30))/('Historical Data'!I30)</f>
        <v>0.003372681282</v>
      </c>
      <c r="D29" s="2">
        <f>(('Historical Data'!L31)-('Historical Data'!L30))/('Historical Data'!L30)</f>
        <v>-0.01146666667</v>
      </c>
      <c r="E29" s="2">
        <f>(('Historical Data'!O31)-('Historical Data'!O30))/('Historical Data'!O30)</f>
        <v>0.02526906879</v>
      </c>
      <c r="F29" s="2">
        <f>(('Historical Data'!R31)-('Historical Data'!R30))/('Historical Data'!R30)</f>
        <v>-0.005532611237</v>
      </c>
    </row>
    <row r="30">
      <c r="A30" s="2">
        <f>(('Historical Data'!C32)-('Historical Data'!C31))/('Historical Data'!C31)</f>
        <v>-0.01649397336</v>
      </c>
      <c r="B30" s="2">
        <f>(('Historical Data'!F32)-('Historical Data'!F31))/('Historical Data'!F31)</f>
        <v>0.03448275862</v>
      </c>
      <c r="C30" s="2">
        <f>(('Historical Data'!I32)-('Historical Data'!I31))/('Historical Data'!I31)</f>
        <v>0.01680672269</v>
      </c>
      <c r="D30" s="2">
        <f>(('Historical Data'!L32)-('Historical Data'!L31))/('Historical Data'!L31)</f>
        <v>0.000809279741</v>
      </c>
      <c r="E30" s="2">
        <f>(('Historical Data'!O32)-('Historical Data'!O31))/('Historical Data'!O31)</f>
        <v>0.05796439982</v>
      </c>
      <c r="F30" s="2">
        <f>(('Historical Data'!R32)-('Historical Data'!R31))/('Historical Data'!R31)</f>
        <v>0.002350728726</v>
      </c>
    </row>
    <row r="31">
      <c r="A31" s="2">
        <f>(('Historical Data'!C33)-('Historical Data'!C32))/('Historical Data'!C32)</f>
        <v>-0.005590195657</v>
      </c>
      <c r="B31" s="2">
        <f>(('Historical Data'!F33)-('Historical Data'!F32))/('Historical Data'!F32)</f>
        <v>0</v>
      </c>
      <c r="C31" s="2">
        <f>(('Historical Data'!I33)-('Historical Data'!I32))/('Historical Data'!I32)</f>
        <v>-0.006611570248</v>
      </c>
      <c r="D31" s="2">
        <f>(('Historical Data'!L33)-('Historical Data'!L32))/('Historical Data'!L32)</f>
        <v>0.05363881402</v>
      </c>
      <c r="E31" s="2">
        <f>(('Historical Data'!O33)-('Historical Data'!O32))/('Historical Data'!O32)</f>
        <v>0.01725625539</v>
      </c>
      <c r="F31" s="2">
        <f>(('Historical Data'!R33)-('Historical Data'!R32))/('Historical Data'!R32)</f>
        <v>0.004221388368</v>
      </c>
    </row>
    <row r="32">
      <c r="A32" s="2">
        <f>(('Historical Data'!C34)-('Historical Data'!C33))/('Historical Data'!C33)</f>
        <v>0.001945945946</v>
      </c>
      <c r="B32" s="2">
        <f>(('Historical Data'!F34)-('Historical Data'!F33))/('Historical Data'!F33)</f>
        <v>0.01666666667</v>
      </c>
      <c r="C32" s="2">
        <f>(('Historical Data'!I34)-('Historical Data'!I33))/('Historical Data'!I33)</f>
        <v>-0.01331114809</v>
      </c>
      <c r="D32" s="2">
        <f>(('Historical Data'!L34)-('Historical Data'!L33))/('Historical Data'!L33)</f>
        <v>0.009976976209</v>
      </c>
      <c r="E32" s="2">
        <f>(('Historical Data'!O34)-('Historical Data'!O33))/('Historical Data'!O33)</f>
        <v>-0.04749787956</v>
      </c>
      <c r="F32" s="2">
        <f>(('Historical Data'!R34)-('Historical Data'!R33))/('Historical Data'!R33)</f>
        <v>0.008329441071</v>
      </c>
    </row>
    <row r="33">
      <c r="A33" s="2">
        <f>(('Historical Data'!C35)-('Historical Data'!C34))/('Historical Data'!C34)</f>
        <v>-0.01424255503</v>
      </c>
      <c r="B33" s="2">
        <f>(('Historical Data'!F35)-('Historical Data'!F34))/('Historical Data'!F34)</f>
        <v>-0.01639344262</v>
      </c>
      <c r="C33" s="2">
        <f>(('Historical Data'!I35)-('Historical Data'!I34))/('Historical Data'!I34)</f>
        <v>0.09274873524</v>
      </c>
      <c r="D33" s="2">
        <f>(('Historical Data'!L35)-('Historical Data'!L34))/('Historical Data'!L34)</f>
        <v>-0.01418439716</v>
      </c>
      <c r="E33" s="2">
        <f>(('Historical Data'!O35)-('Historical Data'!O34))/('Historical Data'!O34)</f>
        <v>0.01825467498</v>
      </c>
      <c r="F33" s="2">
        <f>(('Historical Data'!R35)-('Historical Data'!R34))/('Historical Data'!R34)</f>
        <v>-0.0186057284</v>
      </c>
    </row>
    <row r="34">
      <c r="A34" s="2">
        <f>(('Historical Data'!C36)-('Historical Data'!C35))/('Historical Data'!C35)</f>
        <v>-0.005472854641</v>
      </c>
      <c r="B34" s="2">
        <f>(('Historical Data'!F36)-('Historical Data'!F35))/('Historical Data'!F35)</f>
        <v>0</v>
      </c>
      <c r="C34" s="2">
        <f>(('Historical Data'!I36)-('Historical Data'!I35))/('Historical Data'!I35)</f>
        <v>-0.03858024691</v>
      </c>
      <c r="D34" s="2">
        <f>(('Historical Data'!L36)-('Historical Data'!L35))/('Historical Data'!L35)</f>
        <v>-0.03674203494</v>
      </c>
      <c r="E34" s="2">
        <f>(('Historical Data'!O36)-('Historical Data'!O35))/('Historical Data'!O35)</f>
        <v>0.03323130739</v>
      </c>
      <c r="F34" s="2">
        <f>(('Historical Data'!R36)-('Historical Data'!R35))/('Historical Data'!R35)</f>
        <v>-0.004247954688</v>
      </c>
    </row>
    <row r="35">
      <c r="A35" s="2">
        <f>(('Historical Data'!C37)-('Historical Data'!C36))/('Historical Data'!C36)</f>
        <v>0.001760950913</v>
      </c>
      <c r="B35" s="2">
        <f>(('Historical Data'!F37)-('Historical Data'!F36))/('Historical Data'!F36)</f>
        <v>0.01666666667</v>
      </c>
      <c r="C35" s="2">
        <f>(('Historical Data'!I37)-('Historical Data'!I36))/('Historical Data'!I36)</f>
        <v>0.06902086677</v>
      </c>
      <c r="D35" s="2">
        <f>(('Historical Data'!L37)-('Historical Data'!L36))/('Historical Data'!L36)</f>
        <v>0.01867164577</v>
      </c>
      <c r="E35" s="2">
        <f>(('Historical Data'!O37)-('Historical Data'!O36))/('Historical Data'!O36)</f>
        <v>0.02539145154</v>
      </c>
      <c r="F35" s="2">
        <f>(('Historical Data'!R37)-('Historical Data'!R36))/('Historical Data'!R36)</f>
        <v>0.00742613367</v>
      </c>
    </row>
    <row r="36">
      <c r="A36" s="2">
        <f>(('Historical Data'!C38)-('Historical Data'!C37))/('Historical Data'!C37)</f>
        <v>0.005053834322</v>
      </c>
      <c r="B36" s="2">
        <f>(('Historical Data'!F38)-('Historical Data'!F37))/('Historical Data'!F37)</f>
        <v>0.03278688525</v>
      </c>
      <c r="C36" s="2">
        <f>(('Historical Data'!I38)-('Historical Data'!I37))/('Historical Data'!I37)</f>
        <v>0.1696696697</v>
      </c>
      <c r="D36" s="2">
        <f>(('Historical Data'!L38)-('Historical Data'!L37))/('Historical Data'!L37)</f>
        <v>0.006022518984</v>
      </c>
      <c r="E36" s="2">
        <f>(('Historical Data'!O38)-('Historical Data'!O37))/('Historical Data'!O37)</f>
        <v>0.04416013207</v>
      </c>
      <c r="F36" s="2">
        <f>(('Historical Data'!R38)-('Historical Data'!R37))/('Historical Data'!R37)</f>
        <v>0.001097867001</v>
      </c>
    </row>
    <row r="37">
      <c r="A37" s="2">
        <f>(('Historical Data'!C39)-('Historical Data'!C38))/('Historical Data'!C38)</f>
        <v>-0.004809794491</v>
      </c>
      <c r="B37" s="2">
        <f>(('Historical Data'!F39)-('Historical Data'!F38))/('Historical Data'!F38)</f>
        <v>0.03968253968</v>
      </c>
      <c r="C37" s="2">
        <f>(('Historical Data'!I39)-('Historical Data'!I38))/('Historical Data'!I38)</f>
        <v>0.01412066752</v>
      </c>
      <c r="D37" s="2">
        <f>(('Historical Data'!L39)-('Historical Data'!L38))/('Historical Data'!L38)</f>
        <v>0.02082248829</v>
      </c>
      <c r="E37" s="2">
        <f>(('Historical Data'!O39)-('Historical Data'!O38))/('Historical Data'!O38)</f>
        <v>0.01146245059</v>
      </c>
      <c r="F37" s="2">
        <f>(('Historical Data'!R39)-('Historical Data'!R38))/('Historical Data'!R38)</f>
        <v>-0.0084599718</v>
      </c>
    </row>
    <row r="38">
      <c r="A38" s="2">
        <f>(('Historical Data'!C40)-('Historical Data'!C39))/('Historical Data'!C39)</f>
        <v>-0.01427943761</v>
      </c>
      <c r="B38" s="2">
        <f>(('Historical Data'!F40)-('Historical Data'!F39))/('Historical Data'!F39)</f>
        <v>0.02290076336</v>
      </c>
      <c r="C38" s="2">
        <f>(('Historical Data'!I40)-('Historical Data'!I39))/('Historical Data'!I39)</f>
        <v>0.01265822785</v>
      </c>
      <c r="D38" s="2">
        <f>(('Historical Data'!L40)-('Historical Data'!L39))/('Historical Data'!L39)</f>
        <v>0.003059663437</v>
      </c>
      <c r="E38" s="2">
        <f>(('Historical Data'!O40)-('Historical Data'!O39))/('Historical Data'!O39)</f>
        <v>-0.04611176241</v>
      </c>
      <c r="F38" s="2">
        <f>(('Historical Data'!R40)-('Historical Data'!R39))/('Historical Data'!R39)</f>
        <v>-0.02409543372</v>
      </c>
    </row>
    <row r="39">
      <c r="A39" s="2">
        <f>(('Historical Data'!C41)-('Historical Data'!C40))/('Historical Data'!C40)</f>
        <v>0.02340093604</v>
      </c>
      <c r="B39" s="2">
        <f>(('Historical Data'!F41)-('Historical Data'!F40))/('Historical Data'!F40)</f>
        <v>-0.007462686567</v>
      </c>
      <c r="C39" s="2">
        <f>(('Historical Data'!I41)-('Historical Data'!I40))/('Historical Data'!I40)</f>
        <v>-0.06625</v>
      </c>
      <c r="D39" s="2">
        <f>(('Historical Data'!L41)-('Historical Data'!L40))/('Historical Data'!L40)</f>
        <v>-0.003304524657</v>
      </c>
      <c r="E39" s="2">
        <f>(('Historical Data'!O41)-('Historical Data'!O40))/('Historical Data'!O40)</f>
        <v>0.006964358869</v>
      </c>
      <c r="F39" s="2">
        <f>(('Historical Data'!R41)-('Historical Data'!R40))/('Historical Data'!R40)</f>
        <v>0.006152351655</v>
      </c>
    </row>
    <row r="40">
      <c r="A40" s="2">
        <f>(('Historical Data'!C42)-('Historical Data'!C41))/('Historical Data'!C41)</f>
        <v>-0.008710801394</v>
      </c>
      <c r="B40" s="2">
        <f>(('Historical Data'!F42)-('Historical Data'!F41))/('Historical Data'!F41)</f>
        <v>-0.08270676692</v>
      </c>
      <c r="C40" s="2">
        <f>(('Historical Data'!I42)-('Historical Data'!I41))/('Historical Data'!I41)</f>
        <v>0.03480589023</v>
      </c>
      <c r="D40" s="2">
        <f>(('Historical Data'!L42)-('Historical Data'!L41))/('Historical Data'!L41)</f>
        <v>-0.005355776588</v>
      </c>
      <c r="E40" s="2">
        <f>(('Historical Data'!O42)-('Historical Data'!O41))/('Historical Data'!O41)</f>
        <v>0.007729861676</v>
      </c>
      <c r="F40" s="2">
        <f>(('Historical Data'!R42)-('Historical Data'!R41))/('Historical Data'!R41)</f>
        <v>-0.003137822834</v>
      </c>
    </row>
    <row r="41">
      <c r="A41" s="2">
        <f>(('Historical Data'!C43)-('Historical Data'!C42))/('Historical Data'!C42)</f>
        <v>-0.008567662566</v>
      </c>
      <c r="B41" s="2">
        <f>(('Historical Data'!F43)-('Historical Data'!F42))/('Historical Data'!F42)</f>
        <v>-0.03278688525</v>
      </c>
      <c r="C41" s="2">
        <f>(('Historical Data'!I43)-('Historical Data'!I42))/('Historical Data'!I42)</f>
        <v>0.03234152652</v>
      </c>
      <c r="D41" s="2">
        <f>(('Historical Data'!L43)-('Historical Data'!L42))/('Historical Data'!L42)</f>
        <v>0.0002564102564</v>
      </c>
      <c r="E41" s="2">
        <f>(('Historical Data'!O43)-('Historical Data'!O42))/('Historical Data'!O42)</f>
        <v>0.0327008478</v>
      </c>
      <c r="F41" s="2">
        <f>(('Historical Data'!R43)-('Historical Data'!R42))/('Historical Data'!R42)</f>
        <v>-0.005972558515</v>
      </c>
    </row>
    <row r="42">
      <c r="A42" s="2">
        <f>(('Historical Data'!C44)-('Historical Data'!C43))/('Historical Data'!C43)</f>
        <v>-0.01263017948</v>
      </c>
      <c r="B42" s="2">
        <f>(('Historical Data'!F44)-('Historical Data'!F43))/('Historical Data'!F43)</f>
        <v>-0.008474576271</v>
      </c>
      <c r="C42" s="2">
        <f>(('Historical Data'!I44)-('Historical Data'!I43))/('Historical Data'!I43)</f>
        <v>-0.01253132832</v>
      </c>
      <c r="D42" s="2">
        <f>(('Historical Data'!L44)-('Historical Data'!L43))/('Historical Data'!L43)</f>
        <v>-0.003332478852</v>
      </c>
      <c r="E42" s="2">
        <f>(('Historical Data'!O44)-('Historical Data'!O43))/('Historical Data'!O43)</f>
        <v>0.01759186865</v>
      </c>
      <c r="F42" s="2">
        <f>(('Historical Data'!R44)-('Historical Data'!R43))/('Historical Data'!R43)</f>
        <v>-0.008200714518</v>
      </c>
    </row>
    <row r="43">
      <c r="A43" s="2">
        <f>(('Historical Data'!C45)-('Historical Data'!C44))/('Historical Data'!C44)</f>
        <v>0.03792639138</v>
      </c>
      <c r="B43" s="2">
        <f>(('Historical Data'!F45)-('Historical Data'!F44))/('Historical Data'!F44)</f>
        <v>-0.1452991453</v>
      </c>
      <c r="C43" s="2">
        <f>(('Historical Data'!I45)-('Historical Data'!I44))/('Historical Data'!I44)</f>
        <v>0.2436548223</v>
      </c>
      <c r="D43" s="2">
        <f>(('Historical Data'!L45)-('Historical Data'!L44))/('Historical Data'!L44)</f>
        <v>0.0396090535</v>
      </c>
      <c r="E43" s="2">
        <f>(('Historical Data'!O45)-('Historical Data'!O44))/('Historical Data'!O44)</f>
        <v>0.02842873607</v>
      </c>
      <c r="F43" s="2">
        <f>(('Historical Data'!R45)-('Historical Data'!R44))/('Historical Data'!R44)</f>
        <v>0.03135489153</v>
      </c>
    </row>
    <row r="44">
      <c r="A44" s="2">
        <f>(('Historical Data'!C46)-('Historical Data'!C45))/('Historical Data'!C45)</f>
        <v>0.02724324324</v>
      </c>
      <c r="B44" s="2">
        <f>(('Historical Data'!F46)-('Historical Data'!F45))/('Historical Data'!F45)</f>
        <v>0.05</v>
      </c>
      <c r="C44" s="2">
        <f>(('Historical Data'!I46)-('Historical Data'!I45))/('Historical Data'!I45)</f>
        <v>0.1326530612</v>
      </c>
      <c r="D44" s="2">
        <f>(('Historical Data'!L46)-('Historical Data'!L45))/('Historical Data'!L45)</f>
        <v>-0.001731815933</v>
      </c>
      <c r="E44" s="2">
        <f>(('Historical Data'!O46)-('Historical Data'!O45))/('Historical Data'!O45)</f>
        <v>-0.008591707135</v>
      </c>
      <c r="F44" s="2">
        <f>(('Historical Data'!R46)-('Historical Data'!R45))/('Historical Data'!R45)</f>
        <v>0.01055723131</v>
      </c>
    </row>
    <row r="45">
      <c r="A45" s="2">
        <f>(('Historical Data'!C47)-('Historical Data'!C46))/('Historical Data'!C46)</f>
        <v>0.007998316144</v>
      </c>
      <c r="B45" s="2">
        <f>(('Historical Data'!F47)-('Historical Data'!F46))/('Historical Data'!F46)</f>
        <v>0.01904761905</v>
      </c>
      <c r="C45" s="2">
        <f>(('Historical Data'!I47)-('Historical Data'!I46))/('Historical Data'!I46)</f>
        <v>-0.3243243243</v>
      </c>
      <c r="D45" s="2">
        <f>(('Historical Data'!L47)-('Historical Data'!L46))/('Historical Data'!L46)</f>
        <v>-0.006691449814</v>
      </c>
      <c r="E45" s="2">
        <f>(('Historical Data'!O47)-('Historical Data'!O46))/('Historical Data'!O46)</f>
        <v>-0.01620195931</v>
      </c>
      <c r="F45" s="2">
        <f>(('Historical Data'!R47)-('Historical Data'!R46))/('Historical Data'!R46)</f>
        <v>-0.008875972037</v>
      </c>
    </row>
    <row r="46">
      <c r="A46" s="2">
        <f>(('Historical Data'!C48)-('Historical Data'!C47))/('Historical Data'!C47)</f>
        <v>0.008352474421</v>
      </c>
      <c r="B46" s="2">
        <f>(('Historical Data'!F48)-('Historical Data'!F47))/('Historical Data'!F47)</f>
        <v>0.009345794393</v>
      </c>
      <c r="C46" s="2">
        <f>(('Historical Data'!I48)-('Historical Data'!I47))/('Historical Data'!I47)</f>
        <v>0.32</v>
      </c>
      <c r="D46" s="2">
        <f>(('Historical Data'!L48)-('Historical Data'!L47))/('Historical Data'!L47)</f>
        <v>0.04241516966</v>
      </c>
      <c r="E46" s="2">
        <f>(('Historical Data'!O48)-('Historical Data'!O47))/('Historical Data'!O47)</f>
        <v>0.02068173114</v>
      </c>
      <c r="F46" s="2">
        <f>(('Historical Data'!R48)-('Historical Data'!R47))/('Historical Data'!R47)</f>
        <v>0.009193216041</v>
      </c>
    </row>
    <row r="47">
      <c r="A47" s="2">
        <f>(('Historical Data'!C49)-('Historical Data'!C48))/('Historical Data'!C48)</f>
        <v>0.01056119279</v>
      </c>
      <c r="B47" s="2">
        <f>(('Historical Data'!F49)-('Historical Data'!F48))/('Historical Data'!F48)</f>
        <v>0</v>
      </c>
      <c r="C47" s="2">
        <f>(('Historical Data'!I49)-('Historical Data'!I48))/('Historical Data'!I48)</f>
        <v>-0.6494949495</v>
      </c>
      <c r="D47" s="2">
        <f>(('Historical Data'!L49)-('Historical Data'!L48))/('Historical Data'!L48)</f>
        <v>-0.01531833413</v>
      </c>
      <c r="E47" s="2">
        <f>(('Historical Data'!O49)-('Historical Data'!O48))/('Historical Data'!O48)</f>
        <v>0</v>
      </c>
      <c r="F47" s="2">
        <f>(('Historical Data'!R49)-('Historical Data'!R48))/('Historical Data'!R48)</f>
        <v>-0.003376786556</v>
      </c>
    </row>
    <row r="48">
      <c r="A48" s="2">
        <f>(('Historical Data'!C50)-('Historical Data'!C49))/('Historical Data'!C49)</f>
        <v>0.0004098360656</v>
      </c>
      <c r="B48" s="2">
        <f>(('Historical Data'!F50)-('Historical Data'!F49))/('Historical Data'!F49)</f>
        <v>0</v>
      </c>
      <c r="C48" s="2">
        <f>(('Historical Data'!I50)-('Historical Data'!I49))/('Historical Data'!I49)</f>
        <v>-0.1930835735</v>
      </c>
      <c r="D48" s="2">
        <f>(('Historical Data'!L50)-('Historical Data'!L49))/('Historical Data'!L49)</f>
        <v>-0.008750607681</v>
      </c>
      <c r="E48" s="2">
        <f>(('Historical Data'!O50)-('Historical Data'!O49))/('Historical Data'!O49)</f>
        <v>0.01163227017</v>
      </c>
      <c r="F48" s="2">
        <f>(('Historical Data'!R50)-('Historical Data'!R49))/('Historical Data'!R49)</f>
        <v>0.009691907651</v>
      </c>
    </row>
    <row r="49">
      <c r="A49" s="2">
        <f>(('Historical Data'!C51)-('Historical Data'!C50))/('Historical Data'!C50)</f>
        <v>0.01208521098</v>
      </c>
      <c r="B49" s="2">
        <f>(('Historical Data'!F51)-('Historical Data'!F50))/('Historical Data'!F50)</f>
        <v>0.1203703704</v>
      </c>
      <c r="C49" s="2">
        <f>(('Historical Data'!I51)-('Historical Data'!I50))/('Historical Data'!I50)</f>
        <v>-0.2</v>
      </c>
      <c r="D49" s="2">
        <f>(('Historical Data'!L51)-('Historical Data'!L50))/('Historical Data'!L50)</f>
        <v>-0.006866110839</v>
      </c>
      <c r="E49" s="2">
        <f>(('Historical Data'!O51)-('Historical Data'!O50))/('Historical Data'!O50)</f>
        <v>-0.01743323442</v>
      </c>
      <c r="F49" s="2">
        <f>(('Historical Data'!R51)-('Historical Data'!R50))/('Historical Data'!R50)</f>
        <v>0.003277665054</v>
      </c>
    </row>
    <row r="50">
      <c r="A50" s="2">
        <f>(('Historical Data'!C52)-('Historical Data'!C51))/('Historical Data'!C51)</f>
        <v>0.005262092694</v>
      </c>
      <c r="B50" s="2">
        <f>(('Historical Data'!F52)-('Historical Data'!F51))/('Historical Data'!F51)</f>
        <v>0.0826446281</v>
      </c>
      <c r="C50" s="2">
        <f>(('Historical Data'!I52)-('Historical Data'!I51))/('Historical Data'!I51)</f>
        <v>0.008928571429</v>
      </c>
      <c r="D50" s="2">
        <f>(('Historical Data'!L52)-('Historical Data'!L51))/('Historical Data'!L51)</f>
        <v>0.0175308642</v>
      </c>
      <c r="E50" s="2">
        <f>(('Historical Data'!O52)-('Historical Data'!O51))/('Historical Data'!O51)</f>
        <v>-0.01547753869</v>
      </c>
      <c r="F50" s="2">
        <f>(('Historical Data'!R52)-('Historical Data'!R51))/('Historical Data'!R51)</f>
        <v>0.002955818295</v>
      </c>
    </row>
    <row r="51">
      <c r="A51" s="2">
        <f>(('Historical Data'!C53)-('Historical Data'!C52))/('Historical Data'!C52)</f>
        <v>-0.005033219247</v>
      </c>
      <c r="B51" s="2">
        <f>(('Historical Data'!F53)-('Historical Data'!F52))/('Historical Data'!F52)</f>
        <v>0.06870229008</v>
      </c>
      <c r="C51" s="2">
        <f>(('Historical Data'!I53)-('Historical Data'!I52))/('Historical Data'!I52)</f>
        <v>-0.09292035398</v>
      </c>
      <c r="D51" s="2">
        <f>(('Historical Data'!L53)-('Historical Data'!L52))/('Historical Data'!L52)</f>
        <v>-0.002669255035</v>
      </c>
      <c r="E51" s="2">
        <f>(('Historical Data'!O53)-('Historical Data'!O52))/('Historical Data'!O52)</f>
        <v>0.01495398773</v>
      </c>
      <c r="F51" s="2">
        <f>(('Historical Data'!R53)-('Historical Data'!R52))/('Historical Data'!R52)</f>
        <v>-0.004032883512</v>
      </c>
    </row>
    <row r="52">
      <c r="A52" s="2">
        <f>(('Historical Data'!C54)-('Historical Data'!C53))/('Historical Data'!C53)</f>
        <v>-0.01254552813</v>
      </c>
      <c r="B52" s="2">
        <f>(('Historical Data'!F54)-('Historical Data'!F53))/('Historical Data'!F53)</f>
        <v>0.02142857143</v>
      </c>
      <c r="C52" s="2">
        <f>(('Historical Data'!I54)-('Historical Data'!I53))/('Historical Data'!I53)</f>
        <v>-0.03414634146</v>
      </c>
      <c r="D52" s="2">
        <f>(('Historical Data'!L54)-('Historical Data'!L53))/('Historical Data'!L53)</f>
        <v>0.009245742092</v>
      </c>
      <c r="E52" s="2">
        <f>(('Historical Data'!O54)-('Historical Data'!O53))/('Historical Data'!O53)</f>
        <v>-0.04004533434</v>
      </c>
      <c r="F52" s="2">
        <f>(('Historical Data'!R54)-('Historical Data'!R53))/('Historical Data'!R53)</f>
        <v>0.002180345741</v>
      </c>
    </row>
    <row r="53">
      <c r="A53" s="2">
        <f>(('Historical Data'!C55)-('Historical Data'!C54))/('Historical Data'!C54)</f>
        <v>0.00368852459</v>
      </c>
      <c r="B53" s="2">
        <f>(('Historical Data'!F55)-('Historical Data'!F54))/('Historical Data'!F54)</f>
        <v>-0.06293706294</v>
      </c>
      <c r="C53" s="2">
        <f>(('Historical Data'!I55)-('Historical Data'!I54))/('Historical Data'!I54)</f>
        <v>-0.08080808081</v>
      </c>
      <c r="D53" s="2">
        <f>(('Historical Data'!L55)-('Historical Data'!L54))/('Historical Data'!L54)</f>
        <v>-0.0004821600771</v>
      </c>
      <c r="E53" s="2">
        <f>(('Historical Data'!O55)-('Historical Data'!O54))/('Historical Data'!O54)</f>
        <v>0.001180637544</v>
      </c>
      <c r="F53" s="2">
        <f>(('Historical Data'!R55)-('Historical Data'!R54))/('Historical Data'!R54)</f>
        <v>-0.005361305361</v>
      </c>
    </row>
    <row r="54">
      <c r="A54" s="2">
        <f>(('Historical Data'!C56)-('Historical Data'!C55))/('Historical Data'!C55)</f>
        <v>0.02694977542</v>
      </c>
      <c r="B54" s="2">
        <f>(('Historical Data'!F56)-('Historical Data'!F55))/('Historical Data'!F55)</f>
        <v>-0.01492537313</v>
      </c>
      <c r="C54" s="2">
        <f>(('Historical Data'!I56)-('Historical Data'!I55))/('Historical Data'!I55)</f>
        <v>0.1483516484</v>
      </c>
      <c r="D54" s="2">
        <f>(('Historical Data'!L56)-('Historical Data'!L55))/('Historical Data'!L55)</f>
        <v>0.003617945007</v>
      </c>
      <c r="E54" s="2">
        <f>(('Historical Data'!O56)-('Historical Data'!O55))/('Historical Data'!O55)</f>
        <v>-0.003537735849</v>
      </c>
      <c r="F54" s="2">
        <f>(('Historical Data'!R56)-('Historical Data'!R55))/('Historical Data'!R55)</f>
        <v>0.01695180064</v>
      </c>
    </row>
    <row r="55">
      <c r="A55" s="2">
        <f>(('Historical Data'!C57)-('Historical Data'!C56))/('Historical Data'!C56)</f>
        <v>-0.005765407555</v>
      </c>
      <c r="B55" s="2">
        <f>(('Historical Data'!F57)-('Historical Data'!F56))/('Historical Data'!F56)</f>
        <v>0.0303030303</v>
      </c>
      <c r="C55" s="2">
        <f>(('Historical Data'!I57)-('Historical Data'!I56))/('Historical Data'!I56)</f>
        <v>-0.1148325359</v>
      </c>
      <c r="D55" s="2">
        <f>(('Historical Data'!L57)-('Historical Data'!L56))/('Historical Data'!L56)</f>
        <v>-0.01393895698</v>
      </c>
      <c r="E55" s="2">
        <f>(('Historical Data'!O57)-('Historical Data'!O56))/('Historical Data'!O56)</f>
        <v>-0.05088757396</v>
      </c>
      <c r="F55" s="2">
        <f>(('Historical Data'!R57)-('Historical Data'!R56))/('Historical Data'!R56)</f>
        <v>0.01858964511</v>
      </c>
    </row>
    <row r="56">
      <c r="A56" s="2">
        <f>(('Historical Data'!C58)-('Historical Data'!C57))/('Historical Data'!C57)</f>
        <v>-0.007198560288</v>
      </c>
      <c r="B56" s="2">
        <f>(('Historical Data'!F58)-('Historical Data'!F57))/('Historical Data'!F57)</f>
        <v>0.05882352941</v>
      </c>
      <c r="C56" s="2">
        <f>(('Historical Data'!I58)-('Historical Data'!I57))/('Historical Data'!I57)</f>
        <v>0.01621621622</v>
      </c>
      <c r="D56" s="2">
        <f>(('Historical Data'!L58)-('Historical Data'!L57))/('Historical Data'!L57)</f>
        <v>-0.0007311723129</v>
      </c>
      <c r="E56" s="2">
        <f>(('Historical Data'!O58)-('Historical Data'!O57))/('Historical Data'!O57)</f>
        <v>0.02867830424</v>
      </c>
      <c r="F56" s="2">
        <f>(('Historical Data'!R58)-('Historical Data'!R57))/('Historical Data'!R57)</f>
        <v>-0.0003016591252</v>
      </c>
    </row>
    <row r="57">
      <c r="A57" s="2">
        <f>(('Historical Data'!C59)-('Historical Data'!C58))/('Historical Data'!C58)</f>
        <v>0.01732124874</v>
      </c>
      <c r="B57" s="2">
        <f>(('Historical Data'!F59)-('Historical Data'!F58))/('Historical Data'!F58)</f>
        <v>0</v>
      </c>
      <c r="C57" s="2">
        <f>(('Historical Data'!I59)-('Historical Data'!I58))/('Historical Data'!I58)</f>
        <v>-0.01063829787</v>
      </c>
      <c r="D57" s="2">
        <f>(('Historical Data'!L59)-('Historical Data'!L58))/('Historical Data'!L58)</f>
        <v>0.008292682927</v>
      </c>
      <c r="E57" s="2">
        <f>(('Historical Data'!O59)-('Historical Data'!O58))/('Historical Data'!O58)</f>
        <v>-0.007272727273</v>
      </c>
      <c r="F57" s="2">
        <f>(('Historical Data'!R59)-('Historical Data'!R58))/('Historical Data'!R58)</f>
        <v>0.00694025347</v>
      </c>
    </row>
    <row r="58">
      <c r="A58" s="2">
        <f>(('Historical Data'!C60)-('Historical Data'!C59))/('Historical Data'!C59)</f>
        <v>0.04078400317</v>
      </c>
      <c r="B58" s="2">
        <f>(('Historical Data'!F60)-('Historical Data'!F59))/('Historical Data'!F59)</f>
        <v>0</v>
      </c>
      <c r="C58" s="2">
        <f>(('Historical Data'!I60)-('Historical Data'!I59))/('Historical Data'!I59)</f>
        <v>0.08064516129</v>
      </c>
      <c r="D58" s="2">
        <f>(('Historical Data'!L60)-('Historical Data'!L59))/('Historical Data'!L59)</f>
        <v>0.02177068215</v>
      </c>
      <c r="E58" s="2">
        <f>(('Historical Data'!O60)-('Historical Data'!O59))/('Historical Data'!O59)</f>
        <v>0.02686202686</v>
      </c>
      <c r="F58" s="2">
        <f>(('Historical Data'!R60)-('Historical Data'!R59))/('Historical Data'!R59)</f>
        <v>0.01475876536</v>
      </c>
    </row>
    <row r="59">
      <c r="A59" s="2">
        <f>(('Historical Data'!C61)-('Historical Data'!C60))/('Historical Data'!C60)</f>
        <v>-0.000951112802</v>
      </c>
      <c r="B59" s="2">
        <f>(('Historical Data'!F61)-('Historical Data'!F60))/('Historical Data'!F60)</f>
        <v>0</v>
      </c>
      <c r="C59" s="2">
        <f>(('Historical Data'!I61)-('Historical Data'!I60))/('Historical Data'!I60)</f>
        <v>-0.06467661692</v>
      </c>
      <c r="D59" s="2">
        <f>(('Historical Data'!L61)-('Historical Data'!L60))/('Historical Data'!L60)</f>
        <v>-0.01112689394</v>
      </c>
      <c r="E59" s="2">
        <f>(('Historical Data'!O61)-('Historical Data'!O60))/('Historical Data'!O60)</f>
        <v>-0.001981767737</v>
      </c>
      <c r="F59" s="2">
        <f>(('Historical Data'!R61)-('Historical Data'!R60))/('Historical Data'!R60)</f>
        <v>0.01565153193</v>
      </c>
    </row>
    <row r="60">
      <c r="A60" s="2">
        <f>(('Historical Data'!C62)-('Historical Data'!C61))/('Historical Data'!C61)</f>
        <v>-0.01428027418</v>
      </c>
      <c r="B60" s="2">
        <f>(('Historical Data'!F62)-('Historical Data'!F61))/('Historical Data'!F61)</f>
        <v>0.03472222222</v>
      </c>
      <c r="C60" s="2">
        <f>(('Historical Data'!I62)-('Historical Data'!I61))/('Historical Data'!I61)</f>
        <v>0.02127659574</v>
      </c>
      <c r="D60" s="2">
        <f>(('Historical Data'!L62)-('Historical Data'!L61))/('Historical Data'!L61)</f>
        <v>0.01173090735</v>
      </c>
      <c r="E60" s="2">
        <f>(('Historical Data'!O62)-('Historical Data'!O61))/('Historical Data'!O61)</f>
        <v>-0.01191421763</v>
      </c>
      <c r="F60" s="2">
        <f>(('Historical Data'!R62)-('Historical Data'!R61))/('Historical Data'!R61)</f>
        <v>-0.01541033656</v>
      </c>
    </row>
    <row r="61">
      <c r="A61" s="2">
        <f>(('Historical Data'!C63)-('Historical Data'!C62))/('Historical Data'!C62)</f>
        <v>-0.001158972378</v>
      </c>
      <c r="B61" s="2">
        <f>(('Historical Data'!F63)-('Historical Data'!F62))/('Historical Data'!F62)</f>
        <v>-0.01342281879</v>
      </c>
      <c r="C61" s="2">
        <f>(('Historical Data'!I63)-('Historical Data'!I62))/('Historical Data'!I62)</f>
        <v>-0.046875</v>
      </c>
      <c r="D61" s="2">
        <f>(('Historical Data'!L63)-('Historical Data'!L62))/('Historical Data'!L62)</f>
        <v>-0.004732607667</v>
      </c>
      <c r="E61" s="2">
        <f>(('Historical Data'!O63)-('Historical Data'!O62))/('Historical Data'!O62)</f>
        <v>-0.0213022508</v>
      </c>
      <c r="F61" s="2">
        <f>(('Historical Data'!R63)-('Historical Data'!R62))/('Historical Data'!R62)</f>
        <v>-0.0001476559616</v>
      </c>
    </row>
    <row r="62">
      <c r="A62" s="2">
        <f>(('Historical Data'!C64)-('Historical Data'!C63))/('Historical Data'!C63)</f>
        <v>0.00522142719</v>
      </c>
      <c r="B62" s="2">
        <f>(('Historical Data'!F64)-('Historical Data'!F63))/('Historical Data'!F63)</f>
        <v>0.02040816327</v>
      </c>
      <c r="C62" s="2">
        <f>(('Historical Data'!I64)-('Historical Data'!I63))/('Historical Data'!I63)</f>
        <v>0.01092896175</v>
      </c>
      <c r="D62" s="2">
        <f>(('Historical Data'!L64)-('Historical Data'!L63))/('Historical Data'!L63)</f>
        <v>0.02472658107</v>
      </c>
      <c r="E62" s="2">
        <f>(('Historical Data'!O64)-('Historical Data'!O63))/('Historical Data'!O63)</f>
        <v>0.009445585216</v>
      </c>
      <c r="F62" s="2">
        <f>(('Historical Data'!R64)-('Historical Data'!R63))/('Historical Data'!R63)</f>
        <v>-0.008491471609</v>
      </c>
    </row>
    <row r="63">
      <c r="A63" s="2">
        <f>(('Historical Data'!C65)-('Historical Data'!C64))/('Historical Data'!C64)</f>
        <v>0.008272412466</v>
      </c>
      <c r="B63" s="2">
        <f>(('Historical Data'!F65)-('Historical Data'!F64))/('Historical Data'!F64)</f>
        <v>0.04</v>
      </c>
      <c r="C63" s="2">
        <f>(('Historical Data'!I65)-('Historical Data'!I64))/('Historical Data'!I64)</f>
        <v>-0.06486486486</v>
      </c>
      <c r="D63" s="2">
        <f>(('Historical Data'!L65)-('Historical Data'!L64))/('Historical Data'!L64)</f>
        <v>-0.01299303944</v>
      </c>
      <c r="E63" s="2">
        <f>(('Historical Data'!O65)-('Historical Data'!O64))/('Historical Data'!O64)</f>
        <v>-0.0130187144</v>
      </c>
      <c r="F63" s="2">
        <f>(('Historical Data'!R65)-('Historical Data'!R64))/('Historical Data'!R64)</f>
        <v>0.01616026214</v>
      </c>
    </row>
    <row r="64">
      <c r="A64" s="2">
        <f>(('Historical Data'!C66)-('Historical Data'!C65))/('Historical Data'!C65)</f>
        <v>-0.007250524709</v>
      </c>
      <c r="B64" s="2">
        <f>(('Historical Data'!F66)-('Historical Data'!F65))/('Historical Data'!F65)</f>
        <v>0.1346153846</v>
      </c>
      <c r="C64" s="2">
        <f>(('Historical Data'!I66)-('Historical Data'!I65))/('Historical Data'!I65)</f>
        <v>-0.08670520231</v>
      </c>
      <c r="D64" s="2">
        <f>(('Historical Data'!L66)-('Historical Data'!L65))/('Historical Data'!L65)</f>
        <v>0.00540667607</v>
      </c>
      <c r="E64" s="2">
        <f>(('Historical Data'!O66)-('Historical Data'!O65))/('Historical Data'!O65)</f>
        <v>0.03462489695</v>
      </c>
      <c r="F64" s="2">
        <f>(('Historical Data'!R66)-('Historical Data'!R65))/('Historical Data'!R65)</f>
        <v>0.0003664345914</v>
      </c>
    </row>
    <row r="65">
      <c r="A65" s="2">
        <f>(('Historical Data'!C67)-('Historical Data'!C66))/('Historical Data'!C66)</f>
        <v>-0.004997117048</v>
      </c>
      <c r="B65" s="2">
        <f>(('Historical Data'!F67)-('Historical Data'!F66))/('Historical Data'!F66)</f>
        <v>0.2203389831</v>
      </c>
      <c r="C65" s="2">
        <f>(('Historical Data'!I67)-('Historical Data'!I66))/('Historical Data'!I66)</f>
        <v>-0.05696202532</v>
      </c>
      <c r="D65" s="2">
        <f>(('Historical Data'!L67)-('Historical Data'!L66))/('Historical Data'!L66)</f>
        <v>0.001402852467</v>
      </c>
      <c r="E65" s="2">
        <f>(('Historical Data'!O67)-('Historical Data'!O66))/('Historical Data'!O66)</f>
        <v>0.01075697211</v>
      </c>
      <c r="F65" s="2">
        <f>(('Historical Data'!R67)-('Historical Data'!R66))/('Historical Data'!R66)</f>
        <v>0.001758241758</v>
      </c>
    </row>
    <row r="66">
      <c r="A66" s="2">
        <f>(('Historical Data'!C68)-('Historical Data'!C67))/('Historical Data'!C67)</f>
        <v>0.002704268882</v>
      </c>
      <c r="B66" s="2">
        <f>(('Historical Data'!F68)-('Historical Data'!F67))/('Historical Data'!F67)</f>
        <v>-0.009259259259</v>
      </c>
      <c r="C66" s="2">
        <f>(('Historical Data'!I68)-('Historical Data'!I67))/('Historical Data'!I67)</f>
        <v>-0.07382550336</v>
      </c>
      <c r="D66" s="2">
        <f>(('Historical Data'!L68)-('Historical Data'!L67))/('Historical Data'!L67)</f>
        <v>0.01214102265</v>
      </c>
      <c r="E66" s="2">
        <f>(('Historical Data'!O68)-('Historical Data'!O67))/('Historical Data'!O67)</f>
        <v>-0.02562081198</v>
      </c>
      <c r="F66" s="2">
        <f>(('Historical Data'!R68)-('Historical Data'!R67))/('Historical Data'!R67)</f>
        <v>0.003802837502</v>
      </c>
    </row>
    <row r="67">
      <c r="A67" s="2">
        <f>(('Historical Data'!C69)-('Historical Data'!C68))/('Historical Data'!C68)</f>
        <v>0.003467539973</v>
      </c>
      <c r="B67" s="2">
        <f>(('Historical Data'!F69)-('Historical Data'!F68))/('Historical Data'!F68)</f>
        <v>0.02336448598</v>
      </c>
      <c r="C67" s="2">
        <f>(('Historical Data'!I69)-('Historical Data'!I68))/('Historical Data'!I68)</f>
        <v>0.1594202899</v>
      </c>
      <c r="D67" s="2">
        <f>(('Historical Data'!L69)-('Historical Data'!L68))/('Historical Data'!L68)</f>
        <v>0.001614763552</v>
      </c>
      <c r="E67" s="2">
        <f>(('Historical Data'!O69)-('Historical Data'!O68))/('Historical Data'!O68)</f>
        <v>-0.01334951456</v>
      </c>
      <c r="F67" s="2">
        <f>(('Historical Data'!R69)-('Historical Data'!R68))/('Historical Data'!R68)</f>
        <v>-0.006484044878</v>
      </c>
    </row>
    <row r="68">
      <c r="A68" s="2">
        <f>(('Historical Data'!C70)-('Historical Data'!C69))/('Historical Data'!C69)</f>
        <v>-0.009982722212</v>
      </c>
      <c r="B68" s="2">
        <f>(('Historical Data'!F70)-('Historical Data'!F69))/('Historical Data'!F69)</f>
        <v>-0.1598173516</v>
      </c>
      <c r="C68" s="2">
        <f>(('Historical Data'!I70)-('Historical Data'!I69))/('Historical Data'!I69)</f>
        <v>0.11875</v>
      </c>
      <c r="D68" s="2">
        <f>(('Historical Data'!L70)-('Historical Data'!L69))/('Historical Data'!L69)</f>
        <v>-0.003684937817</v>
      </c>
      <c r="E68" s="2">
        <f>(('Historical Data'!O70)-('Historical Data'!O69))/('Historical Data'!O69)</f>
        <v>0.009430094301</v>
      </c>
      <c r="F68" s="2">
        <f>(('Historical Data'!R70)-('Historical Data'!R69))/('Historical Data'!R69)</f>
        <v>0.00403314512</v>
      </c>
    </row>
    <row r="69">
      <c r="A69" s="2">
        <f>(('Historical Data'!C71)-('Historical Data'!C70))/('Historical Data'!C70)</f>
        <v>0.001745200698</v>
      </c>
      <c r="B69" s="2">
        <f>(('Historical Data'!F71)-('Historical Data'!F70))/('Historical Data'!F70)</f>
        <v>0.04891304348</v>
      </c>
      <c r="C69" s="2">
        <f>(('Historical Data'!I71)-('Historical Data'!I70))/('Historical Data'!I70)</f>
        <v>-0.06703910615</v>
      </c>
      <c r="D69" s="2">
        <f>(('Historical Data'!L71)-('Historical Data'!L70))/('Historical Data'!L70)</f>
        <v>0.02612112806</v>
      </c>
      <c r="E69" s="2">
        <f>(('Historical Data'!O71)-('Historical Data'!O70))/('Historical Data'!O70)</f>
        <v>0</v>
      </c>
      <c r="F69" s="2">
        <f>(('Historical Data'!R71)-('Historical Data'!R70))/('Historical Data'!R70)</f>
        <v>-0.01321939819</v>
      </c>
    </row>
    <row r="70">
      <c r="A70" s="2">
        <f>(('Historical Data'!C72)-('Historical Data'!C71))/('Historical Data'!C71)</f>
        <v>-0.005613627565</v>
      </c>
      <c r="B70" s="2">
        <f>(('Historical Data'!F72)-('Historical Data'!F71))/('Historical Data'!F71)</f>
        <v>0.02590673575</v>
      </c>
      <c r="C70" s="2">
        <f>(('Historical Data'!I72)-('Historical Data'!I71))/('Historical Data'!I71)</f>
        <v>0</v>
      </c>
      <c r="D70" s="2">
        <f>(('Historical Data'!L72)-('Historical Data'!L71))/('Historical Data'!L71)</f>
        <v>-0.01441766164</v>
      </c>
      <c r="E70" s="2">
        <f>(('Historical Data'!O72)-('Historical Data'!O71))/('Historical Data'!O71)</f>
        <v>0.0373679935</v>
      </c>
      <c r="F70" s="2">
        <f>(('Historical Data'!R72)-('Historical Data'!R71))/('Historical Data'!R71)</f>
        <v>0.003626674561</v>
      </c>
    </row>
    <row r="71">
      <c r="A71" s="2">
        <f>(('Historical Data'!C73)-('Historical Data'!C72))/('Historical Data'!C72)</f>
        <v>0.005255985984</v>
      </c>
      <c r="B71" s="2">
        <f>(('Historical Data'!F73)-('Historical Data'!F72))/('Historical Data'!F72)</f>
        <v>-0.0404040404</v>
      </c>
      <c r="C71" s="2">
        <f>(('Historical Data'!I73)-('Historical Data'!I72))/('Historical Data'!I72)</f>
        <v>-0.04790419162</v>
      </c>
      <c r="D71" s="2">
        <f>(('Historical Data'!L73)-('Historical Data'!L72))/('Historical Data'!L72)</f>
        <v>0.001828571429</v>
      </c>
      <c r="E71" s="2">
        <f>(('Historical Data'!O73)-('Historical Data'!O72))/('Historical Data'!O72)</f>
        <v>-0.01331245106</v>
      </c>
      <c r="F71" s="2">
        <f>(('Historical Data'!R73)-('Historical Data'!R72))/('Historical Data'!R72)</f>
        <v>0.01209439528</v>
      </c>
    </row>
    <row r="72">
      <c r="A72" s="2">
        <f>(('Historical Data'!C74)-('Historical Data'!C73))/('Historical Data'!C73)</f>
        <v>0.02246320682</v>
      </c>
      <c r="B72" s="2">
        <f>(('Historical Data'!F74)-('Historical Data'!F73))/('Historical Data'!F73)</f>
        <v>-0.1210526316</v>
      </c>
      <c r="C72" s="2">
        <f>(('Historical Data'!I74)-('Historical Data'!I73))/('Historical Data'!I73)</f>
        <v>-0.05031446541</v>
      </c>
      <c r="D72" s="2">
        <f>(('Historical Data'!L74)-('Historical Data'!L73))/('Historical Data'!L73)</f>
        <v>-0.02327173169</v>
      </c>
      <c r="E72" s="2">
        <f>(('Historical Data'!O74)-('Historical Data'!O73))/('Historical Data'!O73)</f>
        <v>-0.0007936507937</v>
      </c>
      <c r="F72" s="2">
        <f>(('Historical Data'!R74)-('Historical Data'!R73))/('Historical Data'!R73)</f>
        <v>0.00007286505392</v>
      </c>
    </row>
    <row r="73">
      <c r="A73" s="2">
        <f>(('Historical Data'!C75)-('Historical Data'!C74))/('Historical Data'!C74)</f>
        <v>0.000946969697</v>
      </c>
      <c r="B73" s="2">
        <f>(('Historical Data'!F75)-('Historical Data'!F74))/('Historical Data'!F74)</f>
        <v>0.09580838323</v>
      </c>
      <c r="C73" s="2">
        <f>(('Historical Data'!I75)-('Historical Data'!I74))/('Historical Data'!I74)</f>
        <v>0.03973509934</v>
      </c>
      <c r="D73" s="2">
        <f>(('Historical Data'!L75)-('Historical Data'!L74))/('Historical Data'!L74)</f>
        <v>0.01518336837</v>
      </c>
      <c r="E73" s="2">
        <f>(('Historical Data'!O75)-('Historical Data'!O74))/('Historical Data'!O74)</f>
        <v>0.005162827641</v>
      </c>
      <c r="F73" s="2">
        <f>(('Historical Data'!R75)-('Historical Data'!R74))/('Historical Data'!R74)</f>
        <v>-0.004663023679</v>
      </c>
    </row>
    <row r="74">
      <c r="A74" s="2">
        <f>(('Historical Data'!C76)-('Historical Data'!C75))/('Historical Data'!C75)</f>
        <v>-0.02005676443</v>
      </c>
      <c r="B74" s="2">
        <f>(('Historical Data'!F76)-('Historical Data'!F75))/('Historical Data'!F75)</f>
        <v>-0.07650273224</v>
      </c>
      <c r="C74" s="2">
        <f>(('Historical Data'!I76)-('Historical Data'!I75))/('Historical Data'!I75)</f>
        <v>0</v>
      </c>
      <c r="D74" s="2">
        <f>(('Historical Data'!L76)-('Historical Data'!L75))/('Historical Data'!L75)</f>
        <v>0.006902899218</v>
      </c>
      <c r="E74" s="2">
        <f>(('Historical Data'!O76)-('Historical Data'!O75))/('Historical Data'!O75)</f>
        <v>-0.02094033979</v>
      </c>
      <c r="F74" s="2">
        <f>(('Historical Data'!R76)-('Historical Data'!R75))/('Historical Data'!R75)</f>
        <v>0.008344923505</v>
      </c>
    </row>
    <row r="75">
      <c r="A75" s="2">
        <f>(('Historical Data'!C77)-('Historical Data'!C76))/('Historical Data'!C76)</f>
        <v>0.002703224561</v>
      </c>
      <c r="B75" s="2">
        <f>(('Historical Data'!F77)-('Historical Data'!F76))/('Historical Data'!F76)</f>
        <v>-0.01183431953</v>
      </c>
      <c r="C75" s="2">
        <f>(('Historical Data'!I77)-('Historical Data'!I76))/('Historical Data'!I76)</f>
        <v>-0.03184713376</v>
      </c>
      <c r="D75" s="2">
        <f>(('Historical Data'!L77)-('Historical Data'!L76))/('Historical Data'!L76)</f>
        <v>-0.03907678245</v>
      </c>
      <c r="E75" s="2">
        <f>(('Historical Data'!O77)-('Historical Data'!O76))/('Historical Data'!O76)</f>
        <v>0.007263922518</v>
      </c>
      <c r="F75" s="2">
        <f>(('Historical Data'!R77)-('Historical Data'!R76))/('Historical Data'!R76)</f>
        <v>-0.006533575318</v>
      </c>
    </row>
    <row r="76">
      <c r="A76" s="2">
        <f>(('Historical Data'!C78)-('Historical Data'!C77))/('Historical Data'!C77)</f>
        <v>-0.008280377431</v>
      </c>
      <c r="B76" s="2">
        <f>(('Historical Data'!F78)-('Historical Data'!F77))/('Historical Data'!F77)</f>
        <v>-0.1017964072</v>
      </c>
      <c r="C76" s="2">
        <f>(('Historical Data'!I78)-('Historical Data'!I77))/('Historical Data'!I77)</f>
        <v>0.01315789474</v>
      </c>
      <c r="D76" s="2">
        <f>(('Historical Data'!L78)-('Historical Data'!L77))/('Historical Data'!L77)</f>
        <v>-0.01022592152</v>
      </c>
      <c r="E76" s="2">
        <f>(('Historical Data'!O78)-('Historical Data'!O77))/('Historical Data'!O77)</f>
        <v>-0.02483974359</v>
      </c>
      <c r="F76" s="2">
        <f>(('Historical Data'!R78)-('Historical Data'!R77))/('Historical Data'!R77)</f>
        <v>-0.01622214103</v>
      </c>
    </row>
    <row r="77">
      <c r="A77" s="2">
        <f>(('Historical Data'!C79)-('Historical Data'!C78))/('Historical Data'!C78)</f>
        <v>0.007961165049</v>
      </c>
      <c r="B77" s="2">
        <f>(('Historical Data'!F79)-('Historical Data'!F78))/('Historical Data'!F78)</f>
        <v>0.02</v>
      </c>
      <c r="C77" s="2">
        <f>(('Historical Data'!I79)-('Historical Data'!I78))/('Historical Data'!I78)</f>
        <v>-0.01948051948</v>
      </c>
      <c r="D77" s="2">
        <f>(('Historical Data'!L79)-('Historical Data'!L78))/('Historical Data'!L78)</f>
        <v>0.00864968765</v>
      </c>
      <c r="E77" s="2">
        <f>(('Historical Data'!O79)-('Historical Data'!O78))/('Historical Data'!O78)</f>
        <v>0.007395234182</v>
      </c>
      <c r="F77" s="2">
        <f>(('Historical Data'!R79)-('Historical Data'!R78))/('Historical Data'!R78)</f>
        <v>-0.00512515784</v>
      </c>
    </row>
    <row r="78">
      <c r="A78" s="2">
        <f>(('Historical Data'!C80)-('Historical Data'!C79))/('Historical Data'!C79)</f>
        <v>-0.00520130996</v>
      </c>
      <c r="B78" s="2">
        <f>(('Historical Data'!F80)-('Historical Data'!F79))/('Historical Data'!F79)</f>
        <v>0.01960784314</v>
      </c>
      <c r="C78" s="2">
        <f>(('Historical Data'!I80)-('Historical Data'!I79))/('Historical Data'!I79)</f>
        <v>0</v>
      </c>
      <c r="D78" s="2">
        <f>(('Historical Data'!L80)-('Historical Data'!L79))/('Historical Data'!L79)</f>
        <v>0.01572177227</v>
      </c>
      <c r="E78" s="2">
        <f>(('Historical Data'!O80)-('Historical Data'!O79))/('Historical Data'!O79)</f>
        <v>0.0163132137</v>
      </c>
      <c r="F78" s="2">
        <f>(('Historical Data'!R80)-('Historical Data'!R79))/('Historical Data'!R79)</f>
        <v>-0.02000895924</v>
      </c>
    </row>
    <row r="79">
      <c r="A79" s="2">
        <f>(('Historical Data'!C81)-('Historical Data'!C80))/('Historical Data'!C80)</f>
        <v>-0.005228505035</v>
      </c>
      <c r="B79" s="2">
        <f>(('Historical Data'!F81)-('Historical Data'!F80))/('Historical Data'!F80)</f>
        <v>-0.03205128205</v>
      </c>
      <c r="C79" s="2">
        <f>(('Historical Data'!I81)-('Historical Data'!I80))/('Historical Data'!I80)</f>
        <v>-0.02649006623</v>
      </c>
      <c r="D79" s="2">
        <f>(('Historical Data'!L81)-('Historical Data'!L80))/('Historical Data'!L80)</f>
        <v>0.0058630394</v>
      </c>
      <c r="E79" s="2">
        <f>(('Historical Data'!O81)-('Historical Data'!O80))/('Historical Data'!O80)</f>
        <v>0.0008025682183</v>
      </c>
      <c r="F79" s="2">
        <f>(('Historical Data'!R81)-('Historical Data'!R80))/('Historical Data'!R80)</f>
        <v>-0.0006094773732</v>
      </c>
    </row>
    <row r="80">
      <c r="A80" s="2">
        <f>(('Historical Data'!C82)-('Historical Data'!C81))/('Historical Data'!C81)</f>
        <v>-0.005061319836</v>
      </c>
      <c r="B80" s="2">
        <f>(('Historical Data'!F82)-('Historical Data'!F81))/('Historical Data'!F81)</f>
        <v>0.07284768212</v>
      </c>
      <c r="C80" s="2">
        <f>(('Historical Data'!I82)-('Historical Data'!I81))/('Historical Data'!I81)</f>
        <v>-0.02721088435</v>
      </c>
      <c r="D80" s="2">
        <f>(('Historical Data'!L82)-('Historical Data'!L81))/('Historical Data'!L81)</f>
        <v>0.01608766612</v>
      </c>
      <c r="E80" s="2">
        <f>(('Historical Data'!O82)-('Historical Data'!O81))/('Historical Data'!O81)</f>
        <v>0.02806736167</v>
      </c>
      <c r="F80" s="2">
        <f>(('Historical Data'!R82)-('Historical Data'!R81))/('Historical Data'!R81)</f>
        <v>0.001677084921</v>
      </c>
    </row>
    <row r="81">
      <c r="A81" s="2">
        <f>(('Historical Data'!C83)-('Historical Data'!C82))/('Historical Data'!C82)</f>
        <v>0.006847974956</v>
      </c>
      <c r="B81" s="2">
        <f>(('Historical Data'!F83)-('Historical Data'!F82))/('Historical Data'!F82)</f>
        <v>-0.02469135802</v>
      </c>
      <c r="C81" s="2">
        <f>(('Historical Data'!I83)-('Historical Data'!I82))/('Historical Data'!I82)</f>
        <v>-0.07692307692</v>
      </c>
      <c r="D81" s="2">
        <f>(('Historical Data'!L83)-('Historical Data'!L82))/('Historical Data'!L82)</f>
        <v>0.03510784764</v>
      </c>
      <c r="E81" s="2">
        <f>(('Historical Data'!O83)-('Historical Data'!O82))/('Historical Data'!O82)</f>
        <v>-0.005460218409</v>
      </c>
      <c r="F81" s="2">
        <f>(('Historical Data'!R83)-('Historical Data'!R82))/('Historical Data'!R82)</f>
        <v>0.008447488584</v>
      </c>
    </row>
    <row r="82">
      <c r="A82" s="2">
        <f>(('Historical Data'!C84)-('Historical Data'!C83))/('Historical Data'!C83)</f>
        <v>-0.01068791294</v>
      </c>
      <c r="B82" s="2">
        <f>(('Historical Data'!F84)-('Historical Data'!F83))/('Historical Data'!F83)</f>
        <v>-0.06962025316</v>
      </c>
      <c r="C82" s="2">
        <f>(('Historical Data'!I84)-('Historical Data'!I83))/('Historical Data'!I83)</f>
        <v>0.007575757576</v>
      </c>
      <c r="D82" s="2">
        <f>(('Historical Data'!L84)-('Historical Data'!L83))/('Historical Data'!L83)</f>
        <v>0.007758811793</v>
      </c>
      <c r="E82" s="2">
        <f>(('Historical Data'!O84)-('Historical Data'!O83))/('Historical Data'!O83)</f>
        <v>-0.01333333333</v>
      </c>
      <c r="F82" s="2">
        <f>(('Historical Data'!R84)-('Historical Data'!R83))/('Historical Data'!R83)</f>
        <v>0.006867406233</v>
      </c>
    </row>
    <row r="83">
      <c r="A83" s="2">
        <f>(('Historical Data'!C85)-('Historical Data'!C84))/('Historical Data'!C84)</f>
        <v>0.00510705166</v>
      </c>
      <c r="B83" s="2">
        <f>(('Historical Data'!F85)-('Historical Data'!F84))/('Historical Data'!F84)</f>
        <v>0.07482993197</v>
      </c>
      <c r="C83" s="2">
        <f>(('Historical Data'!I85)-('Historical Data'!I84))/('Historical Data'!I84)</f>
        <v>0.1503759398</v>
      </c>
      <c r="D83" s="2">
        <f>(('Historical Data'!L85)-('Historical Data'!L84))/('Historical Data'!L84)</f>
        <v>-0.0004399472063</v>
      </c>
      <c r="E83" s="2">
        <f>(('Historical Data'!O85)-('Historical Data'!O84))/('Historical Data'!O84)</f>
        <v>0.02106518283</v>
      </c>
      <c r="F83" s="2">
        <f>(('Historical Data'!R85)-('Historical Data'!R84))/('Historical Data'!R84)</f>
        <v>0.0118423025</v>
      </c>
    </row>
    <row r="84">
      <c r="A84" s="2">
        <f>(('Historical Data'!C86)-('Historical Data'!C85))/('Historical Data'!C85)</f>
        <v>-0.008989642369</v>
      </c>
      <c r="B84" s="2">
        <f>(('Historical Data'!F86)-('Historical Data'!F85))/('Historical Data'!F85)</f>
        <v>0.03164556962</v>
      </c>
      <c r="C84" s="2">
        <f>(('Historical Data'!I86)-('Historical Data'!I85))/('Historical Data'!I85)</f>
        <v>0.09803921569</v>
      </c>
      <c r="D84" s="2">
        <f>(('Historical Data'!L86)-('Historical Data'!L85))/('Historical Data'!L85)</f>
        <v>-0.008582746479</v>
      </c>
      <c r="E84" s="2">
        <f>(('Historical Data'!O86)-('Historical Data'!O85))/('Historical Data'!O85)</f>
        <v>0.008952899961</v>
      </c>
      <c r="F84" s="2">
        <f>(('Historical Data'!R86)-('Historical Data'!R85))/('Historical Data'!R85)</f>
        <v>-0.003407407407</v>
      </c>
    </row>
    <row r="85">
      <c r="A85" s="2">
        <f>(('Historical Data'!C87)-('Historical Data'!C86))/('Historical Data'!C86)</f>
        <v>0.008282390061</v>
      </c>
      <c r="B85" s="2">
        <f>(('Historical Data'!F87)-('Historical Data'!F86))/('Historical Data'!F86)</f>
        <v>-0.01226993865</v>
      </c>
      <c r="C85" s="2">
        <f>(('Historical Data'!I87)-('Historical Data'!I86))/('Historical Data'!I86)</f>
        <v>0.005952380952</v>
      </c>
      <c r="D85" s="2">
        <f>(('Historical Data'!L87)-('Historical Data'!L86))/('Historical Data'!L86)</f>
        <v>0.02619311876</v>
      </c>
      <c r="E85" s="2">
        <f>(('Historical Data'!O87)-('Historical Data'!O86))/('Historical Data'!O86)</f>
        <v>0.03317901235</v>
      </c>
      <c r="F85" s="2">
        <f>(('Historical Data'!R87)-('Historical Data'!R86))/('Historical Data'!R86)</f>
        <v>-0.00802735246</v>
      </c>
    </row>
    <row r="86">
      <c r="A86" s="2">
        <f>(('Historical Data'!C88)-('Historical Data'!C87))/('Historical Data'!C87)</f>
        <v>0.02562096616</v>
      </c>
      <c r="B86" s="2">
        <f>(('Historical Data'!F88)-('Historical Data'!F87))/('Historical Data'!F87)</f>
        <v>0.01242236025</v>
      </c>
      <c r="C86" s="2">
        <f>(('Historical Data'!I88)-('Historical Data'!I87))/('Historical Data'!I87)</f>
        <v>-0.04733727811</v>
      </c>
      <c r="D86" s="2">
        <f>(('Historical Data'!L88)-('Historical Data'!L87))/('Historical Data'!L87)</f>
        <v>-0.0004326195111</v>
      </c>
      <c r="E86" s="2">
        <f>(('Historical Data'!O88)-('Historical Data'!O87))/('Historical Data'!O87)</f>
        <v>-0.01045556385</v>
      </c>
      <c r="F86" s="2">
        <f>(('Historical Data'!R88)-('Historical Data'!R87))/('Historical Data'!R87)</f>
        <v>0.01258804136</v>
      </c>
    </row>
    <row r="87">
      <c r="A87" s="2">
        <f>(('Historical Data'!C89)-('Historical Data'!C88))/('Historical Data'!C88)</f>
        <v>0.01887871854</v>
      </c>
      <c r="B87" s="2">
        <f>(('Historical Data'!F89)-('Historical Data'!F88))/('Historical Data'!F88)</f>
        <v>0.1226993865</v>
      </c>
      <c r="C87" s="2">
        <f>(('Historical Data'!I89)-('Historical Data'!I88))/('Historical Data'!I88)</f>
        <v>-0.01863354037</v>
      </c>
      <c r="D87" s="2">
        <f>(('Historical Data'!L89)-('Historical Data'!L88))/('Historical Data'!L88)</f>
        <v>0.007574118156</v>
      </c>
      <c r="E87" s="2">
        <f>(('Historical Data'!O89)-('Historical Data'!O88))/('Historical Data'!O88)</f>
        <v>0.008679245283</v>
      </c>
      <c r="F87" s="2">
        <f>(('Historical Data'!R89)-('Historical Data'!R88))/('Historical Data'!R88)</f>
        <v>0.0000739973361</v>
      </c>
    </row>
    <row r="88">
      <c r="A88" s="2">
        <f>(('Historical Data'!C90)-('Historical Data'!C89))/('Historical Data'!C89)</f>
        <v>-0.00505334082</v>
      </c>
      <c r="B88" s="2">
        <f>(('Historical Data'!F90)-('Historical Data'!F89))/('Historical Data'!F89)</f>
        <v>0.01092896175</v>
      </c>
      <c r="C88" s="2">
        <f>(('Historical Data'!I90)-('Historical Data'!I89))/('Historical Data'!I89)</f>
        <v>-0.06329113924</v>
      </c>
      <c r="D88" s="2">
        <f>(('Historical Data'!L90)-('Historical Data'!L89))/('Historical Data'!L89)</f>
        <v>0.02770618557</v>
      </c>
      <c r="E88" s="2">
        <f>(('Historical Data'!O90)-('Historical Data'!O89))/('Historical Data'!O89)</f>
        <v>-0.004115226337</v>
      </c>
      <c r="F88" s="2">
        <f>(('Historical Data'!R90)-('Historical Data'!R89))/('Historical Data'!R89)</f>
        <v>0.01864594895</v>
      </c>
    </row>
    <row r="89">
      <c r="A89" s="2">
        <f>(('Historical Data'!C91)-('Historical Data'!C90))/('Historical Data'!C90)</f>
        <v>-0.006207674944</v>
      </c>
      <c r="B89" s="2">
        <f>(('Historical Data'!F91)-('Historical Data'!F90))/('Historical Data'!F90)</f>
        <v>0.03783783784</v>
      </c>
      <c r="C89" s="2">
        <f>(('Historical Data'!I91)-('Historical Data'!I90))/('Historical Data'!I90)</f>
        <v>0</v>
      </c>
      <c r="D89" s="2">
        <f>(('Historical Data'!L91)-('Historical Data'!L90))/('Historical Data'!L90)</f>
        <v>-0.02445141066</v>
      </c>
      <c r="E89" s="2">
        <f>(('Historical Data'!O91)-('Historical Data'!O90))/('Historical Data'!O90)</f>
        <v>-0.02441773103</v>
      </c>
      <c r="F89" s="2">
        <f>(('Historical Data'!R91)-('Historical Data'!R90))/('Historical Data'!R90)</f>
        <v>-0.004939347716</v>
      </c>
    </row>
    <row r="90">
      <c r="A90" s="2">
        <f>(('Historical Data'!C92)-('Historical Data'!C91))/('Historical Data'!C91)</f>
        <v>-0.02328222601</v>
      </c>
      <c r="B90" s="2">
        <f>(('Historical Data'!F92)-('Historical Data'!F91))/('Historical Data'!F91)</f>
        <v>0.005208333333</v>
      </c>
      <c r="C90" s="2">
        <f>(('Historical Data'!I92)-('Historical Data'!I91))/('Historical Data'!I91)</f>
        <v>-0.04054054054</v>
      </c>
      <c r="D90" s="2">
        <f>(('Historical Data'!L92)-('Historical Data'!L91))/('Historical Data'!L91)</f>
        <v>0.01306769494</v>
      </c>
      <c r="E90" s="2">
        <f>(('Historical Data'!O92)-('Historical Data'!O91))/('Historical Data'!O91)</f>
        <v>0.008471313054</v>
      </c>
      <c r="F90" s="2">
        <f>(('Historical Data'!R92)-('Historical Data'!R91))/('Historical Data'!R91)</f>
        <v>-0.01058471421</v>
      </c>
    </row>
    <row r="91">
      <c r="A91" s="2">
        <f>(('Historical Data'!C93)-('Historical Data'!C92))/('Historical Data'!C92)</f>
        <v>0.01724806202</v>
      </c>
      <c r="B91" s="2">
        <f>(('Historical Data'!F93)-('Historical Data'!F92))/('Historical Data'!F92)</f>
        <v>-0.06735751295</v>
      </c>
      <c r="C91" s="2">
        <f>(('Historical Data'!I93)-('Historical Data'!I92))/('Historical Data'!I92)</f>
        <v>0.007042253521</v>
      </c>
      <c r="D91" s="2">
        <f>(('Historical Data'!L93)-('Historical Data'!L92))/('Historical Data'!L92)</f>
        <v>-0.005920913512</v>
      </c>
      <c r="E91" s="2">
        <f>(('Historical Data'!O93)-('Historical Data'!O92))/('Historical Data'!O92)</f>
        <v>-0.01145475372</v>
      </c>
      <c r="F91" s="2">
        <f>(('Historical Data'!R93)-('Historical Data'!R92))/('Historical Data'!R92)</f>
        <v>0.0160838129</v>
      </c>
    </row>
    <row r="92">
      <c r="A92" s="2">
        <f>(('Historical Data'!C94)-('Historical Data'!C93))/('Historical Data'!C93)</f>
        <v>0.007811011621</v>
      </c>
      <c r="B92" s="2">
        <f>(('Historical Data'!F94)-('Historical Data'!F93))/('Historical Data'!F93)</f>
        <v>0.03333333333</v>
      </c>
      <c r="C92" s="2">
        <f>(('Historical Data'!I94)-('Historical Data'!I93))/('Historical Data'!I93)</f>
        <v>0.06293706294</v>
      </c>
      <c r="D92" s="2">
        <f>(('Historical Data'!L94)-('Historical Data'!L93))/('Historical Data'!L93)</f>
        <v>0.02637736652</v>
      </c>
      <c r="E92" s="2">
        <f>(('Historical Data'!O94)-('Historical Data'!O93))/('Historical Data'!O93)</f>
        <v>0.02935496331</v>
      </c>
      <c r="F92" s="2">
        <f>(('Historical Data'!R94)-('Historical Data'!R93))/('Historical Data'!R93)</f>
        <v>0.002105721754</v>
      </c>
    </row>
    <row r="93">
      <c r="A93" s="2">
        <f>(('Historical Data'!C95)-('Historical Data'!C94))/('Historical Data'!C94)</f>
        <v>0.0007561436673</v>
      </c>
      <c r="B93" s="2">
        <f>(('Historical Data'!F95)-('Historical Data'!F94))/('Historical Data'!F94)</f>
        <v>0.0752688172</v>
      </c>
      <c r="C93" s="2">
        <f>(('Historical Data'!I95)-('Historical Data'!I94))/('Historical Data'!I94)</f>
        <v>0.1513157895</v>
      </c>
      <c r="D93" s="2">
        <f>(('Historical Data'!L95)-('Historical Data'!L94))/('Historical Data'!L94)</f>
        <v>-0.003730569948</v>
      </c>
      <c r="E93" s="2">
        <f>(('Historical Data'!O95)-('Historical Data'!O94))/('Historical Data'!O94)</f>
        <v>0.01613508443</v>
      </c>
      <c r="F93" s="2">
        <f>(('Historical Data'!R95)-('Historical Data'!R94))/('Historical Data'!R94)</f>
        <v>-0.00202883849</v>
      </c>
    </row>
    <row r="94">
      <c r="A94" s="2">
        <f>(('Historical Data'!C96)-('Historical Data'!C95))/('Historical Data'!C95)</f>
        <v>-0.0001888930865</v>
      </c>
      <c r="B94" s="2">
        <f>(('Historical Data'!F96)-('Historical Data'!F95))/('Historical Data'!F95)</f>
        <v>-0.015</v>
      </c>
      <c r="C94" s="2">
        <f>(('Historical Data'!I96)-('Historical Data'!I95))/('Historical Data'!I95)</f>
        <v>-0.04571428571</v>
      </c>
      <c r="D94" s="2">
        <f>(('Historical Data'!L96)-('Historical Data'!L95))/('Historical Data'!L95)</f>
        <v>0.01102558768</v>
      </c>
      <c r="E94" s="2">
        <f>(('Historical Data'!O96)-('Historical Data'!O95))/('Historical Data'!O95)</f>
        <v>-0.008124076809</v>
      </c>
      <c r="F94" s="2">
        <f>(('Historical Data'!R96)-('Historical Data'!R95))/('Historical Data'!R95)</f>
        <v>-0.01023742104</v>
      </c>
    </row>
    <row r="95">
      <c r="A95" s="2">
        <f>(('Historical Data'!C97)-('Historical Data'!C96))/('Historical Data'!C96)</f>
        <v>-0.008690723597</v>
      </c>
      <c r="B95" s="2">
        <f>(('Historical Data'!F97)-('Historical Data'!F96))/('Historical Data'!F96)</f>
        <v>-0.03553299492</v>
      </c>
      <c r="C95" s="2">
        <f>(('Historical Data'!I97)-('Historical Data'!I96))/('Historical Data'!I96)</f>
        <v>0.04790419162</v>
      </c>
      <c r="D95" s="2">
        <f>(('Historical Data'!L97)-('Historical Data'!L96))/('Historical Data'!L96)</f>
        <v>-0.01316872428</v>
      </c>
      <c r="E95" s="2">
        <f>(('Historical Data'!O97)-('Historical Data'!O96))/('Historical Data'!O96)</f>
        <v>-0.0253164557</v>
      </c>
      <c r="F95" s="2">
        <f>(('Historical Data'!R97)-('Historical Data'!R96))/('Historical Data'!R96)</f>
        <v>0.00205399061</v>
      </c>
    </row>
    <row r="96">
      <c r="A96" s="2">
        <f>(('Historical Data'!C98)-('Historical Data'!C97))/('Historical Data'!C97)</f>
        <v>0.007242233657</v>
      </c>
      <c r="B96" s="2">
        <f>(('Historical Data'!F98)-('Historical Data'!F97))/('Historical Data'!F97)</f>
        <v>0.1210526316</v>
      </c>
      <c r="C96" s="2">
        <f>(('Historical Data'!I98)-('Historical Data'!I97))/('Historical Data'!I97)</f>
        <v>0.1314285714</v>
      </c>
      <c r="D96" s="2">
        <f>(('Historical Data'!L98)-('Historical Data'!L97))/('Historical Data'!L97)</f>
        <v>0.00542118432</v>
      </c>
      <c r="E96" s="2">
        <f>(('Historical Data'!O98)-('Historical Data'!O97))/('Historical Data'!O97)</f>
        <v>0.01298701299</v>
      </c>
      <c r="F96" s="2">
        <f>(('Historical Data'!R98)-('Historical Data'!R97))/('Historical Data'!R97)</f>
        <v>0.0102489019</v>
      </c>
    </row>
    <row r="97">
      <c r="A97" s="2">
        <f>(('Historical Data'!C99)-('Historical Data'!C98))/('Historical Data'!C98)</f>
        <v>-0.007947019868</v>
      </c>
      <c r="B97" s="2">
        <f>(('Historical Data'!F99)-('Historical Data'!F98))/('Historical Data'!F98)</f>
        <v>0.01408450704</v>
      </c>
      <c r="C97" s="2">
        <f>(('Historical Data'!I99)-('Historical Data'!I98))/('Historical Data'!I98)</f>
        <v>-0.09595959596</v>
      </c>
      <c r="D97" s="2">
        <f>(('Historical Data'!L99)-('Historical Data'!L98))/('Historical Data'!L98)</f>
        <v>0.005184570718</v>
      </c>
      <c r="E97" s="2">
        <f>(('Historical Data'!O99)-('Historical Data'!O98))/('Historical Data'!O98)</f>
        <v>0</v>
      </c>
      <c r="F97" s="2">
        <f>(('Historical Data'!R99)-('Historical Data'!R98))/('Historical Data'!R98)</f>
        <v>0</v>
      </c>
    </row>
    <row r="98">
      <c r="A98" s="2">
        <f>(('Historical Data'!C100)-('Historical Data'!C99))/('Historical Data'!C99)</f>
        <v>0.01831012779</v>
      </c>
      <c r="B98" s="2">
        <f>(('Historical Data'!F100)-('Historical Data'!F99))/('Historical Data'!F99)</f>
        <v>0.0462962963</v>
      </c>
      <c r="C98" s="2">
        <f>(('Historical Data'!I100)-('Historical Data'!I99))/('Historical Data'!I99)</f>
        <v>0.06703910615</v>
      </c>
      <c r="D98" s="2">
        <f>(('Historical Data'!L100)-('Historical Data'!L99))/('Historical Data'!L99)</f>
        <v>0.005157829585</v>
      </c>
      <c r="E98" s="2">
        <f>(('Historical Data'!O100)-('Historical Data'!O99))/('Historical Data'!O99)</f>
        <v>0.01885369532</v>
      </c>
      <c r="F98" s="2">
        <f>(('Historical Data'!R100)-('Historical Data'!R99))/('Historical Data'!R99)</f>
        <v>-0.0002898550725</v>
      </c>
    </row>
    <row r="99">
      <c r="A99" s="2">
        <f>(('Historical Data'!C101)-('Historical Data'!C100))/('Historical Data'!C100)</f>
        <v>-0.001498407942</v>
      </c>
      <c r="B99" s="2">
        <f>(('Historical Data'!F101)-('Historical Data'!F100))/('Historical Data'!F100)</f>
        <v>0.03539823009</v>
      </c>
      <c r="C99" s="2">
        <f>(('Historical Data'!I101)-('Historical Data'!I100))/('Historical Data'!I100)</f>
        <v>-0.06806282723</v>
      </c>
      <c r="D99" s="2">
        <f>(('Historical Data'!L101)-('Historical Data'!L100))/('Historical Data'!L100)</f>
        <v>0.007183908046</v>
      </c>
      <c r="E99" s="2">
        <f>(('Historical Data'!O101)-('Historical Data'!O100))/('Historical Data'!O100)</f>
        <v>-0.02738712065</v>
      </c>
      <c r="F99" s="2">
        <f>(('Historical Data'!R101)-('Historical Data'!R100))/('Historical Data'!R100)</f>
        <v>0.003406784575</v>
      </c>
    </row>
    <row r="100">
      <c r="A100" s="2">
        <f>(('Historical Data'!C102)-('Historical Data'!C101))/('Historical Data'!C101)</f>
        <v>-0.007503282686</v>
      </c>
      <c r="B100" s="2">
        <f>(('Historical Data'!F102)-('Historical Data'!F101))/('Historical Data'!F101)</f>
        <v>-0.04273504274</v>
      </c>
      <c r="C100" s="2">
        <f>(('Historical Data'!I102)-('Historical Data'!I101))/('Historical Data'!I101)</f>
        <v>-0.03370786517</v>
      </c>
      <c r="D100" s="2">
        <f>(('Historical Data'!L102)-('Historical Data'!L101))/('Historical Data'!L101)</f>
        <v>-0.01324638272</v>
      </c>
      <c r="E100" s="2">
        <f>(('Historical Data'!O102)-('Historical Data'!O101))/('Historical Data'!O101)</f>
        <v>0.001141552511</v>
      </c>
      <c r="F100" s="2">
        <f>(('Historical Data'!R102)-('Historical Data'!R101))/('Historical Data'!R101)</f>
        <v>-0.002239398974</v>
      </c>
    </row>
    <row r="101">
      <c r="A101" s="2">
        <f>(('Historical Data'!C103)-('Historical Data'!C102))/('Historical Data'!C102)</f>
        <v>0.000189000189</v>
      </c>
      <c r="B101" s="2">
        <f>(('Historical Data'!F103)-('Historical Data'!F102))/('Historical Data'!F102)</f>
        <v>-0.03571428571</v>
      </c>
      <c r="C101" s="2">
        <f>(('Historical Data'!I103)-('Historical Data'!I102))/('Historical Data'!I102)</f>
        <v>-0.03488372093</v>
      </c>
      <c r="D101" s="2">
        <f>(('Historical Data'!L103)-('Historical Data'!L102))/('Historical Data'!L102)</f>
        <v>0.0307724081</v>
      </c>
      <c r="E101" s="2">
        <f>(('Historical Data'!O103)-('Historical Data'!O102))/('Historical Data'!O102)</f>
        <v>-0.001140250855</v>
      </c>
      <c r="F101" s="2">
        <f>(('Historical Data'!R103)-('Historical Data'!R102))/('Historical Data'!R102)</f>
        <v>-0.02273385462</v>
      </c>
    </row>
    <row r="102">
      <c r="A102" s="2">
        <f>(('Historical Data'!C104)-('Historical Data'!C103))/('Historical Data'!C103)</f>
        <v>-0.0003779289494</v>
      </c>
      <c r="B102" s="2">
        <f>(('Historical Data'!F104)-('Historical Data'!F103))/('Historical Data'!F103)</f>
        <v>-0.01851851852</v>
      </c>
      <c r="C102" s="2">
        <f>(('Historical Data'!I104)-('Historical Data'!I103))/('Historical Data'!I103)</f>
        <v>-0.07831325301</v>
      </c>
      <c r="D102" s="2">
        <f>(('Historical Data'!L104)-('Historical Data'!L103))/('Historical Data'!L103)</f>
        <v>-0.0004007212983</v>
      </c>
      <c r="E102" s="2">
        <f>(('Historical Data'!O104)-('Historical Data'!O103))/('Historical Data'!O103)</f>
        <v>-0.001902587519</v>
      </c>
      <c r="F102" s="2">
        <f>(('Historical Data'!R104)-('Historical Data'!R103))/('Historical Data'!R103)</f>
        <v>-0.0009631056453</v>
      </c>
    </row>
    <row r="103">
      <c r="A103" s="2">
        <f>(('Historical Data'!C105)-('Historical Data'!C104))/('Historical Data'!C104)</f>
        <v>-0.005293005671</v>
      </c>
      <c r="B103" s="2">
        <f>(('Historical Data'!F105)-('Historical Data'!F104))/('Historical Data'!F104)</f>
        <v>0.004716981132</v>
      </c>
      <c r="C103" s="2">
        <f>(('Historical Data'!I105)-('Historical Data'!I104))/('Historical Data'!I104)</f>
        <v>-0.07189542484</v>
      </c>
      <c r="D103" s="2">
        <f>(('Historical Data'!L105)-('Historical Data'!L104))/('Historical Data'!L104)</f>
        <v>-0.002204850671</v>
      </c>
      <c r="E103" s="2">
        <f>(('Historical Data'!O105)-('Historical Data'!O104))/('Historical Data'!O104)</f>
        <v>0.03011818528</v>
      </c>
      <c r="F103" s="2">
        <f>(('Historical Data'!R105)-('Historical Data'!R104))/('Historical Data'!R104)</f>
        <v>-0.01460882462</v>
      </c>
    </row>
    <row r="104">
      <c r="A104" s="2">
        <f>(('Historical Data'!C106)-('Historical Data'!C105))/('Historical Data'!C105)</f>
        <v>0.006461421513</v>
      </c>
      <c r="B104" s="2">
        <f>(('Historical Data'!F106)-('Historical Data'!F105))/('Historical Data'!F105)</f>
        <v>0.117370892</v>
      </c>
      <c r="C104" s="2">
        <f>(('Historical Data'!I106)-('Historical Data'!I105))/('Historical Data'!I105)</f>
        <v>-0.05633802817</v>
      </c>
      <c r="D104" s="2">
        <f>(('Historical Data'!L106)-('Historical Data'!L105))/('Historical Data'!L105)</f>
        <v>0.00441944556</v>
      </c>
      <c r="E104" s="2">
        <f>(('Historical Data'!O106)-('Historical Data'!O105))/('Historical Data'!O105)</f>
        <v>0.02257586973</v>
      </c>
      <c r="F104" s="2">
        <f>(('Historical Data'!R106)-('Historical Data'!R105))/('Historical Data'!R105)</f>
        <v>0.004364840458</v>
      </c>
    </row>
    <row r="105">
      <c r="A105" s="2">
        <f>(('Historical Data'!C107)-('Historical Data'!C106))/('Historical Data'!C106)</f>
        <v>0.006986404834</v>
      </c>
      <c r="B105" s="2">
        <f>(('Historical Data'!F107)-('Historical Data'!F106))/('Historical Data'!F106)</f>
        <v>0.05882352941</v>
      </c>
      <c r="C105" s="2">
        <f>(('Historical Data'!I107)-('Historical Data'!I106))/('Historical Data'!I106)</f>
        <v>-0.0223880597</v>
      </c>
      <c r="D105" s="2">
        <f>(('Historical Data'!L107)-('Historical Data'!L106))/('Historical Data'!L106)</f>
        <v>-0.009</v>
      </c>
      <c r="E105" s="2">
        <f>(('Historical Data'!O107)-('Historical Data'!O106))/('Historical Data'!O106)</f>
        <v>0.004705030764</v>
      </c>
      <c r="F105" s="2">
        <f>(('Historical Data'!R107)-('Historical Data'!R106))/('Historical Data'!R106)</f>
        <v>0.01790798741</v>
      </c>
    </row>
    <row r="106">
      <c r="A106" s="2">
        <f>(('Historical Data'!C108)-('Historical Data'!C107))/('Historical Data'!C107)</f>
        <v>0.01387586724</v>
      </c>
      <c r="B106" s="2">
        <f>(('Historical Data'!F108)-('Historical Data'!F107))/('Historical Data'!F107)</f>
        <v>0.06349206349</v>
      </c>
      <c r="C106" s="2">
        <f>(('Historical Data'!I108)-('Historical Data'!I107))/('Historical Data'!I107)</f>
        <v>-0.06106870229</v>
      </c>
      <c r="D106" s="2">
        <f>(('Historical Data'!L108)-('Historical Data'!L107))/('Historical Data'!L107)</f>
        <v>-0.01231079717</v>
      </c>
      <c r="E106" s="2">
        <f>(('Historical Data'!O108)-('Historical Data'!O107))/('Historical Data'!O107)</f>
        <v>-0.01152737752</v>
      </c>
      <c r="F106" s="2">
        <f>(('Historical Data'!R108)-('Historical Data'!R107))/('Historical Data'!R107)</f>
        <v>0.0007361059993</v>
      </c>
    </row>
    <row r="107">
      <c r="A107" s="2">
        <f>(('Historical Data'!C109)-('Historical Data'!C108))/('Historical Data'!C108)</f>
        <v>-0.002774181616</v>
      </c>
      <c r="B107" s="2">
        <f>(('Historical Data'!F109)-('Historical Data'!F108))/('Historical Data'!F108)</f>
        <v>-0.02985074627</v>
      </c>
      <c r="C107" s="2">
        <f>(('Historical Data'!I109)-('Historical Data'!I108))/('Historical Data'!I108)</f>
        <v>-0.0162601626</v>
      </c>
      <c r="D107" s="2">
        <f>(('Historical Data'!L109)-('Historical Data'!L108))/('Historical Data'!L108)</f>
        <v>0.01409889661</v>
      </c>
      <c r="E107" s="2">
        <f>(('Historical Data'!O109)-('Historical Data'!O108))/('Historical Data'!O108)</f>
        <v>-0.006559766764</v>
      </c>
      <c r="F107" s="2">
        <f>(('Historical Data'!R109)-('Historical Data'!R108))/('Historical Data'!R108)</f>
        <v>0.003457153365</v>
      </c>
    </row>
    <row r="108">
      <c r="A108" s="2">
        <f>(('Historical Data'!C110)-('Historical Data'!C109))/('Historical Data'!C109)</f>
        <v>0.003894658754</v>
      </c>
      <c r="B108" s="2">
        <f>(('Historical Data'!F110)-('Historical Data'!F109))/('Historical Data'!F109)</f>
        <v>-0.01538461538</v>
      </c>
      <c r="C108" s="2">
        <f>(('Historical Data'!I110)-('Historical Data'!I109))/('Historical Data'!I109)</f>
        <v>-0.02479338843</v>
      </c>
      <c r="D108" s="2">
        <f>(('Historical Data'!L110)-('Historical Data'!L109))/('Historical Data'!L109)</f>
        <v>-0.01470884546</v>
      </c>
      <c r="E108" s="2">
        <f>(('Historical Data'!O110)-('Historical Data'!O109))/('Historical Data'!O109)</f>
        <v>0.01724137931</v>
      </c>
      <c r="F108" s="2">
        <f>(('Historical Data'!R110)-('Historical Data'!R109))/('Historical Data'!R109)</f>
        <v>-0.01158187949</v>
      </c>
    </row>
    <row r="109">
      <c r="A109" s="2">
        <f>(('Historical Data'!C111)-('Historical Data'!C110))/('Historical Data'!C110)</f>
        <v>-0.002032144837</v>
      </c>
      <c r="B109" s="2">
        <f>(('Historical Data'!F111)-('Historical Data'!F110))/('Historical Data'!F110)</f>
        <v>0.171875</v>
      </c>
      <c r="C109" s="2">
        <f>(('Historical Data'!I111)-('Historical Data'!I110))/('Historical Data'!I110)</f>
        <v>0.05084745763</v>
      </c>
      <c r="D109" s="2">
        <f>(('Historical Data'!L111)-('Historical Data'!L110))/('Historical Data'!L110)</f>
        <v>-0.01349693252</v>
      </c>
      <c r="E109" s="2">
        <f>(('Historical Data'!O111)-('Historical Data'!O110))/('Historical Data'!O110)</f>
        <v>-0.005048683736</v>
      </c>
      <c r="F109" s="2">
        <f>(('Historical Data'!R111)-('Historical Data'!R110))/('Historical Data'!R110)</f>
        <v>-0.0003708098487</v>
      </c>
    </row>
    <row r="110">
      <c r="A110" s="2">
        <f>(('Historical Data'!C112)-('Historical Data'!C111))/('Historical Data'!C111)</f>
        <v>0.01869677897</v>
      </c>
      <c r="B110" s="2">
        <f>(('Historical Data'!F112)-('Historical Data'!F111))/('Historical Data'!F111)</f>
        <v>-0.07666666667</v>
      </c>
      <c r="C110" s="2">
        <f>(('Historical Data'!I112)-('Historical Data'!I111))/('Historical Data'!I111)</f>
        <v>0.008064516129</v>
      </c>
      <c r="D110" s="2">
        <f>(('Historical Data'!L112)-('Historical Data'!L111))/('Historical Data'!L111)</f>
        <v>0.0008291873964</v>
      </c>
      <c r="E110" s="2">
        <f>(('Historical Data'!O112)-('Historical Data'!O111))/('Historical Data'!O111)</f>
        <v>-0.002899601305</v>
      </c>
      <c r="F110" s="2">
        <f>(('Historical Data'!R112)-('Historical Data'!R111))/('Historical Data'!R111)</f>
        <v>0.007418947993</v>
      </c>
    </row>
    <row r="111">
      <c r="A111" s="2">
        <f>(('Historical Data'!C113)-('Historical Data'!C112))/('Historical Data'!C112)</f>
        <v>-0.004724695621</v>
      </c>
      <c r="B111" s="2">
        <f>(('Historical Data'!F113)-('Historical Data'!F112))/('Historical Data'!F112)</f>
        <v>0</v>
      </c>
      <c r="C111" s="2">
        <f>(('Historical Data'!I113)-('Historical Data'!I112))/('Historical Data'!I112)</f>
        <v>0.096</v>
      </c>
      <c r="D111" s="2">
        <f>(('Historical Data'!L113)-('Historical Data'!L112))/('Historical Data'!L112)</f>
        <v>0.002485501243</v>
      </c>
      <c r="E111" s="2">
        <f>(('Historical Data'!O113)-('Historical Data'!O112))/('Historical Data'!O112)</f>
        <v>0.001090512541</v>
      </c>
      <c r="F111" s="2">
        <f>(('Historical Data'!R113)-('Historical Data'!R112))/('Historical Data'!R112)</f>
        <v>-0.006848810664</v>
      </c>
    </row>
    <row r="112">
      <c r="A112" s="2">
        <f>(('Historical Data'!C114)-('Historical Data'!C113))/('Historical Data'!C113)</f>
        <v>-0.01095490232</v>
      </c>
      <c r="B112" s="2">
        <f>(('Historical Data'!F114)-('Historical Data'!F113))/('Historical Data'!F113)</f>
        <v>0.06137184116</v>
      </c>
      <c r="C112" s="2">
        <f>(('Historical Data'!I114)-('Historical Data'!I113))/('Historical Data'!I113)</f>
        <v>-0.01459854015</v>
      </c>
      <c r="D112" s="2">
        <f>(('Historical Data'!L114)-('Historical Data'!L113))/('Historical Data'!L113)</f>
        <v>-0.01157024793</v>
      </c>
      <c r="E112" s="2">
        <f>(('Historical Data'!O114)-('Historical Data'!O113))/('Historical Data'!O113)</f>
        <v>0.01815541031</v>
      </c>
      <c r="F112" s="2">
        <f>(('Historical Data'!R114)-('Historical Data'!R113))/('Historical Data'!R113)</f>
        <v>0.0003707548569</v>
      </c>
    </row>
    <row r="113">
      <c r="A113" s="2">
        <f>(('Historical Data'!C115)-('Historical Data'!C114))/('Historical Data'!C114)</f>
        <v>-0.007014952926</v>
      </c>
      <c r="B113" s="2">
        <f>(('Historical Data'!F115)-('Historical Data'!F114))/('Historical Data'!F114)</f>
        <v>0.156462585</v>
      </c>
      <c r="C113" s="2">
        <f>(('Historical Data'!I115)-('Historical Data'!I114))/('Historical Data'!I114)</f>
        <v>0.02222222222</v>
      </c>
      <c r="D113" s="2">
        <f>(('Historical Data'!L115)-('Historical Data'!L114))/('Historical Data'!L114)</f>
        <v>0.001672240803</v>
      </c>
      <c r="E113" s="2">
        <f>(('Historical Data'!O115)-('Historical Data'!O114))/('Historical Data'!O114)</f>
        <v>0.01212553495</v>
      </c>
      <c r="F113" s="2">
        <f>(('Historical Data'!R115)-('Historical Data'!R114))/('Historical Data'!R114)</f>
        <v>-0.001927210733</v>
      </c>
    </row>
    <row r="114">
      <c r="A114" s="2">
        <f>(('Historical Data'!C116)-('Historical Data'!C115))/('Historical Data'!C115)</f>
        <v>-0.005949061164</v>
      </c>
      <c r="B114" s="2">
        <f>(('Historical Data'!F116)-('Historical Data'!F115))/('Historical Data'!F115)</f>
        <v>0.02647058824</v>
      </c>
      <c r="C114" s="2">
        <f>(('Historical Data'!I116)-('Historical Data'!I115))/('Historical Data'!I115)</f>
        <v>-0.02898550725</v>
      </c>
      <c r="D114" s="2">
        <f>(('Historical Data'!L116)-('Historical Data'!L115))/('Historical Data'!L115)</f>
        <v>-0.004590984975</v>
      </c>
      <c r="E114" s="2">
        <f>(('Historical Data'!O116)-('Historical Data'!O115))/('Historical Data'!O115)</f>
        <v>-0.01585623679</v>
      </c>
      <c r="F114" s="2">
        <f>(('Historical Data'!R116)-('Historical Data'!R115))/('Historical Data'!R115)</f>
        <v>-0.01388785741</v>
      </c>
    </row>
    <row r="115">
      <c r="A115" s="2">
        <f>(('Historical Data'!C117)-('Historical Data'!C116))/('Historical Data'!C116)</f>
        <v>-0.006358705816</v>
      </c>
      <c r="B115" s="2">
        <f>(('Historical Data'!F117)-('Historical Data'!F116))/('Historical Data'!F116)</f>
        <v>-0.1146131805</v>
      </c>
      <c r="C115" s="2">
        <f>(('Historical Data'!I117)-('Historical Data'!I116))/('Historical Data'!I116)</f>
        <v>-0.01492537313</v>
      </c>
      <c r="D115" s="2">
        <f>(('Historical Data'!L117)-('Historical Data'!L116))/('Historical Data'!L116)</f>
        <v>0.005241090147</v>
      </c>
      <c r="E115" s="2">
        <f>(('Historical Data'!O117)-('Historical Data'!O116))/('Historical Data'!O116)</f>
        <v>-0.0268528464</v>
      </c>
      <c r="F115" s="2">
        <f>(('Historical Data'!R117)-('Historical Data'!R116))/('Historical Data'!R116)</f>
        <v>0.009112818196</v>
      </c>
    </row>
    <row r="116">
      <c r="A116" s="2">
        <f>(('Historical Data'!C118)-('Historical Data'!C117))/('Historical Data'!C117)</f>
        <v>-0.01995106343</v>
      </c>
      <c r="B116" s="2">
        <f>(('Historical Data'!F118)-('Historical Data'!F117))/('Historical Data'!F117)</f>
        <v>-0.04530744337</v>
      </c>
      <c r="C116" s="2">
        <f>(('Historical Data'!I118)-('Historical Data'!I117))/('Historical Data'!I117)</f>
        <v>-0.01515151515</v>
      </c>
      <c r="D116" s="2">
        <f>(('Historical Data'!L118)-('Historical Data'!L117))/('Historical Data'!L117)</f>
        <v>-0.03169968717</v>
      </c>
      <c r="E116" s="2">
        <f>(('Historical Data'!O118)-('Historical Data'!O117))/('Historical Data'!O117)</f>
        <v>-0.03973509934</v>
      </c>
      <c r="F116" s="2">
        <f>(('Historical Data'!R118)-('Historical Data'!R117))/('Historical Data'!R117)</f>
        <v>-0.01462795731</v>
      </c>
    </row>
    <row r="117">
      <c r="A117" s="2">
        <f>(('Historical Data'!C119)-('Historical Data'!C118))/('Historical Data'!C118)</f>
        <v>0.02131745727</v>
      </c>
      <c r="B117" s="2">
        <f>(('Historical Data'!F119)-('Historical Data'!F118))/('Historical Data'!F118)</f>
        <v>-0.03389830508</v>
      </c>
      <c r="C117" s="2">
        <f>(('Historical Data'!I119)-('Historical Data'!I118))/('Historical Data'!I118)</f>
        <v>-0.007692307692</v>
      </c>
      <c r="D117" s="2">
        <f>(('Historical Data'!L119)-('Historical Data'!L118))/('Historical Data'!L118)</f>
        <v>0.01227654534</v>
      </c>
      <c r="E117" s="2">
        <f>(('Historical Data'!O119)-('Historical Data'!O118))/('Historical Data'!O118)</f>
        <v>0.03218390805</v>
      </c>
      <c r="F117" s="2">
        <f>(('Historical Data'!R119)-('Historical Data'!R118))/('Historical Data'!R118)</f>
        <v>0.007876997652</v>
      </c>
    </row>
    <row r="118">
      <c r="A118" s="2">
        <f>(('Historical Data'!C120)-('Historical Data'!C119))/('Historical Data'!C119)</f>
        <v>0.001504324934</v>
      </c>
      <c r="B118" s="2">
        <f>(('Historical Data'!F120)-('Historical Data'!F119))/('Historical Data'!F119)</f>
        <v>-0.01403508772</v>
      </c>
      <c r="C118" s="2">
        <f>(('Historical Data'!I120)-('Historical Data'!I119))/('Historical Data'!I119)</f>
        <v>0</v>
      </c>
      <c r="D118" s="2">
        <f>(('Historical Data'!L120)-('Historical Data'!L119))/('Historical Data'!L119)</f>
        <v>-0.004893617021</v>
      </c>
      <c r="E118" s="2">
        <f>(('Historical Data'!O120)-('Historical Data'!O119))/('Historical Data'!O119)</f>
        <v>0.007795100223</v>
      </c>
      <c r="F118" s="2">
        <f>(('Historical Data'!R120)-('Historical Data'!R119))/('Historical Data'!R119)</f>
        <v>0.0003757420906</v>
      </c>
    </row>
    <row r="119">
      <c r="A119" s="2">
        <f>(('Historical Data'!C121)-('Historical Data'!C120))/('Historical Data'!C120)</f>
        <v>-0.009387908374</v>
      </c>
      <c r="B119" s="2">
        <f>(('Historical Data'!F121)-('Historical Data'!F120))/('Historical Data'!F120)</f>
        <v>-0.1387900356</v>
      </c>
      <c r="C119" s="2">
        <f>(('Historical Data'!I121)-('Historical Data'!I120))/('Historical Data'!I120)</f>
        <v>0.04651162791</v>
      </c>
      <c r="D119" s="2">
        <f>(('Historical Data'!L121)-('Historical Data'!L120))/('Historical Data'!L120)</f>
        <v>0.004917682275</v>
      </c>
      <c r="E119" s="2">
        <f>(('Historical Data'!O121)-('Historical Data'!O120))/('Historical Data'!O120)</f>
        <v>0.002946593002</v>
      </c>
      <c r="F119" s="2">
        <f>(('Historical Data'!R121)-('Historical Data'!R120))/('Historical Data'!R120)</f>
        <v>-0.001427283654</v>
      </c>
    </row>
    <row r="120">
      <c r="A120" s="2">
        <f>(('Historical Data'!C122)-('Historical Data'!C121))/('Historical Data'!C121)</f>
        <v>0.0003790750569</v>
      </c>
      <c r="B120" s="2">
        <f>(('Historical Data'!F122)-('Historical Data'!F121))/('Historical Data'!F121)</f>
        <v>0.07851239669</v>
      </c>
      <c r="C120" s="2">
        <f>(('Historical Data'!I122)-('Historical Data'!I121))/('Historical Data'!I121)</f>
        <v>0.01481481481</v>
      </c>
      <c r="D120" s="2">
        <f>(('Historical Data'!L122)-('Historical Data'!L121))/('Historical Data'!L121)</f>
        <v>0.004255319149</v>
      </c>
      <c r="E120" s="2">
        <f>(('Historical Data'!O122)-('Historical Data'!O121))/('Historical Data'!O121)</f>
        <v>0.003305178112</v>
      </c>
      <c r="F120" s="2">
        <f>(('Historical Data'!R122)-('Historical Data'!R121))/('Historical Data'!R121)</f>
        <v>0.0006770480704</v>
      </c>
    </row>
    <row r="121">
      <c r="A121" s="2">
        <f>(('Historical Data'!C123)-('Historical Data'!C122))/('Historical Data'!C122)</f>
        <v>0.005305039788</v>
      </c>
      <c r="B121" s="2">
        <f>(('Historical Data'!F123)-('Historical Data'!F122))/('Historical Data'!F122)</f>
        <v>-0.05747126437</v>
      </c>
      <c r="C121" s="2">
        <f>(('Historical Data'!I123)-('Historical Data'!I122))/('Historical Data'!I122)</f>
        <v>-0.02189781022</v>
      </c>
      <c r="D121" s="2">
        <f>(('Historical Data'!L123)-('Historical Data'!L122))/('Historical Data'!L122)</f>
        <v>0.0004237288136</v>
      </c>
      <c r="E121" s="2">
        <f>(('Historical Data'!O123)-('Historical Data'!O122))/('Historical Data'!O122)</f>
        <v>0</v>
      </c>
      <c r="F121" s="2">
        <f>(('Historical Data'!R123)-('Historical Data'!R122))/('Historical Data'!R122)</f>
        <v>0.01428356638</v>
      </c>
    </row>
    <row r="122">
      <c r="A122" s="2">
        <f>(('Historical Data'!C124)-('Historical Data'!C123))/('Historical Data'!C123)</f>
        <v>-0.001884658877</v>
      </c>
      <c r="B122" s="2">
        <f>(('Historical Data'!F124)-('Historical Data'!F123))/('Historical Data'!F123)</f>
        <v>-0.07317073171</v>
      </c>
      <c r="C122" s="2">
        <f>(('Historical Data'!I124)-('Historical Data'!I123))/('Historical Data'!I123)</f>
        <v>0.007462686567</v>
      </c>
      <c r="D122" s="2">
        <f>(('Historical Data'!L124)-('Historical Data'!L123))/('Historical Data'!L123)</f>
        <v>-0.01503600169</v>
      </c>
      <c r="E122" s="2">
        <f>(('Historical Data'!O124)-('Historical Data'!O123))/('Historical Data'!O123)</f>
        <v>-0.03147877013</v>
      </c>
      <c r="F122" s="2">
        <f>(('Historical Data'!R124)-('Historical Data'!R123))/('Historical Data'!R123)</f>
        <v>0.002964719834</v>
      </c>
    </row>
    <row r="123">
      <c r="A123" s="2">
        <f>(('Historical Data'!C125)-('Historical Data'!C124))/('Historical Data'!C124)</f>
        <v>-0.0009441087613</v>
      </c>
      <c r="B123" s="2">
        <f>(('Historical Data'!F125)-('Historical Data'!F124))/('Historical Data'!F124)</f>
        <v>0.1096491228</v>
      </c>
      <c r="C123" s="2">
        <f>(('Historical Data'!I125)-('Historical Data'!I124))/('Historical Data'!I124)</f>
        <v>-0.01481481481</v>
      </c>
      <c r="D123" s="2">
        <f>(('Historical Data'!L125)-('Historical Data'!L124))/('Historical Data'!L124)</f>
        <v>0.006020210707</v>
      </c>
      <c r="E123" s="2">
        <f>(('Historical Data'!O125)-('Historical Data'!O124))/('Historical Data'!O124)</f>
        <v>-0.007180650038</v>
      </c>
      <c r="F123" s="2">
        <f>(('Historical Data'!R125)-('Historical Data'!R124))/('Historical Data'!R124)</f>
        <v>-0.006798699379</v>
      </c>
    </row>
    <row r="124">
      <c r="A124" s="2">
        <f>(('Historical Data'!C126)-('Historical Data'!C125))/('Historical Data'!C125)</f>
        <v>0.001701001701</v>
      </c>
      <c r="B124" s="2">
        <f>(('Historical Data'!F126)-('Historical Data'!F125))/('Historical Data'!F125)</f>
        <v>-0.03557312253</v>
      </c>
      <c r="C124" s="2">
        <f>(('Historical Data'!I126)-('Historical Data'!I125))/('Historical Data'!I125)</f>
        <v>-0.007518796992</v>
      </c>
      <c r="D124" s="2">
        <f>(('Historical Data'!L126)-('Historical Data'!L125))/('Historical Data'!L125)</f>
        <v>-0.002137208805</v>
      </c>
      <c r="E124" s="2">
        <f>(('Historical Data'!O126)-('Historical Data'!O125))/('Historical Data'!O125)</f>
        <v>0.005709935287</v>
      </c>
      <c r="F124" s="2">
        <f>(('Historical Data'!R126)-('Historical Data'!R125))/('Historical Data'!R125)</f>
        <v>0.003943452381</v>
      </c>
    </row>
    <row r="125">
      <c r="A125" s="2">
        <f>(('Historical Data'!C127)-('Historical Data'!C126))/('Historical Data'!C126)</f>
        <v>0.008301886792</v>
      </c>
      <c r="B125" s="2">
        <f>(('Historical Data'!F127)-('Historical Data'!F126))/('Historical Data'!F126)</f>
        <v>0.04098360656</v>
      </c>
      <c r="C125" s="2">
        <f>(('Historical Data'!I127)-('Historical Data'!I126))/('Historical Data'!I126)</f>
        <v>-0.02272727273</v>
      </c>
      <c r="D125" s="2">
        <f>(('Historical Data'!L127)-('Historical Data'!L126))/('Historical Data'!L126)</f>
        <v>0.01991861212</v>
      </c>
      <c r="E125" s="2">
        <f>(('Historical Data'!O127)-('Historical Data'!O126))/('Historical Data'!O126)</f>
        <v>0.02498107494</v>
      </c>
      <c r="F125" s="2">
        <f>(('Historical Data'!R127)-('Historical Data'!R126))/('Historical Data'!R126)</f>
        <v>0.002297487586</v>
      </c>
    </row>
    <row r="126">
      <c r="A126" s="2">
        <f>(('Historical Data'!C128)-('Historical Data'!C127))/('Historical Data'!C127)</f>
        <v>0.001871257485</v>
      </c>
      <c r="B126" s="2">
        <f>(('Historical Data'!F128)-('Historical Data'!F127))/('Historical Data'!F127)</f>
        <v>0.07480314961</v>
      </c>
      <c r="C126" s="2">
        <f>(('Historical Data'!I128)-('Historical Data'!I127))/('Historical Data'!I127)</f>
        <v>-0.04651162791</v>
      </c>
      <c r="D126" s="2">
        <f>(('Historical Data'!L128)-('Historical Data'!L127))/('Historical Data'!L127)</f>
        <v>-0.01658966821</v>
      </c>
      <c r="E126" s="2">
        <f>(('Historical Data'!O128)-('Historical Data'!O127))/('Historical Data'!O127)</f>
        <v>-0.003692762186</v>
      </c>
      <c r="F126" s="2">
        <f>(('Historical Data'!R128)-('Historical Data'!R127))/('Historical Data'!R127)</f>
        <v>0.004880212955</v>
      </c>
    </row>
    <row r="127">
      <c r="A127" s="2">
        <f>(('Historical Data'!C129)-('Historical Data'!C128))/('Historical Data'!C128)</f>
        <v>-0.01045946956</v>
      </c>
      <c r="B127" s="2">
        <f>(('Historical Data'!F129)-('Historical Data'!F128))/('Historical Data'!F128)</f>
        <v>-0.01098901099</v>
      </c>
      <c r="C127" s="2">
        <f>(('Historical Data'!I129)-('Historical Data'!I128))/('Historical Data'!I128)</f>
        <v>-0.0325203252</v>
      </c>
      <c r="D127" s="2">
        <f>(('Historical Data'!L129)-('Historical Data'!L128))/('Historical Data'!L128)</f>
        <v>0.01879137305</v>
      </c>
      <c r="E127" s="2">
        <f>(('Historical Data'!O129)-('Historical Data'!O128))/('Historical Data'!O128)</f>
        <v>-0.03743513714</v>
      </c>
      <c r="F127" s="2">
        <f>(('Historical Data'!R129)-('Historical Data'!R128))/('Historical Data'!R128)</f>
        <v>0.0005886681383</v>
      </c>
    </row>
    <row r="128">
      <c r="A128" s="2">
        <f>(('Historical Data'!C130)-('Historical Data'!C129))/('Historical Data'!C129)</f>
        <v>0.005285013213</v>
      </c>
      <c r="B128" s="2">
        <f>(('Historical Data'!F130)-('Historical Data'!F129))/('Historical Data'!F129)</f>
        <v>-0.05555555556</v>
      </c>
      <c r="C128" s="2">
        <f>(('Historical Data'!I130)-('Historical Data'!I129))/('Historical Data'!I129)</f>
        <v>0</v>
      </c>
      <c r="D128" s="2">
        <f>(('Historical Data'!L130)-('Historical Data'!L129))/('Historical Data'!L129)</f>
        <v>-0.02661915741</v>
      </c>
      <c r="E128" s="2">
        <f>(('Historical Data'!O130)-('Historical Data'!O129))/('Historical Data'!O129)</f>
        <v>-0.009241432422</v>
      </c>
      <c r="F128" s="2">
        <f>(('Historical Data'!R130)-('Historical Data'!R129))/('Historical Data'!R129)</f>
        <v>0.007501103103</v>
      </c>
    </row>
    <row r="129">
      <c r="A129" s="2">
        <f>(('Historical Data'!C131)-('Historical Data'!C130))/('Historical Data'!C130)</f>
        <v>0</v>
      </c>
      <c r="B129" s="2">
        <f>(('Historical Data'!F131)-('Historical Data'!F130))/('Historical Data'!F130)</f>
        <v>-0.007843137255</v>
      </c>
      <c r="C129" s="2">
        <f>(('Historical Data'!I131)-('Historical Data'!I130))/('Historical Data'!I130)</f>
        <v>-0.02521008403</v>
      </c>
      <c r="D129" s="2">
        <f>(('Historical Data'!L131)-('Historical Data'!L130))/('Historical Data'!L130)</f>
        <v>0.007536606374</v>
      </c>
      <c r="E129" s="2">
        <f>(('Historical Data'!O131)-('Historical Data'!O130))/('Historical Data'!O130)</f>
        <v>-0.005829770696</v>
      </c>
      <c r="F129" s="2">
        <f>(('Historical Data'!R131)-('Historical Data'!R130))/('Historical Data'!R130)</f>
        <v>-0.0001459854015</v>
      </c>
    </row>
    <row r="130">
      <c r="A130" s="2">
        <f>(('Historical Data'!C132)-('Historical Data'!C131))/('Historical Data'!C131)</f>
        <v>0.009012392039</v>
      </c>
      <c r="B130" s="2">
        <f>(('Historical Data'!F132)-('Historical Data'!F131))/('Historical Data'!F131)</f>
        <v>-0.02766798419</v>
      </c>
      <c r="C130" s="2">
        <f>(('Historical Data'!I132)-('Historical Data'!I131))/('Historical Data'!I131)</f>
        <v>-0.01724137931</v>
      </c>
      <c r="D130" s="2">
        <f>(('Historical Data'!L132)-('Historical Data'!L131))/('Historical Data'!L131)</f>
        <v>-0.02500534302</v>
      </c>
      <c r="E130" s="2">
        <f>(('Historical Data'!O132)-('Historical Data'!O131))/('Historical Data'!O131)</f>
        <v>0.01681000782</v>
      </c>
      <c r="F130" s="2">
        <f>(('Historical Data'!R132)-('Historical Data'!R131))/('Historical Data'!R131)</f>
        <v>0.0003650167908</v>
      </c>
    </row>
    <row r="131">
      <c r="A131" s="2">
        <f>(('Historical Data'!C133)-('Historical Data'!C132))/('Historical Data'!C132)</f>
        <v>-0.0094901377</v>
      </c>
      <c r="B131" s="2">
        <f>(('Historical Data'!F133)-('Historical Data'!F132))/('Historical Data'!F132)</f>
        <v>-0.0243902439</v>
      </c>
      <c r="C131" s="2">
        <f>(('Historical Data'!I133)-('Historical Data'!I132))/('Historical Data'!I132)</f>
        <v>-0.02631578947</v>
      </c>
      <c r="D131" s="2">
        <f>(('Historical Data'!L133)-('Historical Data'!L132))/('Historical Data'!L132)</f>
        <v>0.02389302937</v>
      </c>
      <c r="E131" s="2">
        <f>(('Historical Data'!O133)-('Historical Data'!O132))/('Historical Data'!O132)</f>
        <v>-0.004998077662</v>
      </c>
      <c r="F131" s="2">
        <f>(('Historical Data'!R133)-('Historical Data'!R132))/('Historical Data'!R132)</f>
        <v>0.0008027439247</v>
      </c>
    </row>
    <row r="132">
      <c r="A132" s="2">
        <f>(('Historical Data'!C134)-('Historical Data'!C133))/('Historical Data'!C133)</f>
        <v>0.001690775878</v>
      </c>
      <c r="B132" s="2">
        <f>(('Historical Data'!F134)-('Historical Data'!F133))/('Historical Data'!F133)</f>
        <v>-0.05833333333</v>
      </c>
      <c r="C132" s="2">
        <f>(('Historical Data'!I134)-('Historical Data'!I133))/('Historical Data'!I133)</f>
        <v>-0.01801801802</v>
      </c>
      <c r="D132" s="2">
        <f>(('Historical Data'!L134)-('Historical Data'!L133))/('Historical Data'!L133)</f>
        <v>0.009847998287</v>
      </c>
      <c r="E132" s="2">
        <f>(('Historical Data'!O134)-('Historical Data'!O133))/('Historical Data'!O133)</f>
        <v>-0.01159196291</v>
      </c>
      <c r="F132" s="2">
        <f>(('Historical Data'!R134)-('Historical Data'!R133))/('Historical Data'!R133)</f>
        <v>-0.001239609159</v>
      </c>
    </row>
    <row r="133">
      <c r="A133" s="2">
        <f>(('Historical Data'!C135)-('Historical Data'!C134))/('Historical Data'!C134)</f>
        <v>0.01444111028</v>
      </c>
      <c r="B133" s="2">
        <f>(('Historical Data'!F135)-('Historical Data'!F134))/('Historical Data'!F134)</f>
        <v>-0.05752212389</v>
      </c>
      <c r="C133" s="2">
        <f>(('Historical Data'!I135)-('Historical Data'!I134))/('Historical Data'!I134)</f>
        <v>0.01834862385</v>
      </c>
      <c r="D133" s="2">
        <f>(('Historical Data'!L135)-('Historical Data'!L134))/('Historical Data'!L134)</f>
        <v>-0.008903964384</v>
      </c>
      <c r="E133" s="2">
        <f>(('Historical Data'!O135)-('Historical Data'!O134))/('Historical Data'!O134)</f>
        <v>-0.0136825645</v>
      </c>
      <c r="F133" s="2">
        <f>(('Historical Data'!R135)-('Historical Data'!R134))/('Historical Data'!R134)</f>
        <v>0.007373877491</v>
      </c>
    </row>
    <row r="134">
      <c r="A134" s="2">
        <f>(('Historical Data'!C136)-('Historical Data'!C135))/('Historical Data'!C135)</f>
        <v>-0.008134590497</v>
      </c>
      <c r="B134" s="2">
        <f>(('Historical Data'!F136)-('Historical Data'!F135))/('Historical Data'!F135)</f>
        <v>0.1126760563</v>
      </c>
      <c r="C134" s="2">
        <f>(('Historical Data'!I136)-('Historical Data'!I135))/('Historical Data'!I135)</f>
        <v>0.01801801802</v>
      </c>
      <c r="D134" s="2">
        <f>(('Historical Data'!L136)-('Historical Data'!L135))/('Historical Data'!L135)</f>
        <v>0.004064171123</v>
      </c>
      <c r="E134" s="2">
        <f>(('Historical Data'!O136)-('Historical Data'!O135))/('Historical Data'!O135)</f>
        <v>-0.02298850575</v>
      </c>
      <c r="F134" s="2">
        <f>(('Historical Data'!R136)-('Historical Data'!R135))/('Historical Data'!R135)</f>
        <v>0.008551964053</v>
      </c>
    </row>
    <row r="135">
      <c r="A135" s="2">
        <f>(('Historical Data'!C137)-('Historical Data'!C136))/('Historical Data'!C136)</f>
        <v>0.0009319664492</v>
      </c>
      <c r="B135" s="2">
        <f>(('Historical Data'!F137)-('Historical Data'!F136))/('Historical Data'!F136)</f>
        <v>0.07172995781</v>
      </c>
      <c r="C135" s="2">
        <f>(('Historical Data'!I137)-('Historical Data'!I136))/('Historical Data'!I136)</f>
        <v>0.02654867257</v>
      </c>
      <c r="D135" s="2">
        <f>(('Historical Data'!L137)-('Historical Data'!L136))/('Historical Data'!L136)</f>
        <v>-0.008095440988</v>
      </c>
      <c r="E135" s="2">
        <f>(('Historical Data'!O137)-('Historical Data'!O136))/('Historical Data'!O136)</f>
        <v>-0.03164300203</v>
      </c>
      <c r="F135" s="2">
        <f>(('Historical Data'!R137)-('Historical Data'!R136))/('Historical Data'!R136)</f>
        <v>0.009701063524</v>
      </c>
    </row>
    <row r="136">
      <c r="A136" s="2">
        <f>(('Historical Data'!C138)-('Historical Data'!C137))/('Historical Data'!C137)</f>
        <v>-0.01191806331</v>
      </c>
      <c r="B136" s="2">
        <f>(('Historical Data'!F138)-('Historical Data'!F137))/('Historical Data'!F137)</f>
        <v>-0.01181102362</v>
      </c>
      <c r="C136" s="2">
        <f>(('Historical Data'!I138)-('Historical Data'!I137))/('Historical Data'!I137)</f>
        <v>-0.06034482759</v>
      </c>
      <c r="D136" s="2">
        <f>(('Historical Data'!L138)-('Historical Data'!L137))/('Historical Data'!L137)</f>
        <v>-0.01804123711</v>
      </c>
      <c r="E136" s="2">
        <f>(('Historical Data'!O138)-('Historical Data'!O137))/('Historical Data'!O137)</f>
        <v>-0.03267700042</v>
      </c>
      <c r="F136" s="2">
        <f>(('Historical Data'!R138)-('Historical Data'!R137))/('Historical Data'!R137)</f>
        <v>-0.0004981851825</v>
      </c>
    </row>
    <row r="137">
      <c r="A137" s="2">
        <f>(('Historical Data'!C139)-('Historical Data'!C138))/('Historical Data'!C138)</f>
        <v>0.009800226159</v>
      </c>
      <c r="B137" s="2">
        <f>(('Historical Data'!F139)-('Historical Data'!F138))/('Historical Data'!F138)</f>
        <v>-0.003984063745</v>
      </c>
      <c r="C137" s="2">
        <f>(('Historical Data'!I139)-('Historical Data'!I138))/('Historical Data'!I138)</f>
        <v>0.05504587156</v>
      </c>
      <c r="D137" s="2">
        <f>(('Historical Data'!L139)-('Historical Data'!L138))/('Historical Data'!L138)</f>
        <v>-0.04855643045</v>
      </c>
      <c r="E137" s="2">
        <f>(('Historical Data'!O139)-('Historical Data'!O138))/('Historical Data'!O138)</f>
        <v>0.0008661758337</v>
      </c>
      <c r="F137" s="2">
        <f>(('Historical Data'!R139)-('Historical Data'!R138))/('Historical Data'!R138)</f>
        <v>-0.005340358872</v>
      </c>
    </row>
    <row r="138">
      <c r="A138" s="2">
        <f>(('Historical Data'!C140)-('Historical Data'!C139))/('Historical Data'!C139)</f>
        <v>0.005599104143</v>
      </c>
      <c r="B138" s="2">
        <f>(('Historical Data'!F140)-('Historical Data'!F139))/('Historical Data'!F139)</f>
        <v>-0.036</v>
      </c>
      <c r="C138" s="2">
        <f>(('Historical Data'!I140)-('Historical Data'!I139))/('Historical Data'!I139)</f>
        <v>0.01739130435</v>
      </c>
      <c r="D138" s="2">
        <f>(('Historical Data'!L140)-('Historical Data'!L139))/('Historical Data'!L139)</f>
        <v>0.01356321839</v>
      </c>
      <c r="E138" s="2">
        <f>(('Historical Data'!O140)-('Historical Data'!O139))/('Historical Data'!O139)</f>
        <v>0.0346170489</v>
      </c>
      <c r="F138" s="2">
        <f>(('Historical Data'!R140)-('Historical Data'!R139))/('Historical Data'!R139)</f>
        <v>-0.003507767199</v>
      </c>
    </row>
    <row r="139">
      <c r="A139" s="2">
        <f>(('Historical Data'!C141)-('Historical Data'!C140))/('Historical Data'!C140)</f>
        <v>0.01224944321</v>
      </c>
      <c r="B139" s="2">
        <f>(('Historical Data'!F141)-('Historical Data'!F140))/('Historical Data'!F140)</f>
        <v>0.03734439834</v>
      </c>
      <c r="C139" s="2">
        <f>(('Historical Data'!I141)-('Historical Data'!I140))/('Historical Data'!I140)</f>
        <v>0.1025641026</v>
      </c>
      <c r="D139" s="2">
        <f>(('Historical Data'!L141)-('Historical Data'!L140))/('Historical Data'!L140)</f>
        <v>0.03515536403</v>
      </c>
      <c r="E139" s="2">
        <f>(('Historical Data'!O141)-('Historical Data'!O140))/('Historical Data'!O140)</f>
        <v>-0.01171058135</v>
      </c>
      <c r="F139" s="2">
        <f>(('Historical Data'!R141)-('Historical Data'!R140))/('Historical Data'!R140)</f>
        <v>-0.01005747126</v>
      </c>
    </row>
    <row r="140">
      <c r="A140" s="2">
        <f>(('Historical Data'!C142)-('Historical Data'!C141))/('Historical Data'!C141)</f>
        <v>0.01265126513</v>
      </c>
      <c r="B140" s="2">
        <f>(('Historical Data'!F142)-('Historical Data'!F141))/('Historical Data'!F141)</f>
        <v>-0.016</v>
      </c>
      <c r="C140" s="2">
        <f>(('Historical Data'!I142)-('Historical Data'!I141))/('Historical Data'!I141)</f>
        <v>0.02325581395</v>
      </c>
      <c r="D140" s="2">
        <f>(('Historical Data'!L142)-('Historical Data'!L141))/('Historical Data'!L141)</f>
        <v>-0.00898334794</v>
      </c>
      <c r="E140" s="2">
        <f>(('Historical Data'!O142)-('Historical Data'!O141))/('Historical Data'!O141)</f>
        <v>-0.003808717732</v>
      </c>
      <c r="F140" s="2">
        <f>(('Historical Data'!R142)-('Historical Data'!R141))/('Historical Data'!R141)</f>
        <v>0.01444121916</v>
      </c>
    </row>
    <row r="141">
      <c r="A141" s="2">
        <f>(('Historical Data'!C143)-('Historical Data'!C142))/('Historical Data'!C142)</f>
        <v>0.004345464422</v>
      </c>
      <c r="B141" s="2">
        <f>(('Historical Data'!F143)-('Historical Data'!F142))/('Historical Data'!F142)</f>
        <v>-0.05691056911</v>
      </c>
      <c r="C141" s="2">
        <f>(('Historical Data'!I143)-('Historical Data'!I142))/('Historical Data'!I142)</f>
        <v>-0.02272727273</v>
      </c>
      <c r="D141" s="2">
        <f>(('Historical Data'!L143)-('Historical Data'!L142))/('Historical Data'!L142)</f>
        <v>0.0145920849</v>
      </c>
      <c r="E141" s="2">
        <f>(('Historical Data'!O143)-('Historical Data'!O142))/('Historical Data'!O142)</f>
        <v>0.03355989805</v>
      </c>
      <c r="F141" s="2">
        <f>(('Historical Data'!R143)-('Historical Data'!R142))/('Historical Data'!R142)</f>
        <v>0.003505257887</v>
      </c>
    </row>
    <row r="142">
      <c r="A142" s="2">
        <f>(('Historical Data'!C144)-('Historical Data'!C143))/('Historical Data'!C143)</f>
        <v>-0.003425274923</v>
      </c>
      <c r="B142" s="2">
        <f>(('Historical Data'!F144)-('Historical Data'!F143))/('Historical Data'!F143)</f>
        <v>0.06034482759</v>
      </c>
      <c r="C142" s="2">
        <f>(('Historical Data'!I144)-('Historical Data'!I143))/('Historical Data'!I143)</f>
        <v>-0.01550387597</v>
      </c>
      <c r="D142" s="2">
        <f>(('Historical Data'!L144)-('Historical Data'!L143))/('Historical Data'!L143)</f>
        <v>0.01460013075</v>
      </c>
      <c r="E142" s="2">
        <f>(('Historical Data'!O144)-('Historical Data'!O143))/('Historical Data'!O143)</f>
        <v>-0.003288121661</v>
      </c>
      <c r="F142" s="2">
        <f>(('Historical Data'!R144)-('Historical Data'!R143))/('Historical Data'!R143)</f>
        <v>0.004063301967</v>
      </c>
    </row>
    <row r="143">
      <c r="A143" s="2">
        <f>(('Historical Data'!C145)-('Historical Data'!C144))/('Historical Data'!C144)</f>
        <v>-0.009225759768</v>
      </c>
      <c r="B143" s="2">
        <f>(('Historical Data'!F145)-('Historical Data'!F144))/('Historical Data'!F144)</f>
        <v>-0.0487804878</v>
      </c>
      <c r="C143" s="2">
        <f>(('Historical Data'!I145)-('Historical Data'!I144))/('Historical Data'!I144)</f>
        <v>0.03937007874</v>
      </c>
      <c r="D143" s="2">
        <f>(('Historical Data'!L145)-('Historical Data'!L144))/('Historical Data'!L144)</f>
        <v>-0.0008591065292</v>
      </c>
      <c r="E143" s="2">
        <f>(('Historical Data'!O145)-('Historical Data'!O144))/('Historical Data'!O144)</f>
        <v>0.00618556701</v>
      </c>
      <c r="F143" s="2">
        <f>(('Historical Data'!R145)-('Historical Data'!R144))/('Historical Data'!R144)</f>
        <v>-0.01483848065</v>
      </c>
    </row>
    <row r="144">
      <c r="A144" s="2">
        <f>(('Historical Data'!C146)-('Historical Data'!C145))/('Historical Data'!C145)</f>
        <v>0.005477451159</v>
      </c>
      <c r="B144" s="2">
        <f>(('Historical Data'!F146)-('Historical Data'!F145))/('Historical Data'!F145)</f>
        <v>0.02564102564</v>
      </c>
      <c r="C144" s="2">
        <f>(('Historical Data'!I146)-('Historical Data'!I145))/('Historical Data'!I145)</f>
        <v>-0.02272727273</v>
      </c>
      <c r="D144" s="2">
        <f>(('Historical Data'!L146)-('Historical Data'!L145))/('Historical Data'!L145)</f>
        <v>0.005588993981</v>
      </c>
      <c r="E144" s="2">
        <f>(('Historical Data'!O146)-('Historical Data'!O145))/('Historical Data'!O145)</f>
        <v>0.009426229508</v>
      </c>
      <c r="F144" s="2">
        <f>(('Historical Data'!R146)-('Historical Data'!R145))/('Historical Data'!R145)</f>
        <v>0.005188815221</v>
      </c>
    </row>
    <row r="145">
      <c r="A145" s="2">
        <f>(('Historical Data'!C147)-('Historical Data'!C146))/('Historical Data'!C146)</f>
        <v>0.00544761213</v>
      </c>
      <c r="B145" s="2">
        <f>(('Historical Data'!F147)-('Historical Data'!F146))/('Historical Data'!F146)</f>
        <v>-0.008333333333</v>
      </c>
      <c r="C145" s="2">
        <f>(('Historical Data'!I147)-('Historical Data'!I146))/('Historical Data'!I146)</f>
        <v>-0.01550387597</v>
      </c>
      <c r="D145" s="2">
        <f>(('Historical Data'!L147)-('Historical Data'!L146))/('Historical Data'!L146)</f>
        <v>-0.01239846088</v>
      </c>
      <c r="E145" s="2">
        <f>(('Historical Data'!O147)-('Historical Data'!O146))/('Historical Data'!O146)</f>
        <v>-0.01827040195</v>
      </c>
      <c r="F145" s="2">
        <f>(('Historical Data'!R147)-('Historical Data'!R146))/('Historical Data'!R146)</f>
        <v>0.01971608833</v>
      </c>
    </row>
    <row r="146">
      <c r="A146" s="2">
        <f>(('Historical Data'!C148)-('Historical Data'!C147))/('Historical Data'!C147)</f>
        <v>0.001444825718</v>
      </c>
      <c r="B146" s="2">
        <f>(('Historical Data'!F148)-('Historical Data'!F147))/('Historical Data'!F147)</f>
        <v>-0.008403361345</v>
      </c>
      <c r="C146" s="2">
        <f>(('Historical Data'!I148)-('Historical Data'!I147))/('Historical Data'!I147)</f>
        <v>-0.03149606299</v>
      </c>
      <c r="D146" s="2">
        <f>(('Historical Data'!L148)-('Historical Data'!L147))/('Historical Data'!L147)</f>
        <v>-0.01212121212</v>
      </c>
      <c r="E146" s="2">
        <f>(('Historical Data'!O148)-('Historical Data'!O147))/('Historical Data'!O147)</f>
        <v>-0.004135649297</v>
      </c>
      <c r="F146" s="2">
        <f>(('Historical Data'!R148)-('Historical Data'!R147))/('Historical Data'!R147)</f>
        <v>-0.002460802925</v>
      </c>
    </row>
    <row r="147">
      <c r="A147" s="2">
        <f>(('Historical Data'!C149)-('Historical Data'!C148))/('Historical Data'!C148)</f>
        <v>0.01442741208</v>
      </c>
      <c r="B147" s="2">
        <f>(('Historical Data'!F149)-('Historical Data'!F148))/('Historical Data'!F148)</f>
        <v>-0.02966101695</v>
      </c>
      <c r="C147" s="2">
        <f>(('Historical Data'!I149)-('Historical Data'!I148))/('Historical Data'!I148)</f>
        <v>0.008130081301</v>
      </c>
      <c r="D147" s="2">
        <f>(('Historical Data'!L149)-('Historical Data'!L148))/('Historical Data'!L148)</f>
        <v>0.01314636284</v>
      </c>
      <c r="E147" s="2">
        <f>(('Historical Data'!O149)-('Historical Data'!O148))/('Historical Data'!O148)</f>
        <v>0.06686046512</v>
      </c>
      <c r="F147" s="2">
        <f>(('Historical Data'!R149)-('Historical Data'!R148))/('Historical Data'!R148)</f>
        <v>0.01458979419</v>
      </c>
    </row>
    <row r="148">
      <c r="A148" s="2">
        <f>(('Historical Data'!C150)-('Historical Data'!C149))/('Historical Data'!C149)</f>
        <v>-0.009955555556</v>
      </c>
      <c r="B148" s="2">
        <f>(('Historical Data'!F150)-('Historical Data'!F149))/('Historical Data'!F149)</f>
        <v>0.02620087336</v>
      </c>
      <c r="C148" s="2">
        <f>(('Historical Data'!I150)-('Historical Data'!I149))/('Historical Data'!I149)</f>
        <v>-0.0564516129</v>
      </c>
      <c r="D148" s="2">
        <f>(('Historical Data'!L150)-('Historical Data'!L149))/('Historical Data'!L149)</f>
        <v>0.01319204152</v>
      </c>
      <c r="E148" s="2">
        <f>(('Historical Data'!O150)-('Historical Data'!O149))/('Historical Data'!O149)</f>
        <v>-0.02452316076</v>
      </c>
      <c r="F148" s="2">
        <f>(('Historical Data'!R150)-('Historical Data'!R149))/('Historical Data'!R149)</f>
        <v>-0.01055922195</v>
      </c>
    </row>
    <row r="149">
      <c r="A149" s="2">
        <f>(('Historical Data'!C151)-('Historical Data'!C150))/('Historical Data'!C150)</f>
        <v>0.001256958161</v>
      </c>
      <c r="B149" s="2">
        <f>(('Historical Data'!F151)-('Historical Data'!F150))/('Historical Data'!F150)</f>
        <v>-0.01276595745</v>
      </c>
      <c r="C149" s="2">
        <f>(('Historical Data'!I151)-('Historical Data'!I150))/('Historical Data'!I150)</f>
        <v>0.04273504274</v>
      </c>
      <c r="D149" s="2">
        <f>(('Historical Data'!L151)-('Historical Data'!L150))/('Historical Data'!L150)</f>
        <v>0.009818569904</v>
      </c>
      <c r="E149" s="2">
        <f>(('Historical Data'!O151)-('Historical Data'!O150))/('Historical Data'!O150)</f>
        <v>0.01117318436</v>
      </c>
      <c r="F149" s="2">
        <f>(('Historical Data'!R151)-('Historical Data'!R150))/('Historical Data'!R150)</f>
        <v>0.0004914694938</v>
      </c>
    </row>
    <row r="150">
      <c r="A150" s="2">
        <f>(('Historical Data'!C152)-('Historical Data'!C151))/('Historical Data'!C151)</f>
        <v>-0.003048780488</v>
      </c>
      <c r="B150" s="2">
        <f>(('Historical Data'!F152)-('Historical Data'!F151))/('Historical Data'!F151)</f>
        <v>-0.02586206897</v>
      </c>
      <c r="C150" s="2">
        <f>(('Historical Data'!I152)-('Historical Data'!I151))/('Historical Data'!I151)</f>
        <v>0.04918032787</v>
      </c>
      <c r="D150" s="2">
        <f>(('Historical Data'!L152)-('Historical Data'!L151))/('Historical Data'!L151)</f>
        <v>-0.02959205242</v>
      </c>
      <c r="E150" s="2">
        <f>(('Historical Data'!O152)-('Historical Data'!O151))/('Historical Data'!O151)</f>
        <v>0.008681925809</v>
      </c>
      <c r="F150" s="2">
        <f>(('Historical Data'!R152)-('Historical Data'!R151))/('Historical Data'!R151)</f>
        <v>-0.007649122807</v>
      </c>
    </row>
    <row r="151">
      <c r="A151" s="2">
        <f>(('Historical Data'!C153)-('Historical Data'!C152))/('Historical Data'!C152)</f>
        <v>-0.00215866163</v>
      </c>
      <c r="B151" s="2">
        <f>(('Historical Data'!F153)-('Historical Data'!F152))/('Historical Data'!F152)</f>
        <v>-0.1061946903</v>
      </c>
      <c r="C151" s="2">
        <f>(('Historical Data'!I153)-('Historical Data'!I152))/('Historical Data'!I152)</f>
        <v>0.0078125</v>
      </c>
      <c r="D151" s="2">
        <f>(('Historical Data'!L153)-('Historical Data'!L152))/('Historical Data'!L152)</f>
        <v>0.01459377042</v>
      </c>
      <c r="E151" s="2">
        <f>(('Historical Data'!O153)-('Historical Data'!O152))/('Historical Data'!O152)</f>
        <v>-0.01095461659</v>
      </c>
      <c r="F151" s="2">
        <f>(('Historical Data'!R153)-('Historical Data'!R152))/('Historical Data'!R152)</f>
        <v>0.005445159465</v>
      </c>
    </row>
    <row r="152">
      <c r="A152" s="2">
        <f>(('Historical Data'!C154)-('Historical Data'!C153))/('Historical Data'!C153)</f>
        <v>0.002523886786</v>
      </c>
      <c r="B152" s="2">
        <f>(('Historical Data'!F154)-('Historical Data'!F153))/('Historical Data'!F153)</f>
        <v>-0.05940594059</v>
      </c>
      <c r="C152" s="2">
        <f>(('Historical Data'!I154)-('Historical Data'!I153))/('Historical Data'!I153)</f>
        <v>0.03100775194</v>
      </c>
      <c r="D152" s="2">
        <f>(('Historical Data'!L154)-('Historical Data'!L153))/('Historical Data'!L153)</f>
        <v>0.001288106483</v>
      </c>
      <c r="E152" s="2">
        <f>(('Historical Data'!O154)-('Historical Data'!O153))/('Historical Data'!O153)</f>
        <v>0.02373417722</v>
      </c>
      <c r="F152" s="2">
        <f>(('Historical Data'!R154)-('Historical Data'!R153))/('Historical Data'!R153)</f>
        <v>0.000633000422</v>
      </c>
    </row>
    <row r="153">
      <c r="A153" s="2">
        <f>(('Historical Data'!C155)-('Historical Data'!C154))/('Historical Data'!C154)</f>
        <v>0.004495594318</v>
      </c>
      <c r="B153" s="2">
        <f>(('Historical Data'!F155)-('Historical Data'!F154))/('Historical Data'!F154)</f>
        <v>0.1105263158</v>
      </c>
      <c r="C153" s="2">
        <f>(('Historical Data'!I155)-('Historical Data'!I154))/('Historical Data'!I154)</f>
        <v>-0.01503759398</v>
      </c>
      <c r="D153" s="2">
        <f>(('Historical Data'!L155)-('Historical Data'!L154))/('Historical Data'!L154)</f>
        <v>0</v>
      </c>
      <c r="E153" s="2">
        <f>(('Historical Data'!O155)-('Historical Data'!O154))/('Historical Data'!O154)</f>
        <v>0.007341576507</v>
      </c>
      <c r="F153" s="2">
        <f>(('Historical Data'!R155)-('Historical Data'!R154))/('Historical Data'!R154)</f>
        <v>0.002460111056</v>
      </c>
    </row>
    <row r="154">
      <c r="A154" s="2">
        <f>(('Historical Data'!C156)-('Historical Data'!C155))/('Historical Data'!C155)</f>
        <v>0.009488005729</v>
      </c>
      <c r="B154" s="2">
        <f>(('Historical Data'!F156)-('Historical Data'!F155))/('Historical Data'!F155)</f>
        <v>0.08056872038</v>
      </c>
      <c r="C154" s="2">
        <f>(('Historical Data'!I156)-('Historical Data'!I155))/('Historical Data'!I155)</f>
        <v>-0.06870229008</v>
      </c>
      <c r="D154" s="2">
        <f>(('Historical Data'!L156)-('Historical Data'!L155))/('Historical Data'!L155)</f>
        <v>-0.003216123499</v>
      </c>
      <c r="E154" s="2">
        <f>(('Historical Data'!O156)-('Historical Data'!O155))/('Historical Data'!O155)</f>
        <v>-0.01534330648</v>
      </c>
      <c r="F154" s="2">
        <f>(('Historical Data'!R156)-('Historical Data'!R155))/('Historical Data'!R155)</f>
        <v>0.002313840976</v>
      </c>
    </row>
    <row r="155">
      <c r="A155" s="2">
        <f>(('Historical Data'!C157)-('Historical Data'!C156))/('Historical Data'!C156)</f>
        <v>0.001418691257</v>
      </c>
      <c r="B155" s="2">
        <f>(('Historical Data'!F157)-('Historical Data'!F156))/('Historical Data'!F156)</f>
        <v>0.03070175439</v>
      </c>
      <c r="C155" s="2">
        <f>(('Historical Data'!I157)-('Historical Data'!I156))/('Historical Data'!I156)</f>
        <v>-0.03278688525</v>
      </c>
      <c r="D155" s="2">
        <f>(('Historical Data'!L157)-('Historical Data'!L156))/('Historical Data'!L156)</f>
        <v>0.001505700151</v>
      </c>
      <c r="E155" s="2">
        <f>(('Historical Data'!O157)-('Historical Data'!O156))/('Historical Data'!O156)</f>
        <v>-0.01753019088</v>
      </c>
      <c r="F155" s="2">
        <f>(('Historical Data'!R157)-('Historical Data'!R156))/('Historical Data'!R156)</f>
        <v>0.004826862539</v>
      </c>
    </row>
    <row r="156">
      <c r="A156" s="2">
        <f>(('Historical Data'!C158)-('Historical Data'!C157))/('Historical Data'!C157)</f>
        <v>-0.003364618381</v>
      </c>
      <c r="B156" s="2">
        <f>(('Historical Data'!F158)-('Historical Data'!F157))/('Historical Data'!F157)</f>
        <v>-0.0170212766</v>
      </c>
      <c r="C156" s="2">
        <f>(('Historical Data'!I158)-('Historical Data'!I157))/('Historical Data'!I157)</f>
        <v>0.0593220339</v>
      </c>
      <c r="D156" s="2">
        <f>(('Historical Data'!L158)-('Historical Data'!L157))/('Historical Data'!L157)</f>
        <v>-0.007087628866</v>
      </c>
      <c r="E156" s="2">
        <f>(('Historical Data'!O158)-('Historical Data'!O157))/('Historical Data'!O157)</f>
        <v>-0.01942902458</v>
      </c>
      <c r="F156" s="2">
        <f>(('Historical Data'!R158)-('Historical Data'!R157))/('Historical Data'!R157)</f>
        <v>0.006961849067</v>
      </c>
    </row>
    <row r="157">
      <c r="A157" s="2">
        <f>(('Historical Data'!C159)-('Historical Data'!C158))/('Historical Data'!C158)</f>
        <v>-0.004797441365</v>
      </c>
      <c r="B157" s="2">
        <f>(('Historical Data'!F159)-('Historical Data'!F158))/('Historical Data'!F158)</f>
        <v>-0.02597402597</v>
      </c>
      <c r="C157" s="2">
        <f>(('Historical Data'!I159)-('Historical Data'!I158))/('Historical Data'!I158)</f>
        <v>0.056</v>
      </c>
      <c r="D157" s="2">
        <f>(('Historical Data'!L159)-('Historical Data'!L158))/('Historical Data'!L158)</f>
        <v>-0.01297858533</v>
      </c>
      <c r="E157" s="2">
        <f>(('Historical Data'!O159)-('Historical Data'!O158))/('Historical Data'!O158)</f>
        <v>0.001617468662</v>
      </c>
      <c r="F157" s="2">
        <f>(('Historical Data'!R159)-('Historical Data'!R158))/('Historical Data'!R158)</f>
        <v>0.001659292035</v>
      </c>
    </row>
    <row r="158">
      <c r="A158" s="2">
        <f>(('Historical Data'!C160)-('Historical Data'!C159))/('Historical Data'!C159)</f>
        <v>-0.015354401</v>
      </c>
      <c r="B158" s="2">
        <f>(('Historical Data'!F160)-('Historical Data'!F159))/('Historical Data'!F159)</f>
        <v>-0.008888888889</v>
      </c>
      <c r="C158" s="2">
        <f>(('Historical Data'!I160)-('Historical Data'!I159))/('Historical Data'!I159)</f>
        <v>-0.0303030303</v>
      </c>
      <c r="D158" s="2">
        <f>(('Historical Data'!L160)-('Historical Data'!L159))/('Historical Data'!L159)</f>
        <v>-0.01402586018</v>
      </c>
      <c r="E158" s="2">
        <f>(('Historical Data'!O160)-('Historical Data'!O159))/('Historical Data'!O159)</f>
        <v>-0.01695599516</v>
      </c>
      <c r="F158" s="2">
        <f>(('Historical Data'!R160)-('Historical Data'!R159))/('Historical Data'!R159)</f>
        <v>-0.01090557703</v>
      </c>
    </row>
    <row r="159">
      <c r="A159" s="2">
        <f>(('Historical Data'!C161)-('Historical Data'!C160))/('Historical Data'!C160)</f>
        <v>0.0384406165</v>
      </c>
      <c r="B159" s="2">
        <f>(('Historical Data'!F161)-('Historical Data'!F160))/('Historical Data'!F160)</f>
        <v>-0.02242152466</v>
      </c>
      <c r="C159" s="2">
        <f>(('Historical Data'!I161)-('Historical Data'!I160))/('Historical Data'!I160)</f>
        <v>0.0078125</v>
      </c>
      <c r="D159" s="2">
        <f>(('Historical Data'!L161)-('Historical Data'!L160))/('Historical Data'!L160)</f>
        <v>-0.007112691709</v>
      </c>
      <c r="E159" s="2">
        <f>(('Historical Data'!O161)-('Historical Data'!O160))/('Historical Data'!O160)</f>
        <v>-0.03244353183</v>
      </c>
      <c r="F159" s="2">
        <f>(('Historical Data'!R161)-('Historical Data'!R160))/('Historical Data'!R160)</f>
        <v>0.01179344033</v>
      </c>
    </row>
    <row r="160">
      <c r="A160" s="2">
        <f>(('Historical Data'!C162)-('Historical Data'!C161))/('Historical Data'!C161)</f>
        <v>0.0165880915</v>
      </c>
      <c r="B160" s="2">
        <f>(('Historical Data'!F162)-('Historical Data'!F161))/('Historical Data'!F161)</f>
        <v>0.02752293578</v>
      </c>
      <c r="C160" s="2">
        <f>(('Historical Data'!I162)-('Historical Data'!I161))/('Historical Data'!I161)</f>
        <v>-0.06976744186</v>
      </c>
      <c r="D160" s="2">
        <f>(('Historical Data'!L162)-('Historical Data'!L161))/('Historical Data'!L161)</f>
        <v>-0.01880456682</v>
      </c>
      <c r="E160" s="2">
        <f>(('Historical Data'!O162)-('Historical Data'!O161))/('Historical Data'!O161)</f>
        <v>0.003395585739</v>
      </c>
      <c r="F160" s="2">
        <f>(('Historical Data'!R162)-('Historical Data'!R161))/('Historical Data'!R161)</f>
        <v>0.0006897027381</v>
      </c>
    </row>
    <row r="161">
      <c r="A161" s="2">
        <f>(('Historical Data'!C163)-('Historical Data'!C162))/('Historical Data'!C162)</f>
        <v>0.005496392992</v>
      </c>
      <c r="B161" s="2">
        <f>(('Historical Data'!F163)-('Historical Data'!F162))/('Historical Data'!F162)</f>
        <v>0.02232142857</v>
      </c>
      <c r="C161" s="2">
        <f>(('Historical Data'!I163)-('Historical Data'!I162))/('Historical Data'!I162)</f>
        <v>-0.025</v>
      </c>
      <c r="D161" s="2">
        <f>(('Historical Data'!L163)-('Historical Data'!L162))/('Historical Data'!L162)</f>
        <v>0.003650467716</v>
      </c>
      <c r="E161" s="2">
        <f>(('Historical Data'!O163)-('Historical Data'!O162))/('Historical Data'!O162)</f>
        <v>0.03172588832</v>
      </c>
      <c r="F161" s="2">
        <f>(('Historical Data'!R163)-('Historical Data'!R162))/('Historical Data'!R162)</f>
        <v>-0.005100282583</v>
      </c>
    </row>
    <row r="162">
      <c r="A162" s="2">
        <f>(('Historical Data'!C164)-('Historical Data'!C163))/('Historical Data'!C163)</f>
        <v>0.01332422275</v>
      </c>
      <c r="B162" s="2">
        <f>(('Historical Data'!F164)-('Historical Data'!F163))/('Historical Data'!F163)</f>
        <v>0.004366812227</v>
      </c>
      <c r="C162" s="2">
        <f>(('Historical Data'!I164)-('Historical Data'!I163))/('Historical Data'!I163)</f>
        <v>-0.01709401709</v>
      </c>
      <c r="D162" s="2">
        <f>(('Historical Data'!L164)-('Historical Data'!L163))/('Historical Data'!L163)</f>
        <v>-0.0006819731757</v>
      </c>
      <c r="E162" s="2">
        <f>(('Historical Data'!O164)-('Historical Data'!O163))/('Historical Data'!O163)</f>
        <v>0.0106601066</v>
      </c>
      <c r="F162" s="2">
        <f>(('Historical Data'!R164)-('Historical Data'!R163))/('Historical Data'!R163)</f>
        <v>-0.008105299619</v>
      </c>
    </row>
    <row r="163">
      <c r="A163" s="2">
        <f>(('Historical Data'!C165)-('Historical Data'!C164))/('Historical Data'!C164)</f>
        <v>0.0005057316251</v>
      </c>
      <c r="B163" s="2">
        <f>(('Historical Data'!F165)-('Historical Data'!F164))/('Historical Data'!F164)</f>
        <v>0.02608695652</v>
      </c>
      <c r="C163" s="2">
        <f>(('Historical Data'!I165)-('Historical Data'!I164))/('Historical Data'!I164)</f>
        <v>-0.008695652174</v>
      </c>
      <c r="D163" s="2">
        <f>(('Historical Data'!L165)-('Historical Data'!L164))/('Historical Data'!L164)</f>
        <v>-0.004549590537</v>
      </c>
      <c r="E163" s="2">
        <f>(('Historical Data'!O165)-('Historical Data'!O164))/('Historical Data'!O164)</f>
        <v>-0.0008113590264</v>
      </c>
      <c r="F163" s="2">
        <f>(('Historical Data'!R165)-('Historical Data'!R164))/('Historical Data'!R164)</f>
        <v>-0.003561949993</v>
      </c>
    </row>
    <row r="164">
      <c r="A164" s="2">
        <f>(('Historical Data'!C166)-('Historical Data'!C165))/('Historical Data'!C165)</f>
        <v>-0.002527379949</v>
      </c>
      <c r="B164" s="2">
        <f>(('Historical Data'!F166)-('Historical Data'!F165))/('Historical Data'!F165)</f>
        <v>0.05084745763</v>
      </c>
      <c r="C164" s="2">
        <f>(('Historical Data'!I166)-('Historical Data'!I165))/('Historical Data'!I165)</f>
        <v>0.04385964912</v>
      </c>
      <c r="D164" s="2">
        <f>(('Historical Data'!L166)-('Historical Data'!L165))/('Historical Data'!L165)</f>
        <v>0.01736745887</v>
      </c>
      <c r="E164" s="2">
        <f>(('Historical Data'!O166)-('Historical Data'!O165))/('Historical Data'!O165)</f>
        <v>-0.01339829476</v>
      </c>
      <c r="F164" s="2">
        <f>(('Historical Data'!R166)-('Historical Data'!R165))/('Historical Data'!R165)</f>
        <v>-0.001752295507</v>
      </c>
    </row>
    <row r="165">
      <c r="A165" s="2">
        <f>(('Historical Data'!C167)-('Historical Data'!C166))/('Historical Data'!C166)</f>
        <v>-0.003040540541</v>
      </c>
      <c r="B165" s="2">
        <f>(('Historical Data'!F167)-('Historical Data'!F166))/('Historical Data'!F166)</f>
        <v>0</v>
      </c>
      <c r="C165" s="2">
        <f>(('Historical Data'!I167)-('Historical Data'!I166))/('Historical Data'!I166)</f>
        <v>0.0756302521</v>
      </c>
      <c r="D165" s="2">
        <f>(('Historical Data'!L167)-('Historical Data'!L166))/('Historical Data'!L166)</f>
        <v>-0.006513926325</v>
      </c>
      <c r="E165" s="2">
        <f>(('Historical Data'!O167)-('Historical Data'!O166))/('Historical Data'!O166)</f>
        <v>0.02633744856</v>
      </c>
      <c r="F165" s="2">
        <f>(('Historical Data'!R167)-('Historical Data'!R166))/('Historical Data'!R166)</f>
        <v>-0.0007723634321</v>
      </c>
    </row>
    <row r="166">
      <c r="A166" s="2">
        <f>(('Historical Data'!C168)-('Historical Data'!C167))/('Historical Data'!C167)</f>
        <v>0.001863774992</v>
      </c>
      <c r="B166" s="2">
        <f>(('Historical Data'!F168)-('Historical Data'!F167))/('Historical Data'!F167)</f>
        <v>-0.04435483871</v>
      </c>
      <c r="C166" s="2">
        <f>(('Historical Data'!I168)-('Historical Data'!I167))/('Historical Data'!I167)</f>
        <v>-0.0625</v>
      </c>
      <c r="D166" s="2">
        <f>(('Historical Data'!L168)-('Historical Data'!L167))/('Historical Data'!L167)</f>
        <v>-0.00316527244</v>
      </c>
      <c r="E166" s="2">
        <f>(('Historical Data'!O168)-('Historical Data'!O167))/('Historical Data'!O167)</f>
        <v>-0.009623095429</v>
      </c>
      <c r="F166" s="2">
        <f>(('Historical Data'!R168)-('Historical Data'!R167))/('Historical Data'!R167)</f>
        <v>0.004356686108</v>
      </c>
    </row>
    <row r="167">
      <c r="A167" s="2">
        <f>(('Historical Data'!C169)-('Historical Data'!C168))/('Historical Data'!C168)</f>
        <v>-0.001860307796</v>
      </c>
      <c r="B167" s="2">
        <f>(('Historical Data'!F169)-('Historical Data'!F168))/('Historical Data'!F168)</f>
        <v>0.004219409283</v>
      </c>
      <c r="C167" s="2">
        <f>(('Historical Data'!I169)-('Historical Data'!I168))/('Historical Data'!I168)</f>
        <v>0.225</v>
      </c>
      <c r="D167" s="2">
        <f>(('Historical Data'!L169)-('Historical Data'!L168))/('Historical Data'!L168)</f>
        <v>-0.007031072806</v>
      </c>
      <c r="E167" s="2">
        <f>(('Historical Data'!O169)-('Historical Data'!O168))/('Historical Data'!O168)</f>
        <v>-0.00971659919</v>
      </c>
      <c r="F167" s="2">
        <f>(('Historical Data'!R169)-('Historical Data'!R168))/('Historical Data'!R168)</f>
        <v>-0.003778073183</v>
      </c>
    </row>
    <row r="168">
      <c r="A168" s="2">
        <f>(('Historical Data'!C170)-('Historical Data'!C169))/('Historical Data'!C169)</f>
        <v>0.0003388681803</v>
      </c>
      <c r="B168" s="2">
        <f>(('Historical Data'!F170)-('Historical Data'!F169))/('Historical Data'!F169)</f>
        <v>-0.02521008403</v>
      </c>
      <c r="C168" s="2">
        <f>(('Historical Data'!I170)-('Historical Data'!I169))/('Historical Data'!I169)</f>
        <v>-0.06802721088</v>
      </c>
      <c r="D168" s="2">
        <f>(('Historical Data'!L170)-('Historical Data'!L169))/('Historical Data'!L169)</f>
        <v>0.005481955231</v>
      </c>
      <c r="E168" s="2">
        <f>(('Historical Data'!O170)-('Historical Data'!O169))/('Historical Data'!O169)</f>
        <v>-0.006132461161</v>
      </c>
      <c r="F168" s="2">
        <f>(('Historical Data'!R170)-('Historical Data'!R169))/('Historical Data'!R169)</f>
        <v>0.01018329939</v>
      </c>
    </row>
    <row r="169">
      <c r="A169" s="2">
        <f>(('Historical Data'!C171)-('Historical Data'!C170))/('Historical Data'!C170)</f>
        <v>0.008299457995</v>
      </c>
      <c r="B169" s="2">
        <f>(('Historical Data'!F171)-('Historical Data'!F170))/('Historical Data'!F170)</f>
        <v>-0.01293103448</v>
      </c>
      <c r="C169" s="2">
        <f>(('Historical Data'!I171)-('Historical Data'!I170))/('Historical Data'!I170)</f>
        <v>-0.1459854015</v>
      </c>
      <c r="D169" s="2">
        <f>(('Historical Data'!L171)-('Historical Data'!L170))/('Historical Data'!L170)</f>
        <v>-0.008859609269</v>
      </c>
      <c r="E169" s="2">
        <f>(('Historical Data'!O171)-('Historical Data'!O170))/('Historical Data'!O170)</f>
        <v>0.02180172768</v>
      </c>
      <c r="F169" s="2">
        <f>(('Historical Data'!R171)-('Historical Data'!R170))/('Historical Data'!R170)</f>
        <v>0.0007647385984</v>
      </c>
    </row>
    <row r="170">
      <c r="A170" s="2">
        <f>(('Historical Data'!C172)-('Historical Data'!C171))/('Historical Data'!C171)</f>
        <v>-0.001847807828</v>
      </c>
      <c r="B170" s="2">
        <f>(('Historical Data'!F172)-('Historical Data'!F171))/('Historical Data'!F171)</f>
        <v>0</v>
      </c>
      <c r="C170" s="2">
        <f>(('Historical Data'!I172)-('Historical Data'!I171))/('Historical Data'!I171)</f>
        <v>-0.02564102564</v>
      </c>
      <c r="D170" s="2">
        <f>(('Historical Data'!L172)-('Historical Data'!L171))/('Historical Data'!L171)</f>
        <v>-0.005042402017</v>
      </c>
      <c r="E170" s="2">
        <f>(('Historical Data'!O172)-('Historical Data'!O171))/('Historical Data'!O171)</f>
        <v>-0.002415458937</v>
      </c>
      <c r="F170" s="2">
        <f>(('Historical Data'!R172)-('Historical Data'!R171))/('Historical Data'!R171)</f>
        <v>0.0006946856547</v>
      </c>
    </row>
    <row r="171">
      <c r="A171" s="2">
        <f>(('Historical Data'!C173)-('Historical Data'!C172))/('Historical Data'!C172)</f>
        <v>-0.009087849209</v>
      </c>
      <c r="B171" s="2">
        <f>(('Historical Data'!F173)-('Historical Data'!F172))/('Historical Data'!F172)</f>
        <v>-0.08733624454</v>
      </c>
      <c r="C171" s="2">
        <f>(('Historical Data'!I173)-('Historical Data'!I172))/('Historical Data'!I172)</f>
        <v>-0.008771929825</v>
      </c>
      <c r="D171" s="2">
        <f>(('Historical Data'!L173)-('Historical Data'!L172))/('Historical Data'!L172)</f>
        <v>0.008523381709</v>
      </c>
      <c r="E171" s="2">
        <f>(('Historical Data'!O173)-('Historical Data'!O172))/('Historical Data'!O172)</f>
        <v>-0.007667473769</v>
      </c>
      <c r="F171" s="2">
        <f>(('Historical Data'!R173)-('Historical Data'!R172))/('Historical Data'!R172)</f>
        <v>-0.003748698369</v>
      </c>
    </row>
    <row r="172">
      <c r="A172" s="2">
        <f>(('Historical Data'!C174)-('Historical Data'!C173))/('Historical Data'!C173)</f>
        <v>-0.00339673913</v>
      </c>
      <c r="B172" s="2">
        <f>(('Historical Data'!F174)-('Historical Data'!F173))/('Historical Data'!F173)</f>
        <v>0.06698564593</v>
      </c>
      <c r="C172" s="2">
        <f>(('Historical Data'!I174)-('Historical Data'!I173))/('Historical Data'!I173)</f>
        <v>0.1061946903</v>
      </c>
      <c r="D172" s="2">
        <f>(('Historical Data'!L174)-('Historical Data'!L173))/('Historical Data'!L173)</f>
        <v>-0.01210598447</v>
      </c>
      <c r="E172" s="2">
        <f>(('Historical Data'!O174)-('Historical Data'!O173))/('Historical Data'!O173)</f>
        <v>-0.006913379423</v>
      </c>
      <c r="F172" s="2">
        <f>(('Historical Data'!R174)-('Historical Data'!R173))/('Historical Data'!R173)</f>
        <v>0.007595289527</v>
      </c>
    </row>
    <row r="173">
      <c r="A173" s="2">
        <f>(('Historical Data'!C175)-('Historical Data'!C174))/('Historical Data'!C174)</f>
        <v>-0.001363326517</v>
      </c>
      <c r="B173" s="2">
        <f>(('Historical Data'!F175)-('Historical Data'!F174))/('Historical Data'!F174)</f>
        <v>-0.01793721973</v>
      </c>
      <c r="C173" s="2">
        <f>(('Historical Data'!I175)-('Historical Data'!I174))/('Historical Data'!I174)</f>
        <v>0.264</v>
      </c>
      <c r="D173" s="2">
        <f>(('Historical Data'!L175)-('Historical Data'!L174))/('Historical Data'!L174)</f>
        <v>-0.01942196532</v>
      </c>
      <c r="E173" s="2">
        <f>(('Historical Data'!O175)-('Historical Data'!O174))/('Historical Data'!O174)</f>
        <v>-0.004504504505</v>
      </c>
      <c r="F173" s="2">
        <f>(('Historical Data'!R175)-('Historical Data'!R174))/('Historical Data'!R174)</f>
        <v>-0.004218533887</v>
      </c>
    </row>
    <row r="174">
      <c r="A174" s="2">
        <f>(('Historical Data'!C176)-('Historical Data'!C175))/('Historical Data'!C175)</f>
        <v>-0.01211604096</v>
      </c>
      <c r="B174" s="2">
        <f>(('Historical Data'!F176)-('Historical Data'!F175))/('Historical Data'!F175)</f>
        <v>-0.02739726027</v>
      </c>
      <c r="C174" s="2">
        <f>(('Historical Data'!I176)-('Historical Data'!I175))/('Historical Data'!I175)</f>
        <v>-0.03797468354</v>
      </c>
      <c r="D174" s="2">
        <f>(('Historical Data'!L176)-('Historical Data'!L175))/('Historical Data'!L175)</f>
        <v>0.002357934449</v>
      </c>
      <c r="E174" s="2">
        <f>(('Historical Data'!O176)-('Historical Data'!O175))/('Historical Data'!O175)</f>
        <v>0.007815713698</v>
      </c>
      <c r="F174" s="2">
        <f>(('Historical Data'!R176)-('Historical Data'!R175))/('Historical Data'!R175)</f>
        <v>0.0009722897423</v>
      </c>
    </row>
    <row r="175">
      <c r="A175" s="2">
        <f>(('Historical Data'!C177)-('Historical Data'!C176))/('Historical Data'!C176)</f>
        <v>0.003627569528</v>
      </c>
      <c r="B175" s="2">
        <f>(('Historical Data'!F177)-('Historical Data'!F176))/('Historical Data'!F176)</f>
        <v>-0.117370892</v>
      </c>
      <c r="C175" s="2">
        <f>(('Historical Data'!I177)-('Historical Data'!I176))/('Historical Data'!I176)</f>
        <v>-0.01973684211</v>
      </c>
      <c r="D175" s="2">
        <f>(('Historical Data'!L177)-('Historical Data'!L176))/('Historical Data'!L176)</f>
        <v>0.001411432604</v>
      </c>
      <c r="E175" s="2">
        <f>(('Historical Data'!O177)-('Historical Data'!O176))/('Historical Data'!O176)</f>
        <v>0.02204081633</v>
      </c>
      <c r="F175" s="2">
        <f>(('Historical Data'!R177)-('Historical Data'!R176))/('Historical Data'!R176)</f>
        <v>0.01075418025</v>
      </c>
    </row>
    <row r="176">
      <c r="A176" s="2">
        <f>(('Historical Data'!C178)-('Historical Data'!C177))/('Historical Data'!C177)</f>
        <v>-0.00395869191</v>
      </c>
      <c r="B176" s="2">
        <f>(('Historical Data'!F178)-('Historical Data'!F177))/('Historical Data'!F177)</f>
        <v>-0.04255319149</v>
      </c>
      <c r="C176" s="2">
        <f>(('Historical Data'!I178)-('Historical Data'!I177))/('Historical Data'!I177)</f>
        <v>-0.07382550336</v>
      </c>
      <c r="D176" s="2">
        <f>(('Historical Data'!L178)-('Historical Data'!L177))/('Historical Data'!L177)</f>
        <v>0.0281888654</v>
      </c>
      <c r="E176" s="2">
        <f>(('Historical Data'!O178)-('Historical Data'!O177))/('Historical Data'!O177)</f>
        <v>-0.01557507987</v>
      </c>
      <c r="F176" s="2">
        <f>(('Historical Data'!R178)-('Historical Data'!R177))/('Historical Data'!R177)</f>
        <v>-0.00171609006</v>
      </c>
    </row>
    <row r="177">
      <c r="A177" s="2">
        <f>(('Historical Data'!C179)-('Historical Data'!C178))/('Historical Data'!C178)</f>
        <v>-0.005356834284</v>
      </c>
      <c r="B177" s="2">
        <f>(('Historical Data'!F179)-('Historical Data'!F178))/('Historical Data'!F178)</f>
        <v>0.01666666667</v>
      </c>
      <c r="C177" s="2">
        <f>(('Historical Data'!I179)-('Historical Data'!I178))/('Historical Data'!I178)</f>
        <v>0.05797101449</v>
      </c>
      <c r="D177" s="2">
        <f>(('Historical Data'!L179)-('Historical Data'!L178))/('Historical Data'!L178)</f>
        <v>-0.004797806717</v>
      </c>
      <c r="E177" s="2">
        <f>(('Historical Data'!O179)-('Historical Data'!O178))/('Historical Data'!O178)</f>
        <v>0.04543610548</v>
      </c>
      <c r="F177" s="2">
        <f>(('Historical Data'!R179)-('Historical Data'!R178))/('Historical Data'!R178)</f>
        <v>-0.002131609709</v>
      </c>
    </row>
    <row r="178">
      <c r="A178" s="2">
        <f>(('Historical Data'!C180)-('Historical Data'!C179))/('Historical Data'!C179)</f>
        <v>-0.003995830438</v>
      </c>
      <c r="B178" s="2">
        <f>(('Historical Data'!F180)-('Historical Data'!F179))/('Historical Data'!F179)</f>
        <v>0.06557377049</v>
      </c>
      <c r="C178" s="2">
        <f>(('Historical Data'!I180)-('Historical Data'!I179))/('Historical Data'!I179)</f>
        <v>-0.02739726027</v>
      </c>
      <c r="D178" s="2">
        <f>(('Historical Data'!L180)-('Historical Data'!L179))/('Historical Data'!L179)</f>
        <v>0.01331496786</v>
      </c>
      <c r="E178" s="2">
        <f>(('Historical Data'!O180)-('Historical Data'!O179))/('Historical Data'!O179)</f>
        <v>-0.01668606907</v>
      </c>
      <c r="F178" s="2">
        <f>(('Historical Data'!R180)-('Historical Data'!R179))/('Historical Data'!R179)</f>
        <v>-0.006959757442</v>
      </c>
    </row>
    <row r="179">
      <c r="A179" s="2">
        <f>(('Historical Data'!C181)-('Historical Data'!C180))/('Historical Data'!C180)</f>
        <v>-0.008372579801</v>
      </c>
      <c r="B179" s="2">
        <f>(('Historical Data'!F181)-('Historical Data'!F180))/('Historical Data'!F180)</f>
        <v>0.02564102564</v>
      </c>
      <c r="C179" s="2">
        <f>(('Historical Data'!I181)-('Historical Data'!I180))/('Historical Data'!I180)</f>
        <v>-0.7394366197</v>
      </c>
      <c r="D179" s="2">
        <f>(('Historical Data'!L181)-('Historical Data'!L180))/('Historical Data'!L180)</f>
        <v>0.01427276846</v>
      </c>
      <c r="E179" s="2">
        <f>(('Historical Data'!O181)-('Historical Data'!O180))/('Historical Data'!O180)</f>
        <v>-0.003946329913</v>
      </c>
      <c r="F179" s="2">
        <f>(('Historical Data'!R181)-('Historical Data'!R180))/('Historical Data'!R180)</f>
        <v>0.001596003053</v>
      </c>
    </row>
    <row r="180">
      <c r="A180" s="2">
        <f>(('Historical Data'!C182)-('Historical Data'!C181))/('Historical Data'!C181)</f>
        <v>-0.01688654354</v>
      </c>
      <c r="B180" s="2">
        <f>(('Historical Data'!F182)-('Historical Data'!F181))/('Historical Data'!F181)</f>
        <v>0.1</v>
      </c>
      <c r="C180" s="2">
        <f>(('Historical Data'!I182)-('Historical Data'!I181))/('Historical Data'!I181)</f>
        <v>0.6756756757</v>
      </c>
      <c r="D180" s="2">
        <f>(('Historical Data'!L182)-('Historical Data'!L181))/('Historical Data'!L181)</f>
        <v>0.006254188072</v>
      </c>
      <c r="E180" s="2">
        <f>(('Historical Data'!O182)-('Historical Data'!O181))/('Historical Data'!O181)</f>
        <v>-0.01624405705</v>
      </c>
      <c r="F180" s="2">
        <f>(('Historical Data'!R182)-('Historical Data'!R181))/('Historical Data'!R181)</f>
        <v>-0.01004572537</v>
      </c>
    </row>
    <row r="181">
      <c r="A181" s="2">
        <f>(('Historical Data'!C183)-('Historical Data'!C182))/('Historical Data'!C182)</f>
        <v>-0.01127214171</v>
      </c>
      <c r="B181" s="2">
        <f>(('Historical Data'!F183)-('Historical Data'!F182))/('Historical Data'!F182)</f>
        <v>0.1363636364</v>
      </c>
      <c r="C181" s="2">
        <f>(('Historical Data'!I183)-('Historical Data'!I182))/('Historical Data'!I182)</f>
        <v>-0.06451612903</v>
      </c>
      <c r="D181" s="2">
        <f>(('Historical Data'!L183)-('Historical Data'!L182))/('Historical Data'!L182)</f>
        <v>-0.04217536071</v>
      </c>
      <c r="E181" s="2">
        <f>(('Historical Data'!O183)-('Historical Data'!O182))/('Historical Data'!O182)</f>
        <v>0.01610954491</v>
      </c>
      <c r="F181" s="2">
        <f>(('Historical Data'!R183)-('Historical Data'!R182))/('Historical Data'!R182)</f>
        <v>0.001539645881</v>
      </c>
    </row>
    <row r="182">
      <c r="A182" s="2">
        <f>(('Historical Data'!C184)-('Historical Data'!C183))/('Historical Data'!C183)</f>
        <v>0.004705030764</v>
      </c>
      <c r="B182" s="2">
        <f>(('Historical Data'!F184)-('Historical Data'!F183))/('Historical Data'!F183)</f>
        <v>0</v>
      </c>
      <c r="C182" s="2">
        <f>(('Historical Data'!I184)-('Historical Data'!I183))/('Historical Data'!I183)</f>
        <v>-0.06896551724</v>
      </c>
      <c r="D182" s="2">
        <f>(('Historical Data'!L184)-('Historical Data'!L183))/('Historical Data'!L183)</f>
        <v>-0.01552723059</v>
      </c>
      <c r="E182" s="2">
        <f>(('Historical Data'!O184)-('Historical Data'!O183))/('Historical Data'!O183)</f>
        <v>0.01664684899</v>
      </c>
      <c r="F182" s="2">
        <f>(('Historical Data'!R184)-('Historical Data'!R183))/('Historical Data'!R183)</f>
        <v>0.003423939627</v>
      </c>
    </row>
    <row r="183">
      <c r="A183" s="2">
        <f>(('Historical Data'!C185)-('Historical Data'!C184))/('Historical Data'!C184)</f>
        <v>0.02107348703</v>
      </c>
      <c r="B183" s="2">
        <f>(('Historical Data'!F185)-('Historical Data'!F184))/('Historical Data'!F184)</f>
        <v>0.036</v>
      </c>
      <c r="C183" s="2">
        <f>(('Historical Data'!I185)-('Historical Data'!I184))/('Historical Data'!I184)</f>
        <v>-0.09259259259</v>
      </c>
      <c r="D183" s="2">
        <f>(('Historical Data'!L185)-('Historical Data'!L184))/('Historical Data'!L184)</f>
        <v>0.03531073446</v>
      </c>
      <c r="E183" s="2">
        <f>(('Historical Data'!O185)-('Historical Data'!O184))/('Historical Data'!O184)</f>
        <v>0.01988304094</v>
      </c>
      <c r="F183" s="2">
        <f>(('Historical Data'!R185)-('Historical Data'!R184))/('Historical Data'!R184)</f>
        <v>0.004108635097</v>
      </c>
    </row>
    <row r="184">
      <c r="A184" s="2">
        <f>(('Historical Data'!C186)-('Historical Data'!C185))/('Historical Data'!C185)</f>
        <v>0.0007055918151</v>
      </c>
      <c r="B184" s="2">
        <f>(('Historical Data'!F186)-('Historical Data'!F185))/('Historical Data'!F185)</f>
        <v>-0.003861003861</v>
      </c>
      <c r="C184" s="2">
        <f>(('Historical Data'!I186)-('Historical Data'!I185))/('Historical Data'!I185)</f>
        <v>-0.04081632653</v>
      </c>
      <c r="D184" s="2">
        <f>(('Historical Data'!L186)-('Historical Data'!L185))/('Historical Data'!L185)</f>
        <v>0.02455661664</v>
      </c>
      <c r="E184" s="2">
        <f>(('Historical Data'!O186)-('Historical Data'!O185))/('Historical Data'!O185)</f>
        <v>0.003058103976</v>
      </c>
      <c r="F184" s="2">
        <f>(('Historical Data'!R186)-('Historical Data'!R185))/('Historical Data'!R185)</f>
        <v>-0.004438587974</v>
      </c>
    </row>
    <row r="185">
      <c r="A185" s="2">
        <f>(('Historical Data'!C187)-('Historical Data'!C186))/('Historical Data'!C186)</f>
        <v>-0.008989952406</v>
      </c>
      <c r="B185" s="2">
        <f>(('Historical Data'!F187)-('Historical Data'!F186))/('Historical Data'!F186)</f>
        <v>0.03488372093</v>
      </c>
      <c r="C185" s="2">
        <f>(('Historical Data'!I187)-('Historical Data'!I186))/('Historical Data'!I186)</f>
        <v>0.02127659574</v>
      </c>
      <c r="D185" s="2">
        <f>(('Historical Data'!L187)-('Historical Data'!L186))/('Historical Data'!L186)</f>
        <v>0.008211273857</v>
      </c>
      <c r="E185" s="2">
        <f>(('Historical Data'!O187)-('Historical Data'!O186))/('Historical Data'!O186)</f>
        <v>0.03201219512</v>
      </c>
      <c r="F185" s="2">
        <f>(('Historical Data'!R187)-('Historical Data'!R186))/('Historical Data'!R186)</f>
        <v>-0.0131661442</v>
      </c>
    </row>
    <row r="186">
      <c r="A186" s="2">
        <f>(('Historical Data'!C188)-('Historical Data'!C187))/('Historical Data'!C187)</f>
        <v>-0.01245108502</v>
      </c>
      <c r="B186" s="2">
        <f>(('Historical Data'!F188)-('Historical Data'!F187))/('Historical Data'!F187)</f>
        <v>-0.05243445693</v>
      </c>
      <c r="C186" s="2">
        <f>(('Historical Data'!I188)-('Historical Data'!I187))/('Historical Data'!I187)</f>
        <v>0.2291666667</v>
      </c>
      <c r="D186" s="2">
        <f>(('Historical Data'!L188)-('Historical Data'!L187))/('Historical Data'!L187)</f>
        <v>0.009024873432</v>
      </c>
      <c r="E186" s="2">
        <f>(('Historical Data'!O188)-('Historical Data'!O187))/('Historical Data'!O187)</f>
        <v>0.005908419498</v>
      </c>
      <c r="F186" s="2">
        <f>(('Historical Data'!R188)-('Historical Data'!R187))/('Historical Data'!R187)</f>
        <v>-0.007553296626</v>
      </c>
    </row>
    <row r="187">
      <c r="A187" s="2">
        <f>(('Historical Data'!C189)-('Historical Data'!C188))/('Historical Data'!C188)</f>
        <v>-0.0007204610951</v>
      </c>
      <c r="B187" s="2">
        <f>(('Historical Data'!F189)-('Historical Data'!F188))/('Historical Data'!F188)</f>
        <v>0.01581027668</v>
      </c>
      <c r="C187" s="2">
        <f>(('Historical Data'!I189)-('Historical Data'!I188))/('Historical Data'!I188)</f>
        <v>0.2711864407</v>
      </c>
      <c r="D187" s="2">
        <f>(('Historical Data'!L189)-('Historical Data'!L188))/('Historical Data'!L188)</f>
        <v>-0.007417102967</v>
      </c>
      <c r="E187" s="2">
        <f>(('Historical Data'!O189)-('Historical Data'!O188))/('Historical Data'!O188)</f>
        <v>-0.004772393539</v>
      </c>
      <c r="F187" s="2">
        <f>(('Historical Data'!R189)-('Historical Data'!R188))/('Historical Data'!R188)</f>
        <v>0.01017142044</v>
      </c>
    </row>
    <row r="188">
      <c r="A188" s="2">
        <f>(('Historical Data'!C190)-('Historical Data'!C189))/('Historical Data'!C189)</f>
        <v>-0.01892573901</v>
      </c>
      <c r="B188" s="2">
        <f>(('Historical Data'!F190)-('Historical Data'!F189))/('Historical Data'!F189)</f>
        <v>-0.003891050584</v>
      </c>
      <c r="C188" s="2">
        <f>(('Historical Data'!I190)-('Historical Data'!I189))/('Historical Data'!I189)</f>
        <v>0.2133333333</v>
      </c>
      <c r="D188" s="2">
        <f>(('Historical Data'!L190)-('Historical Data'!L189))/('Historical Data'!L189)</f>
        <v>0.02065934066</v>
      </c>
      <c r="E188" s="2">
        <f>(('Historical Data'!O190)-('Historical Data'!O189))/('Historical Data'!O189)</f>
        <v>0.008115086684</v>
      </c>
      <c r="F188" s="2">
        <f>(('Historical Data'!R190)-('Historical Data'!R189))/('Historical Data'!R189)</f>
        <v>-0.01563160118</v>
      </c>
    </row>
    <row r="189">
      <c r="A189" s="2">
        <f>(('Historical Data'!C191)-('Historical Data'!C190))/('Historical Data'!C190)</f>
        <v>0.01304427705</v>
      </c>
      <c r="B189" s="2">
        <f>(('Historical Data'!F191)-('Historical Data'!F190))/('Historical Data'!F190)</f>
        <v>0.0078125</v>
      </c>
      <c r="C189" s="2">
        <f>(('Historical Data'!I191)-('Historical Data'!I190))/('Historical Data'!I190)</f>
        <v>0.4505494505</v>
      </c>
      <c r="D189" s="2">
        <f>(('Historical Data'!L191)-('Historical Data'!L190))/('Historical Data'!L190)</f>
        <v>0.002799310939</v>
      </c>
      <c r="E189" s="2">
        <f>(('Historical Data'!O191)-('Historical Data'!O190))/('Historical Data'!O190)</f>
        <v>0.009879253568</v>
      </c>
      <c r="F189" s="2">
        <f>(('Historical Data'!R191)-('Historical Data'!R190))/('Historical Data'!R190)</f>
        <v>-0.001573676681</v>
      </c>
    </row>
    <row r="190">
      <c r="A190" s="2">
        <f>(('Historical Data'!C192)-('Historical Data'!C191))/('Historical Data'!C191)</f>
        <v>-0.01650344577</v>
      </c>
      <c r="B190" s="2">
        <f>(('Historical Data'!F192)-('Historical Data'!F191))/('Historical Data'!F191)</f>
        <v>0.007751937984</v>
      </c>
      <c r="C190" s="2">
        <f>(('Historical Data'!I192)-('Historical Data'!I191))/('Historical Data'!I191)</f>
        <v>-0.02272727273</v>
      </c>
      <c r="D190" s="2">
        <f>(('Historical Data'!L192)-('Historical Data'!L191))/('Historical Data'!L191)</f>
        <v>-0.02855915826</v>
      </c>
      <c r="E190" s="2">
        <f>(('Historical Data'!O192)-('Historical Data'!O191))/('Historical Data'!O191)</f>
        <v>0.01485507246</v>
      </c>
      <c r="F190" s="2">
        <f>(('Historical Data'!R192)-('Historical Data'!R191))/('Historical Data'!R191)</f>
        <v>-0.005659836653</v>
      </c>
    </row>
    <row r="191">
      <c r="A191" s="2">
        <f>(('Historical Data'!C193)-('Historical Data'!C192))/('Historical Data'!C192)</f>
        <v>0.008482389821</v>
      </c>
      <c r="B191" s="2">
        <f>(('Historical Data'!F193)-('Historical Data'!F192))/('Historical Data'!F192)</f>
        <v>0.003846153846</v>
      </c>
      <c r="C191" s="2">
        <f>(('Historical Data'!I193)-('Historical Data'!I192))/('Historical Data'!I192)</f>
        <v>-0.03100775194</v>
      </c>
      <c r="D191" s="2">
        <f>(('Historical Data'!L193)-('Historical Data'!L192))/('Historical Data'!L192)</f>
        <v>-0.009725906278</v>
      </c>
      <c r="E191" s="2">
        <f>(('Historical Data'!O193)-('Historical Data'!O192))/('Historical Data'!O192)</f>
        <v>0.01463762942</v>
      </c>
      <c r="F191" s="2">
        <f>(('Historical Data'!R193)-('Historical Data'!R192))/('Historical Data'!R192)</f>
        <v>0.003890770228</v>
      </c>
    </row>
    <row r="192">
      <c r="A192" s="2">
        <f>(('Historical Data'!C194)-('Historical Data'!C193))/('Historical Data'!C193)</f>
        <v>-0.0137136588</v>
      </c>
      <c r="B192" s="2">
        <f>(('Historical Data'!F194)-('Historical Data'!F193))/('Historical Data'!F193)</f>
        <v>-0.02298850575</v>
      </c>
      <c r="C192" s="2">
        <f>(('Historical Data'!I194)-('Historical Data'!I193))/('Historical Data'!I193)</f>
        <v>0.104</v>
      </c>
      <c r="D192" s="2">
        <f>(('Historical Data'!L194)-('Historical Data'!L193))/('Historical Data'!L193)</f>
        <v>0.03839285714</v>
      </c>
      <c r="E192" s="2">
        <f>(('Historical Data'!O194)-('Historical Data'!O193))/('Historical Data'!O193)</f>
        <v>-0.0109078114</v>
      </c>
      <c r="F192" s="2">
        <f>(('Historical Data'!R194)-('Historical Data'!R193))/('Historical Data'!R193)</f>
        <v>0.01334960167</v>
      </c>
    </row>
    <row r="193">
      <c r="A193" s="2">
        <f>(('Historical Data'!C195)-('Historical Data'!C194))/('Historical Data'!C194)</f>
        <v>0.02002224694</v>
      </c>
      <c r="B193" s="2">
        <f>(('Historical Data'!F195)-('Historical Data'!F194))/('Historical Data'!F194)</f>
        <v>0.03921568627</v>
      </c>
      <c r="C193" s="2">
        <f>(('Historical Data'!I195)-('Historical Data'!I194))/('Historical Data'!I194)</f>
        <v>0.1884057971</v>
      </c>
      <c r="D193" s="2">
        <f>(('Historical Data'!L195)-('Historical Data'!L194))/('Historical Data'!L194)</f>
        <v>-0.01010318143</v>
      </c>
      <c r="E193" s="2">
        <f>(('Historical Data'!O195)-('Historical Data'!O194))/('Historical Data'!O194)</f>
        <v>0.004268943436</v>
      </c>
      <c r="F193" s="2">
        <f>(('Historical Data'!R195)-('Historical Data'!R194))/('Historical Data'!R194)</f>
        <v>0.008003399674</v>
      </c>
    </row>
    <row r="194">
      <c r="A194" s="2">
        <f>(('Historical Data'!C196)-('Historical Data'!C195))/('Historical Data'!C195)</f>
        <v>0.001090512541</v>
      </c>
      <c r="B194" s="2">
        <f>(('Historical Data'!F196)-('Historical Data'!F195))/('Historical Data'!F195)</f>
        <v>-0.02264150943</v>
      </c>
      <c r="C194" s="2">
        <f>(('Historical Data'!I196)-('Historical Data'!I195))/('Historical Data'!I195)</f>
        <v>-0.03658536585</v>
      </c>
      <c r="D194" s="2">
        <f>(('Historical Data'!L196)-('Historical Data'!L195))/('Historical Data'!L195)</f>
        <v>0.009771986971</v>
      </c>
      <c r="E194" s="2">
        <f>(('Historical Data'!O196)-('Historical Data'!O195))/('Historical Data'!O195)</f>
        <v>0.02267091746</v>
      </c>
      <c r="F194" s="2">
        <f>(('Historical Data'!R196)-('Historical Data'!R195))/('Historical Data'!R195)</f>
        <v>-0.004145587409</v>
      </c>
    </row>
    <row r="195">
      <c r="A195" s="2">
        <f>(('Historical Data'!C197)-('Historical Data'!C196))/('Historical Data'!C196)</f>
        <v>-0.002723311547</v>
      </c>
      <c r="B195" s="2">
        <f>(('Historical Data'!F197)-('Historical Data'!F196))/('Historical Data'!F196)</f>
        <v>-0.01544401544</v>
      </c>
      <c r="C195" s="2">
        <f>(('Historical Data'!I197)-('Historical Data'!I196))/('Historical Data'!I196)</f>
        <v>-0.08227848101</v>
      </c>
      <c r="D195" s="2">
        <f>(('Historical Data'!L197)-('Historical Data'!L196))/('Historical Data'!L196)</f>
        <v>0.007741935484</v>
      </c>
      <c r="E195" s="2">
        <f>(('Historical Data'!O197)-('Historical Data'!O196))/('Historical Data'!O196)</f>
        <v>0.007966747489</v>
      </c>
      <c r="F195" s="2">
        <f>(('Historical Data'!R197)-('Historical Data'!R196))/('Historical Data'!R196)</f>
        <v>0.004162844846</v>
      </c>
    </row>
    <row r="196">
      <c r="A196" s="2">
        <f>(('Historical Data'!C198)-('Historical Data'!C197))/('Historical Data'!C197)</f>
        <v>-0.01183324231</v>
      </c>
      <c r="B196" s="2">
        <f>(('Historical Data'!F198)-('Historical Data'!F197))/('Historical Data'!F197)</f>
        <v>0</v>
      </c>
      <c r="C196" s="2">
        <f>(('Historical Data'!I198)-('Historical Data'!I197))/('Historical Data'!I197)</f>
        <v>0</v>
      </c>
      <c r="D196" s="2">
        <f>(('Historical Data'!L198)-('Historical Data'!L197))/('Historical Data'!L197)</f>
        <v>0.02283397354</v>
      </c>
      <c r="E196" s="2">
        <f>(('Historical Data'!O198)-('Historical Data'!O197))/('Historical Data'!O197)</f>
        <v>0</v>
      </c>
      <c r="F196" s="2">
        <f>(('Historical Data'!R198)-('Historical Data'!R197))/('Historical Data'!R197)</f>
        <v>-0.001475548061</v>
      </c>
    </row>
    <row r="197">
      <c r="A197" s="2">
        <f>(('Historical Data'!C199)-('Historical Data'!C198))/('Historical Data'!C198)</f>
        <v>0.006263817244</v>
      </c>
      <c r="B197" s="2">
        <f>(('Historical Data'!F199)-('Historical Data'!F198))/('Historical Data'!F198)</f>
        <v>0.007843137255</v>
      </c>
      <c r="C197" s="2">
        <f>(('Historical Data'!I199)-('Historical Data'!I198))/('Historical Data'!I198)</f>
        <v>-0.1379310345</v>
      </c>
      <c r="D197" s="2">
        <f>(('Historical Data'!L199)-('Historical Data'!L198))/('Historical Data'!L198)</f>
        <v>0.01251825579</v>
      </c>
      <c r="E197" s="2">
        <f>(('Historical Data'!O199)-('Historical Data'!O198))/('Historical Data'!O198)</f>
        <v>0.003092783505</v>
      </c>
      <c r="F197" s="2">
        <f>(('Historical Data'!R199)-('Historical Data'!R198))/('Historical Data'!R198)</f>
        <v>0.002322144817</v>
      </c>
    </row>
    <row r="198">
      <c r="A198" s="2">
        <f>(('Historical Data'!C200)-('Historical Data'!C199))/('Historical Data'!C199)</f>
        <v>0.01885756133</v>
      </c>
      <c r="B198" s="2">
        <f>(('Historical Data'!F200)-('Historical Data'!F199))/('Historical Data'!F199)</f>
        <v>-0.08171206226</v>
      </c>
      <c r="C198" s="2">
        <f>(('Historical Data'!I200)-('Historical Data'!I199))/('Historical Data'!I199)</f>
        <v>0.016</v>
      </c>
      <c r="D198" s="2">
        <f>(('Historical Data'!L200)-('Historical Data'!L199))/('Historical Data'!L199)</f>
        <v>-0.01586647435</v>
      </c>
      <c r="E198" s="2">
        <f>(('Historical Data'!O200)-('Historical Data'!O199))/('Historical Data'!O199)</f>
        <v>0.008907159986</v>
      </c>
      <c r="F198" s="2">
        <f>(('Historical Data'!R200)-('Historical Data'!R199))/('Historical Data'!R199)</f>
        <v>0.01130300477</v>
      </c>
    </row>
    <row r="199">
      <c r="A199" s="2">
        <f>(('Historical Data'!C201)-('Historical Data'!C200))/('Historical Data'!C200)</f>
        <v>-0.007187780773</v>
      </c>
      <c r="B199" s="2">
        <f>(('Historical Data'!F201)-('Historical Data'!F200))/('Historical Data'!F200)</f>
        <v>0.04237288136</v>
      </c>
      <c r="C199" s="2">
        <f>(('Historical Data'!I201)-('Historical Data'!I200))/('Historical Data'!I200)</f>
        <v>-0.1811023622</v>
      </c>
      <c r="D199" s="2">
        <f>(('Historical Data'!L201)-('Historical Data'!L200))/('Historical Data'!L200)</f>
        <v>0.01423785595</v>
      </c>
      <c r="E199" s="2">
        <f>(('Historical Data'!O201)-('Historical Data'!O200))/('Historical Data'!O200)</f>
        <v>0.01629881154</v>
      </c>
      <c r="F199" s="2">
        <f>(('Historical Data'!R201)-('Historical Data'!R200))/('Historical Data'!R200)</f>
        <v>0.002568552586</v>
      </c>
    </row>
    <row r="200">
      <c r="A200" s="2">
        <f>(('Historical Data'!C202)-('Historical Data'!C201))/('Historical Data'!C201)</f>
        <v>-0.001085972851</v>
      </c>
      <c r="B200" s="2">
        <f>(('Historical Data'!F202)-('Historical Data'!F201))/('Historical Data'!F201)</f>
        <v>-0.02845528455</v>
      </c>
      <c r="C200" s="2">
        <f>(('Historical Data'!I202)-('Historical Data'!I201))/('Historical Data'!I201)</f>
        <v>0.08653846154</v>
      </c>
      <c r="D200" s="2">
        <f>(('Historical Data'!L202)-('Historical Data'!L201))/('Historical Data'!L201)</f>
        <v>0.01403798514</v>
      </c>
      <c r="E200" s="2">
        <f>(('Historical Data'!O202)-('Historical Data'!O201))/('Historical Data'!O201)</f>
        <v>-0.007350484464</v>
      </c>
      <c r="F200" s="2">
        <f>(('Historical Data'!R202)-('Historical Data'!R201))/('Historical Data'!R201)</f>
        <v>-0.01440243734</v>
      </c>
    </row>
    <row r="201">
      <c r="A201" s="2">
        <f>(('Historical Data'!C203)-('Historical Data'!C202))/('Historical Data'!C202)</f>
        <v>0.009965573473</v>
      </c>
      <c r="B201" s="2">
        <f>(('Historical Data'!F203)-('Historical Data'!F202))/('Historical Data'!F202)</f>
        <v>0.0460251046</v>
      </c>
      <c r="C201" s="2">
        <f>(('Historical Data'!I203)-('Historical Data'!I202))/('Historical Data'!I202)</f>
        <v>-0.04424778761</v>
      </c>
      <c r="D201" s="2">
        <f>(('Historical Data'!L203)-('Historical Data'!L202))/('Historical Data'!L202)</f>
        <v>0.00325732899</v>
      </c>
      <c r="E201" s="2">
        <f>(('Historical Data'!O203)-('Historical Data'!O202))/('Historical Data'!O202)</f>
        <v>0.005048805116</v>
      </c>
      <c r="F201" s="2">
        <f>(('Historical Data'!R203)-('Historical Data'!R202))/('Historical Data'!R202)</f>
        <v>-0.01180272587</v>
      </c>
    </row>
    <row r="202">
      <c r="A202" s="2">
        <f>(('Historical Data'!C204)-('Historical Data'!C203))/('Historical Data'!C203)</f>
        <v>0.008252601363</v>
      </c>
      <c r="B202" s="2">
        <f>(('Historical Data'!F204)-('Historical Data'!F203))/('Historical Data'!F203)</f>
        <v>-0.02</v>
      </c>
      <c r="C202" s="2">
        <f>(('Historical Data'!I204)-('Historical Data'!I203))/('Historical Data'!I203)</f>
        <v>0.02777777778</v>
      </c>
      <c r="D202" s="2">
        <f>(('Historical Data'!L204)-('Historical Data'!L203))/('Historical Data'!L203)</f>
        <v>0.002435064935</v>
      </c>
      <c r="E202" s="2">
        <f>(('Historical Data'!O204)-('Historical Data'!O203))/('Historical Data'!O203)</f>
        <v>0.009042196919</v>
      </c>
      <c r="F202" s="2">
        <f>(('Historical Data'!R204)-('Historical Data'!R203))/('Historical Data'!R203)</f>
        <v>0.003910137921</v>
      </c>
    </row>
    <row r="203">
      <c r="A203" s="2">
        <f>(('Historical Data'!C205)-('Historical Data'!C204))/('Historical Data'!C204)</f>
        <v>-0.009074733096</v>
      </c>
      <c r="B203" s="2">
        <f>(('Historical Data'!F205)-('Historical Data'!F204))/('Historical Data'!F204)</f>
        <v>0</v>
      </c>
      <c r="C203" s="2">
        <f>(('Historical Data'!I205)-('Historical Data'!I204))/('Historical Data'!I204)</f>
        <v>-0.06306306306</v>
      </c>
      <c r="D203" s="2">
        <f>(('Historical Data'!L205)-('Historical Data'!L204))/('Historical Data'!L204)</f>
        <v>-0.007085020243</v>
      </c>
      <c r="E203" s="2">
        <f>(('Historical Data'!O205)-('Historical Data'!O204))/('Historical Data'!O204)</f>
        <v>-0.02290076336</v>
      </c>
      <c r="F203" s="2">
        <f>(('Historical Data'!R205)-('Historical Data'!R204))/('Historical Data'!R204)</f>
        <v>-0.01331350471</v>
      </c>
    </row>
    <row r="204">
      <c r="A204" s="2">
        <f>(('Historical Data'!C206)-('Historical Data'!C205))/('Historical Data'!C205)</f>
        <v>-0.01041479619</v>
      </c>
      <c r="B204" s="2">
        <f>(('Historical Data'!F206)-('Historical Data'!F205))/('Historical Data'!F205)</f>
        <v>-0.008163265306</v>
      </c>
      <c r="C204" s="2">
        <f>(('Historical Data'!I206)-('Historical Data'!I205))/('Historical Data'!I205)</f>
        <v>-0.009615384615</v>
      </c>
      <c r="D204" s="2">
        <f>(('Historical Data'!L206)-('Historical Data'!L205))/('Historical Data'!L205)</f>
        <v>-0.01488277268</v>
      </c>
      <c r="E204" s="2">
        <f>(('Historical Data'!O206)-('Historical Data'!O205))/('Historical Data'!O205)</f>
        <v>0.002377717391</v>
      </c>
      <c r="F204" s="2">
        <f>(('Historical Data'!R206)-('Historical Data'!R205))/('Historical Data'!R205)</f>
        <v>0.01076580779</v>
      </c>
    </row>
    <row r="205">
      <c r="A205" s="2">
        <f>(('Historical Data'!C207)-('Historical Data'!C206))/('Historical Data'!C206)</f>
        <v>0.0005443658138</v>
      </c>
      <c r="B205" s="2">
        <f>(('Historical Data'!F207)-('Historical Data'!F206))/('Historical Data'!F206)</f>
        <v>0.008230452675</v>
      </c>
      <c r="C205" s="2">
        <f>(('Historical Data'!I207)-('Historical Data'!I206))/('Historical Data'!I206)</f>
        <v>-0.009708737864</v>
      </c>
      <c r="D205" s="2">
        <f>(('Historical Data'!L207)-('Historical Data'!L206))/('Historical Data'!L206)</f>
        <v>0.008485099338</v>
      </c>
      <c r="E205" s="2">
        <f>(('Historical Data'!O207)-('Historical Data'!O206))/('Historical Data'!O206)</f>
        <v>0.006777363606</v>
      </c>
      <c r="F205" s="2">
        <f>(('Historical Data'!R207)-('Historical Data'!R206))/('Historical Data'!R206)</f>
        <v>0.0001420151956</v>
      </c>
    </row>
    <row r="206">
      <c r="A206" s="2">
        <f>(('Historical Data'!C208)-('Historical Data'!C207))/('Historical Data'!C207)</f>
        <v>0.01215088865</v>
      </c>
      <c r="B206" s="2">
        <f>(('Historical Data'!F208)-('Historical Data'!F207))/('Historical Data'!F207)</f>
        <v>-0.008163265306</v>
      </c>
      <c r="C206" s="2">
        <f>(('Historical Data'!I208)-('Historical Data'!I207))/('Historical Data'!I207)</f>
        <v>-0.07843137255</v>
      </c>
      <c r="D206" s="2">
        <f>(('Historical Data'!L208)-('Historical Data'!L207))/('Historical Data'!L207)</f>
        <v>0.001026061974</v>
      </c>
      <c r="E206" s="2">
        <f>(('Historical Data'!O208)-('Historical Data'!O207))/('Historical Data'!O207)</f>
        <v>-0.002356109054</v>
      </c>
      <c r="F206" s="2">
        <f>(('Historical Data'!R208)-('Historical Data'!R207))/('Historical Data'!R207)</f>
        <v>0.01419950302</v>
      </c>
    </row>
    <row r="207">
      <c r="A207" s="2">
        <f>(('Historical Data'!C209)-('Historical Data'!C208))/('Historical Data'!C208)</f>
        <v>0.006629636266</v>
      </c>
      <c r="B207" s="2">
        <f>(('Historical Data'!F209)-('Historical Data'!F208))/('Historical Data'!F208)</f>
        <v>0</v>
      </c>
      <c r="C207" s="2">
        <f>(('Historical Data'!I209)-('Historical Data'!I208))/('Historical Data'!I208)</f>
        <v>-0.03191489362</v>
      </c>
      <c r="D207" s="2">
        <f>(('Historical Data'!L209)-('Historical Data'!L208))/('Historical Data'!L208)</f>
        <v>0.0045100451</v>
      </c>
      <c r="E207" s="2">
        <f>(('Historical Data'!O209)-('Historical Data'!O208))/('Historical Data'!O208)</f>
        <v>-0.01315789474</v>
      </c>
      <c r="F207" s="2">
        <f>(('Historical Data'!R209)-('Historical Data'!R208))/('Historical Data'!R208)</f>
        <v>-0.007140357018</v>
      </c>
    </row>
    <row r="208">
      <c r="A208" s="2">
        <f>(('Historical Data'!C210)-('Historical Data'!C209))/('Historical Data'!C209)</f>
        <v>0.001067995728</v>
      </c>
      <c r="B208" s="2">
        <f>(('Historical Data'!F210)-('Historical Data'!F209))/('Historical Data'!F209)</f>
        <v>0</v>
      </c>
      <c r="C208" s="2">
        <f>(('Historical Data'!I210)-('Historical Data'!I209))/('Historical Data'!I209)</f>
        <v>-0.01098901099</v>
      </c>
      <c r="D208" s="2">
        <f>(('Historical Data'!L210)-('Historical Data'!L209))/('Historical Data'!L209)</f>
        <v>-0.0008163265306</v>
      </c>
      <c r="E208" s="2">
        <f>(('Historical Data'!O210)-('Historical Data'!O209))/('Historical Data'!O209)</f>
        <v>-0.001025641026</v>
      </c>
      <c r="F208" s="2">
        <f>(('Historical Data'!R210)-('Historical Data'!R209))/('Historical Data'!R209)</f>
        <v>0.005993090319</v>
      </c>
    </row>
    <row r="209">
      <c r="A209" s="2">
        <f>(('Historical Data'!C211)-('Historical Data'!C210))/('Historical Data'!C210)</f>
        <v>-0.004800853485</v>
      </c>
      <c r="B209" s="2">
        <f>(('Historical Data'!F211)-('Historical Data'!F210))/('Historical Data'!F210)</f>
        <v>-0.01234567901</v>
      </c>
      <c r="C209" s="2">
        <f>(('Historical Data'!I211)-('Historical Data'!I210))/('Historical Data'!I210)</f>
        <v>-0.05555555556</v>
      </c>
      <c r="D209" s="2">
        <f>(('Historical Data'!L211)-('Historical Data'!L210))/('Historical Data'!L210)</f>
        <v>0.01266339869</v>
      </c>
      <c r="E209" s="2">
        <f>(('Historical Data'!O211)-('Historical Data'!O210))/('Historical Data'!O210)</f>
        <v>-0.01471594798</v>
      </c>
      <c r="F209" s="2">
        <f>(('Historical Data'!R211)-('Historical Data'!R210))/('Historical Data'!R210)</f>
        <v>0.002172694141</v>
      </c>
    </row>
    <row r="210">
      <c r="A210" s="2">
        <f>(('Historical Data'!C212)-('Historical Data'!C211))/('Historical Data'!C211)</f>
        <v>0.00232267286</v>
      </c>
      <c r="B210" s="2">
        <f>(('Historical Data'!F212)-('Historical Data'!F211))/('Historical Data'!F211)</f>
        <v>0.0125</v>
      </c>
      <c r="C210" s="2">
        <f>(('Historical Data'!I212)-('Historical Data'!I211))/('Historical Data'!I211)</f>
        <v>0.08235294118</v>
      </c>
      <c r="D210" s="2">
        <f>(('Historical Data'!L212)-('Historical Data'!L211))/('Historical Data'!L211)</f>
        <v>0.01290843082</v>
      </c>
      <c r="E210" s="2">
        <f>(('Historical Data'!O212)-('Historical Data'!O211))/('Historical Data'!O211)</f>
        <v>0.01701979854</v>
      </c>
      <c r="F210" s="2">
        <f>(('Historical Data'!R212)-('Historical Data'!R211))/('Historical Data'!R211)</f>
        <v>-0.002447723617</v>
      </c>
    </row>
    <row r="211">
      <c r="A211" s="2">
        <f>(('Historical Data'!C213)-('Historical Data'!C212))/('Historical Data'!C212)</f>
        <v>0.02709447415</v>
      </c>
      <c r="B211" s="2">
        <f>(('Historical Data'!F213)-('Historical Data'!F212))/('Historical Data'!F212)</f>
        <v>-0.01234567901</v>
      </c>
      <c r="C211" s="2">
        <f>(('Historical Data'!I213)-('Historical Data'!I212))/('Historical Data'!I212)</f>
        <v>-0.1630434783</v>
      </c>
      <c r="D211" s="2">
        <f>(('Historical Data'!L213)-('Historical Data'!L212))/('Historical Data'!L212)</f>
        <v>0.0177220231</v>
      </c>
      <c r="E211" s="2">
        <f>(('Historical Data'!O213)-('Historical Data'!O212))/('Historical Data'!O212)</f>
        <v>-0.04576502732</v>
      </c>
      <c r="F211" s="2">
        <f>(('Historical Data'!R213)-('Historical Data'!R212))/('Historical Data'!R212)</f>
        <v>0.0099551318</v>
      </c>
    </row>
    <row r="212">
      <c r="A212" s="2">
        <f>(('Historical Data'!C214)-('Historical Data'!C213))/('Historical Data'!C213)</f>
        <v>0.0005206525512</v>
      </c>
      <c r="B212" s="2">
        <f>(('Historical Data'!F214)-('Historical Data'!F213))/('Historical Data'!F213)</f>
        <v>0</v>
      </c>
      <c r="C212" s="2">
        <f>(('Historical Data'!I214)-('Historical Data'!I213))/('Historical Data'!I213)</f>
        <v>-0.05194805195</v>
      </c>
      <c r="D212" s="2">
        <f>(('Historical Data'!L214)-('Historical Data'!L213))/('Historical Data'!L213)</f>
        <v>-0.001565251419</v>
      </c>
      <c r="E212" s="2">
        <f>(('Historical Data'!O214)-('Historical Data'!O213))/('Historical Data'!O213)</f>
        <v>-0.02433786686</v>
      </c>
      <c r="F212" s="2">
        <f>(('Historical Data'!R214)-('Historical Data'!R213))/('Historical Data'!R213)</f>
        <v>0.00687213661</v>
      </c>
    </row>
    <row r="213">
      <c r="A213" s="2">
        <f>(('Historical Data'!C215)-('Historical Data'!C214))/('Historical Data'!C214)</f>
        <v>-0.0091934085</v>
      </c>
      <c r="B213" s="2">
        <f>(('Historical Data'!F215)-('Historical Data'!F214))/('Historical Data'!F214)</f>
        <v>0.04166666667</v>
      </c>
      <c r="C213" s="2">
        <f>(('Historical Data'!I215)-('Historical Data'!I214))/('Historical Data'!I214)</f>
        <v>0.08219178082</v>
      </c>
      <c r="D213" s="2">
        <f>(('Historical Data'!L215)-('Historical Data'!L214))/('Historical Data'!L214)</f>
        <v>-0.01038604742</v>
      </c>
      <c r="E213" s="2">
        <f>(('Historical Data'!O215)-('Historical Data'!O214))/('Historical Data'!O214)</f>
        <v>0.001834189288</v>
      </c>
      <c r="F213" s="2">
        <f>(('Historical Data'!R215)-('Historical Data'!R214))/('Historical Data'!R214)</f>
        <v>0.001861427094</v>
      </c>
    </row>
    <row r="214">
      <c r="A214" s="2">
        <f>(('Historical Data'!C216)-('Historical Data'!C215))/('Historical Data'!C215)</f>
        <v>-0.0008753501401</v>
      </c>
      <c r="B214" s="2">
        <f>(('Historical Data'!F216)-('Historical Data'!F215))/('Historical Data'!F215)</f>
        <v>0.104</v>
      </c>
      <c r="C214" s="2">
        <f>(('Historical Data'!I216)-('Historical Data'!I215))/('Historical Data'!I215)</f>
        <v>0.05063291139</v>
      </c>
      <c r="D214" s="2">
        <f>(('Historical Data'!L216)-('Historical Data'!L215))/('Historical Data'!L215)</f>
        <v>-0.04455445545</v>
      </c>
      <c r="E214" s="2">
        <f>(('Historical Data'!O216)-('Historical Data'!O215))/('Historical Data'!O215)</f>
        <v>0.01977297693</v>
      </c>
      <c r="F214" s="2">
        <f>(('Historical Data'!R216)-('Historical Data'!R215))/('Historical Data'!R215)</f>
        <v>0.004954582989</v>
      </c>
    </row>
    <row r="215">
      <c r="A215" s="2">
        <f>(('Historical Data'!C217)-('Historical Data'!C216))/('Historical Data'!C216)</f>
        <v>-0.001226563869</v>
      </c>
      <c r="B215" s="2">
        <f>(('Historical Data'!F217)-('Historical Data'!F216))/('Historical Data'!F216)</f>
        <v>-0.02173913043</v>
      </c>
      <c r="C215" s="2">
        <f>(('Historical Data'!I217)-('Historical Data'!I216))/('Historical Data'!I216)</f>
        <v>0.02409638554</v>
      </c>
      <c r="D215" s="2">
        <f>(('Historical Data'!L217)-('Historical Data'!L216))/('Historical Data'!L216)</f>
        <v>0.0178238342</v>
      </c>
      <c r="E215" s="2">
        <f>(('Historical Data'!O217)-('Historical Data'!O216))/('Historical Data'!O216)</f>
        <v>0.006104129264</v>
      </c>
      <c r="F215" s="2">
        <f>(('Historical Data'!R217)-('Historical Data'!R216))/('Historical Data'!R216)</f>
        <v>-0.007463708573</v>
      </c>
    </row>
    <row r="216">
      <c r="A216" s="2">
        <f>(('Historical Data'!C218)-('Historical Data'!C217))/('Historical Data'!C217)</f>
        <v>0.007719298246</v>
      </c>
      <c r="B216" s="2">
        <f>(('Historical Data'!F218)-('Historical Data'!F217))/('Historical Data'!F217)</f>
        <v>0.01851851852</v>
      </c>
      <c r="C216" s="2">
        <f>(('Historical Data'!I218)-('Historical Data'!I217))/('Historical Data'!I217)</f>
        <v>0.07058823529</v>
      </c>
      <c r="D216" s="2">
        <f>(('Historical Data'!L218)-('Historical Data'!L217))/('Historical Data'!L217)</f>
        <v>0.001018122582</v>
      </c>
      <c r="E216" s="2">
        <f>(('Historical Data'!O218)-('Historical Data'!O217))/('Historical Data'!O217)</f>
        <v>0.006423982869</v>
      </c>
      <c r="F216" s="2">
        <f>(('Historical Data'!R218)-('Historical Data'!R217))/('Historical Data'!R217)</f>
        <v>0.003035529493</v>
      </c>
    </row>
    <row r="217">
      <c r="A217" s="2">
        <f>(('Historical Data'!C219)-('Historical Data'!C218))/('Historical Data'!C218)</f>
        <v>0.005745125348</v>
      </c>
      <c r="B217" s="2">
        <f>(('Historical Data'!F219)-('Historical Data'!F218))/('Historical Data'!F218)</f>
        <v>0.02909090909</v>
      </c>
      <c r="C217" s="2">
        <f>(('Historical Data'!I219)-('Historical Data'!I218))/('Historical Data'!I218)</f>
        <v>-0.07692307692</v>
      </c>
      <c r="D217" s="2">
        <f>(('Historical Data'!L219)-('Historical Data'!L218))/('Historical Data'!L218)</f>
        <v>-0.01586655818</v>
      </c>
      <c r="E217" s="2">
        <f>(('Historical Data'!O219)-('Historical Data'!O218))/('Historical Data'!O218)</f>
        <v>-0.02765957447</v>
      </c>
      <c r="F217" s="2">
        <f>(('Historical Data'!R219)-('Historical Data'!R218))/('Historical Data'!R218)</f>
        <v>0.009835614554</v>
      </c>
    </row>
    <row r="218">
      <c r="A218" s="2">
        <f>(('Historical Data'!C220)-('Historical Data'!C219))/('Historical Data'!C219)</f>
        <v>-0.01748312273</v>
      </c>
      <c r="B218" s="2">
        <f>(('Historical Data'!F220)-('Historical Data'!F219))/('Historical Data'!F219)</f>
        <v>0.01060070671</v>
      </c>
      <c r="C218" s="2">
        <f>(('Historical Data'!I220)-('Historical Data'!I219))/('Historical Data'!I219)</f>
        <v>-0.08333333333</v>
      </c>
      <c r="D218" s="2">
        <f>(('Historical Data'!L220)-('Historical Data'!L219))/('Historical Data'!L219)</f>
        <v>0.0186027284</v>
      </c>
      <c r="E218" s="2">
        <f>(('Historical Data'!O220)-('Historical Data'!O219))/('Historical Data'!O219)</f>
        <v>-0.0003646973012</v>
      </c>
      <c r="F218" s="2">
        <f>(('Historical Data'!R220)-('Historical Data'!R219))/('Historical Data'!R219)</f>
        <v>-0.002860645689</v>
      </c>
    </row>
    <row r="219">
      <c r="A219" s="2">
        <f>(('Historical Data'!C221)-('Historical Data'!C220))/('Historical Data'!C220)</f>
        <v>0.001057082452</v>
      </c>
      <c r="B219" s="2">
        <f>(('Historical Data'!F221)-('Historical Data'!F220))/('Historical Data'!F220)</f>
        <v>-0.05594405594</v>
      </c>
      <c r="C219" s="2">
        <f>(('Historical Data'!I221)-('Historical Data'!I220))/('Historical Data'!I220)</f>
        <v>-0.03896103896</v>
      </c>
      <c r="D219" s="2">
        <f>(('Historical Data'!L221)-('Historical Data'!L220))/('Historical Data'!L220)</f>
        <v>0.01217532468</v>
      </c>
      <c r="E219" s="2">
        <f>(('Historical Data'!O221)-('Historical Data'!O220))/('Historical Data'!O220)</f>
        <v>-0.001094491062</v>
      </c>
      <c r="F219" s="2">
        <f>(('Historical Data'!R221)-('Historical Data'!R220))/('Historical Data'!R220)</f>
        <v>0.001092896175</v>
      </c>
    </row>
    <row r="220">
      <c r="A220" s="2">
        <f>(('Historical Data'!C222)-('Historical Data'!C221))/('Historical Data'!C221)</f>
        <v>0.007919746568</v>
      </c>
      <c r="B220" s="2">
        <f>(('Historical Data'!F222)-('Historical Data'!F221))/('Historical Data'!F221)</f>
        <v>-0.007407407407</v>
      </c>
      <c r="C220" s="2">
        <f>(('Historical Data'!I222)-('Historical Data'!I221))/('Historical Data'!I221)</f>
        <v>-0.06756756757</v>
      </c>
      <c r="D220" s="2">
        <f>(('Historical Data'!L222)-('Historical Data'!L221))/('Historical Data'!L221)</f>
        <v>-0.01303127506</v>
      </c>
      <c r="E220" s="2">
        <f>(('Historical Data'!O222)-('Historical Data'!O221))/('Historical Data'!O221)</f>
        <v>0.006208911614</v>
      </c>
      <c r="F220" s="2">
        <f>(('Historical Data'!R222)-('Historical Data'!R221))/('Historical Data'!R221)</f>
        <v>0.005731441048</v>
      </c>
    </row>
    <row r="221">
      <c r="A221" s="2">
        <f>(('Historical Data'!C223)-('Historical Data'!C222))/('Historical Data'!C222)</f>
        <v>-0.004714510215</v>
      </c>
      <c r="B221" s="2">
        <f>(('Historical Data'!F223)-('Historical Data'!F222))/('Historical Data'!F222)</f>
        <v>-0.02985074627</v>
      </c>
      <c r="C221" s="2">
        <f>(('Historical Data'!I223)-('Historical Data'!I222))/('Historical Data'!I222)</f>
        <v>0.04347826087</v>
      </c>
      <c r="D221" s="2">
        <f>(('Historical Data'!L223)-('Historical Data'!L222))/('Historical Data'!L222)</f>
        <v>0.008125126955</v>
      </c>
      <c r="E221" s="2">
        <f>(('Historical Data'!O223)-('Historical Data'!O222))/('Historical Data'!O222)</f>
        <v>0.004355716878</v>
      </c>
      <c r="F221" s="2">
        <f>(('Historical Data'!R223)-('Historical Data'!R222))/('Historical Data'!R222)</f>
        <v>-0.001424694708</v>
      </c>
    </row>
    <row r="222">
      <c r="A222" s="2">
        <f>(('Historical Data'!C224)-('Historical Data'!C223))/('Historical Data'!C223)</f>
        <v>-0.004210526316</v>
      </c>
      <c r="B222" s="2">
        <f>(('Historical Data'!F224)-('Historical Data'!F223))/('Historical Data'!F223)</f>
        <v>0</v>
      </c>
      <c r="C222" s="2">
        <f>(('Historical Data'!I224)-('Historical Data'!I223))/('Historical Data'!I223)</f>
        <v>-0.02777777778</v>
      </c>
      <c r="D222" s="2">
        <f>(('Historical Data'!L224)-('Historical Data'!L223))/('Historical Data'!L223)</f>
        <v>0.006850695144</v>
      </c>
      <c r="E222" s="2">
        <f>(('Historical Data'!O224)-('Historical Data'!O223))/('Historical Data'!O223)</f>
        <v>-0.008673653777</v>
      </c>
      <c r="F222" s="2">
        <f>(('Historical Data'!R224)-('Historical Data'!R223))/('Historical Data'!R223)</f>
        <v>-0.0006114545825</v>
      </c>
    </row>
    <row r="223">
      <c r="A223" s="2">
        <f>(('Historical Data'!C225)-('Historical Data'!C224))/('Historical Data'!C224)</f>
        <v>-0.05514446794</v>
      </c>
      <c r="B223" s="2">
        <f>(('Historical Data'!F225)-('Historical Data'!F224))/('Historical Data'!F224)</f>
        <v>0.01538461538</v>
      </c>
      <c r="C223" s="2">
        <f>(('Historical Data'!I225)-('Historical Data'!I224))/('Historical Data'!I224)</f>
        <v>-0.1142857143</v>
      </c>
      <c r="D223" s="2">
        <f>(('Historical Data'!L225)-('Historical Data'!L224))/('Historical Data'!L224)</f>
        <v>0.0004002401441</v>
      </c>
      <c r="E223" s="2">
        <f>(('Historical Data'!O225)-('Historical Data'!O224))/('Historical Data'!O224)</f>
        <v>-0.005103900838</v>
      </c>
      <c r="F223" s="2">
        <f>(('Historical Data'!R225)-('Historical Data'!R224))/('Historical Data'!R224)</f>
        <v>0.0001359619307</v>
      </c>
    </row>
    <row r="224">
      <c r="A224" s="2">
        <f>(('Historical Data'!C226)-('Historical Data'!C225))/('Historical Data'!C225)</f>
        <v>-0.007085586426</v>
      </c>
      <c r="B224" s="2">
        <f>(('Historical Data'!F226)-('Historical Data'!F225))/('Historical Data'!F225)</f>
        <v>0.01136363636</v>
      </c>
      <c r="C224" s="2">
        <f>(('Historical Data'!I226)-('Historical Data'!I225))/('Historical Data'!I225)</f>
        <v>0.1451612903</v>
      </c>
      <c r="D224" s="2">
        <f>(('Historical Data'!L226)-('Historical Data'!L225))/('Historical Data'!L225)</f>
        <v>-0.00200040008</v>
      </c>
      <c r="E224" s="2">
        <f>(('Historical Data'!O226)-('Historical Data'!O225))/('Historical Data'!O225)</f>
        <v>-0.03884206669</v>
      </c>
      <c r="F224" s="2">
        <f>(('Historical Data'!R226)-('Historical Data'!R225))/('Historical Data'!R225)</f>
        <v>-0.002039151713</v>
      </c>
    </row>
    <row r="225">
      <c r="A225" s="2">
        <f>(('Historical Data'!C227)-('Historical Data'!C226))/('Historical Data'!C226)</f>
        <v>0.02535211268</v>
      </c>
      <c r="B225" s="2">
        <f>(('Historical Data'!F227)-('Historical Data'!F226))/('Historical Data'!F226)</f>
        <v>-0.02247191011</v>
      </c>
      <c r="C225" s="2">
        <f>(('Historical Data'!I227)-('Historical Data'!I226))/('Historical Data'!I226)</f>
        <v>-0.02816901408</v>
      </c>
      <c r="D225" s="2">
        <f>(('Historical Data'!L227)-('Historical Data'!L226))/('Historical Data'!L226)</f>
        <v>-0.01663660052</v>
      </c>
      <c r="E225" s="2">
        <f>(('Historical Data'!O227)-('Historical Data'!O226))/('Historical Data'!O226)</f>
        <v>0.01639344262</v>
      </c>
      <c r="F225" s="2">
        <f>(('Historical Data'!R227)-('Historical Data'!R226))/('Historical Data'!R226)</f>
        <v>0.00667483994</v>
      </c>
    </row>
    <row r="226">
      <c r="A226" s="2">
        <f>(('Historical Data'!C228)-('Historical Data'!C227))/('Historical Data'!C227)</f>
        <v>0.01282051282</v>
      </c>
      <c r="B226" s="2">
        <f>(('Historical Data'!F228)-('Historical Data'!F227))/('Historical Data'!F227)</f>
        <v>0.01149425287</v>
      </c>
      <c r="C226" s="2">
        <f>(('Historical Data'!I228)-('Historical Data'!I227))/('Historical Data'!I227)</f>
        <v>-0.01449275362</v>
      </c>
      <c r="D226" s="2">
        <f>(('Historical Data'!L228)-('Historical Data'!L227))/('Historical Data'!L227)</f>
        <v>0.01365674684</v>
      </c>
      <c r="E226" s="2">
        <f>(('Historical Data'!O228)-('Historical Data'!O227))/('Historical Data'!O227)</f>
        <v>0.03000750188</v>
      </c>
      <c r="F226" s="2">
        <f>(('Historical Data'!R228)-('Historical Data'!R227))/('Historical Data'!R227)</f>
        <v>0.01109607578</v>
      </c>
    </row>
    <row r="227">
      <c r="A227" s="2">
        <f>(('Historical Data'!C229)-('Historical Data'!C228))/('Historical Data'!C228)</f>
        <v>0.004339963834</v>
      </c>
      <c r="B227" s="2">
        <f>(('Historical Data'!F229)-('Historical Data'!F228))/('Historical Data'!F228)</f>
        <v>-0.08333333333</v>
      </c>
      <c r="C227" s="2">
        <f>(('Historical Data'!I229)-('Historical Data'!I228))/('Historical Data'!I228)</f>
        <v>0.02941176471</v>
      </c>
      <c r="D227" s="2">
        <f>(('Historical Data'!L229)-('Historical Data'!L228))/('Historical Data'!L228)</f>
        <v>0.0022119445</v>
      </c>
      <c r="E227" s="2">
        <f>(('Historical Data'!O229)-('Historical Data'!O228))/('Historical Data'!O228)</f>
        <v>0.006919155135</v>
      </c>
      <c r="F227" s="2">
        <f>(('Historical Data'!R229)-('Historical Data'!R228))/('Historical Data'!R228)</f>
        <v>-0.005219486081</v>
      </c>
    </row>
    <row r="228">
      <c r="A228" s="2">
        <f>(('Historical Data'!C230)-('Historical Data'!C229))/('Historical Data'!C229)</f>
        <v>-0.01566438603</v>
      </c>
      <c r="B228" s="2">
        <f>(('Historical Data'!F230)-('Historical Data'!F229))/('Historical Data'!F229)</f>
        <v>0.04132231405</v>
      </c>
      <c r="C228" s="2">
        <f>(('Historical Data'!I230)-('Historical Data'!I229))/('Historical Data'!I229)</f>
        <v>0</v>
      </c>
      <c r="D228" s="2">
        <f>(('Historical Data'!L230)-('Historical Data'!L229))/('Historical Data'!L229)</f>
        <v>-0.006420545746</v>
      </c>
      <c r="E228" s="2">
        <f>(('Historical Data'!O230)-('Historical Data'!O229))/('Historical Data'!O229)</f>
        <v>-0.06112115732</v>
      </c>
      <c r="F228" s="2">
        <f>(('Historical Data'!R230)-('Historical Data'!R229))/('Historical Data'!R229)</f>
        <v>-0.008004843267</v>
      </c>
    </row>
    <row r="229">
      <c r="A229" s="2">
        <f>(('Historical Data'!C231)-('Historical Data'!C230))/('Historical Data'!C230)</f>
        <v>0.01993780867</v>
      </c>
      <c r="B229" s="2">
        <f>(('Historical Data'!F231)-('Historical Data'!F230))/('Historical Data'!F230)</f>
        <v>0.01984126984</v>
      </c>
      <c r="C229" s="2">
        <f>(('Historical Data'!I231)-('Historical Data'!I230))/('Historical Data'!I230)</f>
        <v>0.01428571429</v>
      </c>
      <c r="D229" s="2">
        <f>(('Historical Data'!L231)-('Historical Data'!L230))/('Historical Data'!L230)</f>
        <v>0.003432956381</v>
      </c>
      <c r="E229" s="2">
        <f>(('Historical Data'!O231)-('Historical Data'!O230))/('Historical Data'!O230)</f>
        <v>0.008474576271</v>
      </c>
      <c r="F229" s="2">
        <f>(('Historical Data'!R231)-('Historical Data'!R230))/('Historical Data'!R230)</f>
        <v>0.01051061233</v>
      </c>
    </row>
    <row r="230">
      <c r="A230" s="2">
        <f>(('Historical Data'!C232)-('Historical Data'!C231))/('Historical Data'!C231)</f>
        <v>-0.01649928264</v>
      </c>
      <c r="B230" s="2">
        <f>(('Historical Data'!F232)-('Historical Data'!F231))/('Historical Data'!F231)</f>
        <v>0.01556420233</v>
      </c>
      <c r="C230" s="2">
        <f>(('Historical Data'!I232)-('Historical Data'!I231))/('Historical Data'!I231)</f>
        <v>0</v>
      </c>
      <c r="D230" s="2">
        <f>(('Historical Data'!L232)-('Historical Data'!L231))/('Historical Data'!L231)</f>
        <v>-0.07426041457</v>
      </c>
      <c r="E230" s="2">
        <f>(('Historical Data'!O232)-('Historical Data'!O231))/('Historical Data'!O231)</f>
        <v>-0.008403361345</v>
      </c>
      <c r="F230" s="2">
        <f>(('Historical Data'!R232)-('Historical Data'!R231))/('Historical Data'!R231)</f>
        <v>-0.02979465844</v>
      </c>
    </row>
    <row r="231">
      <c r="A231" s="2">
        <f>(('Historical Data'!C233)-('Historical Data'!C232))/('Historical Data'!C232)</f>
        <v>0.003464624362</v>
      </c>
      <c r="B231" s="2">
        <f>(('Historical Data'!F233)-('Historical Data'!F232))/('Historical Data'!F232)</f>
        <v>-0.03831417625</v>
      </c>
      <c r="C231" s="2">
        <f>(('Historical Data'!I233)-('Historical Data'!I232))/('Historical Data'!I232)</f>
        <v>0.02816901408</v>
      </c>
      <c r="D231" s="2">
        <f>(('Historical Data'!L233)-('Historical Data'!L232))/('Historical Data'!L232)</f>
        <v>0.01739130435</v>
      </c>
      <c r="E231" s="2">
        <f>(('Historical Data'!O233)-('Historical Data'!O232))/('Historical Data'!O232)</f>
        <v>-0.008474576271</v>
      </c>
      <c r="F231" s="2">
        <f>(('Historical Data'!R233)-('Historical Data'!R232))/('Historical Data'!R232)</f>
        <v>0.01258818647</v>
      </c>
    </row>
    <row r="232">
      <c r="A232" s="2">
        <f>(('Historical Data'!C234)-('Historical Data'!C233))/('Historical Data'!C233)</f>
        <v>0.02035253498</v>
      </c>
      <c r="B232" s="2">
        <f>(('Historical Data'!F234)-('Historical Data'!F233))/('Historical Data'!F233)</f>
        <v>0</v>
      </c>
      <c r="C232" s="2">
        <f>(('Historical Data'!I234)-('Historical Data'!I233))/('Historical Data'!I233)</f>
        <v>-0.01369863014</v>
      </c>
      <c r="D232" s="2">
        <f>(('Historical Data'!L234)-('Historical Data'!L233))/('Historical Data'!L233)</f>
        <v>0</v>
      </c>
      <c r="E232" s="2">
        <f>(('Historical Data'!O234)-('Historical Data'!O233))/('Historical Data'!O233)</f>
        <v>0.05128205128</v>
      </c>
      <c r="F232" s="2">
        <f>(('Historical Data'!R234)-('Historical Data'!R233))/('Historical Data'!R233)</f>
        <v>0.00587431694</v>
      </c>
    </row>
    <row r="233">
      <c r="A233" s="2">
        <f>(('Historical Data'!C235)-('Historical Data'!C234))/('Historical Data'!C234)</f>
        <v>0.00142475512</v>
      </c>
      <c r="B233" s="2">
        <f>(('Historical Data'!F235)-('Historical Data'!F234))/('Historical Data'!F234)</f>
        <v>0</v>
      </c>
      <c r="C233" s="2">
        <f>(('Historical Data'!I235)-('Historical Data'!I234))/('Historical Data'!I234)</f>
        <v>-0.06944444444</v>
      </c>
      <c r="D233" s="2">
        <f>(('Historical Data'!L235)-('Historical Data'!L234))/('Historical Data'!L234)</f>
        <v>0.01901709402</v>
      </c>
      <c r="E233" s="2">
        <f>(('Historical Data'!O235)-('Historical Data'!O234))/('Historical Data'!O234)</f>
        <v>-0.005543237251</v>
      </c>
      <c r="F233" s="2">
        <f>(('Historical Data'!R235)-('Historical Data'!R234))/('Historical Data'!R234)</f>
        <v>0.01779166101</v>
      </c>
    </row>
    <row r="234">
      <c r="A234" s="2">
        <f>(('Historical Data'!C236)-('Historical Data'!C235))/('Historical Data'!C235)</f>
        <v>0.01298239374</v>
      </c>
      <c r="B234" s="2">
        <f>(('Historical Data'!F236)-('Historical Data'!F235))/('Historical Data'!F235)</f>
        <v>-0.01195219124</v>
      </c>
      <c r="C234" s="2">
        <f>(('Historical Data'!I236)-('Historical Data'!I235))/('Historical Data'!I235)</f>
        <v>-0.05970149254</v>
      </c>
      <c r="D234" s="2">
        <f>(('Historical Data'!L236)-('Historical Data'!L235))/('Historical Data'!L235)</f>
        <v>-0.01593625498</v>
      </c>
      <c r="E234" s="2">
        <f>(('Historical Data'!O236)-('Historical Data'!O235))/('Historical Data'!O235)</f>
        <v>0.01560758082</v>
      </c>
      <c r="F234" s="2">
        <f>(('Historical Data'!R236)-('Historical Data'!R235))/('Historical Data'!R235)</f>
        <v>0.01514544969</v>
      </c>
    </row>
    <row r="235">
      <c r="A235" s="2">
        <f>(('Historical Data'!C237)-('Historical Data'!C236))/('Historical Data'!C236)</f>
        <v>0.01966292135</v>
      </c>
      <c r="B235" s="2">
        <f>(('Historical Data'!F237)-('Historical Data'!F236))/('Historical Data'!F236)</f>
        <v>-0.01209677419</v>
      </c>
      <c r="C235" s="2">
        <f>(('Historical Data'!I237)-('Historical Data'!I236))/('Historical Data'!I236)</f>
        <v>-0.01587301587</v>
      </c>
      <c r="D235" s="2">
        <f>(('Historical Data'!L237)-('Historical Data'!L236))/('Historical Data'!L236)</f>
        <v>-0.009588749201</v>
      </c>
      <c r="E235" s="2">
        <f>(('Historical Data'!O237)-('Historical Data'!O236))/('Historical Data'!O236)</f>
        <v>0.007683863886</v>
      </c>
      <c r="F235" s="2">
        <f>(('Historical Data'!R237)-('Historical Data'!R236))/('Historical Data'!R236)</f>
        <v>-0.002628984555</v>
      </c>
    </row>
    <row r="236">
      <c r="A236" s="2">
        <f>(('Historical Data'!C238)-('Historical Data'!C237))/('Historical Data'!C237)</f>
        <v>-0.01825068871</v>
      </c>
      <c r="B236" s="2">
        <f>(('Historical Data'!F238)-('Historical Data'!F237))/('Historical Data'!F237)</f>
        <v>-0.01224489796</v>
      </c>
      <c r="C236" s="2">
        <f>(('Historical Data'!I238)-('Historical Data'!I237))/('Historical Data'!I237)</f>
        <v>0.01612903226</v>
      </c>
      <c r="D236" s="2">
        <f>(('Historical Data'!L238)-('Historical Data'!L237))/('Historical Data'!L237)</f>
        <v>-0.00430292599</v>
      </c>
      <c r="E236" s="2">
        <f>(('Historical Data'!O238)-('Historical Data'!O237))/('Historical Data'!O237)</f>
        <v>-0.001452432825</v>
      </c>
      <c r="F236" s="2">
        <f>(('Historical Data'!R238)-('Historical Data'!R237))/('Historical Data'!R237)</f>
        <v>0.004481054366</v>
      </c>
    </row>
    <row r="237">
      <c r="A237" s="2">
        <f>(('Historical Data'!C239)-('Historical Data'!C238))/('Historical Data'!C238)</f>
        <v>0.009294984216</v>
      </c>
      <c r="B237" s="2">
        <f>(('Historical Data'!F239)-('Historical Data'!F238))/('Historical Data'!F238)</f>
        <v>-0.05785123967</v>
      </c>
      <c r="C237" s="2">
        <f>(('Historical Data'!I239)-('Historical Data'!I238))/('Historical Data'!I238)</f>
        <v>0.1904761905</v>
      </c>
      <c r="D237" s="2">
        <f>(('Historical Data'!L239)-('Historical Data'!L238))/('Historical Data'!L238)</f>
        <v>0.02614520311</v>
      </c>
      <c r="E237" s="2">
        <f>(('Historical Data'!O239)-('Historical Data'!O238))/('Historical Data'!O238)</f>
        <v>-0.01236363636</v>
      </c>
      <c r="F237" s="2">
        <f>(('Historical Data'!R239)-('Historical Data'!R238))/('Historical Data'!R238)</f>
        <v>0.005838745654</v>
      </c>
    </row>
    <row r="238">
      <c r="A238" s="2">
        <f>(('Historical Data'!C240)-('Historical Data'!C239))/('Historical Data'!C239)</f>
        <v>0.02953953084</v>
      </c>
      <c r="B238" s="2">
        <f>(('Historical Data'!F240)-('Historical Data'!F239))/('Historical Data'!F239)</f>
        <v>-0.01315789474</v>
      </c>
      <c r="C238" s="2">
        <f>(('Historical Data'!I240)-('Historical Data'!I239))/('Historical Data'!I239)</f>
        <v>-0.01333333333</v>
      </c>
      <c r="D238" s="2">
        <f>(('Historical Data'!L240)-('Historical Data'!L239))/('Historical Data'!L239)</f>
        <v>-0.002526847757</v>
      </c>
      <c r="E238" s="2">
        <f>(('Historical Data'!O240)-('Historical Data'!O239))/('Historical Data'!O239)</f>
        <v>0.009204712813</v>
      </c>
      <c r="F238" s="2">
        <f>(('Historical Data'!R240)-('Historical Data'!R239))/('Historical Data'!R239)</f>
        <v>0.01395773546</v>
      </c>
    </row>
    <row r="239">
      <c r="A239" s="2">
        <f>(('Historical Data'!C241)-('Historical Data'!C240))/('Historical Data'!C240)</f>
        <v>-0.01080168776</v>
      </c>
      <c r="B239" s="2">
        <f>(('Historical Data'!F241)-('Historical Data'!F240))/('Historical Data'!F240)</f>
        <v>-0.04</v>
      </c>
      <c r="C239" s="2">
        <f>(('Historical Data'!I241)-('Historical Data'!I240))/('Historical Data'!I240)</f>
        <v>-0.04054054054</v>
      </c>
      <c r="D239" s="2">
        <f>(('Historical Data'!L241)-('Historical Data'!L240))/('Historical Data'!L240)</f>
        <v>-0.01414397298</v>
      </c>
      <c r="E239" s="2">
        <f>(('Historical Data'!O241)-('Historical Data'!O240))/('Historical Data'!O240)</f>
        <v>-0.02991608902</v>
      </c>
      <c r="F239" s="2">
        <f>(('Historical Data'!R241)-('Historical Data'!R240))/('Historical Data'!R240)</f>
        <v>0.01421587547</v>
      </c>
    </row>
    <row r="240">
      <c r="A240" s="2">
        <f>(('Historical Data'!C242)-('Historical Data'!C241))/('Historical Data'!C241)</f>
        <v>-0.01433202525</v>
      </c>
      <c r="B240" s="2">
        <f>(('Historical Data'!F242)-('Historical Data'!F241))/('Historical Data'!F241)</f>
        <v>0.05555555556</v>
      </c>
      <c r="C240" s="2">
        <f>(('Historical Data'!I242)-('Historical Data'!I241))/('Historical Data'!I241)</f>
        <v>-0.07042253521</v>
      </c>
      <c r="D240" s="2">
        <f>(('Historical Data'!L242)-('Historical Data'!L241))/('Historical Data'!L241)</f>
        <v>-0.007708779443</v>
      </c>
      <c r="E240" s="2">
        <f>(('Historical Data'!O242)-('Historical Data'!O241))/('Historical Data'!O241)</f>
        <v>-0.001504324934</v>
      </c>
      <c r="F240" s="2">
        <f>(('Historical Data'!R242)-('Historical Data'!R241))/('Historical Data'!R241)</f>
        <v>0.003678569163</v>
      </c>
    </row>
    <row r="241">
      <c r="A241" s="2">
        <f>(('Historical Data'!C243)-('Historical Data'!C242))/('Historical Data'!C242)</f>
        <v>0.03738964861</v>
      </c>
      <c r="B241" s="2">
        <f>(('Historical Data'!F243)-('Historical Data'!F242))/('Historical Data'!F242)</f>
        <v>-0.008771929825</v>
      </c>
      <c r="C241" s="2">
        <f>(('Historical Data'!I243)-('Historical Data'!I242))/('Historical Data'!I242)</f>
        <v>-0.06060606061</v>
      </c>
      <c r="D241" s="2">
        <f>(('Historical Data'!L243)-('Historical Data'!L242))/('Historical Data'!L242)</f>
        <v>-0.04294346137</v>
      </c>
      <c r="E241" s="2">
        <f>(('Historical Data'!O243)-('Historical Data'!O242))/('Historical Data'!O242)</f>
        <v>0.00263653484</v>
      </c>
      <c r="F241" s="2">
        <f>(('Historical Data'!R243)-('Historical Data'!R242))/('Historical Data'!R242)</f>
        <v>0.003854660348</v>
      </c>
    </row>
    <row r="242">
      <c r="A242" s="2">
        <f>(('Historical Data'!C244)-('Historical Data'!C243))/('Historical Data'!C243)</f>
        <v>0.006340730853</v>
      </c>
      <c r="B242" s="2">
        <f>(('Historical Data'!F244)-('Historical Data'!F243))/('Historical Data'!F243)</f>
        <v>-0.06637168142</v>
      </c>
      <c r="C242" s="2">
        <f>(('Historical Data'!I244)-('Historical Data'!I243))/('Historical Data'!I243)</f>
        <v>0.04838709677</v>
      </c>
      <c r="D242" s="2">
        <f>(('Historical Data'!L244)-('Historical Data'!L243))/('Historical Data'!L243)</f>
        <v>0.01894024803</v>
      </c>
      <c r="E242" s="2">
        <f>(('Historical Data'!O244)-('Historical Data'!O243))/('Historical Data'!O243)</f>
        <v>0.004132231405</v>
      </c>
      <c r="F242" s="2">
        <f>(('Historical Data'!R244)-('Historical Data'!R243))/('Historical Data'!R243)</f>
        <v>0.01416341433</v>
      </c>
    </row>
    <row r="243">
      <c r="A243" s="2">
        <f>(('Historical Data'!C245)-('Historical Data'!C244))/('Historical Data'!C244)</f>
        <v>0.002487149726</v>
      </c>
      <c r="B243" s="2">
        <f>(('Historical Data'!F245)-('Historical Data'!F244))/('Historical Data'!F244)</f>
        <v>-0.1184834123</v>
      </c>
      <c r="C243" s="2">
        <f>(('Historical Data'!I245)-('Historical Data'!I244))/('Historical Data'!I244)</f>
        <v>-0.06153846154</v>
      </c>
      <c r="D243" s="2">
        <f>(('Historical Data'!L245)-('Historical Data'!L244))/('Historical Data'!L244)</f>
        <v>-0.01836689533</v>
      </c>
      <c r="E243" s="2">
        <f>(('Historical Data'!O245)-('Historical Data'!O244))/('Historical Data'!O244)</f>
        <v>-0.01608679386</v>
      </c>
      <c r="F243" s="2">
        <f>(('Historical Data'!R245)-('Historical Data'!R244))/('Historical Data'!R244)</f>
        <v>-0.02265532866</v>
      </c>
    </row>
    <row r="244">
      <c r="A244" s="2">
        <f>(('Historical Data'!C246)-('Historical Data'!C245))/('Historical Data'!C245)</f>
        <v>-0.001653986107</v>
      </c>
      <c r="B244" s="2">
        <f>(('Historical Data'!F246)-('Historical Data'!F245))/('Historical Data'!F245)</f>
        <v>-0.01612903226</v>
      </c>
      <c r="C244" s="2">
        <f>(('Historical Data'!I246)-('Historical Data'!I245))/('Historical Data'!I245)</f>
        <v>-0.06557377049</v>
      </c>
      <c r="D244" s="2">
        <f>(('Historical Data'!L246)-('Historical Data'!L245))/('Historical Data'!L245)</f>
        <v>0.04621280433</v>
      </c>
      <c r="E244" s="2">
        <f>(('Historical Data'!O246)-('Historical Data'!O245))/('Historical Data'!O245)</f>
        <v>-0.0247148289</v>
      </c>
      <c r="F244" s="2">
        <f>(('Historical Data'!R246)-('Historical Data'!R245))/('Historical Data'!R245)</f>
        <v>0.002540327702</v>
      </c>
    </row>
    <row r="245">
      <c r="A245" s="2">
        <f>(('Historical Data'!C247)-('Historical Data'!C246))/('Historical Data'!C246)</f>
        <v>0.01110006627</v>
      </c>
      <c r="B245" s="2">
        <f>(('Historical Data'!F247)-('Historical Data'!F246))/('Historical Data'!F246)</f>
        <v>0.04918032787</v>
      </c>
      <c r="C245" s="2">
        <f>(('Historical Data'!I247)-('Historical Data'!I246))/('Historical Data'!I246)</f>
        <v>0.08771929825</v>
      </c>
      <c r="D245" s="2">
        <f>(('Historical Data'!L247)-('Historical Data'!L246))/('Historical Data'!L246)</f>
        <v>-0.005386770093</v>
      </c>
      <c r="E245" s="2">
        <f>(('Historical Data'!O247)-('Historical Data'!O246))/('Historical Data'!O246)</f>
        <v>0.03040935673</v>
      </c>
      <c r="F245" s="2">
        <f>(('Historical Data'!R247)-('Historical Data'!R246))/('Historical Data'!R246)</f>
        <v>-0.0006334726973</v>
      </c>
    </row>
    <row r="246">
      <c r="A246" s="2">
        <f>(('Historical Data'!C248)-('Historical Data'!C247))/('Historical Data'!C247)</f>
        <v>0.008192692119</v>
      </c>
      <c r="B246" s="2">
        <f>(('Historical Data'!F248)-('Historical Data'!F247))/('Historical Data'!F247)</f>
        <v>-0.02083333333</v>
      </c>
      <c r="C246" s="2">
        <f>(('Historical Data'!I248)-('Historical Data'!I247))/('Historical Data'!I247)</f>
        <v>0</v>
      </c>
      <c r="D246" s="2">
        <f>(('Historical Data'!L248)-('Historical Data'!L247))/('Historical Data'!L247)</f>
        <v>-0.01516464471</v>
      </c>
      <c r="E246" s="2">
        <f>(('Historical Data'!O248)-('Historical Data'!O247))/('Historical Data'!O247)</f>
        <v>0.0128641695</v>
      </c>
      <c r="F246" s="2">
        <f>(('Historical Data'!R248)-('Historical Data'!R247))/('Historical Data'!R247)</f>
        <v>0.009888438134</v>
      </c>
    </row>
    <row r="247">
      <c r="A247" s="2">
        <f>(('Historical Data'!C249)-('Historical Data'!C248))/('Historical Data'!C248)</f>
        <v>0.01218917601</v>
      </c>
      <c r="B247" s="2">
        <f>(('Historical Data'!F249)-('Historical Data'!F248))/('Historical Data'!F248)</f>
        <v>0</v>
      </c>
      <c r="C247" s="2">
        <f>(('Historical Data'!I249)-('Historical Data'!I248))/('Historical Data'!I248)</f>
        <v>0.03225806452</v>
      </c>
      <c r="D247" s="2">
        <f>(('Historical Data'!L249)-('Historical Data'!L248))/('Historical Data'!L248)</f>
        <v>0.01979762429</v>
      </c>
      <c r="E247" s="2">
        <f>(('Historical Data'!O249)-('Historical Data'!O248))/('Historical Data'!O248)</f>
        <v>0.007471049682</v>
      </c>
      <c r="F247" s="2">
        <f>(('Historical Data'!R249)-('Historical Data'!R248))/('Historical Data'!R248)</f>
        <v>0.004895807181</v>
      </c>
    </row>
    <row r="248">
      <c r="A248" s="2">
        <f>(('Historical Data'!C250)-('Historical Data'!C249))/('Historical Data'!C249)</f>
        <v>0.0183044316</v>
      </c>
      <c r="B248" s="2">
        <f>(('Historical Data'!F250)-('Historical Data'!F249))/('Historical Data'!F249)</f>
        <v>0.02659574468</v>
      </c>
      <c r="C248" s="2">
        <f>(('Historical Data'!I250)-('Historical Data'!I249))/('Historical Data'!I249)</f>
        <v>-0.046875</v>
      </c>
      <c r="D248" s="2">
        <f>(('Historical Data'!L250)-('Historical Data'!L249))/('Historical Data'!L249)</f>
        <v>0.01294219154</v>
      </c>
      <c r="E248" s="2">
        <f>(('Historical Data'!O250)-('Historical Data'!O249))/('Historical Data'!O249)</f>
        <v>0.006303299963</v>
      </c>
      <c r="F248" s="2">
        <f>(('Historical Data'!R250)-('Historical Data'!R249))/('Historical Data'!R249)</f>
        <v>0.01168019988</v>
      </c>
    </row>
    <row r="249">
      <c r="A249" s="2">
        <f>(('Historical Data'!C251)-('Historical Data'!C250))/('Historical Data'!C250)</f>
        <v>0.001734468622</v>
      </c>
      <c r="B249" s="2">
        <f>(('Historical Data'!F251)-('Historical Data'!F250))/('Historical Data'!F250)</f>
        <v>0.0103626943</v>
      </c>
      <c r="C249" s="2">
        <f>(('Historical Data'!I251)-('Historical Data'!I250))/('Historical Data'!I250)</f>
        <v>0</v>
      </c>
      <c r="D249" s="2">
        <f>(('Historical Data'!L251)-('Historical Data'!L250))/('Historical Data'!L250)</f>
        <v>0.01448040886</v>
      </c>
      <c r="E249" s="2">
        <f>(('Historical Data'!O251)-('Historical Data'!O250))/('Historical Data'!O250)</f>
        <v>-0.002579218865</v>
      </c>
      <c r="F249" s="2">
        <f>(('Historical Data'!R251)-('Historical Data'!R250))/('Historical Data'!R250)</f>
        <v>0.005371365068</v>
      </c>
    </row>
    <row r="250">
      <c r="A250" s="2">
        <f>(('Historical Data'!C252)-('Historical Data'!C251))/('Historical Data'!C251)</f>
        <v>0.006768455848</v>
      </c>
      <c r="B250" s="2">
        <f>(('Historical Data'!F252)-('Historical Data'!F251))/('Historical Data'!F251)</f>
        <v>0.04615384615</v>
      </c>
      <c r="C250" s="2">
        <f>(('Historical Data'!I252)-('Historical Data'!I251))/('Historical Data'!I251)</f>
        <v>-0.03278688525</v>
      </c>
      <c r="D250" s="2">
        <f>(('Historical Data'!L252)-('Historical Data'!L251))/('Historical Data'!L251)</f>
        <v>-0.004198152813</v>
      </c>
      <c r="E250" s="2">
        <f>(('Historical Data'!O252)-('Historical Data'!O251))/('Historical Data'!O251)</f>
        <v>-0.002955301071</v>
      </c>
      <c r="F250" s="2">
        <f>(('Historical Data'!R252)-('Historical Data'!R251))/('Historical Data'!R251)</f>
        <v>0.008290346352</v>
      </c>
    </row>
    <row r="251">
      <c r="A251" s="2">
        <f>(('Historical Data'!C253)-('Historical Data'!C252))/('Historical Data'!C252)</f>
        <v>-0.005315822389</v>
      </c>
      <c r="B251" s="2">
        <f>(('Historical Data'!F253)-('Historical Data'!F252))/('Historical Data'!F252)</f>
        <v>-0.01960784314</v>
      </c>
      <c r="C251" s="2">
        <f>(('Historical Data'!I253)-('Historical Data'!I252))/('Historical Data'!I252)</f>
        <v>-0.05084745763</v>
      </c>
      <c r="D251" s="2">
        <f>(('Historical Data'!L253)-('Historical Data'!L252))/('Historical Data'!L252)</f>
        <v>0.01180438449</v>
      </c>
      <c r="E251" s="2">
        <f>(('Historical Data'!O253)-('Historical Data'!O252))/('Historical Data'!O252)</f>
        <v>-0.01111522786</v>
      </c>
      <c r="F251" s="2">
        <f>(('Historical Data'!R253)-('Historical Data'!R252))/('Historical Data'!R252)</f>
        <v>-0.008648516962</v>
      </c>
    </row>
    <row r="252">
      <c r="A252" s="2">
        <f>(('Historical Data'!C254)-('Historical Data'!C253))/('Historical Data'!C253)</f>
        <v>-0.003929581892</v>
      </c>
      <c r="B252" s="2">
        <f>(('Historical Data'!F254)-('Historical Data'!F253))/('Historical Data'!F253)</f>
        <v>-0.01</v>
      </c>
      <c r="C252" s="2">
        <f>(('Historical Data'!I254)-('Historical Data'!I253))/('Historical Data'!I253)</f>
        <v>-0.01785714286</v>
      </c>
      <c r="D252" s="2">
        <f>(('Historical Data'!L254)-('Historical Data'!L253))/('Historical Data'!L253)</f>
        <v>0.007291666667</v>
      </c>
      <c r="E252" s="2">
        <f>(('Historical Data'!O254)-('Historical Data'!O253))/('Historical Data'!O253)</f>
        <v>-0.002248032971</v>
      </c>
      <c r="F252" s="2">
        <f>(('Historical Data'!R254)-('Historical Data'!R253))/('Historical Data'!R253)</f>
        <v>0.004976346993</v>
      </c>
    </row>
    <row r="253">
      <c r="A253" s="2">
        <f>(('Historical Data'!C255)-('Historical Data'!C254))/('Historical Data'!C254)</f>
        <v>-0.003313870917</v>
      </c>
      <c r="B253" s="2">
        <f>(('Historical Data'!F255)-('Historical Data'!F254))/('Historical Data'!F254)</f>
        <v>0.101010101</v>
      </c>
      <c r="C253" s="2">
        <f>(('Historical Data'!I255)-('Historical Data'!I254))/('Historical Data'!I254)</f>
        <v>0.03636363636</v>
      </c>
      <c r="D253" s="2">
        <f>(('Historical Data'!L255)-('Historical Data'!L254))/('Historical Data'!L254)</f>
        <v>-0.0113753878</v>
      </c>
      <c r="E253" s="2">
        <f>(('Historical Data'!O255)-('Historical Data'!O254))/('Historical Data'!O254)</f>
        <v>0.02778820879</v>
      </c>
      <c r="F253" s="2">
        <f>(('Historical Data'!R255)-('Historical Data'!R254))/('Historical Data'!R254)</f>
        <v>-0.004156987407</v>
      </c>
    </row>
    <row r="254">
      <c r="A254" s="2">
        <f>(('Historical Data'!C256)-('Historical Data'!C255))/('Historical Data'!C255)</f>
        <v>-0.03024065864</v>
      </c>
      <c r="B254" s="2">
        <f>(('Historical Data'!F256)-('Historical Data'!F255))/('Historical Data'!F255)</f>
        <v>0.123853211</v>
      </c>
      <c r="C254" s="2">
        <f>(('Historical Data'!I256)-('Historical Data'!I255))/('Historical Data'!I255)</f>
        <v>-0.0701754386</v>
      </c>
      <c r="D254" s="2">
        <f>(('Historical Data'!L256)-('Historical Data'!L255))/('Historical Data'!L255)</f>
        <v>0.04414225941</v>
      </c>
      <c r="E254" s="2">
        <f>(('Historical Data'!O256)-('Historical Data'!O255))/('Historical Data'!O255)</f>
        <v>0.04311289733</v>
      </c>
      <c r="F254" s="2">
        <f>(('Historical Data'!R256)-('Historical Data'!R255))/('Historical Data'!R255)</f>
        <v>0.00349907919</v>
      </c>
    </row>
    <row r="255">
      <c r="A255" s="2">
        <f>(('Historical Data'!C257)-('Historical Data'!C256))/('Historical Data'!C256)</f>
        <v>-0.01583673469</v>
      </c>
      <c r="B255" s="2">
        <f>(('Historical Data'!F257)-('Historical Data'!F256))/('Historical Data'!F256)</f>
        <v>-0.09795918367</v>
      </c>
      <c r="C255" s="2">
        <f>(('Historical Data'!I257)-('Historical Data'!I256))/('Historical Data'!I256)</f>
        <v>0.07547169811</v>
      </c>
      <c r="D255" s="2">
        <f>(('Historical Data'!L257)-('Historical Data'!L256))/('Historical Data'!L256)</f>
        <v>0.01542776999</v>
      </c>
      <c r="E255" s="2">
        <f>(('Historical Data'!O257)-('Historical Data'!O256))/('Historical Data'!O256)</f>
        <v>-0.006304728546</v>
      </c>
      <c r="F255" s="2">
        <f>(('Historical Data'!R257)-('Historical Data'!R256))/('Historical Data'!R256)</f>
        <v>0.004526824494</v>
      </c>
    </row>
    <row r="256">
      <c r="A256" s="2">
        <f>(('Historical Data'!C258)-('Historical Data'!C257))/('Historical Data'!C257)</f>
        <v>0.01061712011</v>
      </c>
      <c r="B256" s="2">
        <f>(('Historical Data'!F258)-('Historical Data'!F257))/('Historical Data'!F257)</f>
        <v>0.03619909502</v>
      </c>
      <c r="C256" s="2">
        <f>(('Historical Data'!I258)-('Historical Data'!I257))/('Historical Data'!I257)</f>
        <v>0.08771929825</v>
      </c>
      <c r="D256" s="2">
        <f>(('Historical Data'!L258)-('Historical Data'!L257))/('Historical Data'!L257)</f>
        <v>0.02604577743</v>
      </c>
      <c r="E256" s="2">
        <f>(('Historical Data'!O258)-('Historical Data'!O257))/('Historical Data'!O257)</f>
        <v>0.01550934085</v>
      </c>
      <c r="F256" s="2">
        <f>(('Historical Data'!R258)-('Historical Data'!R257))/('Historical Data'!R257)</f>
        <v>-0.008403873089</v>
      </c>
    </row>
    <row r="257">
      <c r="A257" s="2">
        <f>(('Historical Data'!C259)-('Historical Data'!C258))/('Historical Data'!C258)</f>
        <v>0.003447143795</v>
      </c>
      <c r="B257" s="2">
        <f>(('Historical Data'!F259)-('Historical Data'!F258))/('Historical Data'!F258)</f>
        <v>0.04366812227</v>
      </c>
      <c r="C257" s="2">
        <f>(('Historical Data'!I259)-('Historical Data'!I258))/('Historical Data'!I258)</f>
        <v>0.01612903226</v>
      </c>
      <c r="D257" s="2">
        <f>(('Historical Data'!L259)-('Historical Data'!L258))/('Historical Data'!L258)</f>
        <v>0.01615384615</v>
      </c>
      <c r="E257" s="2">
        <f>(('Historical Data'!O259)-('Historical Data'!O258))/('Historical Data'!O258)</f>
        <v>0.02985074627</v>
      </c>
      <c r="F257" s="2">
        <f>(('Historical Data'!R259)-('Historical Data'!R258))/('Historical Data'!R258)</f>
        <v>-0.0005527236996</v>
      </c>
    </row>
    <row r="258">
      <c r="A258" s="2">
        <f>(('Historical Data'!C260)-('Historical Data'!C259))/('Historical Data'!C259)</f>
        <v>0.01128742025</v>
      </c>
      <c r="B258" s="2">
        <f>(('Historical Data'!F260)-('Historical Data'!F259))/('Historical Data'!F259)</f>
        <v>0.02092050209</v>
      </c>
      <c r="C258" s="2">
        <f>(('Historical Data'!I260)-('Historical Data'!I259))/('Historical Data'!I259)</f>
        <v>-0.03174603175</v>
      </c>
      <c r="D258" s="2">
        <f>(('Historical Data'!L260)-('Historical Data'!L259))/('Historical Data'!L259)</f>
        <v>-0.0005677517033</v>
      </c>
      <c r="E258" s="2">
        <f>(('Historical Data'!O260)-('Historical Data'!O259))/('Historical Data'!O259)</f>
        <v>-0.003707448601</v>
      </c>
      <c r="F258" s="2">
        <f>(('Historical Data'!R260)-('Historical Data'!R259))/('Historical Data'!R259)</f>
        <v>-0.01364139118</v>
      </c>
    </row>
    <row r="259">
      <c r="A259" s="2">
        <f>(('Historical Data'!C261)-('Historical Data'!C260))/('Historical Data'!C260)</f>
        <v>0.008896797153</v>
      </c>
      <c r="B259" s="2">
        <f>(('Historical Data'!F261)-('Historical Data'!F260))/('Historical Data'!F260)</f>
        <v>0.05327868852</v>
      </c>
      <c r="C259" s="2">
        <f>(('Historical Data'!I261)-('Historical Data'!I260))/('Historical Data'!I260)</f>
        <v>0.08196721311</v>
      </c>
      <c r="D259" s="2">
        <f>(('Historical Data'!L261)-('Historical Data'!L260))/('Historical Data'!L260)</f>
        <v>0.001514864609</v>
      </c>
      <c r="E259" s="2">
        <f>(('Historical Data'!O261)-('Historical Data'!O260))/('Historical Data'!O260)</f>
        <v>0.03315290934</v>
      </c>
      <c r="F259" s="2">
        <f>(('Historical Data'!R261)-('Historical Data'!R260))/('Historical Data'!R260)</f>
        <v>-0.01158734114</v>
      </c>
    </row>
    <row r="260">
      <c r="A260" s="2">
        <f>(('Historical Data'!C262)-('Historical Data'!C261))/('Historical Data'!C261)</f>
        <v>-0.004008337342</v>
      </c>
      <c r="B260" s="2">
        <f>(('Historical Data'!F262)-('Historical Data'!F261))/('Historical Data'!F261)</f>
        <v>-0.03891050584</v>
      </c>
      <c r="C260" s="2">
        <f>(('Historical Data'!I262)-('Historical Data'!I261))/('Historical Data'!I261)</f>
        <v>0.1212121212</v>
      </c>
      <c r="D260" s="2">
        <f>(('Historical Data'!L262)-('Historical Data'!L261))/('Historical Data'!L261)</f>
        <v>0.005483078087</v>
      </c>
      <c r="E260" s="2">
        <f>(('Historical Data'!O262)-('Historical Data'!O261))/('Historical Data'!O261)</f>
        <v>0.02128356254</v>
      </c>
      <c r="F260" s="2">
        <f>(('Historical Data'!R262)-('Historical Data'!R261))/('Historical Data'!R261)</f>
        <v>0.002205975041</v>
      </c>
    </row>
    <row r="261">
      <c r="A261" s="2">
        <f>(('Historical Data'!C263)-('Historical Data'!C262))/('Historical Data'!C262)</f>
        <v>-0.00998068255</v>
      </c>
      <c r="B261" s="2">
        <f>(('Historical Data'!F263)-('Historical Data'!F262))/('Historical Data'!F262)</f>
        <v>0.04858299595</v>
      </c>
      <c r="C261" s="2">
        <f>(('Historical Data'!I263)-('Historical Data'!I262))/('Historical Data'!I262)</f>
        <v>-0.08108108108</v>
      </c>
      <c r="D261" s="2">
        <f>(('Historical Data'!L263)-('Historical Data'!L262))/('Historical Data'!L262)</f>
        <v>0.01485520873</v>
      </c>
      <c r="E261" s="2">
        <f>(('Historical Data'!O263)-('Historical Data'!O262))/('Historical Data'!O262)</f>
        <v>0.0009618467458</v>
      </c>
      <c r="F261" s="2">
        <f>(('Historical Data'!R263)-('Historical Data'!R262))/('Historical Data'!R262)</f>
        <v>-0.004528017106</v>
      </c>
    </row>
    <row r="262">
      <c r="A262" s="2">
        <f>(('Historical Data'!C264)-('Historical Data'!C263))/('Historical Data'!C263)</f>
        <v>-0.002276422764</v>
      </c>
      <c r="B262" s="2">
        <f>(('Historical Data'!F264)-('Historical Data'!F263))/('Historical Data'!F263)</f>
        <v>-0.03474903475</v>
      </c>
      <c r="C262" s="2">
        <f>(('Historical Data'!I264)-('Historical Data'!I263))/('Historical Data'!I263)</f>
        <v>-0.01470588235</v>
      </c>
      <c r="D262" s="2">
        <f>(('Historical Data'!L264)-('Historical Data'!L263))/('Historical Data'!L263)</f>
        <v>0.0185288123</v>
      </c>
      <c r="E262" s="2">
        <f>(('Historical Data'!O264)-('Historical Data'!O263))/('Historical Data'!O263)</f>
        <v>0.02626521461</v>
      </c>
      <c r="F262" s="2">
        <f>(('Historical Data'!R264)-('Historical Data'!R263))/('Historical Data'!R263)</f>
        <v>0.009602628088</v>
      </c>
    </row>
    <row r="263">
      <c r="A263" s="2">
        <f>(('Historical Data'!C265)-('Historical Data'!C264))/('Historical Data'!C264)</f>
        <v>-0.02656453716</v>
      </c>
      <c r="B263" s="2">
        <f>(('Historical Data'!F265)-('Historical Data'!F264))/('Historical Data'!F264)</f>
        <v>-0.028</v>
      </c>
      <c r="C263" s="2">
        <f>(('Historical Data'!I265)-('Historical Data'!I264))/('Historical Data'!I264)</f>
        <v>0.1940298507</v>
      </c>
      <c r="D263" s="2">
        <f>(('Historical Data'!L265)-('Historical Data'!L264))/('Historical Data'!L264)</f>
        <v>0.002910678552</v>
      </c>
      <c r="E263" s="2">
        <f>(('Historical Data'!O265)-('Historical Data'!O264))/('Historical Data'!O264)</f>
        <v>0.01061173533</v>
      </c>
      <c r="F263" s="2">
        <f>(('Historical Data'!R265)-('Historical Data'!R264))/('Historical Data'!R264)</f>
        <v>-0.01927288655</v>
      </c>
    </row>
    <row r="264">
      <c r="A264" s="2">
        <f>(('Historical Data'!C266)-('Historical Data'!C265))/('Historical Data'!C265)</f>
        <v>-0.01389586472</v>
      </c>
      <c r="B264" s="2">
        <f>(('Historical Data'!F266)-('Historical Data'!F265))/('Historical Data'!F265)</f>
        <v>-0.04938271605</v>
      </c>
      <c r="C264" s="2">
        <f>(('Historical Data'!I266)-('Historical Data'!I265))/('Historical Data'!I265)</f>
        <v>-0.075</v>
      </c>
      <c r="D264" s="2">
        <f>(('Historical Data'!L266)-('Historical Data'!L265))/('Historical Data'!L265)</f>
        <v>-0.01378559768</v>
      </c>
      <c r="E264" s="2">
        <f>(('Historical Data'!O266)-('Historical Data'!O265))/('Historical Data'!O265)</f>
        <v>-0.008647313156</v>
      </c>
      <c r="F264" s="2">
        <f>(('Historical Data'!R266)-('Historical Data'!R265))/('Historical Data'!R265)</f>
        <v>0.03362470491</v>
      </c>
    </row>
    <row r="265">
      <c r="A265" s="2">
        <f>(('Historical Data'!C267)-('Historical Data'!C266))/('Historical Data'!C266)</f>
        <v>-0.01392190153</v>
      </c>
      <c r="B265" s="2">
        <f>(('Historical Data'!F267)-('Historical Data'!F266))/('Historical Data'!F266)</f>
        <v>-0.02164502165</v>
      </c>
      <c r="C265" s="2">
        <f>(('Historical Data'!I267)-('Historical Data'!I266))/('Historical Data'!I266)</f>
        <v>0.09459459459</v>
      </c>
      <c r="D265" s="2">
        <f>(('Historical Data'!L267)-('Historical Data'!L266))/('Historical Data'!L266)</f>
        <v>-0.009012322972</v>
      </c>
      <c r="E265" s="2">
        <f>(('Historical Data'!O267)-('Historical Data'!O266))/('Historical Data'!O266)</f>
        <v>-0.0230529595</v>
      </c>
      <c r="F265" s="2">
        <f>(('Historical Data'!R267)-('Historical Data'!R266))/('Historical Data'!R266)</f>
        <v>0</v>
      </c>
    </row>
    <row r="266">
      <c r="A266" s="2">
        <f>(('Historical Data'!C268)-('Historical Data'!C267))/('Historical Data'!C267)</f>
        <v>-0.0241046832</v>
      </c>
      <c r="B266" s="2">
        <f>(('Historical Data'!F268)-('Historical Data'!F267))/('Historical Data'!F267)</f>
        <v>0.01327433628</v>
      </c>
      <c r="C266" s="2">
        <f>(('Historical Data'!I268)-('Historical Data'!I267))/('Historical Data'!I267)</f>
        <v>0.1728395062</v>
      </c>
      <c r="D266" s="2">
        <f>(('Historical Data'!L268)-('Historical Data'!L267))/('Historical Data'!L267)</f>
        <v>-0.01670378619</v>
      </c>
      <c r="E266" s="2">
        <f>(('Historical Data'!O268)-('Historical Data'!O267))/('Historical Data'!O267)</f>
        <v>-0.02072704082</v>
      </c>
      <c r="F266" s="2">
        <f>(('Historical Data'!R268)-('Historical Data'!R267))/('Historical Data'!R267)</f>
        <v>0.003827160494</v>
      </c>
    </row>
    <row r="267">
      <c r="A267" s="2">
        <f>(('Historical Data'!C269)-('Historical Data'!C268))/('Historical Data'!C268)</f>
        <v>0.003881439661</v>
      </c>
      <c r="B267" s="2">
        <f>(('Historical Data'!F269)-('Historical Data'!F268))/('Historical Data'!F268)</f>
        <v>-0.02620087336</v>
      </c>
      <c r="C267" s="2">
        <f>(('Historical Data'!I269)-('Historical Data'!I268))/('Historical Data'!I268)</f>
        <v>-0.08421052632</v>
      </c>
      <c r="D267" s="2">
        <f>(('Historical Data'!L269)-('Historical Data'!L268))/('Historical Data'!L268)</f>
        <v>-0.02321630804</v>
      </c>
      <c r="E267" s="2">
        <f>(('Historical Data'!O269)-('Historical Data'!O268))/('Historical Data'!O268)</f>
        <v>-0.02377075871</v>
      </c>
      <c r="F267" s="2">
        <f>(('Historical Data'!R269)-('Historical Data'!R268))/('Historical Data'!R268)</f>
        <v>-0.00811708277</v>
      </c>
    </row>
    <row r="268">
      <c r="A268" s="2">
        <f>(('Historical Data'!C270)-('Historical Data'!C269))/('Historical Data'!C269)</f>
        <v>-0.01388400703</v>
      </c>
      <c r="B268" s="2">
        <f>(('Historical Data'!F270)-('Historical Data'!F269))/('Historical Data'!F269)</f>
        <v>-0.08968609865</v>
      </c>
      <c r="C268" s="2">
        <f>(('Historical Data'!I270)-('Historical Data'!I269))/('Historical Data'!I269)</f>
        <v>-0.03448275862</v>
      </c>
      <c r="D268" s="2">
        <f>(('Historical Data'!L270)-('Historical Data'!L269))/('Historical Data'!L269)</f>
        <v>-0.04792270531</v>
      </c>
      <c r="E268" s="2">
        <f>(('Historical Data'!O270)-('Historical Data'!O269))/('Historical Data'!O269)</f>
        <v>0.04736490994</v>
      </c>
      <c r="F268" s="2">
        <f>(('Historical Data'!R270)-('Historical Data'!R269))/('Historical Data'!R269)</f>
        <v>-0.01091134532</v>
      </c>
    </row>
    <row r="269">
      <c r="A269" s="2">
        <f>(('Historical Data'!C271)-('Historical Data'!C270))/('Historical Data'!C270)</f>
        <v>-0.01390126537</v>
      </c>
      <c r="B269" s="2">
        <f>(('Historical Data'!F271)-('Historical Data'!F270))/('Historical Data'!F270)</f>
        <v>-0.02463054187</v>
      </c>
      <c r="C269" s="2">
        <f>(('Historical Data'!I271)-('Historical Data'!I270))/('Historical Data'!I270)</f>
        <v>-0.1071428571</v>
      </c>
      <c r="D269" s="2">
        <f>(('Historical Data'!L271)-('Historical Data'!L270))/('Historical Data'!L270)</f>
        <v>0.03328597524</v>
      </c>
      <c r="E269" s="2">
        <f>(('Historical Data'!O271)-('Historical Data'!O270))/('Historical Data'!O270)</f>
        <v>0.003184713376</v>
      </c>
      <c r="F269" s="2">
        <f>(('Historical Data'!R271)-('Historical Data'!R270))/('Historical Data'!R270)</f>
        <v>-0.008712548577</v>
      </c>
    </row>
    <row r="270">
      <c r="A270" s="2">
        <f>(('Historical Data'!C272)-('Historical Data'!C271))/('Historical Data'!C271)</f>
        <v>-0.01283209832</v>
      </c>
      <c r="B270" s="2">
        <f>(('Historical Data'!F272)-('Historical Data'!F271))/('Historical Data'!F271)</f>
        <v>0.1111111111</v>
      </c>
      <c r="C270" s="2">
        <f>(('Historical Data'!I272)-('Historical Data'!I271))/('Historical Data'!I271)</f>
        <v>0.1333333333</v>
      </c>
      <c r="D270" s="2">
        <f>(('Historical Data'!L272)-('Historical Data'!L271))/('Historical Data'!L271)</f>
        <v>0.02199960715</v>
      </c>
      <c r="E270" s="2">
        <f>(('Historical Data'!O272)-('Historical Data'!O271))/('Historical Data'!O271)</f>
        <v>0.0009523809524</v>
      </c>
      <c r="F270" s="2">
        <f>(('Historical Data'!R272)-('Historical Data'!R271))/('Historical Data'!R271)</f>
        <v>0.006196648751</v>
      </c>
    </row>
    <row r="271">
      <c r="A271" s="2">
        <f>(('Historical Data'!C273)-('Historical Data'!C272))/('Historical Data'!C272)</f>
        <v>0.01812522885</v>
      </c>
      <c r="B271" s="2">
        <f>(('Historical Data'!F273)-('Historical Data'!F272))/('Historical Data'!F272)</f>
        <v>-0.03181818182</v>
      </c>
      <c r="C271" s="2">
        <f>(('Historical Data'!I273)-('Historical Data'!I272))/('Historical Data'!I272)</f>
        <v>0.1411764706</v>
      </c>
      <c r="D271" s="2">
        <f>(('Historical Data'!L273)-('Historical Data'!L272))/('Historical Data'!L272)</f>
        <v>0.00422832981</v>
      </c>
      <c r="E271" s="2">
        <f>(('Historical Data'!O273)-('Historical Data'!O272))/('Historical Data'!O272)</f>
        <v>-0.01458928005</v>
      </c>
      <c r="F271" s="2">
        <f>(('Historical Data'!R273)-('Historical Data'!R272))/('Historical Data'!R272)</f>
        <v>0.00860931314</v>
      </c>
    </row>
    <row r="272">
      <c r="A272" s="2">
        <f>(('Historical Data'!C274)-('Historical Data'!C273))/('Historical Data'!C273)</f>
        <v>0.001078942636</v>
      </c>
      <c r="B272" s="2">
        <f>(('Historical Data'!F274)-('Historical Data'!F273))/('Historical Data'!F273)</f>
        <v>0.07511737089</v>
      </c>
      <c r="C272" s="2">
        <f>(('Historical Data'!I274)-('Historical Data'!I273))/('Historical Data'!I273)</f>
        <v>0.2680412371</v>
      </c>
      <c r="D272" s="2">
        <f>(('Historical Data'!L274)-('Historical Data'!L273))/('Historical Data'!L273)</f>
        <v>-0.02009569378</v>
      </c>
      <c r="E272" s="2">
        <f>(('Historical Data'!O274)-('Historical Data'!O273))/('Historical Data'!O273)</f>
        <v>-0.004827808175</v>
      </c>
      <c r="F272" s="2">
        <f>(('Historical Data'!R274)-('Historical Data'!R273))/('Historical Data'!R273)</f>
        <v>-0.0003115264798</v>
      </c>
    </row>
    <row r="273">
      <c r="A273" s="2">
        <f>(('Historical Data'!C275)-('Historical Data'!C274))/('Historical Data'!C274)</f>
        <v>-0.005388898868</v>
      </c>
      <c r="B273" s="2">
        <f>(('Historical Data'!F275)-('Historical Data'!F274))/('Historical Data'!F274)</f>
        <v>-0.04366812227</v>
      </c>
      <c r="C273" s="2">
        <f>(('Historical Data'!I275)-('Historical Data'!I274))/('Historical Data'!I274)</f>
        <v>0.008130081301</v>
      </c>
      <c r="D273" s="2">
        <f>(('Historical Data'!L275)-('Historical Data'!L274))/('Historical Data'!L274)</f>
        <v>-0.0029296875</v>
      </c>
      <c r="E273" s="2">
        <f>(('Historical Data'!O275)-('Historical Data'!O274))/('Historical Data'!O274)</f>
        <v>0.02716688228</v>
      </c>
      <c r="F273" s="2">
        <f>(('Historical Data'!R275)-('Historical Data'!R274))/('Historical Data'!R274)</f>
        <v>-0.004425054534</v>
      </c>
    </row>
    <row r="274">
      <c r="A274" s="2">
        <f>(('Historical Data'!C276)-('Historical Data'!C275))/('Historical Data'!C275)</f>
        <v>0.01444825718</v>
      </c>
      <c r="B274" s="2">
        <f>(('Historical Data'!F276)-('Historical Data'!F275))/('Historical Data'!F275)</f>
        <v>0.02739726027</v>
      </c>
      <c r="C274" s="2">
        <f>(('Historical Data'!I276)-('Historical Data'!I275))/('Historical Data'!I275)</f>
        <v>-0.07258064516</v>
      </c>
      <c r="D274" s="2">
        <f>(('Historical Data'!L276)-('Historical Data'!L275))/('Historical Data'!L275)</f>
        <v>0.02624877571</v>
      </c>
      <c r="E274" s="2">
        <f>(('Historical Data'!O276)-('Historical Data'!O275))/('Historical Data'!O275)</f>
        <v>0.006297229219</v>
      </c>
      <c r="F274" s="2">
        <f>(('Historical Data'!R276)-('Historical Data'!R275))/('Historical Data'!R275)</f>
        <v>0.01790409415</v>
      </c>
    </row>
    <row r="275">
      <c r="A275" s="2">
        <f>(('Historical Data'!C277)-('Historical Data'!C276))/('Historical Data'!C276)</f>
        <v>-0.01726900481</v>
      </c>
      <c r="B275" s="2">
        <f>(('Historical Data'!F277)-('Historical Data'!F276))/('Historical Data'!F276)</f>
        <v>0</v>
      </c>
      <c r="C275" s="2">
        <f>(('Historical Data'!I277)-('Historical Data'!I276))/('Historical Data'!I276)</f>
        <v>0.1043478261</v>
      </c>
      <c r="D275" s="2">
        <f>(('Historical Data'!L277)-('Historical Data'!L276))/('Historical Data'!L276)</f>
        <v>0.008971177706</v>
      </c>
      <c r="E275" s="2">
        <f>(('Historical Data'!O277)-('Historical Data'!O276))/('Historical Data'!O276)</f>
        <v>0.005944931164</v>
      </c>
      <c r="F275" s="2">
        <f>(('Historical Data'!R277)-('Historical Data'!R276))/('Historical Data'!R276)</f>
        <v>0.009471094711</v>
      </c>
    </row>
    <row r="276">
      <c r="A276" s="2">
        <f>(('Historical Data'!C278)-('Historical Data'!C277))/('Historical Data'!C277)</f>
        <v>-0.0009057971014</v>
      </c>
      <c r="B276" s="2">
        <f>(('Historical Data'!F278)-('Historical Data'!F277))/('Historical Data'!F277)</f>
        <v>0</v>
      </c>
      <c r="C276" s="2">
        <f>(('Historical Data'!I278)-('Historical Data'!I277))/('Historical Data'!I277)</f>
        <v>0.5433070866</v>
      </c>
      <c r="D276" s="2">
        <f>(('Historical Data'!L278)-('Historical Data'!L277))/('Historical Data'!L277)</f>
        <v>0.008323874385</v>
      </c>
      <c r="E276" s="2">
        <f>(('Historical Data'!O278)-('Historical Data'!O277))/('Historical Data'!O277)</f>
        <v>0.02270606532</v>
      </c>
      <c r="F276" s="2">
        <f>(('Historical Data'!R278)-('Historical Data'!R277))/('Historical Data'!R277)</f>
        <v>-0.01590106007</v>
      </c>
    </row>
    <row r="277">
      <c r="A277" s="2">
        <f>(('Historical Data'!C279)-('Historical Data'!C278))/('Historical Data'!C278)</f>
        <v>0.0003626473255</v>
      </c>
      <c r="B277" s="2">
        <f>(('Historical Data'!F279)-('Historical Data'!F278))/('Historical Data'!F278)</f>
        <v>0.04888888889</v>
      </c>
      <c r="C277" s="2">
        <f>(('Historical Data'!I279)-('Historical Data'!I278))/('Historical Data'!I278)</f>
        <v>-0.005102040816</v>
      </c>
      <c r="D277" s="2">
        <f>(('Historical Data'!L279)-('Historical Data'!L278))/('Historical Data'!L278)</f>
        <v>-0.03602251407</v>
      </c>
      <c r="E277" s="2">
        <f>(('Historical Data'!O279)-('Historical Data'!O278))/('Historical Data'!O278)</f>
        <v>0.01399026764</v>
      </c>
      <c r="F277" s="2">
        <f>(('Historical Data'!R279)-('Historical Data'!R278))/('Historical Data'!R278)</f>
        <v>-0.007490868569</v>
      </c>
    </row>
    <row r="278">
      <c r="A278" s="2">
        <f>(('Historical Data'!C280)-('Historical Data'!C279))/('Historical Data'!C279)</f>
        <v>0.003081384811</v>
      </c>
      <c r="B278" s="2">
        <f>(('Historical Data'!F280)-('Historical Data'!F279))/('Historical Data'!F279)</f>
        <v>-0.008474576271</v>
      </c>
      <c r="C278" s="2">
        <f>(('Historical Data'!I280)-('Historical Data'!I279))/('Historical Data'!I279)</f>
        <v>0.3692307692</v>
      </c>
      <c r="D278" s="2">
        <f>(('Historical Data'!L280)-('Historical Data'!L279))/('Historical Data'!L279)</f>
        <v>0.02355001946</v>
      </c>
      <c r="E278" s="2">
        <f>(('Historical Data'!O280)-('Historical Data'!O279))/('Historical Data'!O279)</f>
        <v>-0.01589682064</v>
      </c>
      <c r="F278" s="2">
        <f>(('Historical Data'!R280)-('Historical Data'!R279))/('Historical Data'!R279)</f>
        <v>-0.002245508982</v>
      </c>
    </row>
    <row r="279">
      <c r="A279" s="2">
        <f>(('Historical Data'!C281)-('Historical Data'!C280))/('Historical Data'!C280)</f>
        <v>0.01716660643</v>
      </c>
      <c r="B279" s="2">
        <f>(('Historical Data'!F281)-('Historical Data'!F280))/('Historical Data'!F280)</f>
        <v>-0.02991452991</v>
      </c>
      <c r="C279" s="2">
        <f>(('Historical Data'!I281)-('Historical Data'!I280))/('Historical Data'!I280)</f>
        <v>0.0861423221</v>
      </c>
      <c r="D279" s="2">
        <f>(('Historical Data'!L281)-('Historical Data'!L280))/('Historical Data'!L280)</f>
        <v>-0.001711351968</v>
      </c>
      <c r="E279" s="2">
        <f>(('Historical Data'!O281)-('Historical Data'!O280))/('Historical Data'!O280)</f>
        <v>0.005486132277</v>
      </c>
      <c r="F279" s="2">
        <f>(('Historical Data'!R281)-('Historical Data'!R280))/('Historical Data'!R280)</f>
        <v>-0.002250562641</v>
      </c>
    </row>
    <row r="280">
      <c r="A280" s="2">
        <f>(('Historical Data'!C282)-('Historical Data'!C281))/('Historical Data'!C281)</f>
        <v>-0.0252265056</v>
      </c>
      <c r="B280" s="2">
        <f>(('Historical Data'!F282)-('Historical Data'!F281))/('Historical Data'!F281)</f>
        <v>0.004405286344</v>
      </c>
      <c r="C280" s="2">
        <f>(('Historical Data'!I282)-('Historical Data'!I281))/('Historical Data'!I281)</f>
        <v>0.2034482759</v>
      </c>
      <c r="D280" s="2">
        <f>(('Historical Data'!L282)-('Historical Data'!L281))/('Historical Data'!L281)</f>
        <v>0.01123809524</v>
      </c>
      <c r="E280" s="2">
        <f>(('Historical Data'!O282)-('Historical Data'!O281))/('Historical Data'!O281)</f>
        <v>0.002121855108</v>
      </c>
      <c r="F280" s="2">
        <f>(('Historical Data'!R282)-('Historical Data'!R281))/('Historical Data'!R281)</f>
        <v>-0.01522556391</v>
      </c>
    </row>
    <row r="281">
      <c r="A281" s="2">
        <f>(('Historical Data'!C283)-('Historical Data'!C282))/('Historical Data'!C282)</f>
        <v>-0.01767814835</v>
      </c>
      <c r="B281" s="2">
        <f>(('Historical Data'!F283)-('Historical Data'!F282))/('Historical Data'!F282)</f>
        <v>0.100877193</v>
      </c>
      <c r="C281" s="2">
        <f>(('Historical Data'!I283)-('Historical Data'!I282))/('Historical Data'!I282)</f>
        <v>-0.2263610315</v>
      </c>
      <c r="D281" s="2">
        <f>(('Historical Data'!L283)-('Historical Data'!L282))/('Historical Data'!L282)</f>
        <v>0.005839141081</v>
      </c>
      <c r="E281" s="2">
        <f>(('Historical Data'!O283)-('Historical Data'!O282))/('Historical Data'!O282)</f>
        <v>0.005142165759</v>
      </c>
      <c r="F281" s="2">
        <f>(('Historical Data'!R283)-('Historical Data'!R282))/('Historical Data'!R282)</f>
        <v>-0.005599032894</v>
      </c>
    </row>
    <row r="282">
      <c r="A282" s="2">
        <f>(('Historical Data'!C284)-('Historical Data'!C283))/('Historical Data'!C283)</f>
        <v>-0.0133580705</v>
      </c>
      <c r="B282" s="2">
        <f>(('Historical Data'!F284)-('Historical Data'!F283))/('Historical Data'!F283)</f>
        <v>-0.02390438247</v>
      </c>
      <c r="C282" s="2">
        <f>(('Historical Data'!I284)-('Historical Data'!I283))/('Historical Data'!I283)</f>
        <v>-0.1074074074</v>
      </c>
      <c r="D282" s="2">
        <f>(('Historical Data'!L284)-('Historical Data'!L283))/('Historical Data'!L283)</f>
        <v>0.01048689139</v>
      </c>
      <c r="E282" s="2">
        <f>(('Historical Data'!O284)-('Historical Data'!O283))/('Historical Data'!O283)</f>
        <v>-0.02347276557</v>
      </c>
      <c r="F282" s="2">
        <f>(('Historical Data'!R284)-('Historical Data'!R283))/('Historical Data'!R283)</f>
        <v>0.002879262909</v>
      </c>
    </row>
    <row r="283">
      <c r="A283" s="2">
        <f>(('Historical Data'!C285)-('Historical Data'!C284))/('Historical Data'!C284)</f>
        <v>0.02049642723</v>
      </c>
      <c r="B283" s="2">
        <f>(('Historical Data'!F285)-('Historical Data'!F284))/('Historical Data'!F284)</f>
        <v>-0.004081632653</v>
      </c>
      <c r="C283" s="2">
        <f>(('Historical Data'!I285)-('Historical Data'!I284))/('Historical Data'!I284)</f>
        <v>0.6970954357</v>
      </c>
      <c r="D283" s="2">
        <f>(('Historical Data'!L285)-('Historical Data'!L284))/('Historical Data'!L284)</f>
        <v>-0.04169755374</v>
      </c>
      <c r="E283" s="2">
        <f>(('Historical Data'!O285)-('Historical Data'!O284))/('Historical Data'!O284)</f>
        <v>-0.008936825886</v>
      </c>
      <c r="F283" s="2">
        <f>(('Historical Data'!R285)-('Historical Data'!R284))/('Historical Data'!R284)</f>
        <v>0.0005103993875</v>
      </c>
    </row>
    <row r="284">
      <c r="A284" s="2">
        <f>(('Historical Data'!C286)-('Historical Data'!C285))/('Historical Data'!C285)</f>
        <v>-0.0003685277317</v>
      </c>
      <c r="B284" s="2">
        <f>(('Historical Data'!F286)-('Historical Data'!F285))/('Historical Data'!F285)</f>
        <v>-0.01639344262</v>
      </c>
      <c r="C284" s="2">
        <f>(('Historical Data'!I286)-('Historical Data'!I285))/('Historical Data'!I285)</f>
        <v>0.00488997555</v>
      </c>
      <c r="D284" s="2">
        <f>(('Historical Data'!L286)-('Historical Data'!L285))/('Historical Data'!L285)</f>
        <v>0.01779152968</v>
      </c>
      <c r="E284" s="2">
        <f>(('Historical Data'!O286)-('Historical Data'!O285))/('Historical Data'!O285)</f>
        <v>0.009950248756</v>
      </c>
      <c r="F284" s="2">
        <f>(('Historical Data'!R286)-('Historical Data'!R285))/('Historical Data'!R285)</f>
        <v>0.007588317817</v>
      </c>
    </row>
    <row r="285">
      <c r="A285" s="2">
        <f>(('Historical Data'!C287)-('Historical Data'!C286))/('Historical Data'!C286)</f>
        <v>0.02801843318</v>
      </c>
      <c r="B285" s="2">
        <f>(('Historical Data'!F287)-('Historical Data'!F286))/('Historical Data'!F286)</f>
        <v>0.004166666667</v>
      </c>
      <c r="C285" s="2">
        <f>(('Historical Data'!I287)-('Historical Data'!I286))/('Historical Data'!I286)</f>
        <v>-0.05839416058</v>
      </c>
      <c r="D285" s="2">
        <f>(('Historical Data'!L287)-('Historical Data'!L286))/('Historical Data'!L286)</f>
        <v>-0.01330039901</v>
      </c>
      <c r="E285" s="2">
        <f>(('Historical Data'!O287)-('Historical Data'!O286))/('Historical Data'!O286)</f>
        <v>-0.005849753695</v>
      </c>
      <c r="F285" s="2">
        <f>(('Historical Data'!R287)-('Historical Data'!R286))/('Historical Data'!R286)</f>
        <v>0.0114549712</v>
      </c>
    </row>
    <row r="286">
      <c r="A286" s="2">
        <f>(('Historical Data'!C288)-('Historical Data'!C287))/('Historical Data'!C287)</f>
        <v>0.02582033351</v>
      </c>
      <c r="B286" s="2">
        <f>(('Historical Data'!F288)-('Historical Data'!F287))/('Historical Data'!F287)</f>
        <v>0.008298755187</v>
      </c>
      <c r="C286" s="2">
        <f>(('Historical Data'!I288)-('Historical Data'!I287))/('Historical Data'!I287)</f>
        <v>-0.1834625323</v>
      </c>
      <c r="D286" s="2">
        <f>(('Historical Data'!L288)-('Historical Data'!L287))/('Historical Data'!L287)</f>
        <v>-0.01232428269</v>
      </c>
      <c r="E286" s="2">
        <f>(('Historical Data'!O288)-('Historical Data'!O287))/('Historical Data'!O287)</f>
        <v>-0.01610405698</v>
      </c>
      <c r="F286" s="2">
        <f>(('Historical Data'!R288)-('Historical Data'!R287))/('Historical Data'!R287)</f>
        <v>0.0005005631335</v>
      </c>
    </row>
    <row r="287">
      <c r="A287" s="2">
        <f>(('Historical Data'!C289)-('Historical Data'!C288))/('Historical Data'!C288)</f>
        <v>-0.01590631009</v>
      </c>
      <c r="B287" s="2">
        <f>(('Historical Data'!F289)-('Historical Data'!F288))/('Historical Data'!F288)</f>
        <v>0.04938271605</v>
      </c>
      <c r="C287" s="2">
        <f>(('Historical Data'!I289)-('Historical Data'!I288))/('Historical Data'!I288)</f>
        <v>-0.1107594937</v>
      </c>
      <c r="D287" s="2">
        <f>(('Historical Data'!L289)-('Historical Data'!L288))/('Historical Data'!L288)</f>
        <v>-0.001364788458</v>
      </c>
      <c r="E287" s="2">
        <f>(('Historical Data'!O289)-('Historical Data'!O288))/('Historical Data'!O288)</f>
        <v>-0.02234812716</v>
      </c>
      <c r="F287" s="2">
        <f>(('Historical Data'!R289)-('Historical Data'!R288))/('Historical Data'!R288)</f>
        <v>-0.01232020013</v>
      </c>
    </row>
    <row r="288">
      <c r="A288" s="2">
        <f>(('Historical Data'!C290)-('Historical Data'!C289))/('Historical Data'!C289)</f>
        <v>-0.03303730018</v>
      </c>
      <c r="B288" s="2">
        <f>(('Historical Data'!F290)-('Historical Data'!F289))/('Historical Data'!F289)</f>
        <v>-0.007843137255</v>
      </c>
      <c r="C288" s="2">
        <f>(('Historical Data'!I290)-('Historical Data'!I289))/('Historical Data'!I289)</f>
        <v>-0.2455516014</v>
      </c>
      <c r="D288" s="2">
        <f>(('Historical Data'!L290)-('Historical Data'!L289))/('Historical Data'!L289)</f>
        <v>-0.005857087075</v>
      </c>
      <c r="E288" s="2">
        <f>(('Historical Data'!O290)-('Historical Data'!O289))/('Historical Data'!O289)</f>
        <v>0.002253702511</v>
      </c>
      <c r="F288" s="2">
        <f>(('Historical Data'!R290)-('Historical Data'!R289))/('Historical Data'!R289)</f>
        <v>-0.01247388083</v>
      </c>
    </row>
    <row r="289">
      <c r="A289" s="2">
        <f>(('Historical Data'!C291)-('Historical Data'!C290))/('Historical Data'!C290)</f>
        <v>0.005326965467</v>
      </c>
      <c r="B289" s="2">
        <f>(('Historical Data'!F291)-('Historical Data'!F290))/('Historical Data'!F290)</f>
        <v>0.05138339921</v>
      </c>
      <c r="C289" s="2">
        <f>(('Historical Data'!I291)-('Historical Data'!I290))/('Historical Data'!I290)</f>
        <v>0.2264150943</v>
      </c>
      <c r="D289" s="2">
        <f>(('Historical Data'!L291)-('Historical Data'!L290))/('Historical Data'!L290)</f>
        <v>0.007659073056</v>
      </c>
      <c r="E289" s="2">
        <f>(('Historical Data'!O291)-('Historical Data'!O290))/('Historical Data'!O290)</f>
        <v>-0.06296177321</v>
      </c>
      <c r="F289" s="2">
        <f>(('Historical Data'!R291)-('Historical Data'!R290))/('Historical Data'!R290)</f>
        <v>-0.02692998205</v>
      </c>
    </row>
    <row r="290">
      <c r="A290" s="2">
        <f>(('Historical Data'!C292)-('Historical Data'!C291))/('Historical Data'!C291)</f>
        <v>0.02393568427</v>
      </c>
      <c r="B290" s="2">
        <f>(('Historical Data'!F292)-('Historical Data'!F291))/('Historical Data'!F291)</f>
        <v>0.03007518797</v>
      </c>
      <c r="C290" s="2">
        <f>(('Historical Data'!I292)-('Historical Data'!I291))/('Historical Data'!I291)</f>
        <v>0.1038461538</v>
      </c>
      <c r="D290" s="2">
        <f>(('Historical Data'!L292)-('Historical Data'!L291))/('Historical Data'!L291)</f>
        <v>0.01734554668</v>
      </c>
      <c r="E290" s="2">
        <f>(('Historical Data'!O292)-('Historical Data'!O291))/('Historical Data'!O291)</f>
        <v>0.05347960233</v>
      </c>
      <c r="F290" s="2">
        <f>(('Historical Data'!R292)-('Historical Data'!R291))/('Historical Data'!R291)</f>
        <v>0.04269899842</v>
      </c>
    </row>
    <row r="291">
      <c r="A291" s="2">
        <f>(('Historical Data'!C293)-('Historical Data'!C292))/('Historical Data'!C292)</f>
        <v>-0.004817987152</v>
      </c>
      <c r="B291" s="2">
        <f>(('Historical Data'!F293)-('Historical Data'!F292))/('Historical Data'!F292)</f>
        <v>0</v>
      </c>
      <c r="C291" s="2">
        <f>(('Historical Data'!I293)-('Historical Data'!I292))/('Historical Data'!I292)</f>
        <v>0.1463414634</v>
      </c>
      <c r="D291" s="2">
        <f>(('Historical Data'!L293)-('Historical Data'!L292))/('Historical Data'!L292)</f>
        <v>-0.1082375479</v>
      </c>
      <c r="E291" s="2">
        <f>(('Historical Data'!O293)-('Historical Data'!O292))/('Historical Data'!O292)</f>
        <v>-0.04946306541</v>
      </c>
      <c r="F291" s="2">
        <f>(('Historical Data'!R293)-('Historical Data'!R292))/('Historical Data'!R292)</f>
        <v>-0.01485085945</v>
      </c>
    </row>
    <row r="292">
      <c r="A292" s="2">
        <f>(('Historical Data'!C294)-('Historical Data'!C293))/('Historical Data'!C293)</f>
        <v>-0.02062040524</v>
      </c>
      <c r="B292" s="2">
        <f>(('Historical Data'!F294)-('Historical Data'!F293))/('Historical Data'!F293)</f>
        <v>0.1496350365</v>
      </c>
      <c r="C292" s="2">
        <f>(('Historical Data'!I294)-('Historical Data'!I293))/('Historical Data'!I293)</f>
        <v>-0.05775075988</v>
      </c>
      <c r="D292" s="2">
        <f>(('Historical Data'!L294)-('Historical Data'!L293))/('Historical Data'!L293)</f>
        <v>0.06723952739</v>
      </c>
      <c r="E292" s="2">
        <f>(('Historical Data'!O294)-('Historical Data'!O293))/('Historical Data'!O293)</f>
        <v>-0.02464909278</v>
      </c>
      <c r="F292" s="2">
        <f>(('Historical Data'!R294)-('Historical Data'!R293))/('Historical Data'!R293)</f>
        <v>-0.0165501315</v>
      </c>
    </row>
    <row r="293">
      <c r="A293" s="2">
        <f>(('Historical Data'!C295)-('Historical Data'!C294))/('Historical Data'!C294)</f>
        <v>0.02801171732</v>
      </c>
      <c r="B293" s="2">
        <f>(('Historical Data'!F295)-('Historical Data'!F294))/('Historical Data'!F294)</f>
        <v>-0.009523809524</v>
      </c>
      <c r="C293" s="2">
        <f>(('Historical Data'!I295)-('Historical Data'!I294))/('Historical Data'!I294)</f>
        <v>0.006451612903</v>
      </c>
      <c r="D293" s="2">
        <f>(('Historical Data'!L295)-('Historical Data'!L294))/('Historical Data'!L294)</f>
        <v>-0.02495974235</v>
      </c>
      <c r="E293" s="2">
        <f>(('Historical Data'!O295)-('Historical Data'!O294))/('Historical Data'!O294)</f>
        <v>0.05686205686</v>
      </c>
      <c r="F293" s="2">
        <f>(('Historical Data'!R295)-('Historical Data'!R294))/('Historical Data'!R294)</f>
        <v>0.003130911226</v>
      </c>
    </row>
    <row r="294">
      <c r="A294" s="2">
        <f>(('Historical Data'!C296)-('Historical Data'!C295))/('Historical Data'!C295)</f>
        <v>-0.00142475512</v>
      </c>
      <c r="B294" s="2">
        <f>(('Historical Data'!F296)-('Historical Data'!F295))/('Historical Data'!F295)</f>
        <v>-0.02243589744</v>
      </c>
      <c r="C294" s="2">
        <f>(('Historical Data'!I296)-('Historical Data'!I295))/('Historical Data'!I295)</f>
        <v>0.03525641026</v>
      </c>
      <c r="D294" s="2">
        <f>(('Historical Data'!L296)-('Historical Data'!L295))/('Historical Data'!L295)</f>
        <v>-0.0549132948</v>
      </c>
      <c r="E294" s="2">
        <f>(('Historical Data'!O296)-('Historical Data'!O295))/('Historical Data'!O295)</f>
        <v>-0.04549983394</v>
      </c>
      <c r="F294" s="2">
        <f>(('Historical Data'!R296)-('Historical Data'!R295))/('Historical Data'!R295)</f>
        <v>0.003706352819</v>
      </c>
    </row>
    <row r="295">
      <c r="A295" s="2">
        <f>(('Historical Data'!C297)-('Historical Data'!C296))/('Historical Data'!C296)</f>
        <v>0.00784733369</v>
      </c>
      <c r="B295" s="2">
        <f>(('Historical Data'!F297)-('Historical Data'!F296))/('Historical Data'!F296)</f>
        <v>0.003278688525</v>
      </c>
      <c r="C295" s="2">
        <f>(('Historical Data'!I297)-('Historical Data'!I296))/('Historical Data'!I296)</f>
        <v>0.06811145511</v>
      </c>
      <c r="D295" s="2">
        <f>(('Historical Data'!L297)-('Historical Data'!L296))/('Historical Data'!L296)</f>
        <v>0.006553079948</v>
      </c>
      <c r="E295" s="2">
        <f>(('Historical Data'!O297)-('Historical Data'!O296))/('Historical Data'!O296)</f>
        <v>-0.02540013918</v>
      </c>
      <c r="F295" s="2">
        <f>(('Historical Data'!R297)-('Historical Data'!R296))/('Historical Data'!R296)</f>
        <v>0.005053122571</v>
      </c>
    </row>
    <row r="296">
      <c r="A296" s="2">
        <f>(('Historical Data'!C298)-('Historical Data'!C297))/('Historical Data'!C297)</f>
        <v>-0.01628030437</v>
      </c>
      <c r="B296" s="2">
        <f>(('Historical Data'!F298)-('Historical Data'!F297))/('Historical Data'!F297)</f>
        <v>0.07189542484</v>
      </c>
      <c r="C296" s="2">
        <f>(('Historical Data'!I298)-('Historical Data'!I297))/('Historical Data'!I297)</f>
        <v>-0.04057971014</v>
      </c>
      <c r="D296" s="2">
        <f>(('Historical Data'!L298)-('Historical Data'!L297))/('Historical Data'!L297)</f>
        <v>-0.01996527778</v>
      </c>
      <c r="E296" s="2">
        <f>(('Historical Data'!O298)-('Historical Data'!O297))/('Historical Data'!O297)</f>
        <v>0.01749375223</v>
      </c>
      <c r="F296" s="2">
        <f>(('Historical Data'!R298)-('Historical Data'!R297))/('Historical Data'!R297)</f>
        <v>-0.01482531907</v>
      </c>
    </row>
    <row r="297">
      <c r="A297" s="2">
        <f>(('Historical Data'!C299)-('Historical Data'!C298))/('Historical Data'!C298)</f>
        <v>-0.02140672783</v>
      </c>
      <c r="B297" s="2">
        <f>(('Historical Data'!F299)-('Historical Data'!F298))/('Historical Data'!F298)</f>
        <v>0</v>
      </c>
      <c r="C297" s="2">
        <f>(('Historical Data'!I299)-('Historical Data'!I298))/('Historical Data'!I298)</f>
        <v>-0.1329305136</v>
      </c>
      <c r="D297" s="2">
        <f>(('Historical Data'!L299)-('Historical Data'!L298))/('Historical Data'!L298)</f>
        <v>-0.0471656333</v>
      </c>
      <c r="E297" s="2">
        <f>(('Historical Data'!O299)-('Historical Data'!O298))/('Historical Data'!O298)</f>
        <v>0.04385964912</v>
      </c>
      <c r="F297" s="2">
        <f>(('Historical Data'!R299)-('Historical Data'!R298))/('Historical Data'!R298)</f>
        <v>-0.03958387857</v>
      </c>
    </row>
    <row r="298">
      <c r="A298" s="2">
        <f>(('Historical Data'!C300)-('Historical Data'!C299))/('Historical Data'!C299)</f>
        <v>0.02794117647</v>
      </c>
      <c r="B298" s="2">
        <f>(('Historical Data'!F300)-('Historical Data'!F299))/('Historical Data'!F299)</f>
        <v>0.1768292683</v>
      </c>
      <c r="C298" s="2">
        <f>(('Historical Data'!I300)-('Historical Data'!I299))/('Historical Data'!I299)</f>
        <v>-0.03832752613</v>
      </c>
      <c r="D298" s="2">
        <f>(('Historical Data'!L300)-('Historical Data'!L299))/('Historical Data'!L299)</f>
        <v>-0.0413664885</v>
      </c>
      <c r="E298" s="2">
        <f>(('Historical Data'!O300)-('Historical Data'!O299))/('Historical Data'!O299)</f>
        <v>-0.02420168067</v>
      </c>
      <c r="F298" s="2">
        <f>(('Historical Data'!R300)-('Historical Data'!R299))/('Historical Data'!R299)</f>
        <v>0.01348865727</v>
      </c>
    </row>
    <row r="299">
      <c r="A299" s="2">
        <f>(('Historical Data'!C301)-('Historical Data'!C300))/('Historical Data'!C300)</f>
        <v>-0.02163805436</v>
      </c>
      <c r="B299" s="2">
        <f>(('Historical Data'!F301)-('Historical Data'!F300))/('Historical Data'!F300)</f>
        <v>0.1424870466</v>
      </c>
      <c r="C299" s="2">
        <f>(('Historical Data'!I301)-('Historical Data'!I300))/('Historical Data'!I300)</f>
        <v>-0.06884057971</v>
      </c>
      <c r="D299" s="2">
        <f>(('Historical Data'!L301)-('Historical Data'!L300))/('Historical Data'!L300)</f>
        <v>0.01721212121</v>
      </c>
      <c r="E299" s="2">
        <f>(('Historical Data'!O301)-('Historical Data'!O300))/('Historical Data'!O300)</f>
        <v>0</v>
      </c>
      <c r="F299" s="2">
        <f>(('Historical Data'!R301)-('Historical Data'!R300))/('Historical Data'!R300)</f>
        <v>-0.02574443772</v>
      </c>
    </row>
    <row r="300">
      <c r="A300" s="2">
        <f>(('Historical Data'!C302)-('Historical Data'!C301))/('Historical Data'!C301)</f>
        <v>-0.0003655638823</v>
      </c>
      <c r="B300" s="2">
        <f>(('Historical Data'!F302)-('Historical Data'!F301))/('Historical Data'!F301)</f>
        <v>-0.009070294785</v>
      </c>
      <c r="C300" s="2">
        <f>(('Historical Data'!I302)-('Historical Data'!I301))/('Historical Data'!I301)</f>
        <v>-0.05836575875</v>
      </c>
      <c r="D300" s="2">
        <f>(('Historical Data'!L302)-('Historical Data'!L301))/('Historical Data'!L301)</f>
        <v>0.08150619638</v>
      </c>
      <c r="E300" s="2">
        <f>(('Historical Data'!O302)-('Historical Data'!O301))/('Historical Data'!O301)</f>
        <v>-0.02617981399</v>
      </c>
      <c r="F300" s="2">
        <f>(('Historical Data'!R302)-('Historical Data'!R301))/('Historical Data'!R301)</f>
        <v>-0.01186697944</v>
      </c>
    </row>
    <row r="301">
      <c r="A301" s="2">
        <f>(('Historical Data'!C303)-('Historical Data'!C302))/('Historical Data'!C302)</f>
        <v>-0.007131102578</v>
      </c>
      <c r="B301" s="2">
        <f>(('Historical Data'!F303)-('Historical Data'!F302))/('Historical Data'!F302)</f>
        <v>0.1327231121</v>
      </c>
      <c r="C301" s="2">
        <f>(('Historical Data'!I303)-('Historical Data'!I302))/('Historical Data'!I302)</f>
        <v>0.02479338843</v>
      </c>
      <c r="D301" s="2">
        <f>(('Historical Data'!L303)-('Historical Data'!L302))/('Historical Data'!L302)</f>
        <v>-0.01740855002</v>
      </c>
      <c r="E301" s="2">
        <f>(('Historical Data'!O303)-('Historical Data'!O302))/('Historical Data'!O302)</f>
        <v>-0.01450300672</v>
      </c>
      <c r="F301" s="2">
        <f>(('Historical Data'!R303)-('Historical Data'!R302))/('Historical Data'!R302)</f>
        <v>0.01277754504</v>
      </c>
    </row>
    <row r="302">
      <c r="A302" s="2">
        <f>(('Historical Data'!C304)-('Historical Data'!C303))/('Historical Data'!C303)</f>
        <v>0.02394106814</v>
      </c>
      <c r="B302" s="2">
        <f>(('Historical Data'!F304)-('Historical Data'!F303))/('Historical Data'!F303)</f>
        <v>-0.07272727273</v>
      </c>
      <c r="C302" s="2">
        <f>(('Historical Data'!I304)-('Historical Data'!I303))/('Historical Data'!I303)</f>
        <v>-0.04838709677</v>
      </c>
      <c r="D302" s="2">
        <f>(('Historical Data'!L304)-('Historical Data'!L303))/('Historical Data'!L303)</f>
        <v>0.01973536667</v>
      </c>
      <c r="E302" s="2">
        <f>(('Historical Data'!O304)-('Historical Data'!O303))/('Historical Data'!O303)</f>
        <v>0.006819813352</v>
      </c>
      <c r="F302" s="2">
        <f>(('Historical Data'!R304)-('Historical Data'!R303))/('Historical Data'!R303)</f>
        <v>0.03598759049</v>
      </c>
    </row>
    <row r="303">
      <c r="A303" s="2">
        <f>(('Historical Data'!C305)-('Historical Data'!C304))/('Historical Data'!C304)</f>
        <v>0.003776978417</v>
      </c>
      <c r="B303" s="2">
        <f>(('Historical Data'!F305)-('Historical Data'!F304))/('Historical Data'!F304)</f>
        <v>0.02614379085</v>
      </c>
      <c r="C303" s="2">
        <f>(('Historical Data'!I305)-('Historical Data'!I304))/('Historical Data'!I304)</f>
        <v>0.04237288136</v>
      </c>
      <c r="D303" s="2">
        <f>(('Historical Data'!L305)-('Historical Data'!L304))/('Historical Data'!L304)</f>
        <v>0.04992302617</v>
      </c>
      <c r="E303" s="2">
        <f>(('Historical Data'!O305)-('Historical Data'!O304))/('Historical Data'!O304)</f>
        <v>0.01996434938</v>
      </c>
      <c r="F303" s="2">
        <f>(('Historical Data'!R305)-('Historical Data'!R304))/('Historical Data'!R304)</f>
        <v>-0.003393890996</v>
      </c>
    </row>
    <row r="304">
      <c r="A304" s="2">
        <f>(('Historical Data'!C306)-('Historical Data'!C305))/('Historical Data'!C305)</f>
        <v>0.006450456907</v>
      </c>
      <c r="B304" s="2">
        <f>(('Historical Data'!F306)-('Historical Data'!F305))/('Historical Data'!F305)</f>
        <v>-0.06157112527</v>
      </c>
      <c r="C304" s="2">
        <f>(('Historical Data'!I306)-('Historical Data'!I305))/('Historical Data'!I305)</f>
        <v>-0.0406504065</v>
      </c>
      <c r="D304" s="2">
        <f>(('Historical Data'!L306)-('Historical Data'!L305))/('Historical Data'!L305)</f>
        <v>-0.007121910348</v>
      </c>
      <c r="E304" s="2">
        <f>(('Historical Data'!O306)-('Historical Data'!O305))/('Historical Data'!O305)</f>
        <v>0.01502970989</v>
      </c>
      <c r="F304" s="2">
        <f>(('Historical Data'!R306)-('Historical Data'!R305))/('Historical Data'!R305)</f>
        <v>0.003138354701</v>
      </c>
    </row>
    <row r="305">
      <c r="A305" s="2">
        <f>(('Historical Data'!C307)-('Historical Data'!C306))/('Historical Data'!C306)</f>
        <v>-0.003560619548</v>
      </c>
      <c r="B305" s="2">
        <f>(('Historical Data'!F307)-('Historical Data'!F306))/('Historical Data'!F306)</f>
        <v>0.2171945701</v>
      </c>
      <c r="C305" s="2">
        <f>(('Historical Data'!I307)-('Historical Data'!I306))/('Historical Data'!I306)</f>
        <v>0.2076271186</v>
      </c>
      <c r="D305" s="2">
        <f>(('Historical Data'!L307)-('Historical Data'!L306))/('Historical Data'!L306)</f>
        <v>0.02552742616</v>
      </c>
      <c r="E305" s="2">
        <f>(('Historical Data'!O307)-('Historical Data'!O306))/('Historical Data'!O306)</f>
        <v>-0.01033057851</v>
      </c>
      <c r="F305" s="2">
        <f>(('Historical Data'!R307)-('Historical Data'!R306))/('Historical Data'!R306)</f>
        <v>-0.0005325168076</v>
      </c>
    </row>
    <row r="306">
      <c r="A306" s="2">
        <f>(('Historical Data'!C308)-('Historical Data'!C307))/('Historical Data'!C307)</f>
        <v>0.0005360014293</v>
      </c>
      <c r="B306" s="2">
        <f>(('Historical Data'!F308)-('Historical Data'!F307))/('Historical Data'!F307)</f>
        <v>0.2695167286</v>
      </c>
      <c r="C306" s="2">
        <f>(('Historical Data'!I308)-('Historical Data'!I307))/('Historical Data'!I307)</f>
        <v>0.101754386</v>
      </c>
      <c r="D306" s="2">
        <f>(('Historical Data'!L308)-('Historical Data'!L307))/('Historical Data'!L307)</f>
        <v>-0.01254885826</v>
      </c>
      <c r="E306" s="2">
        <f>(('Historical Data'!O308)-('Historical Data'!O307))/('Historical Data'!O307)</f>
        <v>0.03688239388</v>
      </c>
      <c r="F306" s="2">
        <f>(('Historical Data'!R308)-('Historical Data'!R307))/('Historical Data'!R307)</f>
        <v>0.003796203796</v>
      </c>
    </row>
    <row r="307">
      <c r="A307" s="2">
        <f>(('Historical Data'!C309)-('Historical Data'!C308))/('Historical Data'!C308)</f>
        <v>0.003035714286</v>
      </c>
      <c r="B307" s="2">
        <f>(('Historical Data'!F309)-('Historical Data'!F308))/('Historical Data'!F308)</f>
        <v>1.103953148</v>
      </c>
      <c r="C307" s="2">
        <f>(('Historical Data'!I309)-('Historical Data'!I308))/('Historical Data'!I308)</f>
        <v>-0.04140127389</v>
      </c>
      <c r="D307" s="2">
        <f>(('Historical Data'!L309)-('Historical Data'!L308))/('Historical Data'!L308)</f>
        <v>0.02375</v>
      </c>
      <c r="E307" s="2">
        <f>(('Historical Data'!O309)-('Historical Data'!O308))/('Historical Data'!O308)</f>
        <v>-0.004362416107</v>
      </c>
      <c r="F307" s="2">
        <f>(('Historical Data'!R309)-('Historical Data'!R308))/('Historical Data'!R308)</f>
        <v>0.007696390658</v>
      </c>
    </row>
    <row r="308">
      <c r="A308" s="2">
        <f>(('Historical Data'!C310)-('Historical Data'!C309))/('Historical Data'!C309)</f>
        <v>-0.03008723518</v>
      </c>
      <c r="B308" s="2">
        <f>(('Historical Data'!F310)-('Historical Data'!F309))/('Historical Data'!F309)</f>
        <v>-0.2400835073</v>
      </c>
      <c r="C308" s="2">
        <f>(('Historical Data'!I310)-('Historical Data'!I309))/('Historical Data'!I309)</f>
        <v>-0.09966777409</v>
      </c>
      <c r="D308" s="2">
        <f>(('Historical Data'!L310)-('Historical Data'!L309))/('Historical Data'!L309)</f>
        <v>-0.01037851038</v>
      </c>
      <c r="E308" s="2">
        <f>(('Historical Data'!O310)-('Historical Data'!O309))/('Historical Data'!O309)</f>
        <v>0.03673744523</v>
      </c>
      <c r="F308" s="2">
        <f>(('Historical Data'!R310)-('Historical Data'!R309))/('Historical Data'!R309)</f>
        <v>-0.006979194101</v>
      </c>
    </row>
    <row r="309">
      <c r="A309" s="2">
        <f>(('Historical Data'!C311)-('Historical Data'!C310))/('Historical Data'!C310)</f>
        <v>0.0003671071953</v>
      </c>
      <c r="B309" s="2">
        <f>(('Historical Data'!F311)-('Historical Data'!F310))/('Historical Data'!F310)</f>
        <v>0.1538461538</v>
      </c>
      <c r="C309" s="2">
        <f>(('Historical Data'!I311)-('Historical Data'!I310))/('Historical Data'!I310)</f>
        <v>-0.0258302583</v>
      </c>
      <c r="D309" s="2">
        <f>(('Historical Data'!L311)-('Historical Data'!L310))/('Historical Data'!L310)</f>
        <v>0.03310713551</v>
      </c>
      <c r="E309" s="2">
        <f>(('Historical Data'!O311)-('Historical Data'!O310))/('Historical Data'!O310)</f>
        <v>-0.0006501950585</v>
      </c>
      <c r="F309" s="2">
        <f>(('Historical Data'!R311)-('Historical Data'!R310))/('Historical Data'!R310)</f>
        <v>0.001723909296</v>
      </c>
    </row>
    <row r="310">
      <c r="A310" s="2">
        <f>(('Historical Data'!C312)-('Historical Data'!C311))/('Historical Data'!C311)</f>
        <v>0.008623853211</v>
      </c>
      <c r="B310" s="2">
        <f>(('Historical Data'!F312)-('Historical Data'!F311))/('Historical Data'!F311)</f>
        <v>-0.07936507937</v>
      </c>
      <c r="C310" s="2">
        <f>(('Historical Data'!I312)-('Historical Data'!I311))/('Historical Data'!I311)</f>
        <v>0.1515151515</v>
      </c>
      <c r="D310" s="2">
        <f>(('Historical Data'!L312)-('Historical Data'!L311))/('Historical Data'!L311)</f>
        <v>-0.01453025478</v>
      </c>
      <c r="E310" s="2">
        <f>(('Historical Data'!O312)-('Historical Data'!O311))/('Historical Data'!O311)</f>
        <v>0.01008458035</v>
      </c>
      <c r="F310" s="2">
        <f>(('Historical Data'!R312)-('Historical Data'!R311))/('Historical Data'!R311)</f>
        <v>0.01158326714</v>
      </c>
    </row>
    <row r="311">
      <c r="A311" s="2">
        <f>(('Historical Data'!C313)-('Historical Data'!C312))/('Historical Data'!C312)</f>
        <v>0.003092595961</v>
      </c>
      <c r="B311" s="2">
        <f>(('Historical Data'!F313)-('Historical Data'!F312))/('Historical Data'!F312)</f>
        <v>-0.1810344828</v>
      </c>
      <c r="C311" s="2">
        <f>(('Historical Data'!I313)-('Historical Data'!I312))/('Historical Data'!I312)</f>
        <v>-0.09539473684</v>
      </c>
      <c r="D311" s="2">
        <f>(('Historical Data'!L313)-('Historical Data'!L312))/('Historical Data'!L312)</f>
        <v>-0.0002019793981</v>
      </c>
      <c r="E311" s="2">
        <f>(('Historical Data'!O313)-('Historical Data'!O312))/('Historical Data'!O312)</f>
        <v>-0.03607085346</v>
      </c>
      <c r="F311" s="2">
        <f>(('Historical Data'!R313)-('Historical Data'!R312))/('Historical Data'!R312)</f>
        <v>0.006870378852</v>
      </c>
    </row>
    <row r="312">
      <c r="A312" s="2">
        <f>(('Historical Data'!C314)-('Historical Data'!C313))/('Historical Data'!C313)</f>
        <v>0.009611896989</v>
      </c>
      <c r="B312" s="2">
        <f>(('Historical Data'!F314)-('Historical Data'!F313))/('Historical Data'!F313)</f>
        <v>-0.2778947368</v>
      </c>
      <c r="C312" s="2">
        <f>(('Historical Data'!I314)-('Historical Data'!I313))/('Historical Data'!I313)</f>
        <v>-0.06909090909</v>
      </c>
      <c r="D312" s="2">
        <f>(('Historical Data'!L314)-('Historical Data'!L313))/('Historical Data'!L313)</f>
        <v>-0.01515151515</v>
      </c>
      <c r="E312" s="2">
        <f>(('Historical Data'!O314)-('Historical Data'!O313))/('Historical Data'!O313)</f>
        <v>-0.01069161377</v>
      </c>
      <c r="F312" s="2">
        <f>(('Historical Data'!R314)-('Historical Data'!R313))/('Historical Data'!R313)</f>
        <v>0.0102677411</v>
      </c>
    </row>
    <row r="313">
      <c r="A313" s="2">
        <f>(('Historical Data'!C315)-('Historical Data'!C314))/('Historical Data'!C314)</f>
        <v>0.006825938567</v>
      </c>
      <c r="B313" s="2">
        <f>(('Historical Data'!F315)-('Historical Data'!F314))/('Historical Data'!F314)</f>
        <v>-0.08163265306</v>
      </c>
      <c r="C313" s="2">
        <f>(('Historical Data'!I315)-('Historical Data'!I314))/('Historical Data'!I314)</f>
        <v>-0.00390625</v>
      </c>
      <c r="D313" s="2">
        <f>(('Historical Data'!L315)-('Historical Data'!L314))/('Historical Data'!L314)</f>
        <v>0.0006153846154</v>
      </c>
      <c r="E313" s="2">
        <f>(('Historical Data'!O315)-('Historical Data'!O314))/('Historical Data'!O314)</f>
        <v>0.01553529213</v>
      </c>
      <c r="F313" s="2">
        <f>(('Historical Data'!R315)-('Historical Data'!R314))/('Historical Data'!R314)</f>
        <v>-0.006882799434</v>
      </c>
    </row>
    <row r="314">
      <c r="A314" s="2">
        <f>(('Historical Data'!C316)-('Historical Data'!C315))/('Historical Data'!C315)</f>
        <v>-0.005173951829</v>
      </c>
      <c r="B314" s="2">
        <f>(('Historical Data'!F316)-('Historical Data'!F315))/('Historical Data'!F315)</f>
        <v>0.08253968254</v>
      </c>
      <c r="C314" s="2">
        <f>(('Historical Data'!I316)-('Historical Data'!I315))/('Historical Data'!I315)</f>
        <v>-0.03137254902</v>
      </c>
      <c r="D314" s="2">
        <f>(('Historical Data'!L316)-('Historical Data'!L315))/('Historical Data'!L315)</f>
        <v>0.0250102501</v>
      </c>
      <c r="E314" s="2">
        <f>(('Historical Data'!O316)-('Historical Data'!O315))/('Historical Data'!O315)</f>
        <v>-0.02228134353</v>
      </c>
      <c r="F314" s="2">
        <f>(('Historical Data'!R316)-('Historical Data'!R315))/('Historical Data'!R315)</f>
        <v>-0.01029859447</v>
      </c>
    </row>
    <row r="315">
      <c r="A315" s="2">
        <f>(('Historical Data'!C317)-('Historical Data'!C316))/('Historical Data'!C316)</f>
        <v>-0.001793400287</v>
      </c>
      <c r="B315" s="2">
        <f>(('Historical Data'!F317)-('Historical Data'!F316))/('Historical Data'!F316)</f>
        <v>-0.06304985337</v>
      </c>
      <c r="C315" s="2">
        <f>(('Historical Data'!I317)-('Historical Data'!I316))/('Historical Data'!I316)</f>
        <v>-0.1012145749</v>
      </c>
      <c r="D315" s="2">
        <f>(('Historical Data'!L317)-('Historical Data'!L316))/('Historical Data'!L316)</f>
        <v>-0.0376</v>
      </c>
      <c r="E315" s="2">
        <f>(('Historical Data'!O317)-('Historical Data'!O316))/('Historical Data'!O316)</f>
        <v>0.01496598639</v>
      </c>
      <c r="F315" s="2">
        <f>(('Historical Data'!R317)-('Historical Data'!R316))/('Historical Data'!R316)</f>
        <v>0.01498691099</v>
      </c>
    </row>
    <row r="316">
      <c r="A316" s="2">
        <f>(('Historical Data'!C318)-('Historical Data'!C317))/('Historical Data'!C317)</f>
        <v>0.003772906935</v>
      </c>
      <c r="B316" s="2">
        <f>(('Historical Data'!F318)-('Historical Data'!F317))/('Historical Data'!F317)</f>
        <v>-0.04851330203</v>
      </c>
      <c r="C316" s="2">
        <f>(('Historical Data'!I318)-('Historical Data'!I317))/('Historical Data'!I317)</f>
        <v>-0.1531531532</v>
      </c>
      <c r="D316" s="2">
        <f>(('Historical Data'!L318)-('Historical Data'!L317))/('Historical Data'!L317)</f>
        <v>-0.02202826268</v>
      </c>
      <c r="E316" s="2">
        <f>(('Historical Data'!O318)-('Historical Data'!O317))/('Historical Data'!O317)</f>
        <v>-0.001675603217</v>
      </c>
      <c r="F316" s="2">
        <f>(('Historical Data'!R318)-('Historical Data'!R317))/('Historical Data'!R317)</f>
        <v>-0.006512347669</v>
      </c>
    </row>
    <row r="317">
      <c r="A317" s="2">
        <f>(('Historical Data'!C319)-('Historical Data'!C318))/('Historical Data'!C318)</f>
        <v>-0.01700375873</v>
      </c>
      <c r="B317" s="2">
        <f>(('Historical Data'!F319)-('Historical Data'!F318))/('Historical Data'!F318)</f>
        <v>0.004934210526</v>
      </c>
      <c r="C317" s="2">
        <f>(('Historical Data'!I319)-('Historical Data'!I318))/('Historical Data'!I318)</f>
        <v>-0.08510638298</v>
      </c>
      <c r="D317" s="2">
        <f>(('Historical Data'!L319)-('Historical Data'!L318))/('Historical Data'!L318)</f>
        <v>0.007012324692</v>
      </c>
      <c r="E317" s="2">
        <f>(('Historical Data'!O319)-('Historical Data'!O318))/('Historical Data'!O318)</f>
        <v>-0.003021148036</v>
      </c>
      <c r="F317" s="2">
        <f>(('Historical Data'!R319)-('Historical Data'!R318))/('Historical Data'!R318)</f>
        <v>0.003504672897</v>
      </c>
    </row>
    <row r="318">
      <c r="A318" s="2">
        <f>(('Historical Data'!C320)-('Historical Data'!C319))/('Historical Data'!C319)</f>
        <v>-0.01001456664</v>
      </c>
      <c r="B318" s="2">
        <f>(('Historical Data'!F320)-('Historical Data'!F319))/('Historical Data'!F319)</f>
        <v>0.08674304419</v>
      </c>
      <c r="C318" s="2">
        <f>(('Historical Data'!I320)-('Historical Data'!I319))/('Historical Data'!I319)</f>
        <v>0.1802325581</v>
      </c>
      <c r="D318" s="2">
        <f>(('Historical Data'!L320)-('Historical Data'!L319))/('Historical Data'!L319)</f>
        <v>-0.0105507491</v>
      </c>
      <c r="E318" s="2">
        <f>(('Historical Data'!O320)-('Historical Data'!O319))/('Historical Data'!O319)</f>
        <v>-0.003703703704</v>
      </c>
      <c r="F318" s="2">
        <f>(('Historical Data'!R320)-('Historical Data'!R319))/('Historical Data'!R319)</f>
        <v>0.01429310568</v>
      </c>
    </row>
    <row r="319">
      <c r="A319" s="2">
        <f>(('Historical Data'!C321)-('Historical Data'!C320))/('Historical Data'!C320)</f>
        <v>0.004782048924</v>
      </c>
      <c r="B319" s="2">
        <f>(('Historical Data'!F321)-('Historical Data'!F320))/('Historical Data'!F320)</f>
        <v>0.109939759</v>
      </c>
      <c r="C319" s="2">
        <f>(('Historical Data'!I321)-('Historical Data'!I320))/('Historical Data'!I320)</f>
        <v>-0.06403940887</v>
      </c>
      <c r="D319" s="2">
        <f>(('Historical Data'!L321)-('Historical Data'!L320))/('Historical Data'!L320)</f>
        <v>-0.01236937513</v>
      </c>
      <c r="E319" s="2">
        <f>(('Historical Data'!O321)-('Historical Data'!O320))/('Historical Data'!O320)</f>
        <v>0.009124704292</v>
      </c>
      <c r="F319" s="2">
        <f>(('Historical Data'!R321)-('Historical Data'!R320))/('Historical Data'!R320)</f>
        <v>0.01294395205</v>
      </c>
    </row>
    <row r="320">
      <c r="A320" s="2">
        <f>(('Historical Data'!C322)-('Historical Data'!C321))/('Historical Data'!C321)</f>
        <v>-0.006406736226</v>
      </c>
      <c r="B320" s="2">
        <f>(('Historical Data'!F322)-('Historical Data'!F321))/('Historical Data'!F321)</f>
        <v>0.2116689281</v>
      </c>
      <c r="C320" s="2">
        <f>(('Historical Data'!I322)-('Historical Data'!I321))/('Historical Data'!I321)</f>
        <v>-0.01052631579</v>
      </c>
      <c r="D320" s="2">
        <f>(('Historical Data'!L322)-('Historical Data'!L321))/('Historical Data'!L321)</f>
        <v>-0.02418484129</v>
      </c>
      <c r="E320" s="2">
        <f>(('Historical Data'!O322)-('Historical Data'!O321))/('Historical Data'!O321)</f>
        <v>0.02042866711</v>
      </c>
      <c r="F320" s="2">
        <f>(('Historical Data'!R322)-('Historical Data'!R321))/('Historical Data'!R321)</f>
        <v>0.007805615007</v>
      </c>
    </row>
    <row r="321">
      <c r="A321" s="2">
        <f>(('Historical Data'!C323)-('Historical Data'!C322))/('Historical Data'!C322)</f>
        <v>-0.02579218865</v>
      </c>
      <c r="B321" s="2">
        <f>(('Historical Data'!F323)-('Historical Data'!F322))/('Historical Data'!F322)</f>
        <v>-0.2295632699</v>
      </c>
      <c r="C321" s="2">
        <f>(('Historical Data'!I323)-('Historical Data'!I322))/('Historical Data'!I322)</f>
        <v>-0.09042553191</v>
      </c>
      <c r="D321" s="2">
        <f>(('Historical Data'!L323)-('Historical Data'!L322))/('Historical Data'!L322)</f>
        <v>-0.01880947112</v>
      </c>
      <c r="E321" s="2">
        <f>(('Historical Data'!O323)-('Historical Data'!O322))/('Historical Data'!O322)</f>
        <v>-0.0164095832</v>
      </c>
      <c r="F321" s="2">
        <f>(('Historical Data'!R323)-('Historical Data'!R322))/('Historical Data'!R322)</f>
        <v>-0.003810118676</v>
      </c>
    </row>
    <row r="322">
      <c r="A322" s="2">
        <f>(('Historical Data'!C324)-('Historical Data'!C323))/('Historical Data'!C323)</f>
        <v>-0.02004538578</v>
      </c>
      <c r="B322" s="2">
        <f>(('Historical Data'!F324)-('Historical Data'!F323))/('Historical Data'!F323)</f>
        <v>-0.08139534884</v>
      </c>
      <c r="C322" s="2">
        <f>(('Historical Data'!I324)-('Historical Data'!I323))/('Historical Data'!I323)</f>
        <v>-0.04093567251</v>
      </c>
      <c r="D322" s="2">
        <f>(('Historical Data'!L324)-('Historical Data'!L323))/('Historical Data'!L323)</f>
        <v>0.005638249887</v>
      </c>
      <c r="E322" s="2">
        <f>(('Historical Data'!O324)-('Historical Data'!O323))/('Historical Data'!O323)</f>
        <v>0.01901901902</v>
      </c>
      <c r="F322" s="2">
        <f>(('Historical Data'!R324)-('Historical Data'!R323))/('Historical Data'!R323)</f>
        <v>-0.003009593078</v>
      </c>
    </row>
    <row r="323">
      <c r="A323" s="2">
        <f>(('Historical Data'!C325)-('Historical Data'!C324))/('Historical Data'!C324)</f>
        <v>0.006368197607</v>
      </c>
      <c r="B323" s="2">
        <f>(('Historical Data'!F325)-('Historical Data'!F324))/('Historical Data'!F324)</f>
        <v>0.04905063291</v>
      </c>
      <c r="C323" s="2">
        <f>(('Historical Data'!I325)-('Historical Data'!I324))/('Historical Data'!I324)</f>
        <v>0.03048780488</v>
      </c>
      <c r="D323" s="2">
        <f>(('Historical Data'!L325)-('Historical Data'!L324))/('Historical Data'!L324)</f>
        <v>0.01098901099</v>
      </c>
      <c r="E323" s="2">
        <f>(('Historical Data'!O325)-('Historical Data'!O324))/('Historical Data'!O324)</f>
        <v>0.02193844139</v>
      </c>
      <c r="F323" s="2">
        <f>(('Historical Data'!R325)-('Historical Data'!R324))/('Historical Data'!R324)</f>
        <v>0.002830010691</v>
      </c>
    </row>
    <row r="324">
      <c r="A324" s="2">
        <f>(('Historical Data'!C326)-('Historical Data'!C325))/('Historical Data'!C325)</f>
        <v>-0.01879194631</v>
      </c>
      <c r="B324" s="2">
        <f>(('Historical Data'!F326)-('Historical Data'!F325))/('Historical Data'!F325)</f>
        <v>0.03167420814</v>
      </c>
      <c r="C324" s="2">
        <f>(('Historical Data'!I326)-('Historical Data'!I325))/('Historical Data'!I325)</f>
        <v>-0.07692307692</v>
      </c>
      <c r="D324" s="2">
        <f>(('Historical Data'!L326)-('Historical Data'!L325))/('Historical Data'!L325)</f>
        <v>-0.02129547471</v>
      </c>
      <c r="E324" s="2">
        <f>(('Historical Data'!O326)-('Historical Data'!O325))/('Historical Data'!O325)</f>
        <v>0.002563281</v>
      </c>
      <c r="F324" s="2">
        <f>(('Historical Data'!R326)-('Historical Data'!R325))/('Historical Data'!R325)</f>
        <v>-0.005581337012</v>
      </c>
    </row>
    <row r="325">
      <c r="A325" s="2">
        <f>(('Historical Data'!C327)-('Historical Data'!C326))/('Historical Data'!C326)</f>
        <v>-0.001172562048</v>
      </c>
      <c r="B325" s="2">
        <f>(('Historical Data'!F327)-('Historical Data'!F326))/('Historical Data'!F326)</f>
        <v>0.2967836257</v>
      </c>
      <c r="C325" s="2">
        <f>(('Historical Data'!I327)-('Historical Data'!I326))/('Historical Data'!I326)</f>
        <v>0</v>
      </c>
      <c r="D325" s="2">
        <f>(('Historical Data'!L327)-('Historical Data'!L326))/('Historical Data'!L326)</f>
        <v>0.0004533091568</v>
      </c>
      <c r="E325" s="2">
        <f>(('Historical Data'!O327)-('Historical Data'!O326))/('Historical Data'!O326)</f>
        <v>-0.001278363694</v>
      </c>
      <c r="F325" s="2">
        <f>(('Historical Data'!R327)-('Historical Data'!R326))/('Historical Data'!R326)</f>
        <v>-0.009522608312</v>
      </c>
    </row>
    <row r="326">
      <c r="A326" s="2">
        <f>(('Historical Data'!C328)-('Historical Data'!C327))/('Historical Data'!C327)</f>
        <v>0.01408726277</v>
      </c>
      <c r="B326" s="2">
        <f>(('Historical Data'!F328)-('Historical Data'!F327))/('Historical Data'!F327)</f>
        <v>0.1127395716</v>
      </c>
      <c r="C326" s="2">
        <f>(('Historical Data'!I328)-('Historical Data'!I327))/('Historical Data'!I327)</f>
        <v>-0.08333333333</v>
      </c>
      <c r="D326" s="2">
        <f>(('Historical Data'!L328)-('Historical Data'!L327))/('Historical Data'!L327)</f>
        <v>0.01903035795</v>
      </c>
      <c r="E326" s="2">
        <f>(('Historical Data'!O328)-('Historical Data'!O327))/('Historical Data'!O327)</f>
        <v>0.00512</v>
      </c>
      <c r="F326" s="2">
        <f>(('Historical Data'!R328)-('Historical Data'!R327))/('Historical Data'!R327)</f>
        <v>0.01496243474</v>
      </c>
    </row>
    <row r="327">
      <c r="A327" s="2">
        <f>(('Historical Data'!C329)-('Historical Data'!C328))/('Historical Data'!C328)</f>
        <v>0.02295967586</v>
      </c>
      <c r="B327" s="2">
        <f>(('Historical Data'!F329)-('Historical Data'!F328))/('Historical Data'!F328)</f>
        <v>0.01013171226</v>
      </c>
      <c r="C327" s="2">
        <f>(('Historical Data'!I329)-('Historical Data'!I328))/('Historical Data'!I328)</f>
        <v>0.1538461538</v>
      </c>
      <c r="D327" s="2">
        <f>(('Historical Data'!L329)-('Historical Data'!L328))/('Historical Data'!L328)</f>
        <v>0.008670520231</v>
      </c>
      <c r="E327" s="2">
        <f>(('Historical Data'!O329)-('Historical Data'!O328))/('Historical Data'!O328)</f>
        <v>-0.0003183699459</v>
      </c>
      <c r="F327" s="2">
        <f>(('Historical Data'!R329)-('Historical Data'!R328))/('Historical Data'!R328)</f>
        <v>0.02659808042</v>
      </c>
    </row>
    <row r="328">
      <c r="A328" s="2">
        <f>(('Historical Data'!C330)-('Historical Data'!C329))/('Historical Data'!C329)</f>
        <v>-0.004526593738</v>
      </c>
      <c r="B328" s="2">
        <f>(('Historical Data'!F330)-('Historical Data'!F329))/('Historical Data'!F329)</f>
        <v>0.1163490471</v>
      </c>
      <c r="C328" s="2">
        <f>(('Historical Data'!I330)-('Historical Data'!I329))/('Historical Data'!I329)</f>
        <v>-0.01212121212</v>
      </c>
      <c r="D328" s="2">
        <f>(('Historical Data'!L330)-('Historical Data'!L329))/('Historical Data'!L329)</f>
        <v>0.0211593564</v>
      </c>
      <c r="E328" s="2">
        <f>(('Historical Data'!O330)-('Historical Data'!O329))/('Historical Data'!O329)</f>
        <v>-0.01878980892</v>
      </c>
      <c r="F328" s="2">
        <f>(('Historical Data'!R330)-('Historical Data'!R329))/('Historical Data'!R329)</f>
        <v>-0.00635502597</v>
      </c>
    </row>
    <row r="329">
      <c r="A329" s="2">
        <f>(('Historical Data'!C331)-('Historical Data'!C330))/('Historical Data'!C330)</f>
        <v>-0.02690413035</v>
      </c>
      <c r="B329" s="2">
        <f>(('Historical Data'!F331)-('Historical Data'!F330))/('Historical Data'!F330)</f>
        <v>-0.1446540881</v>
      </c>
      <c r="C329" s="2">
        <f>(('Historical Data'!I331)-('Historical Data'!I330))/('Historical Data'!I330)</f>
        <v>0.05521472393</v>
      </c>
      <c r="D329" s="2">
        <f>(('Historical Data'!L331)-('Historical Data'!L330))/('Historical Data'!L330)</f>
        <v>0.01295057198</v>
      </c>
      <c r="E329" s="2">
        <f>(('Historical Data'!O331)-('Historical Data'!O330))/('Historical Data'!O330)</f>
        <v>-0.03018500487</v>
      </c>
      <c r="F329" s="2">
        <f>(('Historical Data'!R331)-('Historical Data'!R330))/('Historical Data'!R330)</f>
        <v>-0.008363569276</v>
      </c>
    </row>
    <row r="330">
      <c r="A330" s="2">
        <f>(('Historical Data'!C332)-('Historical Data'!C331))/('Historical Data'!C331)</f>
        <v>0.01129283489</v>
      </c>
      <c r="B330" s="2">
        <f>(('Historical Data'!F332)-('Historical Data'!F331))/('Historical Data'!F331)</f>
        <v>0.03256302521</v>
      </c>
      <c r="C330" s="2">
        <f>(('Historical Data'!I332)-('Historical Data'!I331))/('Historical Data'!I331)</f>
        <v>-0.01744186047</v>
      </c>
      <c r="D330" s="2">
        <f>(('Historical Data'!L332)-('Historical Data'!L331))/('Historical Data'!L331)</f>
        <v>-0.01747283188</v>
      </c>
      <c r="E330" s="2">
        <f>(('Historical Data'!O332)-('Historical Data'!O331))/('Historical Data'!O331)</f>
        <v>-0.03848728246</v>
      </c>
      <c r="F330" s="2">
        <f>(('Historical Data'!R332)-('Historical Data'!R331))/('Historical Data'!R331)</f>
        <v>0.008062015504</v>
      </c>
    </row>
    <row r="331">
      <c r="A331" s="2">
        <f>(('Historical Data'!C333)-('Historical Data'!C332))/('Historical Data'!C332)</f>
        <v>-0.02002310358</v>
      </c>
      <c r="B331" s="2">
        <f>(('Historical Data'!F333)-('Historical Data'!F332))/('Historical Data'!F332)</f>
        <v>-0.0996948118</v>
      </c>
      <c r="C331" s="2">
        <f>(('Historical Data'!I333)-('Historical Data'!I332))/('Historical Data'!I332)</f>
        <v>0.325443787</v>
      </c>
      <c r="D331" s="2">
        <f>(('Historical Data'!L333)-('Historical Data'!L332))/('Historical Data'!L332)</f>
        <v>-0.0153979614</v>
      </c>
      <c r="E331" s="2">
        <f>(('Historical Data'!O333)-('Historical Data'!O332))/('Historical Data'!O332)</f>
        <v>-0.01322659241</v>
      </c>
      <c r="F331" s="2">
        <f>(('Historical Data'!R333)-('Historical Data'!R332))/('Historical Data'!R332)</f>
        <v>-0.01697939096</v>
      </c>
    </row>
    <row r="332">
      <c r="A332" s="2">
        <f>(('Historical Data'!C334)-('Historical Data'!C333))/('Historical Data'!C333)</f>
        <v>-0.03123772102</v>
      </c>
      <c r="B332" s="2">
        <f>(('Historical Data'!F334)-('Historical Data'!F333))/('Historical Data'!F333)</f>
        <v>0.01355932203</v>
      </c>
      <c r="C332" s="2">
        <f>(('Historical Data'!I334)-('Historical Data'!I333))/('Historical Data'!I333)</f>
        <v>-0.1473214286</v>
      </c>
      <c r="D332" s="2">
        <f>(('Historical Data'!L334)-('Historical Data'!L333))/('Historical Data'!L333)</f>
        <v>0.01079295154</v>
      </c>
      <c r="E332" s="2">
        <f>(('Historical Data'!O334)-('Historical Data'!O333))/('Historical Data'!O333)</f>
        <v>0.008818342152</v>
      </c>
      <c r="F332" s="2">
        <f>(('Historical Data'!R334)-('Historical Data'!R333))/('Historical Data'!R333)</f>
        <v>-0.002691031979</v>
      </c>
    </row>
    <row r="333">
      <c r="A333" s="2">
        <f>(('Historical Data'!C335)-('Historical Data'!C334))/('Historical Data'!C334)</f>
        <v>0.02676941797</v>
      </c>
      <c r="B333" s="2">
        <f>(('Historical Data'!F335)-('Historical Data'!F334))/('Historical Data'!F334)</f>
        <v>0</v>
      </c>
      <c r="C333" s="2">
        <f>(('Historical Data'!I335)-('Historical Data'!I334))/('Historical Data'!I334)</f>
        <v>0.1151832461</v>
      </c>
      <c r="D333" s="2">
        <f>(('Historical Data'!L335)-('Historical Data'!L334))/('Historical Data'!L334)</f>
        <v>-0.002614948791</v>
      </c>
      <c r="E333" s="2">
        <f>(('Historical Data'!O335)-('Historical Data'!O334))/('Historical Data'!O334)</f>
        <v>0.02622377622</v>
      </c>
      <c r="F333" s="2">
        <f>(('Historical Data'!R335)-('Historical Data'!R334))/('Historical Data'!R334)</f>
        <v>0.02541415663</v>
      </c>
    </row>
    <row r="334">
      <c r="A334" s="2">
        <f>(('Historical Data'!C336)-('Historical Data'!C335))/('Historical Data'!C335)</f>
        <v>-0.03258937389</v>
      </c>
      <c r="B334" s="2">
        <f>(('Historical Data'!F336)-('Historical Data'!F335))/('Historical Data'!F335)</f>
        <v>-0.1337792642</v>
      </c>
      <c r="C334" s="2">
        <f>(('Historical Data'!I336)-('Historical Data'!I335))/('Historical Data'!I335)</f>
        <v>0.004694835681</v>
      </c>
      <c r="D334" s="2">
        <f>(('Historical Data'!L336)-('Historical Data'!L335))/('Historical Data'!L335)</f>
        <v>0.01179812104</v>
      </c>
      <c r="E334" s="2">
        <f>(('Historical Data'!O336)-('Historical Data'!O335))/('Historical Data'!O335)</f>
        <v>-0.02146507666</v>
      </c>
      <c r="F334" s="2">
        <f>(('Historical Data'!R336)-('Historical Data'!R335))/('Historical Data'!R335)</f>
        <v>-0.01750198886</v>
      </c>
    </row>
    <row r="335">
      <c r="A335" s="2">
        <f>(('Historical Data'!C337)-('Historical Data'!C336))/('Historical Data'!C336)</f>
        <v>0.01796651695</v>
      </c>
      <c r="B335" s="2">
        <f>(('Historical Data'!F337)-('Historical Data'!F336))/('Historical Data'!F336)</f>
        <v>0.02574002574</v>
      </c>
      <c r="C335" s="2">
        <f>(('Historical Data'!I337)-('Historical Data'!I336))/('Historical Data'!I336)</f>
        <v>0.05607476636</v>
      </c>
      <c r="D335" s="2">
        <f>(('Historical Data'!L337)-('Historical Data'!L336))/('Historical Data'!L336)</f>
        <v>-0.009285251566</v>
      </c>
      <c r="E335" s="2">
        <f>(('Historical Data'!O337)-('Historical Data'!O336))/('Historical Data'!O336)</f>
        <v>0.004874651811</v>
      </c>
      <c r="F335" s="2">
        <f>(('Historical Data'!R337)-('Historical Data'!R336))/('Historical Data'!R336)</f>
        <v>-0.01351603862</v>
      </c>
    </row>
    <row r="336">
      <c r="A336" s="2">
        <f>(('Historical Data'!C338)-('Historical Data'!C337))/('Historical Data'!C337)</f>
        <v>0.001203369434</v>
      </c>
      <c r="B336" s="2">
        <f>(('Historical Data'!F338)-('Historical Data'!F337))/('Historical Data'!F337)</f>
        <v>0.03262233375</v>
      </c>
      <c r="C336" s="2">
        <f>(('Historical Data'!I338)-('Historical Data'!I337))/('Historical Data'!I337)</f>
        <v>0.1504424779</v>
      </c>
      <c r="D336" s="2">
        <f>(('Historical Data'!L338)-('Historical Data'!L337))/('Historical Data'!L337)</f>
        <v>0.006538796861</v>
      </c>
      <c r="E336" s="2">
        <f>(('Historical Data'!O338)-('Historical Data'!O337))/('Historical Data'!O337)</f>
        <v>0.08038808039</v>
      </c>
      <c r="F336" s="2">
        <f>(('Historical Data'!R338)-('Historical Data'!R337))/('Historical Data'!R337)</f>
        <v>-0.0137012249</v>
      </c>
    </row>
    <row r="337">
      <c r="A337" s="2">
        <f>(('Historical Data'!C339)-('Historical Data'!C338))/('Historical Data'!C338)</f>
        <v>0.03325320513</v>
      </c>
      <c r="B337" s="2">
        <f>(('Historical Data'!F339)-('Historical Data'!F338))/('Historical Data'!F338)</f>
        <v>0.004860267315</v>
      </c>
      <c r="C337" s="2">
        <f>(('Historical Data'!I339)-('Historical Data'!I338))/('Historical Data'!I338)</f>
        <v>-0.03846153846</v>
      </c>
      <c r="D337" s="2">
        <f>(('Historical Data'!L339)-('Historical Data'!L338))/('Historical Data'!L338)</f>
        <v>-0.0114768298</v>
      </c>
      <c r="E337" s="2">
        <f>(('Historical Data'!O339)-('Historical Data'!O338))/('Historical Data'!O338)</f>
        <v>0.02148813342</v>
      </c>
      <c r="F337" s="2">
        <f>(('Historical Data'!R339)-('Historical Data'!R338))/('Historical Data'!R338)</f>
        <v>0.007361884642</v>
      </c>
    </row>
    <row r="338">
      <c r="A338" s="2">
        <f>(('Historical Data'!C340)-('Historical Data'!C339))/('Historical Data'!C339)</f>
        <v>-0.0381930981</v>
      </c>
      <c r="B338" s="2">
        <f>(('Historical Data'!F340)-('Historical Data'!F339))/('Historical Data'!F339)</f>
        <v>0.0761789601</v>
      </c>
      <c r="C338" s="2">
        <f>(('Historical Data'!I340)-('Historical Data'!I339))/('Historical Data'!I339)</f>
        <v>-0.072</v>
      </c>
      <c r="D338" s="2">
        <f>(('Historical Data'!L340)-('Historical Data'!L339))/('Historical Data'!L339)</f>
        <v>-0.03548740416</v>
      </c>
      <c r="E338" s="2">
        <f>(('Historical Data'!O340)-('Historical Data'!O339))/('Historical Data'!O339)</f>
        <v>-0.01978021978</v>
      </c>
      <c r="F338" s="2">
        <f>(('Historical Data'!R340)-('Historical Data'!R339))/('Historical Data'!R339)</f>
        <v>-0.01842907982</v>
      </c>
    </row>
    <row r="339">
      <c r="A339" s="2">
        <f>(('Historical Data'!C341)-('Historical Data'!C340))/('Historical Data'!C340)</f>
        <v>-0.005644023382</v>
      </c>
      <c r="B339" s="2">
        <f>(('Historical Data'!F341)-('Historical Data'!F340))/('Historical Data'!F340)</f>
        <v>0.07303370787</v>
      </c>
      <c r="C339" s="2">
        <f>(('Historical Data'!I341)-('Historical Data'!I340))/('Historical Data'!I340)</f>
        <v>-0.05603448276</v>
      </c>
      <c r="D339" s="2">
        <f>(('Historical Data'!L341)-('Historical Data'!L340))/('Historical Data'!L340)</f>
        <v>-0.0149897797</v>
      </c>
      <c r="E339" s="2">
        <f>(('Historical Data'!O341)-('Historical Data'!O340))/('Historical Data'!O340)</f>
        <v>0.02049967969</v>
      </c>
      <c r="F339" s="2">
        <f>(('Historical Data'!R341)-('Historical Data'!R340))/('Historical Data'!R340)</f>
        <v>0.009970218827</v>
      </c>
    </row>
    <row r="340">
      <c r="A340" s="2">
        <f>(('Historical Data'!C342)-('Historical Data'!C341))/('Historical Data'!C341)</f>
        <v>-0.007500506791</v>
      </c>
      <c r="B340" s="2">
        <f>(('Historical Data'!F342)-('Historical Data'!F341))/('Historical Data'!F341)</f>
        <v>-0.06910994764</v>
      </c>
      <c r="C340" s="2">
        <f>(('Historical Data'!I342)-('Historical Data'!I341))/('Historical Data'!I341)</f>
        <v>-0.1324200913</v>
      </c>
      <c r="D340" s="2">
        <f>(('Historical Data'!L342)-('Historical Data'!L341))/('Historical Data'!L341)</f>
        <v>-0.02351856122</v>
      </c>
      <c r="E340" s="2">
        <f>(('Historical Data'!O342)-('Historical Data'!O341))/('Historical Data'!O341)</f>
        <v>-0.06842435656</v>
      </c>
      <c r="F340" s="2">
        <f>(('Historical Data'!R342)-('Historical Data'!R341))/('Historical Data'!R341)</f>
        <v>-0.0025</v>
      </c>
    </row>
    <row r="341">
      <c r="A341" s="2">
        <f>(('Historical Data'!C343)-('Historical Data'!C342))/('Historical Data'!C342)</f>
        <v>0.01205065359</v>
      </c>
      <c r="B341" s="2">
        <f>(('Historical Data'!F343)-('Historical Data'!F342))/('Historical Data'!F342)</f>
        <v>-0.02137232846</v>
      </c>
      <c r="C341" s="2">
        <f>(('Historical Data'!I343)-('Historical Data'!I342))/('Historical Data'!I342)</f>
        <v>0.04210526316</v>
      </c>
      <c r="D341" s="2">
        <f>(('Historical Data'!L343)-('Historical Data'!L342))/('Historical Data'!L342)</f>
        <v>0.005667060213</v>
      </c>
      <c r="E341" s="2">
        <f>(('Historical Data'!O343)-('Historical Data'!O342))/('Historical Data'!O342)</f>
        <v>0.007075471698</v>
      </c>
      <c r="F341" s="2">
        <f>(('Historical Data'!R343)-('Historical Data'!R342))/('Historical Data'!R342)</f>
        <v>-0.005269584217</v>
      </c>
    </row>
    <row r="342">
      <c r="A342" s="2">
        <f>(('Historical Data'!C344)-('Historical Data'!C343))/('Historical Data'!C343)</f>
        <v>-0.01816347124</v>
      </c>
      <c r="B342" s="2">
        <f>(('Historical Data'!F344)-('Historical Data'!F343))/('Historical Data'!F343)</f>
        <v>0.06551724138</v>
      </c>
      <c r="C342" s="2">
        <f>(('Historical Data'!I344)-('Historical Data'!I343))/('Historical Data'!I343)</f>
        <v>0.02525252525</v>
      </c>
      <c r="D342" s="2">
        <f>(('Historical Data'!L344)-('Historical Data'!L343))/('Historical Data'!L343)</f>
        <v>0.01244423574</v>
      </c>
      <c r="E342" s="2">
        <f>(('Historical Data'!O344)-('Historical Data'!O343))/('Historical Data'!O343)</f>
        <v>0.01104048177</v>
      </c>
      <c r="F342" s="2">
        <f>(('Historical Data'!R344)-('Historical Data'!R343))/('Historical Data'!R343)</f>
        <v>-0.01408359713</v>
      </c>
    </row>
    <row r="343">
      <c r="A343" s="2">
        <f>(('Historical Data'!C345)-('Historical Data'!C344))/('Historical Data'!C344)</f>
        <v>-0.00739979445</v>
      </c>
      <c r="B343" s="2">
        <f>(('Historical Data'!F345)-('Historical Data'!F344))/('Historical Data'!F344)</f>
        <v>0.1197411003</v>
      </c>
      <c r="C343" s="2">
        <f>(('Historical Data'!I345)-('Historical Data'!I344))/('Historical Data'!I344)</f>
        <v>-0.06896551724</v>
      </c>
      <c r="D343" s="2">
        <f>(('Historical Data'!L345)-('Historical Data'!L344))/('Historical Data'!L344)</f>
        <v>-0.003710575139</v>
      </c>
      <c r="E343" s="2">
        <f>(('Historical Data'!O345)-('Historical Data'!O344))/('Historical Data'!O344)</f>
        <v>-0.02018530774</v>
      </c>
      <c r="F343" s="2">
        <f>(('Historical Data'!R345)-('Historical Data'!R344))/('Historical Data'!R344)</f>
        <v>-0.004062643339</v>
      </c>
    </row>
    <row r="344">
      <c r="A344" s="2">
        <f>(('Historical Data'!C346)-('Historical Data'!C345))/('Historical Data'!C345)</f>
        <v>0.02629944088</v>
      </c>
      <c r="B344" s="2">
        <f>(('Historical Data'!F346)-('Historical Data'!F345))/('Historical Data'!F345)</f>
        <v>-0.112716763</v>
      </c>
      <c r="C344" s="2">
        <f>(('Historical Data'!I346)-('Historical Data'!I345))/('Historical Data'!I345)</f>
        <v>0.04761904762</v>
      </c>
      <c r="D344" s="2">
        <f>(('Historical Data'!L346)-('Historical Data'!L345))/('Historical Data'!L345)</f>
        <v>0.02141527002</v>
      </c>
      <c r="E344" s="2">
        <f>(('Historical Data'!O346)-('Historical Data'!O345))/('Historical Data'!O345)</f>
        <v>0.02971968929</v>
      </c>
      <c r="F344" s="2">
        <f>(('Historical Data'!R346)-('Historical Data'!R345))/('Historical Data'!R345)</f>
        <v>0.01072438976</v>
      </c>
    </row>
    <row r="345">
      <c r="A345" s="2">
        <f>(('Historical Data'!C347)-('Historical Data'!C346))/('Historical Data'!C346)</f>
        <v>-0.01129943503</v>
      </c>
      <c r="B345" s="2">
        <f>(('Historical Data'!F347)-('Historical Data'!F346))/('Historical Data'!F346)</f>
        <v>-0.1205211726</v>
      </c>
      <c r="C345" s="2">
        <f>(('Historical Data'!I347)-('Historical Data'!I346))/('Historical Data'!I346)</f>
        <v>-0.04545454545</v>
      </c>
      <c r="D345" s="2">
        <f>(('Historical Data'!L347)-('Historical Data'!L346))/('Historical Data'!L346)</f>
        <v>-0.004785779398</v>
      </c>
      <c r="E345" s="2">
        <f>(('Historical Data'!O347)-('Historical Data'!O346))/('Historical Data'!O346)</f>
        <v>0.01738274844</v>
      </c>
      <c r="F345" s="2">
        <f>(('Historical Data'!R347)-('Historical Data'!R346))/('Historical Data'!R346)</f>
        <v>0.0097643536</v>
      </c>
    </row>
    <row r="346">
      <c r="A346" s="2">
        <f>(('Historical Data'!C348)-('Historical Data'!C347))/('Historical Data'!C347)</f>
        <v>0.03265306122</v>
      </c>
      <c r="B346" s="2">
        <f>(('Historical Data'!F348)-('Historical Data'!F347))/('Historical Data'!F347)</f>
        <v>0.001234567901</v>
      </c>
      <c r="C346" s="2">
        <f>(('Historical Data'!I348)-('Historical Data'!I347))/('Historical Data'!I347)</f>
        <v>0.01587301587</v>
      </c>
      <c r="D346" s="2">
        <f>(('Historical Data'!L348)-('Historical Data'!L347))/('Historical Data'!L347)</f>
        <v>0.002976871995</v>
      </c>
      <c r="E346" s="2">
        <f>(('Historical Data'!O348)-('Historical Data'!O347))/('Historical Data'!O347)</f>
        <v>0.01482914249</v>
      </c>
      <c r="F346" s="2">
        <f>(('Historical Data'!R348)-('Historical Data'!R347))/('Historical Data'!R347)</f>
        <v>-0.002836513667</v>
      </c>
    </row>
    <row r="347">
      <c r="A347" s="2">
        <f>(('Historical Data'!C349)-('Historical Data'!C348))/('Historical Data'!C348)</f>
        <v>-0.0442687747</v>
      </c>
      <c r="B347" s="2">
        <f>(('Historical Data'!F349)-('Historical Data'!F348))/('Historical Data'!F348)</f>
        <v>0.003699136868</v>
      </c>
      <c r="C347" s="2">
        <f>(('Historical Data'!I349)-('Historical Data'!I348))/('Historical Data'!I348)</f>
        <v>-0.09375</v>
      </c>
      <c r="D347" s="2">
        <f>(('Historical Data'!L349)-('Historical Data'!L348))/('Historical Data'!L348)</f>
        <v>0</v>
      </c>
      <c r="E347" s="2">
        <f>(('Historical Data'!O349)-('Historical Data'!O348))/('Historical Data'!O348)</f>
        <v>-0.01175349428</v>
      </c>
      <c r="F347" s="2">
        <f>(('Historical Data'!R349)-('Historical Data'!R348))/('Historical Data'!R348)</f>
        <v>-0.0623222136</v>
      </c>
    </row>
    <row r="348">
      <c r="A348" s="2">
        <f>(('Historical Data'!C350)-('Historical Data'!C349))/('Historical Data'!C349)</f>
        <v>-0.1373035567</v>
      </c>
      <c r="B348" s="2">
        <f>(('Historical Data'!F350)-('Historical Data'!F349))/('Historical Data'!F349)</f>
        <v>-0.1769041769</v>
      </c>
      <c r="C348" s="2">
        <f>(('Historical Data'!I350)-('Historical Data'!I349))/('Historical Data'!I349)</f>
        <v>0.09770114943</v>
      </c>
      <c r="D348" s="2">
        <f>(('Historical Data'!L350)-('Historical Data'!L349))/('Historical Data'!L349)</f>
        <v>-0.008447488584</v>
      </c>
      <c r="E348" s="2">
        <f>(('Historical Data'!O350)-('Historical Data'!O349))/('Historical Data'!O349)</f>
        <v>-0.002571520411</v>
      </c>
      <c r="F348" s="2">
        <f>(('Historical Data'!R350)-('Historical Data'!R349))/('Historical Data'!R349)</f>
        <v>-0.02302813017</v>
      </c>
    </row>
    <row r="349">
      <c r="A349" s="2">
        <f>(('Historical Data'!C351)-('Historical Data'!C350))/('Historical Data'!C350)</f>
        <v>0.02924256951</v>
      </c>
      <c r="B349" s="2">
        <f>(('Historical Data'!F351)-('Historical Data'!F350))/('Historical Data'!F350)</f>
        <v>0.06119402985</v>
      </c>
      <c r="C349" s="2">
        <f>(('Historical Data'!I351)-('Historical Data'!I350))/('Historical Data'!I350)</f>
        <v>-0.06282722513</v>
      </c>
      <c r="D349" s="2">
        <f>(('Historical Data'!L351)-('Historical Data'!L350))/('Historical Data'!L350)</f>
        <v>0.003914344923</v>
      </c>
      <c r="E349" s="2">
        <f>(('Historical Data'!O351)-('Historical Data'!O350))/('Historical Data'!O350)</f>
        <v>0.008056719304</v>
      </c>
      <c r="F349" s="2">
        <f>(('Historical Data'!R351)-('Historical Data'!R350))/('Historical Data'!R350)</f>
        <v>0.0006351446718</v>
      </c>
    </row>
    <row r="350">
      <c r="A350" s="2">
        <f>(('Historical Data'!C352)-('Historical Data'!C351))/('Historical Data'!C351)</f>
        <v>0.0095482068</v>
      </c>
      <c r="B350" s="2">
        <f>(('Historical Data'!F352)-('Historical Data'!F351))/('Historical Data'!F351)</f>
        <v>-0.02250351617</v>
      </c>
      <c r="C350" s="2">
        <f>(('Historical Data'!I352)-('Historical Data'!I351))/('Historical Data'!I351)</f>
        <v>0.09497206704</v>
      </c>
      <c r="D350" s="2">
        <f>(('Historical Data'!L352)-('Historical Data'!L351))/('Historical Data'!L351)</f>
        <v>0.02087155963</v>
      </c>
      <c r="E350" s="2">
        <f>(('Historical Data'!O352)-('Historical Data'!O351))/('Historical Data'!O351)</f>
        <v>0.02653452685</v>
      </c>
      <c r="F350" s="2">
        <f>(('Historical Data'!R352)-('Historical Data'!R351))/('Historical Data'!R351)</f>
        <v>0.02299174836</v>
      </c>
    </row>
    <row r="351">
      <c r="A351" s="2">
        <f>(('Historical Data'!C353)-('Historical Data'!C352))/('Historical Data'!C352)</f>
        <v>0.009688581315</v>
      </c>
      <c r="B351" s="2">
        <f>(('Historical Data'!F353)-('Historical Data'!F352))/('Historical Data'!F352)</f>
        <v>0.03597122302</v>
      </c>
      <c r="C351" s="2">
        <f>(('Historical Data'!I353)-('Historical Data'!I352))/('Historical Data'!I352)</f>
        <v>0.02040816327</v>
      </c>
      <c r="D351" s="2">
        <f>(('Historical Data'!L353)-('Historical Data'!L352))/('Historical Data'!L352)</f>
        <v>-0.01123343069</v>
      </c>
      <c r="E351" s="2">
        <f>(('Historical Data'!O353)-('Historical Data'!O352))/('Historical Data'!O352)</f>
        <v>-0.0009342883837</v>
      </c>
      <c r="F351" s="2">
        <f>(('Historical Data'!R353)-('Historical Data'!R352))/('Historical Data'!R352)</f>
        <v>0.01778697001</v>
      </c>
    </row>
    <row r="352">
      <c r="A352" s="2">
        <f>(('Historical Data'!C354)-('Historical Data'!C353))/('Historical Data'!C353)</f>
        <v>0.00525474069</v>
      </c>
      <c r="B352" s="2">
        <f>(('Historical Data'!F354)-('Historical Data'!F353))/('Historical Data'!F353)</f>
        <v>0.004166666667</v>
      </c>
      <c r="C352" s="2">
        <f>(('Historical Data'!I354)-('Historical Data'!I353))/('Historical Data'!I353)</f>
        <v>0</v>
      </c>
      <c r="D352" s="2">
        <f>(('Historical Data'!L354)-('Historical Data'!L353))/('Historical Data'!L353)</f>
        <v>0.006362190411</v>
      </c>
      <c r="E352" s="2">
        <f>(('Historical Data'!O354)-('Historical Data'!O353))/('Historical Data'!O353)</f>
        <v>0.009039900249</v>
      </c>
      <c r="F352" s="2">
        <f>(('Historical Data'!R354)-('Historical Data'!R353))/('Historical Data'!R353)</f>
        <v>-0.01639233218</v>
      </c>
    </row>
    <row r="353">
      <c r="A353" s="2">
        <f>(('Historical Data'!C355)-('Historical Data'!C354))/('Historical Data'!C354)</f>
        <v>0.0225</v>
      </c>
      <c r="B353" s="2">
        <f>(('Historical Data'!F355)-('Historical Data'!F354))/('Historical Data'!F354)</f>
        <v>-0.08437067773</v>
      </c>
      <c r="C353" s="2">
        <f>(('Historical Data'!I355)-('Historical Data'!I354))/('Historical Data'!I354)</f>
        <v>-0.055</v>
      </c>
      <c r="D353" s="2">
        <f>(('Historical Data'!L355)-('Historical Data'!L354))/('Historical Data'!L354)</f>
        <v>0.02370738316</v>
      </c>
      <c r="E353" s="2">
        <f>(('Historical Data'!O355)-('Historical Data'!O354))/('Historical Data'!O354)</f>
        <v>0.009267840593</v>
      </c>
      <c r="F353" s="2">
        <f>(('Historical Data'!R355)-('Historical Data'!R354))/('Historical Data'!R354)</f>
        <v>0.008745954135</v>
      </c>
    </row>
    <row r="354">
      <c r="A354" s="2">
        <f>(('Historical Data'!C356)-('Historical Data'!C355))/('Historical Data'!C355)</f>
        <v>0.0140031118</v>
      </c>
      <c r="B354" s="2">
        <f>(('Historical Data'!F356)-('Historical Data'!F355))/('Historical Data'!F355)</f>
        <v>-0.05438066465</v>
      </c>
      <c r="C354" s="2">
        <f>(('Historical Data'!I356)-('Historical Data'!I355))/('Historical Data'!I355)</f>
        <v>0.01587301587</v>
      </c>
      <c r="D354" s="2">
        <f>(('Historical Data'!L356)-('Historical Data'!L355))/('Historical Data'!L355)</f>
        <v>-0.002205558006</v>
      </c>
      <c r="E354" s="2">
        <f>(('Historical Data'!O356)-('Historical Data'!O355))/('Historical Data'!O355)</f>
        <v>-0.003367003367</v>
      </c>
      <c r="F354" s="2">
        <f>(('Historical Data'!R356)-('Historical Data'!R355))/('Historical Data'!R355)</f>
        <v>0.01529219006</v>
      </c>
    </row>
    <row r="355">
      <c r="A355" s="2">
        <f>(('Historical Data'!C357)-('Historical Data'!C356))/('Historical Data'!C356)</f>
        <v>-0.01249451995</v>
      </c>
      <c r="B355" s="2">
        <f>(('Historical Data'!F357)-('Historical Data'!F356))/('Historical Data'!F356)</f>
        <v>-0.02396166134</v>
      </c>
      <c r="C355" s="2">
        <f>(('Historical Data'!I357)-('Historical Data'!I356))/('Historical Data'!I356)</f>
        <v>-0.05208333333</v>
      </c>
      <c r="D355" s="2">
        <f>(('Historical Data'!L357)-('Historical Data'!L356))/('Historical Data'!L356)</f>
        <v>-0.002210433245</v>
      </c>
      <c r="E355" s="2">
        <f>(('Historical Data'!O357)-('Historical Data'!O356))/('Historical Data'!O356)</f>
        <v>-0.005835380835</v>
      </c>
      <c r="F355" s="2">
        <f>(('Historical Data'!R357)-('Historical Data'!R356))/('Historical Data'!R356)</f>
        <v>-0.005648197956</v>
      </c>
    </row>
    <row r="356">
      <c r="A356" s="2">
        <f>(('Historical Data'!C358)-('Historical Data'!C357))/('Historical Data'!C357)</f>
        <v>0.003995560488</v>
      </c>
      <c r="B356" s="2">
        <f>(('Historical Data'!F358)-('Historical Data'!F357))/('Historical Data'!F357)</f>
        <v>0.04746317512</v>
      </c>
      <c r="C356" s="2">
        <f>(('Historical Data'!I358)-('Historical Data'!I357))/('Historical Data'!I357)</f>
        <v>-0.005494505495</v>
      </c>
      <c r="D356" s="2">
        <f>(('Historical Data'!L358)-('Historical Data'!L357))/('Historical Data'!L357)</f>
        <v>-0.00553832521</v>
      </c>
      <c r="E356" s="2">
        <f>(('Historical Data'!O358)-('Historical Data'!O357))/('Historical Data'!O357)</f>
        <v>0.009885696633</v>
      </c>
      <c r="F356" s="2">
        <f>(('Historical Data'!R358)-('Historical Data'!R357))/('Historical Data'!R357)</f>
        <v>-0.01514741682</v>
      </c>
    </row>
    <row r="357">
      <c r="A357" s="2">
        <f>(('Historical Data'!C359)-('Historical Data'!C358))/('Historical Data'!C358)</f>
        <v>0.01238116294</v>
      </c>
      <c r="B357" s="2">
        <f>(('Historical Data'!F359)-('Historical Data'!F358))/('Historical Data'!F358)</f>
        <v>0.08125</v>
      </c>
      <c r="C357" s="2">
        <f>(('Historical Data'!I359)-('Historical Data'!I358))/('Historical Data'!I358)</f>
        <v>0.1049723757</v>
      </c>
      <c r="D357" s="2">
        <f>(('Historical Data'!L359)-('Historical Data'!L358))/('Historical Data'!L358)</f>
        <v>0.005346402317</v>
      </c>
      <c r="E357" s="2">
        <f>(('Historical Data'!O359)-('Historical Data'!O358))/('Historical Data'!O358)</f>
        <v>0.0039767513</v>
      </c>
      <c r="F357" s="2">
        <f>(('Historical Data'!R359)-('Historical Data'!R358))/('Historical Data'!R358)</f>
        <v>0.01078000549</v>
      </c>
    </row>
    <row r="358">
      <c r="A358" s="2">
        <f>(('Historical Data'!C360)-('Historical Data'!C359))/('Historical Data'!C359)</f>
        <v>-0.0117929679</v>
      </c>
      <c r="B358" s="2">
        <f>(('Historical Data'!F360)-('Historical Data'!F359))/('Historical Data'!F359)</f>
        <v>0.0274566474</v>
      </c>
      <c r="C358" s="2">
        <f>(('Historical Data'!I360)-('Historical Data'!I359))/('Historical Data'!I359)</f>
        <v>0.1</v>
      </c>
      <c r="D358" s="2">
        <f>(('Historical Data'!L360)-('Historical Data'!L359))/('Historical Data'!L359)</f>
        <v>0.01041435852</v>
      </c>
      <c r="E358" s="2">
        <f>(('Historical Data'!O360)-('Historical Data'!O359))/('Historical Data'!O359)</f>
        <v>0.004875076173</v>
      </c>
      <c r="F358" s="2">
        <f>(('Historical Data'!R360)-('Historical Data'!R359))/('Historical Data'!R359)</f>
        <v>-0.008966782148</v>
      </c>
    </row>
    <row r="359">
      <c r="A359" s="2">
        <f>(('Historical Data'!C361)-('Historical Data'!C360))/('Historical Data'!C360)</f>
        <v>0.001767955801</v>
      </c>
      <c r="B359" s="2">
        <f>(('Historical Data'!F361)-('Historical Data'!F360))/('Historical Data'!F360)</f>
        <v>0.007032348805</v>
      </c>
      <c r="C359" s="2">
        <f>(('Historical Data'!I361)-('Historical Data'!I360))/('Historical Data'!I360)</f>
        <v>0.01818181818</v>
      </c>
      <c r="D359" s="2">
        <f>(('Historical Data'!L361)-('Historical Data'!L360))/('Historical Data'!L360)</f>
        <v>-0.0002192982456</v>
      </c>
      <c r="E359" s="2">
        <f>(('Historical Data'!O361)-('Historical Data'!O360))/('Historical Data'!O360)</f>
        <v>0.00363856883</v>
      </c>
      <c r="F359" s="2">
        <f>(('Historical Data'!R361)-('Historical Data'!R360))/('Historical Data'!R360)</f>
        <v>-0.003907053259</v>
      </c>
    </row>
    <row r="360">
      <c r="A360" s="2">
        <f>(('Historical Data'!C362)-('Historical Data'!C361))/('Historical Data'!C361)</f>
        <v>0.005294506949</v>
      </c>
      <c r="B360" s="2">
        <f>(('Historical Data'!F362)-('Historical Data'!F361))/('Historical Data'!F361)</f>
        <v>0.004189944134</v>
      </c>
      <c r="C360" s="2">
        <f>(('Historical Data'!I362)-('Historical Data'!I361))/('Historical Data'!I361)</f>
        <v>-0.02232142857</v>
      </c>
      <c r="D360" s="2">
        <f>(('Historical Data'!L362)-('Historical Data'!L361))/('Historical Data'!L361)</f>
        <v>0.007677122176</v>
      </c>
      <c r="E360" s="2">
        <f>(('Historical Data'!O362)-('Historical Data'!O361))/('Historical Data'!O361)</f>
        <v>0.0329305136</v>
      </c>
      <c r="F360" s="2">
        <f>(('Historical Data'!R362)-('Historical Data'!R361))/('Historical Data'!R361)</f>
        <v>0.01114781173</v>
      </c>
    </row>
    <row r="361">
      <c r="A361" s="2">
        <f>(('Historical Data'!C363)-('Historical Data'!C362))/('Historical Data'!C362)</f>
        <v>-0.01426377002</v>
      </c>
      <c r="B361" s="2">
        <f>(('Historical Data'!F363)-('Historical Data'!F362))/('Historical Data'!F362)</f>
        <v>0.1460361613</v>
      </c>
      <c r="C361" s="2">
        <f>(('Historical Data'!I363)-('Historical Data'!I362))/('Historical Data'!I362)</f>
        <v>-0.05479452055</v>
      </c>
      <c r="D361" s="2">
        <f>(('Historical Data'!L363)-('Historical Data'!L362))/('Historical Data'!L362)</f>
        <v>-0.02503265128</v>
      </c>
      <c r="E361" s="2">
        <f>(('Historical Data'!O363)-('Historical Data'!O362))/('Historical Data'!O362)</f>
        <v>-0.002047382276</v>
      </c>
      <c r="F361" s="2">
        <f>(('Historical Data'!R363)-('Historical Data'!R362))/('Historical Data'!R362)</f>
        <v>-0.01245406288</v>
      </c>
    </row>
    <row r="362">
      <c r="A362" s="2">
        <f>(('Historical Data'!C364)-('Historical Data'!C363))/('Historical Data'!C363)</f>
        <v>-0.01469278718</v>
      </c>
      <c r="B362" s="2">
        <f>(('Historical Data'!F364)-('Historical Data'!F363))/('Historical Data'!F363)</f>
        <v>-0.004854368932</v>
      </c>
      <c r="C362" s="2">
        <f>(('Historical Data'!I364)-('Historical Data'!I363))/('Historical Data'!I363)</f>
        <v>-0.04830917874</v>
      </c>
      <c r="D362" s="2">
        <f>(('Historical Data'!L364)-('Historical Data'!L363))/('Historical Data'!L363)</f>
        <v>-0.02433578924</v>
      </c>
      <c r="E362" s="2">
        <f>(('Historical Data'!O364)-('Historical Data'!O363))/('Historical Data'!O363)</f>
        <v>-0.01758499414</v>
      </c>
      <c r="F362" s="2">
        <f>(('Historical Data'!R364)-('Historical Data'!R363))/('Historical Data'!R363)</f>
        <v>-0.01805526842</v>
      </c>
    </row>
    <row r="363">
      <c r="A363" s="2">
        <f>(('Historical Data'!C365)-('Historical Data'!C364))/('Historical Data'!C364)</f>
        <v>-0.01739719837</v>
      </c>
      <c r="B363" s="2">
        <f>(('Historical Data'!F365)-('Historical Data'!F364))/('Historical Data'!F364)</f>
        <v>0.06219512195</v>
      </c>
      <c r="C363" s="2">
        <f>(('Historical Data'!I365)-('Historical Data'!I364))/('Historical Data'!I364)</f>
        <v>0.0152284264</v>
      </c>
      <c r="D363" s="2">
        <f>(('Historical Data'!L365)-('Historical Data'!L364))/('Historical Data'!L364)</f>
        <v>-0.01990846682</v>
      </c>
      <c r="E363" s="2">
        <f>(('Historical Data'!O365)-('Historical Data'!O364))/('Historical Data'!O364)</f>
        <v>-0.03162291169</v>
      </c>
      <c r="F363" s="2">
        <f>(('Historical Data'!R365)-('Historical Data'!R364))/('Historical Data'!R364)</f>
        <v>-0.003789739631</v>
      </c>
    </row>
    <row r="364">
      <c r="A364" s="2">
        <f>(('Historical Data'!C366)-('Historical Data'!C365))/('Historical Data'!C365)</f>
        <v>-0.005748447919</v>
      </c>
      <c r="B364" s="2">
        <f>(('Historical Data'!F366)-('Historical Data'!F365))/('Historical Data'!F365)</f>
        <v>0.06084959816</v>
      </c>
      <c r="C364" s="2">
        <f>(('Historical Data'!I366)-('Historical Data'!I365))/('Historical Data'!I365)</f>
        <v>0.09</v>
      </c>
      <c r="D364" s="2">
        <f>(('Historical Data'!L366)-('Historical Data'!L365))/('Historical Data'!L365)</f>
        <v>0.01260798506</v>
      </c>
      <c r="E364" s="2">
        <f>(('Historical Data'!O366)-('Historical Data'!O365))/('Historical Data'!O365)</f>
        <v>-0.0382008626</v>
      </c>
      <c r="F364" s="2">
        <f>(('Historical Data'!R366)-('Historical Data'!R365))/('Historical Data'!R365)</f>
        <v>-0.02676998943</v>
      </c>
    </row>
    <row r="365">
      <c r="A365" s="2">
        <f>(('Historical Data'!C367)-('Historical Data'!C366))/('Historical Data'!C366)</f>
        <v>-0.007631822387</v>
      </c>
      <c r="B365" s="2">
        <f>(('Historical Data'!F367)-('Historical Data'!F366))/('Historical Data'!F366)</f>
        <v>-0.01082251082</v>
      </c>
      <c r="C365" s="2">
        <f>(('Historical Data'!I367)-('Historical Data'!I366))/('Historical Data'!I366)</f>
        <v>-0.0504587156</v>
      </c>
      <c r="D365" s="2">
        <f>(('Historical Data'!L367)-('Historical Data'!L366))/('Historical Data'!L366)</f>
        <v>0.01614018907</v>
      </c>
      <c r="E365" s="2">
        <f>(('Historical Data'!O367)-('Historical Data'!O366))/('Historical Data'!O366)</f>
        <v>-0.01153106983</v>
      </c>
      <c r="F365" s="2">
        <f>(('Historical Data'!R367)-('Historical Data'!R366))/('Historical Data'!R366)</f>
        <v>-0.03119797322</v>
      </c>
    </row>
    <row r="366">
      <c r="A366" s="2">
        <f>(('Historical Data'!C368)-('Historical Data'!C367))/('Historical Data'!C367)</f>
        <v>0.02074108599</v>
      </c>
      <c r="B366" s="2">
        <f>(('Historical Data'!F368)-('Historical Data'!F367))/('Historical Data'!F367)</f>
        <v>0</v>
      </c>
      <c r="C366" s="2">
        <f>(('Historical Data'!I368)-('Historical Data'!I367))/('Historical Data'!I367)</f>
        <v>0.0193236715</v>
      </c>
      <c r="D366" s="2">
        <f>(('Historical Data'!L368)-('Historical Data'!L367))/('Historical Data'!L367)</f>
        <v>-0.04152484683</v>
      </c>
      <c r="E366" s="2">
        <f>(('Historical Data'!O368)-('Historical Data'!O367))/('Historical Data'!O367)</f>
        <v>0.00518470512</v>
      </c>
      <c r="F366" s="2">
        <f>(('Historical Data'!R368)-('Historical Data'!R367))/('Historical Data'!R367)</f>
        <v>-0.009937238494</v>
      </c>
    </row>
    <row r="367">
      <c r="A367" s="2">
        <f>(('Historical Data'!C369)-('Historical Data'!C368))/('Historical Data'!C368)</f>
        <v>-0.01095890411</v>
      </c>
      <c r="B367" s="2">
        <f>(('Historical Data'!F369)-('Historical Data'!F368))/('Historical Data'!F368)</f>
        <v>0.01312910284</v>
      </c>
      <c r="C367" s="2">
        <f>(('Historical Data'!I369)-('Historical Data'!I368))/('Historical Data'!I368)</f>
        <v>-0.01895734597</v>
      </c>
      <c r="D367" s="2">
        <f>(('Historical Data'!L369)-('Historical Data'!L368))/('Historical Data'!L368)</f>
        <v>0.0004734848485</v>
      </c>
      <c r="E367" s="2">
        <f>(('Historical Data'!O369)-('Historical Data'!O368))/('Historical Data'!O368)</f>
        <v>-0.04642166344</v>
      </c>
      <c r="F367" s="2">
        <f>(('Historical Data'!R369)-('Historical Data'!R368))/('Historical Data'!R368)</f>
        <v>0.006112746208</v>
      </c>
    </row>
    <row r="368">
      <c r="A368" s="2">
        <f>(('Historical Data'!C370)-('Historical Data'!C369))/('Historical Data'!C369)</f>
        <v>0.00161588181</v>
      </c>
      <c r="B368" s="2">
        <f>(('Historical Data'!F370)-('Historical Data'!F369))/('Historical Data'!F369)</f>
        <v>0.05183585313</v>
      </c>
      <c r="C368" s="2">
        <f>(('Historical Data'!I370)-('Historical Data'!I369))/('Historical Data'!I369)</f>
        <v>-0.009661835749</v>
      </c>
      <c r="D368" s="2">
        <f>(('Historical Data'!L370)-('Historical Data'!L369))/('Historical Data'!L369)</f>
        <v>0.03525792712</v>
      </c>
      <c r="E368" s="2">
        <f>(('Historical Data'!O370)-('Historical Data'!O369))/('Historical Data'!O369)</f>
        <v>-0.0615280595</v>
      </c>
      <c r="F368" s="2">
        <f>(('Historical Data'!R370)-('Historical Data'!R369))/('Historical Data'!R369)</f>
        <v>-0.007200720072</v>
      </c>
    </row>
    <row r="369">
      <c r="A369" s="2">
        <f>(('Historical Data'!C371)-('Historical Data'!C370))/('Historical Data'!C370)</f>
        <v>0.01728508873</v>
      </c>
      <c r="B369" s="2">
        <f>(('Historical Data'!F371)-('Historical Data'!F370))/('Historical Data'!F370)</f>
        <v>0.08726899384</v>
      </c>
      <c r="C369" s="2">
        <f>(('Historical Data'!I371)-('Historical Data'!I370))/('Historical Data'!I370)</f>
        <v>-0.03902439024</v>
      </c>
      <c r="D369" s="2">
        <f>(('Historical Data'!L371)-('Historical Data'!L370))/('Historical Data'!L370)</f>
        <v>-0.006857142857</v>
      </c>
      <c r="E369" s="2">
        <f>(('Historical Data'!O371)-('Historical Data'!O370))/('Historical Data'!O370)</f>
        <v>0.04899135447</v>
      </c>
      <c r="F369" s="2">
        <f>(('Historical Data'!R371)-('Historical Data'!R370))/('Historical Data'!R370)</f>
        <v>0.03029616198</v>
      </c>
    </row>
    <row r="370">
      <c r="A370" s="2">
        <f>(('Historical Data'!C372)-('Historical Data'!C371))/('Historical Data'!C371)</f>
        <v>-0.01291345718</v>
      </c>
      <c r="B370" s="2">
        <f>(('Historical Data'!F372)-('Historical Data'!F371))/('Historical Data'!F371)</f>
        <v>0.03399433428</v>
      </c>
      <c r="C370" s="2">
        <f>(('Historical Data'!I372)-('Historical Data'!I371))/('Historical Data'!I371)</f>
        <v>0.06091370558</v>
      </c>
      <c r="D370" s="2">
        <f>(('Historical Data'!L372)-('Historical Data'!L371))/('Historical Data'!L371)</f>
        <v>0.008975834292</v>
      </c>
      <c r="E370" s="2">
        <f>(('Historical Data'!O372)-('Historical Data'!O371))/('Historical Data'!O371)</f>
        <v>-0.03537087912</v>
      </c>
      <c r="F370" s="2">
        <f>(('Historical Data'!R372)-('Historical Data'!R371))/('Historical Data'!R371)</f>
        <v>0.0156192711</v>
      </c>
    </row>
    <row r="371">
      <c r="A371" s="2">
        <f>(('Historical Data'!C373)-('Historical Data'!C372))/('Historical Data'!C372)</f>
        <v>-0.0146890062</v>
      </c>
      <c r="B371" s="2">
        <f>(('Historical Data'!F373)-('Historical Data'!F372))/('Historical Data'!F372)</f>
        <v>-0.09589041096</v>
      </c>
      <c r="C371" s="2">
        <f>(('Historical Data'!I373)-('Historical Data'!I372))/('Historical Data'!I372)</f>
        <v>0.08612440191</v>
      </c>
      <c r="D371" s="2">
        <f>(('Historical Data'!L373)-('Historical Data'!L372))/('Historical Data'!L372)</f>
        <v>-0.03489963504</v>
      </c>
      <c r="E371" s="2">
        <f>(('Historical Data'!O373)-('Historical Data'!O372))/('Historical Data'!O372)</f>
        <v>-0.02598789605</v>
      </c>
      <c r="F371" s="2">
        <f>(('Historical Data'!R373)-('Historical Data'!R372))/('Historical Data'!R372)</f>
        <v>0.0274368231</v>
      </c>
    </row>
    <row r="372">
      <c r="A372" s="2">
        <f>(('Historical Data'!C374)-('Historical Data'!C373))/('Historical Data'!C373)</f>
        <v>0.02725366876</v>
      </c>
      <c r="B372" s="2">
        <f>(('Historical Data'!F374)-('Historical Data'!F373))/('Historical Data'!F373)</f>
        <v>0.06060606061</v>
      </c>
      <c r="C372" s="2">
        <f>(('Historical Data'!I374)-('Historical Data'!I373))/('Historical Data'!I373)</f>
        <v>0.06167400881</v>
      </c>
      <c r="D372" s="2">
        <f>(('Historical Data'!L374)-('Historical Data'!L373))/('Historical Data'!L373)</f>
        <v>0.02576223115</v>
      </c>
      <c r="E372" s="2">
        <f>(('Historical Data'!O374)-('Historical Data'!O373))/('Historical Data'!O373)</f>
        <v>0.03179824561</v>
      </c>
      <c r="F372" s="2">
        <f>(('Historical Data'!R374)-('Historical Data'!R373))/('Historical Data'!R373)</f>
        <v>0.01440618412</v>
      </c>
    </row>
    <row r="373">
      <c r="A373" s="2">
        <f>(('Historical Data'!C375)-('Historical Data'!C374))/('Historical Data'!C374)</f>
        <v>-0.007482993197</v>
      </c>
      <c r="B373" s="2">
        <f>(('Historical Data'!F375)-('Historical Data'!F374))/('Historical Data'!F374)</f>
        <v>0.04</v>
      </c>
      <c r="C373" s="2">
        <f>(('Historical Data'!I375)-('Historical Data'!I374))/('Historical Data'!I374)</f>
        <v>-0.09128630705</v>
      </c>
      <c r="D373" s="2">
        <f>(('Historical Data'!L375)-('Historical Data'!L374))/('Historical Data'!L374)</f>
        <v>-0.002073732719</v>
      </c>
      <c r="E373" s="2">
        <f>(('Historical Data'!O375)-('Historical Data'!O374))/('Historical Data'!O374)</f>
        <v>0.01664895501</v>
      </c>
      <c r="F373" s="2">
        <f>(('Historical Data'!R375)-('Historical Data'!R374))/('Historical Data'!R374)</f>
        <v>-0.007620367163</v>
      </c>
    </row>
    <row r="374">
      <c r="A374" s="2">
        <f>(('Historical Data'!C376)-('Historical Data'!C375))/('Historical Data'!C375)</f>
        <v>-0.01622115604</v>
      </c>
      <c r="B374" s="2">
        <f>(('Historical Data'!F376)-('Historical Data'!F375))/('Historical Data'!F375)</f>
        <v>-0.1217948718</v>
      </c>
      <c r="C374" s="2">
        <f>(('Historical Data'!I376)-('Historical Data'!I375))/('Historical Data'!I375)</f>
        <v>0.1780821918</v>
      </c>
      <c r="D374" s="2">
        <f>(('Historical Data'!L376)-('Historical Data'!L375))/('Historical Data'!L375)</f>
        <v>0.003001616255</v>
      </c>
      <c r="E374" s="2">
        <f>(('Historical Data'!O376)-('Historical Data'!O375))/('Historical Data'!O375)</f>
        <v>0.01289198606</v>
      </c>
      <c r="F374" s="2">
        <f>(('Historical Data'!R376)-('Historical Data'!R375))/('Historical Data'!R375)</f>
        <v>-0.01626527051</v>
      </c>
    </row>
    <row r="375">
      <c r="A375" s="2">
        <f>(('Historical Data'!C377)-('Historical Data'!C376))/('Historical Data'!C376)</f>
        <v>-0.004180213655</v>
      </c>
      <c r="B375" s="2">
        <f>(('Historical Data'!F377)-('Historical Data'!F376))/('Historical Data'!F376)</f>
        <v>-0.1220020855</v>
      </c>
      <c r="C375" s="2">
        <f>(('Historical Data'!I377)-('Historical Data'!I376))/('Historical Data'!I376)</f>
        <v>-0.1007751938</v>
      </c>
      <c r="D375" s="2">
        <f>(('Historical Data'!L377)-('Historical Data'!L376))/('Historical Data'!L376)</f>
        <v>-0.009898710866</v>
      </c>
      <c r="E375" s="2">
        <f>(('Historical Data'!O377)-('Historical Data'!O376))/('Historical Data'!O376)</f>
        <v>-0.01031991744</v>
      </c>
      <c r="F375" s="2">
        <f>(('Historical Data'!R377)-('Historical Data'!R376))/('Historical Data'!R376)</f>
        <v>0.009083167755</v>
      </c>
    </row>
    <row r="376">
      <c r="A376" s="2">
        <f>(('Historical Data'!C378)-('Historical Data'!C377))/('Historical Data'!C377)</f>
        <v>-0.005597014925</v>
      </c>
      <c r="B376" s="2">
        <f>(('Historical Data'!F378)-('Historical Data'!F377))/('Historical Data'!F377)</f>
        <v>-0.02375296912</v>
      </c>
      <c r="C376" s="2">
        <f>(('Historical Data'!I378)-('Historical Data'!I377))/('Historical Data'!I377)</f>
        <v>0.008620689655</v>
      </c>
      <c r="D376" s="2">
        <f>(('Historical Data'!L378)-('Historical Data'!L377))/('Historical Data'!L377)</f>
        <v>-0.01627528482</v>
      </c>
      <c r="E376" s="2">
        <f>(('Historical Data'!O378)-('Historical Data'!O377))/('Historical Data'!O377)</f>
        <v>-0.01459854015</v>
      </c>
      <c r="F376" s="2">
        <f>(('Historical Data'!R378)-('Historical Data'!R377))/('Historical Data'!R377)</f>
        <v>0.0111814346</v>
      </c>
    </row>
    <row r="377">
      <c r="A377" s="2">
        <f>(('Historical Data'!C379)-('Historical Data'!C378))/('Historical Data'!C378)</f>
        <v>-0.0009380863039</v>
      </c>
      <c r="B377" s="2">
        <f>(('Historical Data'!F379)-('Historical Data'!F378))/('Historical Data'!F378)</f>
        <v>0.0802919708</v>
      </c>
      <c r="C377" s="2">
        <f>(('Historical Data'!I379)-('Historical Data'!I378))/('Historical Data'!I378)</f>
        <v>-0.0811965812</v>
      </c>
      <c r="D377" s="2">
        <f>(('Historical Data'!L379)-('Historical Data'!L378))/('Historical Data'!L378)</f>
        <v>0.002363507445</v>
      </c>
      <c r="E377" s="2">
        <f>(('Historical Data'!O379)-('Historical Data'!O378))/('Historical Data'!O378)</f>
        <v>-0.002469135802</v>
      </c>
      <c r="F377" s="2">
        <f>(('Historical Data'!R379)-('Historical Data'!R378))/('Historical Data'!R378)</f>
        <v>0.0161346408</v>
      </c>
    </row>
    <row r="378">
      <c r="A378" s="2">
        <f>(('Historical Data'!C380)-('Historical Data'!C379))/('Historical Data'!C379)</f>
        <v>-0.01502347418</v>
      </c>
      <c r="B378" s="2">
        <f>(('Historical Data'!F380)-('Historical Data'!F379))/('Historical Data'!F379)</f>
        <v>-0.03716216216</v>
      </c>
      <c r="C378" s="2">
        <f>(('Historical Data'!I380)-('Historical Data'!I379))/('Historical Data'!I379)</f>
        <v>0</v>
      </c>
      <c r="D378" s="2">
        <f>(('Historical Data'!L380)-('Historical Data'!L379))/('Historical Data'!L379)</f>
        <v>0.006130629568</v>
      </c>
      <c r="E378" s="2">
        <f>(('Historical Data'!O380)-('Historical Data'!O379))/('Historical Data'!O379)</f>
        <v>-0.03995756719</v>
      </c>
      <c r="F378" s="2">
        <f>(('Historical Data'!R380)-('Historical Data'!R379))/('Historical Data'!R379)</f>
        <v>-0.0096502635</v>
      </c>
    </row>
    <row r="379">
      <c r="A379" s="2">
        <f>(('Historical Data'!C381)-('Historical Data'!C380))/('Historical Data'!C380)</f>
        <v>0.01739752145</v>
      </c>
      <c r="B379" s="2">
        <f>(('Historical Data'!F381)-('Historical Data'!F380))/('Historical Data'!F380)</f>
        <v>-0.1216374269</v>
      </c>
      <c r="C379" s="2">
        <f>(('Historical Data'!I381)-('Historical Data'!I380))/('Historical Data'!I380)</f>
        <v>0.02325581395</v>
      </c>
      <c r="D379" s="2">
        <f>(('Historical Data'!L381)-('Historical Data'!L380))/('Historical Data'!L380)</f>
        <v>-0.03070072651</v>
      </c>
      <c r="E379" s="2">
        <f>(('Historical Data'!O381)-('Historical Data'!O380))/('Historical Data'!O380)</f>
        <v>-0.01583793738</v>
      </c>
      <c r="F379" s="2">
        <f>(('Historical Data'!R381)-('Historical Data'!R380))/('Historical Data'!R380)</f>
        <v>0.009329647547</v>
      </c>
    </row>
    <row r="380">
      <c r="A380" s="2">
        <f>(('Historical Data'!C382)-('Historical Data'!C381))/('Historical Data'!C381)</f>
        <v>0.0124150855</v>
      </c>
      <c r="B380" s="2">
        <f>(('Historical Data'!F382)-('Historical Data'!F381))/('Historical Data'!F381)</f>
        <v>0.03328894807</v>
      </c>
      <c r="C380" s="2">
        <f>(('Historical Data'!I382)-('Historical Data'!I381))/('Historical Data'!I381)</f>
        <v>0.2954545455</v>
      </c>
      <c r="D380" s="2">
        <f>(('Historical Data'!L382)-('Historical Data'!L381))/('Historical Data'!L381)</f>
        <v>-0.001450676983</v>
      </c>
      <c r="E380" s="2">
        <f>(('Historical Data'!O382)-('Historical Data'!O381))/('Historical Data'!O381)</f>
        <v>0.03967065868</v>
      </c>
      <c r="F380" s="2">
        <f>(('Historical Data'!R382)-('Historical Data'!R381))/('Historical Data'!R381)</f>
        <v>-0.0003423485108</v>
      </c>
    </row>
    <row r="381">
      <c r="A381" s="2">
        <f>(('Historical Data'!C383)-('Historical Data'!C382))/('Historical Data'!C382)</f>
        <v>0.003933364183</v>
      </c>
      <c r="B381" s="2">
        <f>(('Historical Data'!F383)-('Historical Data'!F382))/('Historical Data'!F382)</f>
        <v>0.01804123711</v>
      </c>
      <c r="C381" s="2">
        <f>(('Historical Data'!I383)-('Historical Data'!I382))/('Historical Data'!I382)</f>
        <v>-0.1122807018</v>
      </c>
      <c r="D381" s="2">
        <f>(('Historical Data'!L383)-('Historical Data'!L382))/('Historical Data'!L382)</f>
        <v>0.02421307506</v>
      </c>
      <c r="E381" s="2">
        <f>(('Historical Data'!O383)-('Historical Data'!O382))/('Historical Data'!O382)</f>
        <v>0.002159827214</v>
      </c>
      <c r="F381" s="2">
        <f>(('Historical Data'!R383)-('Historical Data'!R382))/('Historical Data'!R382)</f>
        <v>-0.006712328767</v>
      </c>
    </row>
    <row r="382">
      <c r="A382" s="2">
        <f>(('Historical Data'!C384)-('Historical Data'!C383))/('Historical Data'!C383)</f>
        <v>-0.003226549896</v>
      </c>
      <c r="B382" s="2">
        <f>(('Historical Data'!F384)-('Historical Data'!F383))/('Historical Data'!F383)</f>
        <v>-0.02405063291</v>
      </c>
      <c r="C382" s="2">
        <f>(('Historical Data'!I384)-('Historical Data'!I383))/('Historical Data'!I383)</f>
        <v>0.00395256917</v>
      </c>
      <c r="D382" s="2">
        <f>(('Historical Data'!L384)-('Historical Data'!L383))/('Historical Data'!L383)</f>
        <v>-0.002364066194</v>
      </c>
      <c r="E382" s="2">
        <f>(('Historical Data'!O384)-('Historical Data'!O383))/('Historical Data'!O383)</f>
        <v>-0.01364942529</v>
      </c>
      <c r="F382" s="2">
        <f>(('Historical Data'!R384)-('Historical Data'!R383))/('Historical Data'!R383)</f>
        <v>0.007033512619</v>
      </c>
    </row>
    <row r="383">
      <c r="A383" s="2">
        <f>(('Historical Data'!C385)-('Historical Data'!C384))/('Historical Data'!C384)</f>
        <v>-0.00901734104</v>
      </c>
      <c r="B383" s="2">
        <f>(('Historical Data'!F385)-('Historical Data'!F384))/('Historical Data'!F384)</f>
        <v>0.0168612192</v>
      </c>
      <c r="C383" s="2">
        <f>(('Historical Data'!I385)-('Historical Data'!I384))/('Historical Data'!I384)</f>
        <v>-0.0905511811</v>
      </c>
      <c r="D383" s="2">
        <f>(('Historical Data'!L385)-('Historical Data'!L384))/('Historical Data'!L384)</f>
        <v>-0.004265402844</v>
      </c>
      <c r="E383" s="2">
        <f>(('Historical Data'!O385)-('Historical Data'!O384))/('Historical Data'!O384)</f>
        <v>-0.02112163146</v>
      </c>
      <c r="F383" s="2">
        <f>(('Historical Data'!R385)-('Historical Data'!R384))/('Historical Data'!R384)</f>
        <v>-0.008833196385</v>
      </c>
    </row>
    <row r="384">
      <c r="A384" s="2">
        <f>(('Historical Data'!C386)-('Historical Data'!C385))/('Historical Data'!C385)</f>
        <v>-0.003733084461</v>
      </c>
      <c r="B384" s="2">
        <f>(('Historical Data'!F386)-('Historical Data'!F385))/('Historical Data'!F385)</f>
        <v>-0.09948979592</v>
      </c>
      <c r="C384" s="2">
        <f>(('Historical Data'!I386)-('Historical Data'!I385))/('Historical Data'!I385)</f>
        <v>0.03896103896</v>
      </c>
      <c r="D384" s="2">
        <f>(('Historical Data'!L386)-('Historical Data'!L385))/('Historical Data'!L385)</f>
        <v>0.009519276535</v>
      </c>
      <c r="E384" s="2">
        <f>(('Historical Data'!O386)-('Historical Data'!O385))/('Historical Data'!O385)</f>
        <v>0.004836309524</v>
      </c>
      <c r="F384" s="2">
        <f>(('Historical Data'!R386)-('Historical Data'!R385))/('Historical Data'!R385)</f>
        <v>0.006563039724</v>
      </c>
    </row>
    <row r="385">
      <c r="A385" s="2">
        <f>(('Historical Data'!C387)-('Historical Data'!C386))/('Historical Data'!C386)</f>
        <v>-0.008665105386</v>
      </c>
      <c r="B385" s="2">
        <f>(('Historical Data'!F387)-('Historical Data'!F386))/('Historical Data'!F386)</f>
        <v>0</v>
      </c>
      <c r="C385" s="2">
        <f>(('Historical Data'!I387)-('Historical Data'!I386))/('Historical Data'!I386)</f>
        <v>-0.0375</v>
      </c>
      <c r="D385" s="2">
        <f>(('Historical Data'!L387)-('Historical Data'!L386))/('Historical Data'!L386)</f>
        <v>-0.01178689298</v>
      </c>
      <c r="E385" s="2">
        <f>(('Historical Data'!O387)-('Historical Data'!O386))/('Historical Data'!O386)</f>
        <v>-0.03665309145</v>
      </c>
      <c r="F385" s="2">
        <f>(('Historical Data'!R387)-('Historical Data'!R386))/('Historical Data'!R386)</f>
        <v>-0.002951269732</v>
      </c>
    </row>
    <row r="386">
      <c r="A386" s="2">
        <f>(('Historical Data'!C388)-('Historical Data'!C387))/('Historical Data'!C387)</f>
        <v>0.01748169147</v>
      </c>
      <c r="B386" s="2">
        <f>(('Historical Data'!F388)-('Historical Data'!F387))/('Historical Data'!F387)</f>
        <v>-0.07365439093</v>
      </c>
      <c r="C386" s="2">
        <f>(('Historical Data'!I388)-('Historical Data'!I387))/('Historical Data'!I387)</f>
        <v>0.04761904762</v>
      </c>
      <c r="D386" s="2">
        <f>(('Historical Data'!L388)-('Historical Data'!L387))/('Historical Data'!L387)</f>
        <v>-0.02146946565</v>
      </c>
      <c r="E386" s="2">
        <f>(('Historical Data'!O388)-('Historical Data'!O387))/('Historical Data'!O387)</f>
        <v>0.02459646426</v>
      </c>
      <c r="F386" s="2">
        <f>(('Historical Data'!R388)-('Historical Data'!R387))/('Historical Data'!R387)</f>
        <v>-0.001376746747</v>
      </c>
    </row>
    <row r="387">
      <c r="A387" s="2">
        <f>(('Historical Data'!C389)-('Historical Data'!C388))/('Historical Data'!C388)</f>
        <v>-0.01091246808</v>
      </c>
      <c r="B387" s="2">
        <f>(('Historical Data'!F389)-('Historical Data'!F388))/('Historical Data'!F388)</f>
        <v>-0.006116207951</v>
      </c>
      <c r="C387" s="2">
        <f>(('Historical Data'!I389)-('Historical Data'!I388))/('Historical Data'!I388)</f>
        <v>-0.03305785124</v>
      </c>
      <c r="D387" s="2">
        <f>(('Historical Data'!L389)-('Historical Data'!L388))/('Historical Data'!L388)</f>
        <v>0.02145294978</v>
      </c>
      <c r="E387" s="2">
        <f>(('Historical Data'!O389)-('Historical Data'!O388))/('Historical Data'!O388)</f>
        <v>0.02513128282</v>
      </c>
      <c r="F387" s="2">
        <f>(('Historical Data'!R389)-('Historical Data'!R388))/('Historical Data'!R388)</f>
        <v>-0.01213207417</v>
      </c>
    </row>
    <row r="388">
      <c r="A388" s="2">
        <f>(('Historical Data'!C390)-('Historical Data'!C389))/('Historical Data'!C389)</f>
        <v>0.03356807512</v>
      </c>
      <c r="B388" s="2">
        <f>(('Historical Data'!F390)-('Historical Data'!F389))/('Historical Data'!F389)</f>
        <v>-0.03230769231</v>
      </c>
      <c r="C388" s="2">
        <f>(('Historical Data'!I390)-('Historical Data'!I389))/('Historical Data'!I389)</f>
        <v>0.008547008547</v>
      </c>
      <c r="D388" s="2">
        <f>(('Historical Data'!L390)-('Historical Data'!L389))/('Historical Data'!L389)</f>
        <v>0.02100238663</v>
      </c>
      <c r="E388" s="2">
        <f>(('Historical Data'!O390)-('Historical Data'!O389))/('Historical Data'!O389)</f>
        <v>0.02671057446</v>
      </c>
      <c r="F388" s="2">
        <f>(('Historical Data'!R390)-('Historical Data'!R389))/('Historical Data'!R389)</f>
        <v>0.005093852488</v>
      </c>
    </row>
    <row r="389">
      <c r="A389" s="2">
        <f>(('Historical Data'!C391)-('Historical Data'!C390))/('Historical Data'!C390)</f>
        <v>0.002271178742</v>
      </c>
      <c r="B389" s="2">
        <f>(('Historical Data'!F391)-('Historical Data'!F390))/('Historical Data'!F390)</f>
        <v>0.02543720191</v>
      </c>
      <c r="C389" s="2">
        <f>(('Historical Data'!I391)-('Historical Data'!I390))/('Historical Data'!I390)</f>
        <v>0.008474576271</v>
      </c>
      <c r="D389" s="2">
        <f>(('Historical Data'!L391)-('Historical Data'!L390))/('Historical Data'!L390)</f>
        <v>0.0301542777</v>
      </c>
      <c r="E389" s="2">
        <f>(('Historical Data'!O391)-('Historical Data'!O390))/('Historical Data'!O390)</f>
        <v>0.0028510335</v>
      </c>
      <c r="F389" s="2">
        <f>(('Historical Data'!R391)-('Historical Data'!R390))/('Historical Data'!R390)</f>
        <v>-0.01728686476</v>
      </c>
    </row>
    <row r="390">
      <c r="A390" s="2">
        <f>(('Historical Data'!C392)-('Historical Data'!C391))/('Historical Data'!C391)</f>
        <v>0.0101971448</v>
      </c>
      <c r="B390" s="2">
        <f>(('Historical Data'!F392)-('Historical Data'!F391))/('Historical Data'!F391)</f>
        <v>0.08992248062</v>
      </c>
      <c r="C390" s="2">
        <f>(('Historical Data'!I392)-('Historical Data'!I391))/('Historical Data'!I391)</f>
        <v>-0.0756302521</v>
      </c>
      <c r="D390" s="2">
        <f>(('Historical Data'!L392)-('Historical Data'!L391))/('Historical Data'!L391)</f>
        <v>-0.01406852734</v>
      </c>
      <c r="E390" s="2">
        <f>(('Historical Data'!O392)-('Historical Data'!O391))/('Historical Data'!O391)</f>
        <v>-0.01279317697</v>
      </c>
      <c r="F390" s="2">
        <f>(('Historical Data'!R392)-('Historical Data'!R391))/('Historical Data'!R391)</f>
        <v>-0.005510420346</v>
      </c>
    </row>
    <row r="391">
      <c r="A391" s="2">
        <f>(('Historical Data'!C393)-('Historical Data'!C392))/('Historical Data'!C392)</f>
        <v>-0.00269179004</v>
      </c>
      <c r="B391" s="2">
        <f>(('Historical Data'!F393)-('Historical Data'!F392))/('Historical Data'!F392)</f>
        <v>0.03413940256</v>
      </c>
      <c r="C391" s="2">
        <f>(('Historical Data'!I393)-('Historical Data'!I392))/('Historical Data'!I392)</f>
        <v>-0.07727272727</v>
      </c>
      <c r="D391" s="2">
        <f>(('Historical Data'!L393)-('Historical Data'!L392))/('Historical Data'!L392)</f>
        <v>-0.002761795167</v>
      </c>
      <c r="E391" s="2">
        <f>(('Historical Data'!O393)-('Historical Data'!O392))/('Historical Data'!O392)</f>
        <v>-0.008279337653</v>
      </c>
      <c r="F391" s="2">
        <f>(('Historical Data'!R393)-('Historical Data'!R392))/('Historical Data'!R392)</f>
        <v>0.01598351922</v>
      </c>
    </row>
    <row r="392">
      <c r="A392" s="2">
        <f>(('Historical Data'!C394)-('Historical Data'!C393))/('Historical Data'!C393)</f>
        <v>-0.002699055331</v>
      </c>
      <c r="B392" s="2">
        <f>(('Historical Data'!F394)-('Historical Data'!F393))/('Historical Data'!F393)</f>
        <v>0.01925722146</v>
      </c>
      <c r="C392" s="2">
        <f>(('Historical Data'!I394)-('Historical Data'!I393))/('Historical Data'!I393)</f>
        <v>-0.0197044335</v>
      </c>
      <c r="D392" s="2">
        <f>(('Historical Data'!L394)-('Historical Data'!L393))/('Historical Data'!L393)</f>
        <v>-0.002307869836</v>
      </c>
      <c r="E392" s="2">
        <f>(('Historical Data'!O394)-('Historical Data'!O393))/('Historical Data'!O393)</f>
        <v>0.02068965517</v>
      </c>
      <c r="F392" s="2">
        <f>(('Historical Data'!R394)-('Historical Data'!R393))/('Historical Data'!R393)</f>
        <v>0.006782268214</v>
      </c>
    </row>
    <row r="393">
      <c r="A393" s="2">
        <f>(('Historical Data'!C395)-('Historical Data'!C394))/('Historical Data'!C394)</f>
        <v>-0.01150202977</v>
      </c>
      <c r="B393" s="2">
        <f>(('Historical Data'!F395)-('Historical Data'!F394))/('Historical Data'!F394)</f>
        <v>0.006747638327</v>
      </c>
      <c r="C393" s="2">
        <f>(('Historical Data'!I395)-('Historical Data'!I394))/('Historical Data'!I394)</f>
        <v>-0.05527638191</v>
      </c>
      <c r="D393" s="2">
        <f>(('Historical Data'!L395)-('Historical Data'!L394))/('Historical Data'!L394)</f>
        <v>0.01341660884</v>
      </c>
      <c r="E393" s="2">
        <f>(('Historical Data'!O395)-('Historical Data'!O394))/('Historical Data'!O394)</f>
        <v>-0.001778093883</v>
      </c>
      <c r="F393" s="2">
        <f>(('Historical Data'!R395)-('Historical Data'!R394))/('Historical Data'!R394)</f>
        <v>0.001944579485</v>
      </c>
    </row>
    <row r="394">
      <c r="A394" s="2">
        <f>(('Historical Data'!C396)-('Historical Data'!C395))/('Historical Data'!C395)</f>
        <v>0.01848049281</v>
      </c>
      <c r="B394" s="2">
        <f>(('Historical Data'!F396)-('Historical Data'!F395))/('Historical Data'!F395)</f>
        <v>0.0308310992</v>
      </c>
      <c r="C394" s="2">
        <f>(('Historical Data'!I396)-('Historical Data'!I395))/('Historical Data'!I395)</f>
        <v>0.07978723404</v>
      </c>
      <c r="D394" s="2">
        <f>(('Historical Data'!L396)-('Historical Data'!L395))/('Historical Data'!L395)</f>
        <v>-0.006391234878</v>
      </c>
      <c r="E394" s="2">
        <f>(('Historical Data'!O396)-('Historical Data'!O395))/('Historical Data'!O395)</f>
        <v>0.02458140363</v>
      </c>
      <c r="F394" s="2">
        <f>(('Historical Data'!R396)-('Historical Data'!R395))/('Historical Data'!R395)</f>
        <v>0.009496083732</v>
      </c>
    </row>
    <row r="395">
      <c r="A395" s="2">
        <f>(('Historical Data'!C397)-('Historical Data'!C396))/('Historical Data'!C396)</f>
        <v>0.02195340502</v>
      </c>
      <c r="B395" s="2">
        <f>(('Historical Data'!F397)-('Historical Data'!F396))/('Historical Data'!F396)</f>
        <v>0.1157347204</v>
      </c>
      <c r="C395" s="2">
        <f>(('Historical Data'!I397)-('Historical Data'!I396))/('Historical Data'!I396)</f>
        <v>-0.06403940887</v>
      </c>
      <c r="D395" s="2">
        <f>(('Historical Data'!L397)-('Historical Data'!L396))/('Historical Data'!L396)</f>
        <v>0.04112106593</v>
      </c>
      <c r="E395" s="2">
        <f>(('Historical Data'!O397)-('Historical Data'!O396))/('Historical Data'!O396)</f>
        <v>-0.01008344924</v>
      </c>
      <c r="F395" s="2">
        <f>(('Historical Data'!R397)-('Historical Data'!R396))/('Historical Data'!R396)</f>
        <v>0.0166163142</v>
      </c>
    </row>
    <row r="396">
      <c r="A396" s="2">
        <f>(('Historical Data'!C398)-('Historical Data'!C397))/('Historical Data'!C397)</f>
        <v>-0.005480052609</v>
      </c>
      <c r="B396" s="2">
        <f>(('Historical Data'!F398)-('Historical Data'!F397))/('Historical Data'!F397)</f>
        <v>-0.1351981352</v>
      </c>
      <c r="C396" s="2">
        <f>(('Historical Data'!I398)-('Historical Data'!I397))/('Historical Data'!I397)</f>
        <v>-0.01578947368</v>
      </c>
      <c r="D396" s="2">
        <f>(('Historical Data'!L398)-('Historical Data'!L397))/('Historical Data'!L397)</f>
        <v>-0.01963812886</v>
      </c>
      <c r="E396" s="2">
        <f>(('Historical Data'!O398)-('Historical Data'!O397))/('Historical Data'!O397)</f>
        <v>0.03196347032</v>
      </c>
      <c r="F396" s="2">
        <f>(('Historical Data'!R398)-('Historical Data'!R397))/('Historical Data'!R397)</f>
        <v>-0.06179927057</v>
      </c>
    </row>
    <row r="397">
      <c r="A397" s="2">
        <f>(('Historical Data'!C399)-('Historical Data'!C398))/('Historical Data'!C398)</f>
        <v>-0.001983689663</v>
      </c>
      <c r="B397" s="2">
        <f>(('Historical Data'!F399)-('Historical Data'!F398))/('Historical Data'!F398)</f>
        <v>-1</v>
      </c>
      <c r="C397" s="2">
        <f>(('Historical Data'!I399)-('Historical Data'!I398))/('Historical Data'!I398)</f>
        <v>-0.04278074866</v>
      </c>
      <c r="D397" s="2">
        <f>(('Historical Data'!L399)-('Historical Data'!L398))/('Historical Data'!L398)</f>
        <v>0.0184559982</v>
      </c>
      <c r="E397" s="2">
        <f>(('Historical Data'!O399)-('Historical Data'!O398))/('Historical Data'!O398)</f>
        <v>-0.0112321307</v>
      </c>
      <c r="F397" s="2">
        <f>(('Historical Data'!R399)-('Historical Data'!R398))/('Historical Data'!R398)</f>
        <v>0.02872363401</v>
      </c>
    </row>
    <row r="398">
      <c r="A398" s="2">
        <f>(('Historical Data'!C400)-('Historical Data'!C399))/('Historical Data'!C399)</f>
        <v>-0.007950530035</v>
      </c>
      <c r="C398" s="2">
        <f>(('Historical Data'!I400)-('Historical Data'!I399))/('Historical Data'!I399)</f>
        <v>-0.005586592179</v>
      </c>
      <c r="D398" s="2">
        <f>(('Historical Data'!L400)-('Historical Data'!L399))/('Historical Data'!L399)</f>
        <v>-0.004198895028</v>
      </c>
      <c r="E398" s="2">
        <f>(('Historical Data'!O400)-('Historical Data'!O399))/('Historical Data'!O399)</f>
        <v>0.01067125645</v>
      </c>
      <c r="F398" s="2">
        <f>(('Historical Data'!R400)-('Historical Data'!R399))/('Historical Data'!R399)</f>
        <v>-0.006648005598</v>
      </c>
    </row>
    <row r="399">
      <c r="A399" s="2">
        <f>(('Historical Data'!C401)-('Historical Data'!C400))/('Historical Data'!C400)</f>
        <v>0.01758682102</v>
      </c>
      <c r="C399" s="2">
        <f>(('Historical Data'!I401)-('Historical Data'!I400))/('Historical Data'!I400)</f>
        <v>0.08988764045</v>
      </c>
      <c r="D399" s="2">
        <f>(('Historical Data'!L401)-('Historical Data'!L400))/('Historical Data'!L400)</f>
        <v>0.007545494896</v>
      </c>
      <c r="E399" s="2">
        <f>(('Historical Data'!O401)-('Historical Data'!O400))/('Historical Data'!O400)</f>
        <v>0.01123978202</v>
      </c>
      <c r="F399" s="2">
        <f>(('Historical Data'!R401)-('Historical Data'!R400))/('Historical Data'!R400)</f>
        <v>0.0206410708</v>
      </c>
    </row>
    <row r="400">
      <c r="A400" s="2">
        <f>(('Historical Data'!C402)-('Historical Data'!C401))/('Historical Data'!C401)</f>
        <v>-0.007219426821</v>
      </c>
      <c r="C400" s="2">
        <f>(('Historical Data'!I402)-('Historical Data'!I401))/('Historical Data'!I401)</f>
        <v>-0.0206185567</v>
      </c>
      <c r="D400" s="2">
        <f>(('Historical Data'!L402)-('Historical Data'!L401))/('Historical Data'!L401)</f>
        <v>0.009471365639</v>
      </c>
      <c r="E400" s="2">
        <f>(('Historical Data'!O402)-('Historical Data'!O401))/('Historical Data'!O401)</f>
        <v>-0.01145166723</v>
      </c>
      <c r="F400" s="2">
        <f>(('Historical Data'!R402)-('Historical Data'!R401))/('Historical Data'!R401)</f>
        <v>-0.001587520707</v>
      </c>
    </row>
    <row r="401">
      <c r="A401" s="2">
        <f>(('Historical Data'!C403)-('Historical Data'!C402))/('Historical Data'!C402)</f>
        <v>-0.008153371529</v>
      </c>
      <c r="C401" s="2">
        <f>(('Historical Data'!I403)-('Historical Data'!I402))/('Historical Data'!I402)</f>
        <v>0.08421052632</v>
      </c>
      <c r="D401" s="2">
        <f>(('Historical Data'!L403)-('Historical Data'!L402))/('Historical Data'!L402)</f>
        <v>-0.01592843116</v>
      </c>
      <c r="E401" s="2">
        <f>(('Historical Data'!O403)-('Historical Data'!O402))/('Historical Data'!O402)</f>
        <v>0.01056218058</v>
      </c>
      <c r="F401" s="2">
        <f>(('Historical Data'!R403)-('Historical Data'!R402))/('Historical Data'!R402)</f>
        <v>0.0004839267197</v>
      </c>
    </row>
    <row r="402">
      <c r="A402" s="2">
        <f>(('Historical Data'!C404)-('Historical Data'!C403))/('Historical Data'!C403)</f>
        <v>0.0002221728505</v>
      </c>
      <c r="C402" s="2">
        <f>(('Historical Data'!I404)-('Historical Data'!I403))/('Historical Data'!I403)</f>
        <v>-0.05825242718</v>
      </c>
      <c r="D402" s="2">
        <f>(('Historical Data'!L404)-('Historical Data'!L403))/('Historical Data'!L403)</f>
        <v>-0.00421286031</v>
      </c>
      <c r="E402" s="2">
        <f>(('Historical Data'!O404)-('Historical Data'!O403))/('Historical Data'!O403)</f>
        <v>0.01685772084</v>
      </c>
      <c r="F402" s="2">
        <f>(('Historical Data'!R404)-('Historical Data'!R403))/('Historical Data'!R403)</f>
        <v>0.003800442233</v>
      </c>
    </row>
    <row r="403">
      <c r="A403" s="2">
        <f>(('Historical Data'!C405)-('Historical Data'!C404))/('Historical Data'!C404)</f>
        <v>-0.002221235007</v>
      </c>
      <c r="C403" s="2">
        <f>(('Historical Data'!I405)-('Historical Data'!I404))/('Historical Data'!I404)</f>
        <v>0.005154639175</v>
      </c>
      <c r="D403" s="2">
        <f>(('Historical Data'!L405)-('Historical Data'!L404))/('Historical Data'!L404)</f>
        <v>0.007348029392</v>
      </c>
      <c r="E403" s="2">
        <f>(('Historical Data'!O405)-('Historical Data'!O404))/('Historical Data'!O404)</f>
        <v>0.01359416446</v>
      </c>
      <c r="F403" s="2">
        <f>(('Historical Data'!R405)-('Historical Data'!R404))/('Historical Data'!R404)</f>
        <v>-0.002340469471</v>
      </c>
    </row>
    <row r="404">
      <c r="A404" s="2">
        <f>(('Historical Data'!C406)-('Historical Data'!C405))/('Historical Data'!C405)</f>
        <v>0.02448797863</v>
      </c>
      <c r="C404" s="2">
        <f>(('Historical Data'!I406)-('Historical Data'!I405))/('Historical Data'!I405)</f>
        <v>0</v>
      </c>
      <c r="D404" s="2">
        <f>(('Historical Data'!L406)-('Historical Data'!L405))/('Historical Data'!L405)</f>
        <v>-0.005305039788</v>
      </c>
      <c r="E404" s="2">
        <f>(('Historical Data'!O406)-('Historical Data'!O405))/('Historical Data'!O405)</f>
        <v>0.007523716061</v>
      </c>
      <c r="F404" s="2">
        <f>(('Historical Data'!R406)-('Historical Data'!R405))/('Historical Data'!R405)</f>
        <v>0.009452839302</v>
      </c>
    </row>
    <row r="405">
      <c r="A405" s="2">
        <f>(('Historical Data'!C407)-('Historical Data'!C406))/('Historical Data'!C406)</f>
        <v>-0.00260756193</v>
      </c>
      <c r="C405" s="2">
        <f>(('Historical Data'!I407)-('Historical Data'!I406))/('Historical Data'!I406)</f>
        <v>0.03076923077</v>
      </c>
      <c r="D405" s="2">
        <f>(('Historical Data'!L407)-('Historical Data'!L406))/('Historical Data'!L406)</f>
        <v>0.01044444444</v>
      </c>
      <c r="E405" s="2">
        <f>(('Historical Data'!O407)-('Historical Data'!O406))/('Historical Data'!O406)</f>
        <v>0.02012987013</v>
      </c>
      <c r="F405" s="2">
        <f>(('Historical Data'!R407)-('Historical Data'!R406))/('Historical Data'!R406)</f>
        <v>-0.007108680793</v>
      </c>
    </row>
    <row r="406">
      <c r="A406" s="2">
        <f>(('Historical Data'!C408)-('Historical Data'!C407))/('Historical Data'!C407)</f>
        <v>0.01546840959</v>
      </c>
      <c r="C406" s="2">
        <f>(('Historical Data'!I408)-('Historical Data'!I407))/('Historical Data'!I407)</f>
        <v>-0.02487562189</v>
      </c>
      <c r="D406" s="2">
        <f>(('Historical Data'!L408)-('Historical Data'!L407))/('Historical Data'!L407)</f>
        <v>0.003078953156</v>
      </c>
      <c r="E406" s="2">
        <f>(('Historical Data'!O408)-('Historical Data'!O407))/('Historical Data'!O407)</f>
        <v>0.007956715468</v>
      </c>
      <c r="F406" s="2">
        <f>(('Historical Data'!R408)-('Historical Data'!R407))/('Historical Data'!R407)</f>
        <v>0.009706732755</v>
      </c>
    </row>
    <row r="407">
      <c r="A407" s="2">
        <f>(('Historical Data'!C409)-('Historical Data'!C408))/('Historical Data'!C408)</f>
        <v>-0.0004290924694</v>
      </c>
      <c r="C407" s="2">
        <f>(('Historical Data'!I409)-('Historical Data'!I408))/('Historical Data'!I408)</f>
        <v>-0.05102040816</v>
      </c>
      <c r="D407" s="2">
        <f>(('Historical Data'!L409)-('Historical Data'!L408))/('Historical Data'!L408)</f>
        <v>0.001096250822</v>
      </c>
      <c r="E407" s="2">
        <f>(('Historical Data'!O409)-('Historical Data'!O408))/('Historical Data'!O408)</f>
        <v>-0.02241869277</v>
      </c>
      <c r="F407" s="2">
        <f>(('Historical Data'!R409)-('Historical Data'!R408))/('Historical Data'!R408)</f>
        <v>0.01288607077</v>
      </c>
    </row>
    <row r="408">
      <c r="A408" s="2">
        <f>(('Historical Data'!C410)-('Historical Data'!C409))/('Historical Data'!C409)</f>
        <v>0.003863490019</v>
      </c>
      <c r="C408" s="2">
        <f>(('Historical Data'!I410)-('Historical Data'!I409))/('Historical Data'!I409)</f>
        <v>0.02688172043</v>
      </c>
      <c r="D408" s="2">
        <f>(('Historical Data'!L410)-('Historical Data'!L409))/('Historical Data'!L409)</f>
        <v>0.004599211564</v>
      </c>
      <c r="E408" s="2">
        <f>(('Historical Data'!O410)-('Historical Data'!O409))/('Historical Data'!O409)</f>
        <v>-0.0009689922481</v>
      </c>
      <c r="F408" s="2">
        <f>(('Historical Data'!R410)-('Historical Data'!R409))/('Historical Data'!R409)</f>
        <v>0.00922186322</v>
      </c>
    </row>
    <row r="409">
      <c r="A409" s="2">
        <f>(('Historical Data'!C411)-('Historical Data'!C410))/('Historical Data'!C410)</f>
        <v>-0.002351935001</v>
      </c>
      <c r="C409" s="2">
        <f>(('Historical Data'!I411)-('Historical Data'!I410))/('Historical Data'!I410)</f>
        <v>-0.005235602094</v>
      </c>
      <c r="D409" s="2">
        <f>(('Historical Data'!L411)-('Historical Data'!L410))/('Historical Data'!L410)</f>
        <v>-0.003052103772</v>
      </c>
      <c r="E409" s="2">
        <f>(('Historical Data'!O411)-('Historical Data'!O410))/('Historical Data'!O410)</f>
        <v>0.01163918526</v>
      </c>
      <c r="F409" s="2">
        <f>(('Historical Data'!R411)-('Historical Data'!R410))/('Historical Data'!R410)</f>
        <v>-0.004602147669</v>
      </c>
    </row>
    <row r="410">
      <c r="A410" s="2">
        <f>(('Historical Data'!C412)-('Historical Data'!C411))/('Historical Data'!C411)</f>
        <v>0.05807972568</v>
      </c>
      <c r="C410" s="2">
        <f>(('Historical Data'!I412)-('Historical Data'!I411))/('Historical Data'!I411)</f>
        <v>-0.01578947368</v>
      </c>
      <c r="D410" s="2">
        <f>(('Historical Data'!L412)-('Historical Data'!L411))/('Historical Data'!L411)</f>
        <v>0.001312048983</v>
      </c>
      <c r="E410" s="2">
        <f>(('Historical Data'!O412)-('Historical Data'!O411))/('Historical Data'!O411)</f>
        <v>0.02013422819</v>
      </c>
      <c r="F410" s="2">
        <f>(('Historical Data'!R412)-('Historical Data'!R411))/('Historical Data'!R411)</f>
        <v>0.003551326722</v>
      </c>
    </row>
    <row r="411">
      <c r="A411" s="2">
        <f>(('Historical Data'!C413)-('Historical Data'!C412))/('Historical Data'!C412)</f>
        <v>-0.01357099453</v>
      </c>
      <c r="C411" s="2">
        <f>(('Historical Data'!I413)-('Historical Data'!I412))/('Historical Data'!I412)</f>
        <v>-0.02673796791</v>
      </c>
      <c r="D411" s="2">
        <f>(('Historical Data'!L413)-('Historical Data'!L412))/('Historical Data'!L412)</f>
        <v>-0.001528718061</v>
      </c>
      <c r="E411" s="2">
        <f>(('Historical Data'!O413)-('Historical Data'!O412))/('Historical Data'!O412)</f>
        <v>-0.01284461153</v>
      </c>
      <c r="F411" s="2">
        <f>(('Historical Data'!R413)-('Historical Data'!R412))/('Historical Data'!R412)</f>
        <v>-0.0002670761835</v>
      </c>
    </row>
    <row r="412">
      <c r="A412" s="2">
        <f>(('Historical Data'!C414)-('Historical Data'!C413))/('Historical Data'!C413)</f>
        <v>-0.02032854209</v>
      </c>
      <c r="C412" s="2">
        <f>(('Historical Data'!I414)-('Historical Data'!I413))/('Historical Data'!I413)</f>
        <v>0.005494505495</v>
      </c>
      <c r="D412" s="2">
        <f>(('Historical Data'!L414)-('Historical Data'!L413))/('Historical Data'!L413)</f>
        <v>-0.01968503937</v>
      </c>
      <c r="E412" s="2">
        <f>(('Historical Data'!O414)-('Historical Data'!O413))/('Historical Data'!O413)</f>
        <v>0.006347191368</v>
      </c>
      <c r="F412" s="2">
        <f>(('Historical Data'!R414)-('Historical Data'!R413))/('Historical Data'!R413)</f>
        <v>-0.002671475322</v>
      </c>
    </row>
    <row r="413">
      <c r="A413" s="2">
        <f>(('Historical Data'!C415)-('Historical Data'!C414))/('Historical Data'!C414)</f>
        <v>-0.006287989939</v>
      </c>
      <c r="C413" s="2">
        <f>(('Historical Data'!I415)-('Historical Data'!I414))/('Historical Data'!I414)</f>
        <v>-0.05464480874</v>
      </c>
      <c r="D413" s="2">
        <f>(('Historical Data'!L415)-('Historical Data'!L414))/('Historical Data'!L414)</f>
        <v>-0.006693440428</v>
      </c>
      <c r="E413" s="2">
        <f>(('Historical Data'!O415)-('Historical Data'!O414))/('Historical Data'!O414)</f>
        <v>0.02649006623</v>
      </c>
      <c r="F413" s="2">
        <f>(('Historical Data'!R415)-('Historical Data'!R414))/('Historical Data'!R414)</f>
        <v>-0.01928614478</v>
      </c>
    </row>
    <row r="414">
      <c r="A414" s="2">
        <f>(('Historical Data'!C416)-('Historical Data'!C415))/('Historical Data'!C415)</f>
        <v>-0.00717148281</v>
      </c>
      <c r="C414" s="2">
        <f>(('Historical Data'!I416)-('Historical Data'!I415))/('Historical Data'!I415)</f>
        <v>0.1040462428</v>
      </c>
      <c r="D414" s="2">
        <f>(('Historical Data'!L416)-('Historical Data'!L415))/('Historical Data'!L415)</f>
        <v>-0.003369272237</v>
      </c>
      <c r="E414" s="2">
        <f>(('Historical Data'!O416)-('Historical Data'!O415))/('Historical Data'!O415)</f>
        <v>-0.007987711214</v>
      </c>
      <c r="F414" s="2">
        <f>(('Historical Data'!R416)-('Historical Data'!R415))/('Historical Data'!R415)</f>
        <v>-0.004301809491</v>
      </c>
    </row>
    <row r="415">
      <c r="A415" s="2">
        <f>(('Historical Data'!C417)-('Historical Data'!C416))/('Historical Data'!C416)</f>
        <v>0.004248990865</v>
      </c>
      <c r="C415" s="2">
        <f>(('Historical Data'!I417)-('Historical Data'!I416))/('Historical Data'!I416)</f>
        <v>0.05235602094</v>
      </c>
      <c r="D415" s="2">
        <f>(('Historical Data'!L417)-('Historical Data'!L416))/('Historical Data'!L416)</f>
        <v>-0.005634437683</v>
      </c>
      <c r="E415" s="2">
        <f>(('Historical Data'!O417)-('Historical Data'!O416))/('Historical Data'!O416)</f>
        <v>0.01176834933</v>
      </c>
      <c r="F415" s="2">
        <f>(('Historical Data'!R417)-('Historical Data'!R416))/('Historical Data'!R416)</f>
        <v>-0.0008229323824</v>
      </c>
    </row>
    <row r="416">
      <c r="A416" s="2">
        <f>(('Historical Data'!C418)-('Historical Data'!C417))/('Historical Data'!C417)</f>
        <v>-0.02919399196</v>
      </c>
      <c r="C416" s="2">
        <f>(('Historical Data'!I418)-('Historical Data'!I417))/('Historical Data'!I417)</f>
        <v>-0.009950248756</v>
      </c>
      <c r="D416" s="2">
        <f>(('Historical Data'!L418)-('Historical Data'!L417))/('Historical Data'!L417)</f>
        <v>0.004533091568</v>
      </c>
      <c r="E416" s="2">
        <f>(('Historical Data'!O418)-('Historical Data'!O417))/('Historical Data'!O417)</f>
        <v>-0.01040710132</v>
      </c>
      <c r="F416" s="2">
        <f>(('Historical Data'!R418)-('Historical Data'!R417))/('Historical Data'!R417)</f>
        <v>-0.02340425532</v>
      </c>
    </row>
    <row r="417">
      <c r="A417" s="2">
        <f>(('Historical Data'!C419)-('Historical Data'!C418))/('Historical Data'!C418)</f>
        <v>-0.003922423186</v>
      </c>
      <c r="C417" s="2">
        <f>(('Historical Data'!I419)-('Historical Data'!I418))/('Historical Data'!I418)</f>
        <v>0.05025125628</v>
      </c>
      <c r="D417" s="2">
        <f>(('Historical Data'!L419)-('Historical Data'!L418))/('Historical Data'!L418)</f>
        <v>-0.01466606498</v>
      </c>
      <c r="E417" s="2">
        <f>(('Historical Data'!O419)-('Historical Data'!O418))/('Historical Data'!O418)</f>
        <v>0.004330343334</v>
      </c>
      <c r="F417" s="2">
        <f>(('Historical Data'!R419)-('Historical Data'!R418))/('Historical Data'!R418)</f>
        <v>-0.00421674046</v>
      </c>
    </row>
    <row r="418">
      <c r="A418" s="2">
        <f>(('Historical Data'!C420)-('Historical Data'!C419))/('Historical Data'!C419)</f>
        <v>-0.01028221396</v>
      </c>
      <c r="C418" s="2">
        <f>(('Historical Data'!I420)-('Historical Data'!I419))/('Historical Data'!I419)</f>
        <v>-0.02392344498</v>
      </c>
      <c r="D418" s="2">
        <f>(('Historical Data'!L420)-('Historical Data'!L419))/('Historical Data'!L419)</f>
        <v>0.001831921227</v>
      </c>
      <c r="E418" s="2">
        <f>(('Historical Data'!O420)-('Historical Data'!O419))/('Historical Data'!O419)</f>
        <v>-0.03233754235</v>
      </c>
      <c r="F418" s="2">
        <f>(('Historical Data'!R420)-('Historical Data'!R419))/('Historical Data'!R419)</f>
        <v>-0.01065706825</v>
      </c>
    </row>
    <row r="419">
      <c r="A419" s="2">
        <f>(('Historical Data'!C421)-('Historical Data'!C420))/('Historical Data'!C420)</f>
        <v>-0.01149425287</v>
      </c>
      <c r="C419" s="2">
        <f>(('Historical Data'!I421)-('Historical Data'!I420))/('Historical Data'!I420)</f>
        <v>0.05882352941</v>
      </c>
      <c r="D419" s="2">
        <f>(('Historical Data'!L421)-('Historical Data'!L420))/('Historical Data'!L420)</f>
        <v>0.002971428571</v>
      </c>
      <c r="E419" s="2">
        <f>(('Historical Data'!O421)-('Historical Data'!O420))/('Historical Data'!O420)</f>
        <v>-0.01845957989</v>
      </c>
      <c r="F419" s="2">
        <f>(('Historical Data'!R421)-('Historical Data'!R420))/('Historical Data'!R420)</f>
        <v>-0.01597945499</v>
      </c>
    </row>
    <row r="420">
      <c r="A420" s="2">
        <f>(('Historical Data'!C422)-('Historical Data'!C421))/('Historical Data'!C421)</f>
        <v>0.01274597496</v>
      </c>
      <c r="C420" s="2">
        <f>(('Historical Data'!I422)-('Historical Data'!I421))/('Historical Data'!I421)</f>
        <v>-0.0462962963</v>
      </c>
      <c r="D420" s="2">
        <f>(('Historical Data'!L422)-('Historical Data'!L421))/('Historical Data'!L421)</f>
        <v>-0.02689152233</v>
      </c>
      <c r="E420" s="2">
        <f>(('Historical Data'!O422)-('Historical Data'!O421))/('Historical Data'!O421)</f>
        <v>-0.008106355383</v>
      </c>
      <c r="F420" s="2">
        <f>(('Historical Data'!R422)-('Historical Data'!R421))/('Historical Data'!R421)</f>
        <v>0.01232419893</v>
      </c>
    </row>
    <row r="421">
      <c r="A421" s="2">
        <f>(('Historical Data'!C423)-('Historical Data'!C422))/('Historical Data'!C422)</f>
        <v>-0.01545595054</v>
      </c>
      <c r="C421" s="2">
        <f>(('Historical Data'!I423)-('Historical Data'!I422))/('Historical Data'!I422)</f>
        <v>-0.02427184466</v>
      </c>
      <c r="D421" s="2">
        <f>(('Historical Data'!L423)-('Historical Data'!L422))/('Historical Data'!L422)</f>
        <v>0.02388758782</v>
      </c>
      <c r="E421" s="2">
        <f>(('Historical Data'!O423)-('Historical Data'!O422))/('Historical Data'!O422)</f>
        <v>0.01765282772</v>
      </c>
      <c r="F421" s="2">
        <f>(('Historical Data'!R423)-('Historical Data'!R422))/('Historical Data'!R422)</f>
        <v>-0.01775995417</v>
      </c>
    </row>
    <row r="422">
      <c r="A422" s="2">
        <f>(('Historical Data'!C424)-('Historical Data'!C423))/('Historical Data'!C423)</f>
        <v>-0.002691186365</v>
      </c>
      <c r="C422" s="2">
        <f>(('Historical Data'!I424)-('Historical Data'!I423))/('Historical Data'!I423)</f>
        <v>-0.01990049751</v>
      </c>
      <c r="D422" s="2">
        <f>(('Historical Data'!L424)-('Historical Data'!L423))/('Historical Data'!L423)</f>
        <v>-0.006175663312</v>
      </c>
      <c r="E422" s="2">
        <f>(('Historical Data'!O424)-('Historical Data'!O423))/('Historical Data'!O423)</f>
        <v>0</v>
      </c>
      <c r="F422" s="2">
        <f>(('Historical Data'!R424)-('Historical Data'!R423))/('Historical Data'!R423)</f>
        <v>-0.01115485564</v>
      </c>
    </row>
    <row r="423">
      <c r="A423" s="2">
        <f>(('Historical Data'!C425)-('Historical Data'!C424))/('Historical Data'!C424)</f>
        <v>0.01236788846</v>
      </c>
      <c r="C423" s="2">
        <f>(('Historical Data'!I425)-('Historical Data'!I424))/('Historical Data'!I424)</f>
        <v>-0.03553299492</v>
      </c>
      <c r="D423" s="2">
        <f>(('Historical Data'!L425)-('Historical Data'!L424))/('Historical Data'!L424)</f>
        <v>0.04096662831</v>
      </c>
      <c r="E423" s="2">
        <f>(('Historical Data'!O425)-('Historical Data'!O424))/('Historical Data'!O424)</f>
        <v>-0.01477674269</v>
      </c>
      <c r="F423" s="2">
        <f>(('Historical Data'!R425)-('Historical Data'!R424))/('Historical Data'!R424)</f>
        <v>0.01511465015</v>
      </c>
    </row>
    <row r="424">
      <c r="A424" s="2">
        <f>(('Historical Data'!C426)-('Historical Data'!C425))/('Historical Data'!C425)</f>
        <v>0.007774322523</v>
      </c>
      <c r="C424" s="2">
        <f>(('Historical Data'!I426)-('Historical Data'!I425))/('Historical Data'!I425)</f>
        <v>-0.01052631579</v>
      </c>
      <c r="D424" s="2">
        <f>(('Historical Data'!L426)-('Historical Data'!L425))/('Historical Data'!L425)</f>
        <v>-0.01216007075</v>
      </c>
      <c r="E424" s="2">
        <f>(('Historical Data'!O426)-('Historical Data'!O425))/('Historical Data'!O425)</f>
        <v>0.0009781545484</v>
      </c>
      <c r="F424" s="2">
        <f>(('Historical Data'!R426)-('Historical Data'!R425))/('Historical Data'!R425)</f>
        <v>0.001307379431</v>
      </c>
    </row>
    <row r="425">
      <c r="A425" s="2">
        <f>(('Historical Data'!C427)-('Historical Data'!C426))/('Historical Data'!C426)</f>
        <v>0.008816398501</v>
      </c>
      <c r="C425" s="2">
        <f>(('Historical Data'!I427)-('Historical Data'!I426))/('Historical Data'!I426)</f>
        <v>0.01063829787</v>
      </c>
      <c r="D425" s="2">
        <f>(('Historical Data'!L427)-('Historical Data'!L426))/('Historical Data'!L426)</f>
        <v>0.01230975828</v>
      </c>
      <c r="E425" s="2">
        <f>(('Historical Data'!O427)-('Historical Data'!O426))/('Historical Data'!O426)</f>
        <v>0.032247557</v>
      </c>
      <c r="F425" s="2">
        <f>(('Historical Data'!R427)-('Historical Data'!R426))/('Historical Data'!R426)</f>
        <v>0.01523284492</v>
      </c>
    </row>
    <row r="426">
      <c r="A426" s="2">
        <f>(('Historical Data'!C428)-('Historical Data'!C427))/('Historical Data'!C427)</f>
        <v>0.01376447455</v>
      </c>
      <c r="C426" s="2">
        <f>(('Historical Data'!I428)-('Historical Data'!I427))/('Historical Data'!I427)</f>
        <v>-0.04210526316</v>
      </c>
      <c r="D426" s="2">
        <f>(('Historical Data'!L428)-('Historical Data'!L427))/('Historical Data'!L427)</f>
        <v>0.01658191466</v>
      </c>
      <c r="E426" s="2">
        <f>(('Historical Data'!O428)-('Historical Data'!O427))/('Historical Data'!O427)</f>
        <v>0.01388450615</v>
      </c>
      <c r="F426" s="2">
        <f>(('Historical Data'!R428)-('Historical Data'!R427))/('Historical Data'!R427)</f>
        <v>0.008145184338</v>
      </c>
    </row>
    <row r="427">
      <c r="A427" s="2">
        <f>(('Historical Data'!C429)-('Historical Data'!C428))/('Historical Data'!C428)</f>
        <v>-0.04935344828</v>
      </c>
      <c r="C427" s="2">
        <f>(('Historical Data'!I429)-('Historical Data'!I428))/('Historical Data'!I428)</f>
        <v>0.04395604396</v>
      </c>
      <c r="D427" s="2">
        <f>(('Historical Data'!L429)-('Historical Data'!L428))/('Historical Data'!L428)</f>
        <v>0.02131361462</v>
      </c>
      <c r="E427" s="2">
        <f>(('Historical Data'!O429)-('Historical Data'!O428))/('Historical Data'!O428)</f>
        <v>-0.01120448179</v>
      </c>
      <c r="F427" s="2">
        <f>(('Historical Data'!R429)-('Historical Data'!R428))/('Historical Data'!R428)</f>
        <v>-0.02069454288</v>
      </c>
    </row>
    <row r="428">
      <c r="A428" s="2">
        <f>(('Historical Data'!C430)-('Historical Data'!C429))/('Historical Data'!C429)</f>
        <v>-0.003400589436</v>
      </c>
      <c r="C428" s="2">
        <f>(('Historical Data'!I430)-('Historical Data'!I429))/('Historical Data'!I429)</f>
        <v>0.01578947368</v>
      </c>
      <c r="D428" s="2">
        <f>(('Historical Data'!L430)-('Historical Data'!L429))/('Historical Data'!L429)</f>
        <v>-0.01043441227</v>
      </c>
      <c r="E428" s="2">
        <f>(('Historical Data'!O430)-('Historical Data'!O429))/('Historical Data'!O429)</f>
        <v>0.009757632987</v>
      </c>
      <c r="F428" s="2">
        <f>(('Historical Data'!R430)-('Historical Data'!R429))/('Historical Data'!R429)</f>
        <v>0.002388189318</v>
      </c>
    </row>
    <row r="429">
      <c r="A429" s="2">
        <f>(('Historical Data'!C431)-('Historical Data'!C430))/('Historical Data'!C430)</f>
        <v>-0.0152411283</v>
      </c>
      <c r="C429" s="2">
        <f>(('Historical Data'!I431)-('Historical Data'!I430))/('Historical Data'!I430)</f>
        <v>-0.03626943005</v>
      </c>
      <c r="D429" s="2">
        <f>(('Historical Data'!L431)-('Historical Data'!L430))/('Historical Data'!L430)</f>
        <v>-0.005595007532</v>
      </c>
      <c r="E429" s="2">
        <f>(('Historical Data'!O431)-('Historical Data'!O430))/('Historical Data'!O430)</f>
        <v>-0.0180798005</v>
      </c>
      <c r="F429" s="2">
        <f>(('Historical Data'!R431)-('Historical Data'!R430))/('Historical Data'!R430)</f>
        <v>-0.007725074002</v>
      </c>
    </row>
    <row r="430">
      <c r="A430" s="2">
        <f>(('Historical Data'!C432)-('Historical Data'!C431))/('Historical Data'!C431)</f>
        <v>0.000231000231</v>
      </c>
      <c r="C430" s="2">
        <f>(('Historical Data'!I432)-('Historical Data'!I431))/('Historical Data'!I431)</f>
        <v>-0.01075268817</v>
      </c>
      <c r="D430" s="2">
        <f>(('Historical Data'!L432)-('Historical Data'!L431))/('Historical Data'!L431)</f>
        <v>0.030512876</v>
      </c>
      <c r="E430" s="2">
        <f>(('Historical Data'!O432)-('Historical Data'!O431))/('Historical Data'!O431)</f>
        <v>-0.01555555556</v>
      </c>
      <c r="F430" s="2">
        <f>(('Historical Data'!R432)-('Historical Data'!R431))/('Historical Data'!R431)</f>
        <v>0.006111757858</v>
      </c>
    </row>
    <row r="431">
      <c r="A431" s="2">
        <f>(('Historical Data'!C433)-('Historical Data'!C432))/('Historical Data'!C432)</f>
        <v>0</v>
      </c>
      <c r="C431" s="2">
        <f>(('Historical Data'!I433)-('Historical Data'!I432))/('Historical Data'!I432)</f>
        <v>-0.005434782609</v>
      </c>
      <c r="D431" s="2">
        <f>(('Historical Data'!L433)-('Historical Data'!L432))/('Historical Data'!L432)</f>
        <v>0.003989920202</v>
      </c>
      <c r="E431" s="2">
        <f>(('Historical Data'!O433)-('Historical Data'!O432))/('Historical Data'!O432)</f>
        <v>-0.003547242825</v>
      </c>
      <c r="F431" s="2">
        <f>(('Historical Data'!R433)-('Historical Data'!R432))/('Historical Data'!R432)</f>
        <v>-0.002097194099</v>
      </c>
    </row>
    <row r="432">
      <c r="A432" s="2">
        <f>(('Historical Data'!C434)-('Historical Data'!C433))/('Historical Data'!C433)</f>
        <v>-0.01662817552</v>
      </c>
      <c r="C432" s="2">
        <f>(('Historical Data'!I434)-('Historical Data'!I433))/('Historical Data'!I433)</f>
        <v>0.1530054645</v>
      </c>
      <c r="D432" s="2">
        <f>(('Historical Data'!L434)-('Historical Data'!L433))/('Historical Data'!L433)</f>
        <v>0.02489019034</v>
      </c>
      <c r="E432" s="2">
        <f>(('Historical Data'!O434)-('Historical Data'!O433))/('Historical Data'!O433)</f>
        <v>0.003236245955</v>
      </c>
      <c r="F432" s="2">
        <f>(('Historical Data'!R434)-('Historical Data'!R433))/('Historical Data'!R433)</f>
        <v>-0.003550981955</v>
      </c>
    </row>
    <row r="433">
      <c r="A433" s="2">
        <f>(('Historical Data'!C435)-('Historical Data'!C434))/('Historical Data'!C434)</f>
        <v>-0.02325035228</v>
      </c>
      <c r="C433" s="2">
        <f>(('Historical Data'!I435)-('Historical Data'!I434))/('Historical Data'!I434)</f>
        <v>0.004739336493</v>
      </c>
      <c r="D433" s="2">
        <f>(('Historical Data'!L435)-('Historical Data'!L434))/('Historical Data'!L434)</f>
        <v>-0.01081632653</v>
      </c>
      <c r="E433" s="2">
        <f>(('Historical Data'!O435)-('Historical Data'!O434))/('Historical Data'!O434)</f>
        <v>-0.01548387097</v>
      </c>
      <c r="F433" s="2">
        <f>(('Historical Data'!R435)-('Historical Data'!R434))/('Historical Data'!R434)</f>
        <v>-0.01287272727</v>
      </c>
    </row>
    <row r="434">
      <c r="A434" s="2">
        <f>(('Historical Data'!C436)-('Historical Data'!C435))/('Historical Data'!C435)</f>
        <v>-0.01057946622</v>
      </c>
      <c r="C434" s="2">
        <f>(('Historical Data'!I436)-('Historical Data'!I435))/('Historical Data'!I435)</f>
        <v>0.0141509434</v>
      </c>
      <c r="D434" s="2">
        <f>(('Historical Data'!L436)-('Historical Data'!L435))/('Historical Data'!L435)</f>
        <v>-0.01052197235</v>
      </c>
      <c r="E434" s="2">
        <f>(('Historical Data'!O436)-('Historical Data'!O435))/('Historical Data'!O435)</f>
        <v>0.008846657929</v>
      </c>
      <c r="F434" s="2">
        <f>(('Historical Data'!R436)-('Historical Data'!R435))/('Historical Data'!R435)</f>
        <v>0.003536432624</v>
      </c>
    </row>
    <row r="435">
      <c r="A435" s="2">
        <f>(('Historical Data'!C437)-('Historical Data'!C436))/('Historical Data'!C436)</f>
        <v>-0.01190765492</v>
      </c>
      <c r="C435" s="2">
        <f>(('Historical Data'!I437)-('Historical Data'!I436))/('Historical Data'!I436)</f>
        <v>0.0511627907</v>
      </c>
      <c r="D435" s="2">
        <f>(('Historical Data'!L437)-('Historical Data'!L436))/('Historical Data'!L436)</f>
        <v>-0.03607172644</v>
      </c>
      <c r="E435" s="2">
        <f>(('Historical Data'!O437)-('Historical Data'!O436))/('Historical Data'!O436)</f>
        <v>-0.08801558948</v>
      </c>
      <c r="F435" s="2">
        <f>(('Historical Data'!R437)-('Historical Data'!R436))/('Historical Data'!R436)</f>
        <v>-0.004625211071</v>
      </c>
    </row>
    <row r="436">
      <c r="A436" s="2">
        <f>(('Historical Data'!C438)-('Historical Data'!C437))/('Historical Data'!C437)</f>
        <v>-0.001967535662</v>
      </c>
      <c r="C436" s="2">
        <f>(('Historical Data'!I438)-('Historical Data'!I437))/('Historical Data'!I437)</f>
        <v>-0.02212389381</v>
      </c>
      <c r="D436" s="2">
        <f>(('Historical Data'!L438)-('Historical Data'!L437))/('Historical Data'!L437)</f>
        <v>-0.0330953926</v>
      </c>
      <c r="E436" s="2">
        <f>(('Historical Data'!O438)-('Historical Data'!O437))/('Historical Data'!O437)</f>
        <v>-0.0292022792</v>
      </c>
      <c r="F436" s="2">
        <f>(('Historical Data'!R438)-('Historical Data'!R437))/('Historical Data'!R437)</f>
        <v>0.0009588434872</v>
      </c>
    </row>
    <row r="437">
      <c r="A437" s="2">
        <f>(('Historical Data'!C439)-('Historical Data'!C438))/('Historical Data'!C438)</f>
        <v>-0.001478560867</v>
      </c>
      <c r="C437" s="2">
        <f>(('Historical Data'!I439)-('Historical Data'!I438))/('Historical Data'!I438)</f>
        <v>0</v>
      </c>
      <c r="D437" s="2">
        <f>(('Historical Data'!L439)-('Historical Data'!L438))/('Historical Data'!L438)</f>
        <v>-0.03154362416</v>
      </c>
      <c r="E437" s="2">
        <f>(('Historical Data'!O439)-('Historical Data'!O438))/('Historical Data'!O438)</f>
        <v>0.01063829787</v>
      </c>
      <c r="F437" s="2">
        <f>(('Historical Data'!R439)-('Historical Data'!R438))/('Historical Data'!R438)</f>
        <v>-0.02748507848</v>
      </c>
    </row>
    <row r="438">
      <c r="A438" s="2">
        <f>(('Historical Data'!C440)-('Historical Data'!C439))/('Historical Data'!C439)</f>
        <v>0.02023692004</v>
      </c>
      <c r="C438" s="2">
        <f>(('Historical Data'!I440)-('Historical Data'!I439))/('Historical Data'!I439)</f>
        <v>-0.0814479638</v>
      </c>
      <c r="D438" s="2">
        <f>(('Historical Data'!L440)-('Historical Data'!L439))/('Historical Data'!L439)</f>
        <v>-0.03303303303</v>
      </c>
      <c r="E438" s="2">
        <f>(('Historical Data'!O440)-('Historical Data'!O439))/('Historical Data'!O439)</f>
        <v>0.03666061706</v>
      </c>
      <c r="F438" s="2">
        <f>(('Historical Data'!R440)-('Historical Data'!R439))/('Historical Data'!R439)</f>
        <v>0</v>
      </c>
    </row>
    <row r="439">
      <c r="A439" s="2">
        <f>(('Historical Data'!C441)-('Historical Data'!C440))/('Historical Data'!C440)</f>
        <v>-0.01862602806</v>
      </c>
      <c r="C439" s="2">
        <f>(('Historical Data'!I441)-('Historical Data'!I440))/('Historical Data'!I440)</f>
        <v>-0.01477832512</v>
      </c>
      <c r="D439" s="2">
        <f>(('Historical Data'!L441)-('Historical Data'!L440))/('Historical Data'!L440)</f>
        <v>-0.02723363593</v>
      </c>
      <c r="E439" s="2">
        <f>(('Historical Data'!O441)-('Historical Data'!O440))/('Historical Data'!O440)</f>
        <v>0.006652661064</v>
      </c>
      <c r="F439" s="2">
        <f>(('Historical Data'!R441)-('Historical Data'!R440))/('Historical Data'!R440)</f>
        <v>-0.02485225034</v>
      </c>
    </row>
    <row r="440">
      <c r="A440" s="2">
        <f>(('Historical Data'!C442)-('Historical Data'!C441))/('Historical Data'!C441)</f>
        <v>-0.01404979049</v>
      </c>
      <c r="C440" s="2">
        <f>(('Historical Data'!I442)-('Historical Data'!I441))/('Historical Data'!I441)</f>
        <v>-0.005</v>
      </c>
      <c r="D440" s="2">
        <f>(('Historical Data'!L442)-('Historical Data'!L441))/('Historical Data'!L441)</f>
        <v>0.01645383104</v>
      </c>
      <c r="E440" s="2">
        <f>(('Historical Data'!O442)-('Historical Data'!O441))/('Historical Data'!O441)</f>
        <v>-0.006956521739</v>
      </c>
      <c r="F440" s="2">
        <f>(('Historical Data'!R442)-('Historical Data'!R441))/('Historical Data'!R441)</f>
        <v>-0.01903651904</v>
      </c>
    </row>
    <row r="441">
      <c r="A441" s="2">
        <f>(('Historical Data'!C443)-('Historical Data'!C442))/('Historical Data'!C442)</f>
        <v>0.03225</v>
      </c>
      <c r="C441" s="2">
        <f>(('Historical Data'!I443)-('Historical Data'!I442))/('Historical Data'!I442)</f>
        <v>0.05025125628</v>
      </c>
      <c r="D441" s="2">
        <f>(('Historical Data'!L443)-('Historical Data'!L442))/('Historical Data'!L442)</f>
        <v>0.009422565837</v>
      </c>
      <c r="E441" s="2">
        <f>(('Historical Data'!O443)-('Historical Data'!O442))/('Historical Data'!O442)</f>
        <v>0.05429071804</v>
      </c>
      <c r="F441" s="2">
        <f>(('Historical Data'!R443)-('Historical Data'!R442))/('Historical Data'!R442)</f>
        <v>0.0179009901</v>
      </c>
    </row>
    <row r="442">
      <c r="A442" s="2">
        <f>(('Historical Data'!C444)-('Historical Data'!C443))/('Historical Data'!C443)</f>
        <v>0.01283603778</v>
      </c>
      <c r="C442" s="2">
        <f>(('Historical Data'!I444)-('Historical Data'!I443))/('Historical Data'!I443)</f>
        <v>0.1387559809</v>
      </c>
      <c r="D442" s="2">
        <f>(('Historical Data'!L444)-('Historical Data'!L443))/('Historical Data'!L443)</f>
        <v>0.03207276209</v>
      </c>
      <c r="E442" s="2">
        <f>(('Historical Data'!O444)-('Historical Data'!O443))/('Historical Data'!O443)</f>
        <v>0.03920265781</v>
      </c>
      <c r="F442" s="2">
        <f>(('Historical Data'!R444)-('Historical Data'!R443))/('Historical Data'!R443)</f>
        <v>0.01237257801</v>
      </c>
    </row>
    <row r="443">
      <c r="A443" s="2">
        <f>(('Historical Data'!C445)-('Historical Data'!C444))/('Historical Data'!C444)</f>
        <v>0.00406504065</v>
      </c>
      <c r="C443" s="2">
        <f>(('Historical Data'!I445)-('Historical Data'!I444))/('Historical Data'!I444)</f>
        <v>0.3235294118</v>
      </c>
      <c r="D443" s="2">
        <f>(('Historical Data'!L445)-('Historical Data'!L444))/('Historical Data'!L444)</f>
        <v>-0.006029684601</v>
      </c>
      <c r="E443" s="2">
        <f>(('Historical Data'!O445)-('Historical Data'!O444))/('Historical Data'!O444)</f>
        <v>0.003196930946</v>
      </c>
      <c r="F443" s="2">
        <f>(('Historical Data'!R445)-('Historical Data'!R444))/('Historical Data'!R444)</f>
        <v>-0.006917755573</v>
      </c>
    </row>
    <row r="444">
      <c r="A444" s="2">
        <f>(('Historical Data'!C446)-('Historical Data'!C445))/('Historical Data'!C445)</f>
        <v>-0.01119314122</v>
      </c>
      <c r="C444" s="2">
        <f>(('Historical Data'!I446)-('Historical Data'!I445))/('Historical Data'!I445)</f>
        <v>0.05079365079</v>
      </c>
      <c r="D444" s="2">
        <f>(('Historical Data'!L446)-('Historical Data'!L445))/('Historical Data'!L445)</f>
        <v>-0.007699486701</v>
      </c>
      <c r="E444" s="2">
        <f>(('Historical Data'!O446)-('Historical Data'!O445))/('Historical Data'!O445)</f>
        <v>-0.007648183556</v>
      </c>
      <c r="F444" s="2">
        <f>(('Historical Data'!R446)-('Historical Data'!R445))/('Historical Data'!R445)</f>
        <v>-0.02105263158</v>
      </c>
    </row>
    <row r="445">
      <c r="A445" s="2">
        <f>(('Historical Data'!C447)-('Historical Data'!C446))/('Historical Data'!C446)</f>
        <v>-0.03010597303</v>
      </c>
      <c r="C445" s="2">
        <f>(('Historical Data'!I447)-('Historical Data'!I446))/('Historical Data'!I446)</f>
        <v>-0.06344410876</v>
      </c>
      <c r="D445" s="2">
        <f>(('Historical Data'!L447)-('Historical Data'!L446))/('Historical Data'!L446)</f>
        <v>0.003526922173</v>
      </c>
      <c r="E445" s="2">
        <f>(('Historical Data'!O447)-('Historical Data'!O446))/('Historical Data'!O446)</f>
        <v>-0.001926782274</v>
      </c>
      <c r="F445" s="2">
        <f>(('Historical Data'!R447)-('Historical Data'!R446))/('Historical Data'!R446)</f>
        <v>-0.01747311828</v>
      </c>
    </row>
    <row r="446">
      <c r="A446" s="2">
        <f>(('Historical Data'!C448)-('Historical Data'!C447))/('Historical Data'!C447)</f>
        <v>-0.009436304942</v>
      </c>
      <c r="C446" s="2">
        <f>(('Historical Data'!I448)-('Historical Data'!I447))/('Historical Data'!I447)</f>
        <v>-0.01612903226</v>
      </c>
      <c r="D446" s="2">
        <f>(('Historical Data'!L448)-('Historical Data'!L447))/('Historical Data'!L447)</f>
        <v>-0.01148078725</v>
      </c>
      <c r="E446" s="2">
        <f>(('Historical Data'!O448)-('Historical Data'!O447))/('Historical Data'!O447)</f>
        <v>-0.02348777349</v>
      </c>
      <c r="F446" s="2">
        <f>(('Historical Data'!R448)-('Historical Data'!R447))/('Historical Data'!R447)</f>
        <v>-0.004103967168</v>
      </c>
    </row>
    <row r="447">
      <c r="A447" s="2">
        <f>(('Historical Data'!C449)-('Historical Data'!C448))/('Historical Data'!C448)</f>
        <v>-0.007771371271</v>
      </c>
      <c r="C447" s="2">
        <f>(('Historical Data'!I449)-('Historical Data'!I448))/('Historical Data'!I448)</f>
        <v>-0.05245901639</v>
      </c>
      <c r="D447" s="2">
        <f>(('Historical Data'!L449)-('Historical Data'!L448))/('Historical Data'!L448)</f>
        <v>-0.01635458639</v>
      </c>
      <c r="E447" s="2">
        <f>(('Historical Data'!O449)-('Historical Data'!O448))/('Historical Data'!O448)</f>
        <v>-0.01779242175</v>
      </c>
      <c r="F447" s="2">
        <f>(('Historical Data'!R449)-('Historical Data'!R448))/('Historical Data'!R448)</f>
        <v>0.003797672915</v>
      </c>
    </row>
    <row r="448">
      <c r="A448" s="2">
        <f>(('Historical Data'!C450)-('Historical Data'!C449))/('Historical Data'!C449)</f>
        <v>-0.007832238504</v>
      </c>
      <c r="C448" s="2">
        <f>(('Historical Data'!I450)-('Historical Data'!I449))/('Historical Data'!I449)</f>
        <v>-0.07266435986</v>
      </c>
      <c r="D448" s="2">
        <f>(('Historical Data'!L450)-('Historical Data'!L449))/('Historical Data'!L449)</f>
        <v>-0.05807228916</v>
      </c>
      <c r="E448" s="2">
        <f>(('Historical Data'!O450)-('Historical Data'!O449))/('Historical Data'!O449)</f>
        <v>0.0046964106</v>
      </c>
      <c r="F448" s="2">
        <f>(('Historical Data'!R450)-('Historical Data'!R449))/('Historical Data'!R449)</f>
        <v>0.001609917089</v>
      </c>
    </row>
    <row r="449">
      <c r="A449" s="2">
        <f>(('Historical Data'!C451)-('Historical Data'!C450))/('Historical Data'!C450)</f>
        <v>0.03412274001</v>
      </c>
      <c r="C449" s="2">
        <f>(('Historical Data'!I451)-('Historical Data'!I450))/('Historical Data'!I450)</f>
        <v>-0.05223880597</v>
      </c>
      <c r="D449" s="2">
        <f>(('Historical Data'!L451)-('Historical Data'!L450))/('Historical Data'!L450)</f>
        <v>0.06855973395</v>
      </c>
      <c r="E449" s="2">
        <f>(('Historical Data'!O451)-('Historical Data'!O450))/('Historical Data'!O450)</f>
        <v>0.04006677796</v>
      </c>
      <c r="F449" s="2">
        <f>(('Historical Data'!R451)-('Historical Data'!R450))/('Historical Data'!R450)</f>
        <v>0.01510889657</v>
      </c>
    </row>
    <row r="450">
      <c r="A450" s="2">
        <f>(('Historical Data'!C452)-('Historical Data'!C451))/('Historical Data'!C451)</f>
        <v>-0.01009603546</v>
      </c>
      <c r="C450" s="2">
        <f>(('Historical Data'!I452)-('Historical Data'!I451))/('Historical Data'!I451)</f>
        <v>-0.003937007874</v>
      </c>
      <c r="D450" s="2">
        <f>(('Historical Data'!L452)-('Historical Data'!L451))/('Historical Data'!L451)</f>
        <v>0.01627962653</v>
      </c>
      <c r="E450" s="2">
        <f>(('Historical Data'!O452)-('Historical Data'!O451))/('Historical Data'!O451)</f>
        <v>-0.02632423756</v>
      </c>
      <c r="F450" s="2">
        <f>(('Historical Data'!R452)-('Historical Data'!R451))/('Historical Data'!R451)</f>
        <v>-0.009737946323</v>
      </c>
    </row>
    <row r="451">
      <c r="A451" s="2">
        <f>(('Historical Data'!C453)-('Historical Data'!C452))/('Historical Data'!C452)</f>
        <v>0.02736318408</v>
      </c>
      <c r="C451" s="2">
        <f>(('Historical Data'!I453)-('Historical Data'!I452))/('Historical Data'!I452)</f>
        <v>0.1778656126</v>
      </c>
      <c r="D451" s="2">
        <f>(('Historical Data'!L453)-('Historical Data'!L452))/('Historical Data'!L452)</f>
        <v>0.005182567727</v>
      </c>
      <c r="E451" s="2">
        <f>(('Historical Data'!O453)-('Historical Data'!O452))/('Historical Data'!O452)</f>
        <v>0.004945598417</v>
      </c>
      <c r="F451" s="2">
        <f>(('Historical Data'!R453)-('Historical Data'!R452))/('Historical Data'!R452)</f>
        <v>0.0180684362</v>
      </c>
    </row>
    <row r="452">
      <c r="A452" s="2">
        <f>(('Historical Data'!C454)-('Historical Data'!C453))/('Historical Data'!C453)</f>
        <v>0.01186440678</v>
      </c>
      <c r="C452" s="2">
        <f>(('Historical Data'!I454)-('Historical Data'!I453))/('Historical Data'!I453)</f>
        <v>0.02013422819</v>
      </c>
      <c r="D452" s="2">
        <f>(('Historical Data'!L454)-('Historical Data'!L453))/('Historical Data'!L453)</f>
        <v>-0.001406140145</v>
      </c>
      <c r="E452" s="2">
        <f>(('Historical Data'!O454)-('Historical Data'!O453))/('Historical Data'!O453)</f>
        <v>0</v>
      </c>
      <c r="F452" s="2">
        <f>(('Historical Data'!R454)-('Historical Data'!R453))/('Historical Data'!R453)</f>
        <v>0.00808858175</v>
      </c>
    </row>
    <row r="453">
      <c r="A453" s="2">
        <f>(('Historical Data'!C455)-('Historical Data'!C454))/('Historical Data'!C454)</f>
        <v>0.002153625269</v>
      </c>
      <c r="C453" s="2">
        <f>(('Historical Data'!I455)-('Historical Data'!I454))/('Historical Data'!I454)</f>
        <v>-0.05921052632</v>
      </c>
      <c r="D453" s="2">
        <f>(('Historical Data'!L455)-('Historical Data'!L454))/('Historical Data'!L454)</f>
        <v>-0.04693733865</v>
      </c>
      <c r="E453" s="2">
        <f>(('Historical Data'!O455)-('Historical Data'!O454))/('Historical Data'!O454)</f>
        <v>0.01377952756</v>
      </c>
      <c r="F453" s="2">
        <f>(('Historical Data'!R455)-('Historical Data'!R454))/('Historical Data'!R454)</f>
        <v>0.009270078679</v>
      </c>
    </row>
    <row r="454">
      <c r="A454" s="2">
        <f>(('Historical Data'!C456)-('Historical Data'!C455))/('Historical Data'!C455)</f>
        <v>-0.00405921681</v>
      </c>
      <c r="C454" s="2">
        <f>(('Historical Data'!I456)-('Historical Data'!I455))/('Historical Data'!I455)</f>
        <v>0.1258741259</v>
      </c>
      <c r="D454" s="2">
        <f>(('Historical Data'!L456)-('Historical Data'!L455))/('Historical Data'!L455)</f>
        <v>0.03545924649</v>
      </c>
      <c r="E454" s="2">
        <f>(('Historical Data'!O456)-('Historical Data'!O455))/('Historical Data'!O455)</f>
        <v>0.001941747573</v>
      </c>
      <c r="F454" s="2">
        <f>(('Historical Data'!R456)-('Historical Data'!R455))/('Historical Data'!R455)</f>
        <v>-0.01983636925</v>
      </c>
    </row>
    <row r="455">
      <c r="A455" s="2">
        <f>(('Historical Data'!C457)-('Historical Data'!C456))/('Historical Data'!C456)</f>
        <v>0.02613282187</v>
      </c>
      <c r="C455" s="2">
        <f>(('Historical Data'!I457)-('Historical Data'!I456))/('Historical Data'!I456)</f>
        <v>0.02173913043</v>
      </c>
      <c r="D455" s="2">
        <f>(('Historical Data'!L457)-('Historical Data'!L456))/('Historical Data'!L456)</f>
        <v>-0.01569560048</v>
      </c>
      <c r="E455" s="2">
        <f>(('Historical Data'!O457)-('Historical Data'!O456))/('Historical Data'!O456)</f>
        <v>0.01291989664</v>
      </c>
      <c r="F455" s="2">
        <f>(('Historical Data'!R457)-('Historical Data'!R456))/('Historical Data'!R456)</f>
        <v>0.01252067092</v>
      </c>
    </row>
    <row r="456">
      <c r="A456" s="2">
        <f>(('Historical Data'!C458)-('Historical Data'!C457))/('Historical Data'!C457)</f>
        <v>0.01728971963</v>
      </c>
      <c r="C456" s="2">
        <f>(('Historical Data'!I458)-('Historical Data'!I457))/('Historical Data'!I457)</f>
        <v>0.1823708207</v>
      </c>
      <c r="D456" s="2">
        <f>(('Historical Data'!L458)-('Historical Data'!L457))/('Historical Data'!L457)</f>
        <v>0.02778448901</v>
      </c>
      <c r="E456" s="2">
        <f>(('Historical Data'!O458)-('Historical Data'!O457))/('Historical Data'!O457)</f>
        <v>0.01403061224</v>
      </c>
      <c r="F456" s="2">
        <f>(('Historical Data'!R458)-('Historical Data'!R457))/('Historical Data'!R457)</f>
        <v>0.006144034842</v>
      </c>
    </row>
    <row r="457">
      <c r="A457" s="2">
        <f>(('Historical Data'!C459)-('Historical Data'!C458))/('Historical Data'!C458)</f>
        <v>0.01883325678</v>
      </c>
      <c r="C457" s="2">
        <f>(('Historical Data'!I459)-('Historical Data'!I458))/('Historical Data'!I458)</f>
        <v>-0.005141388175</v>
      </c>
      <c r="D457" s="2">
        <f>(('Historical Data'!L459)-('Historical Data'!L458))/('Historical Data'!L458)</f>
        <v>0.01034320639</v>
      </c>
      <c r="E457" s="2">
        <f>(('Historical Data'!O459)-('Historical Data'!O458))/('Historical Data'!O458)</f>
        <v>0.008805031447</v>
      </c>
      <c r="F457" s="2">
        <f>(('Historical Data'!R459)-('Historical Data'!R458))/('Historical Data'!R458)</f>
        <v>0.01151735333</v>
      </c>
    </row>
    <row r="458">
      <c r="A458" s="2">
        <f>(('Historical Data'!C460)-('Historical Data'!C459))/('Historical Data'!C459)</f>
        <v>0.0004508566276</v>
      </c>
      <c r="C458" s="2">
        <f>(('Historical Data'!I460)-('Historical Data'!I459))/('Historical Data'!I459)</f>
        <v>0.02842377261</v>
      </c>
      <c r="D458" s="2">
        <f>(('Historical Data'!L460)-('Historical Data'!L459))/('Historical Data'!L459)</f>
        <v>-0.01000465333</v>
      </c>
      <c r="E458" s="2">
        <f>(('Historical Data'!O460)-('Historical Data'!O459))/('Historical Data'!O459)</f>
        <v>0.00716957606</v>
      </c>
      <c r="F458" s="2">
        <f>(('Historical Data'!R460)-('Historical Data'!R459))/('Historical Data'!R459)</f>
        <v>0.007030414183</v>
      </c>
    </row>
    <row r="459">
      <c r="A459" s="2">
        <f>(('Historical Data'!C461)-('Historical Data'!C460))/('Historical Data'!C460)</f>
        <v>0.000901306895</v>
      </c>
      <c r="C459" s="2">
        <f>(('Historical Data'!I461)-('Historical Data'!I460))/('Historical Data'!I460)</f>
        <v>0.1281407035</v>
      </c>
      <c r="D459" s="2">
        <f>(('Historical Data'!L461)-('Historical Data'!L460))/('Historical Data'!L460)</f>
        <v>0.005405405405</v>
      </c>
      <c r="E459" s="2">
        <f>(('Historical Data'!O461)-('Historical Data'!O460))/('Historical Data'!O460)</f>
        <v>0.02847415661</v>
      </c>
      <c r="F459" s="2">
        <f>(('Historical Data'!R461)-('Historical Data'!R460))/('Historical Data'!R460)</f>
        <v>0.0007588404917</v>
      </c>
    </row>
    <row r="460">
      <c r="A460" s="2">
        <f>(('Historical Data'!C462)-('Historical Data'!C461))/('Historical Data'!C461)</f>
        <v>0.02746510581</v>
      </c>
      <c r="C460" s="2">
        <f>(('Historical Data'!I462)-('Historical Data'!I461))/('Historical Data'!I461)</f>
        <v>-0.008908685969</v>
      </c>
      <c r="D460" s="2">
        <f>(('Historical Data'!L462)-('Historical Data'!L461))/('Historical Data'!L461)</f>
        <v>-0.0352968677</v>
      </c>
      <c r="E460" s="2">
        <f>(('Historical Data'!O462)-('Historical Data'!O461))/('Historical Data'!O461)</f>
        <v>-0.002407463136</v>
      </c>
      <c r="F460" s="2">
        <f>(('Historical Data'!R462)-('Historical Data'!R461))/('Historical Data'!R461)</f>
        <v>0.02532605399</v>
      </c>
    </row>
    <row r="461">
      <c r="A461" s="2">
        <f>(('Historical Data'!C463)-('Historical Data'!C462))/('Historical Data'!C462)</f>
        <v>-0.004601226994</v>
      </c>
      <c r="C461" s="2">
        <f>(('Historical Data'!I463)-('Historical Data'!I462))/('Historical Data'!I462)</f>
        <v>0.2449438202</v>
      </c>
      <c r="D461" s="2">
        <f>(('Historical Data'!L463)-('Historical Data'!L462))/('Historical Data'!L462)</f>
        <v>0.01817300703</v>
      </c>
      <c r="E461" s="2">
        <f>(('Historical Data'!O463)-('Historical Data'!O462))/('Historical Data'!O462)</f>
        <v>0.003921568627</v>
      </c>
      <c r="F461" s="2">
        <f>(('Historical Data'!R463)-('Historical Data'!R462))/('Historical Data'!R462)</f>
        <v>-0.004067445644</v>
      </c>
    </row>
    <row r="462">
      <c r="A462" s="2">
        <f>(('Historical Data'!C464)-('Historical Data'!C463))/('Historical Data'!C463)</f>
        <v>0.0006603565926</v>
      </c>
      <c r="C462" s="2">
        <f>(('Historical Data'!I464)-('Historical Data'!I463))/('Historical Data'!I463)</f>
        <v>-0.1209386282</v>
      </c>
      <c r="D462" s="2">
        <f>(('Historical Data'!L464)-('Historical Data'!L463))/('Historical Data'!L463)</f>
        <v>0.004521656354</v>
      </c>
      <c r="E462" s="2">
        <f>(('Historical Data'!O464)-('Historical Data'!O463))/('Historical Data'!O463)</f>
        <v>-0.002403846154</v>
      </c>
      <c r="F462" s="2">
        <f>(('Historical Data'!R464)-('Historical Data'!R463))/('Historical Data'!R463)</f>
        <v>0.001559367342</v>
      </c>
    </row>
    <row r="463">
      <c r="A463" s="2">
        <f>(('Historical Data'!C465)-('Historical Data'!C464))/('Historical Data'!C464)</f>
        <v>-0.01957765068</v>
      </c>
      <c r="C463" s="2">
        <f>(('Historical Data'!I465)-('Historical Data'!I464))/('Historical Data'!I464)</f>
        <v>0</v>
      </c>
      <c r="D463" s="2">
        <f>(('Historical Data'!L465)-('Historical Data'!L464))/('Historical Data'!L464)</f>
        <v>-0.01018715944</v>
      </c>
      <c r="E463" s="2">
        <f>(('Historical Data'!O465)-('Historical Data'!O464))/('Historical Data'!O464)</f>
        <v>-0.01325301205</v>
      </c>
      <c r="F463" s="2">
        <f>(('Historical Data'!R465)-('Historical Data'!R464))/('Historical Data'!R464)</f>
        <v>-0.0143831554</v>
      </c>
    </row>
    <row r="464">
      <c r="A464" s="2">
        <f>(('Historical Data'!C466)-('Historical Data'!C465))/('Historical Data'!C465)</f>
        <v>-0.01615436392</v>
      </c>
      <c r="C464" s="2">
        <f>(('Historical Data'!I466)-('Historical Data'!I465))/('Historical Data'!I465)</f>
        <v>-0.160164271</v>
      </c>
      <c r="D464" s="2">
        <f>(('Historical Data'!L466)-('Historical Data'!L465))/('Historical Data'!L465)</f>
        <v>0.01077070369</v>
      </c>
      <c r="E464" s="2">
        <f>(('Historical Data'!O466)-('Historical Data'!O465))/('Historical Data'!O465)</f>
        <v>0.008547008547</v>
      </c>
      <c r="F464" s="2">
        <f>(('Historical Data'!R466)-('Historical Data'!R465))/('Historical Data'!R465)</f>
        <v>-0.00684519332</v>
      </c>
    </row>
    <row r="465">
      <c r="A465" s="2">
        <f>(('Historical Data'!C467)-('Historical Data'!C466))/('Historical Data'!C466)</f>
        <v>0.01527936146</v>
      </c>
      <c r="C465" s="2">
        <f>(('Historical Data'!I467)-('Historical Data'!I466))/('Historical Data'!I466)</f>
        <v>0.02689486553</v>
      </c>
      <c r="D465" s="2">
        <f>(('Historical Data'!L467)-('Historical Data'!L466))/('Historical Data'!L466)</f>
        <v>0.01231352119</v>
      </c>
      <c r="E465" s="2">
        <f>(('Historical Data'!O467)-('Historical Data'!O466))/('Historical Data'!O466)</f>
        <v>0.02663438257</v>
      </c>
      <c r="F465" s="2">
        <f>(('Historical Data'!R467)-('Historical Data'!R466))/('Historical Data'!R466)</f>
        <v>0.01825342725</v>
      </c>
    </row>
    <row r="466">
      <c r="A466" s="2">
        <f>(('Historical Data'!C468)-('Historical Data'!C467))/('Historical Data'!C467)</f>
        <v>0.0006738544474</v>
      </c>
      <c r="C466" s="2">
        <f>(('Historical Data'!I468)-('Historical Data'!I467))/('Historical Data'!I467)</f>
        <v>-0.02380952381</v>
      </c>
      <c r="D466" s="2">
        <f>(('Historical Data'!L468)-('Historical Data'!L467))/('Historical Data'!L467)</f>
        <v>-0.01707602339</v>
      </c>
      <c r="E466" s="2">
        <f>(('Historical Data'!O468)-('Historical Data'!O467))/('Historical Data'!O467)</f>
        <v>0.01208726415</v>
      </c>
      <c r="F466" s="2">
        <f>(('Historical Data'!R468)-('Historical Data'!R467))/('Historical Data'!R467)</f>
        <v>0.01532282059</v>
      </c>
    </row>
    <row r="467">
      <c r="A467" s="2">
        <f>(('Historical Data'!C469)-('Historical Data'!C468))/('Historical Data'!C468)</f>
        <v>0.001346801347</v>
      </c>
      <c r="C467" s="2">
        <f>(('Historical Data'!I469)-('Historical Data'!I468))/('Historical Data'!I468)</f>
        <v>0.04634146341</v>
      </c>
      <c r="D467" s="2">
        <f>(('Historical Data'!L469)-('Historical Data'!L468))/('Historical Data'!L468)</f>
        <v>0.01975249881</v>
      </c>
      <c r="E467" s="2">
        <f>(('Historical Data'!O469)-('Historical Data'!O468))/('Historical Data'!O468)</f>
        <v>-0.01747742499</v>
      </c>
      <c r="F467" s="2">
        <f>(('Historical Data'!R469)-('Historical Data'!R468))/('Historical Data'!R468)</f>
        <v>0.002271062271</v>
      </c>
    </row>
    <row r="468">
      <c r="A468" s="2">
        <f>(('Historical Data'!C470)-('Historical Data'!C469))/('Historical Data'!C469)</f>
        <v>-0.01569154898</v>
      </c>
      <c r="C468" s="2">
        <f>(('Historical Data'!I470)-('Historical Data'!I469))/('Historical Data'!I469)</f>
        <v>0.1095571096</v>
      </c>
      <c r="D468" s="2">
        <f>(('Historical Data'!L470)-('Historical Data'!L469))/('Historical Data'!L469)</f>
        <v>-0.006534422404</v>
      </c>
      <c r="E468" s="2">
        <f>(('Historical Data'!O470)-('Historical Data'!O469))/('Historical Data'!O469)</f>
        <v>-0.04150607768</v>
      </c>
      <c r="F468" s="2">
        <f>(('Historical Data'!R470)-('Historical Data'!R469))/('Historical Data'!R469)</f>
        <v>-0.002412104378</v>
      </c>
    </row>
    <row r="469">
      <c r="A469" s="2">
        <f>(('Historical Data'!C471)-('Historical Data'!C470))/('Historical Data'!C470)</f>
        <v>0.03985424732</v>
      </c>
      <c r="C469" s="2">
        <f>(('Historical Data'!I471)-('Historical Data'!I470))/('Historical Data'!I470)</f>
        <v>0.08403361345</v>
      </c>
      <c r="D469" s="2">
        <f>(('Historical Data'!L471)-('Historical Data'!L470))/('Historical Data'!L470)</f>
        <v>0.01714822645</v>
      </c>
      <c r="E469" s="2">
        <f>(('Historical Data'!O471)-('Historical Data'!O470))/('Historical Data'!O470)</f>
        <v>0.01917723477</v>
      </c>
      <c r="F469" s="2">
        <f>(('Historical Data'!R471)-('Historical Data'!R470))/('Historical Data'!R470)</f>
        <v>0.03443728019</v>
      </c>
    </row>
    <row r="470">
      <c r="A470" s="2">
        <f>(('Historical Data'!C472)-('Historical Data'!C471))/('Historical Data'!C471)</f>
        <v>-0.01905387648</v>
      </c>
      <c r="C470" s="2">
        <f>(('Historical Data'!I472)-('Historical Data'!I471))/('Historical Data'!I471)</f>
        <v>0.1976744186</v>
      </c>
      <c r="D470" s="2">
        <f>(('Historical Data'!L472)-('Historical Data'!L471))/('Historical Data'!L471)</f>
        <v>0.005080831409</v>
      </c>
      <c r="E470" s="2">
        <f>(('Historical Data'!O472)-('Historical Data'!O471))/('Historical Data'!O471)</f>
        <v>0.02701062215</v>
      </c>
      <c r="F470" s="2">
        <f>(('Historical Data'!R472)-('Historical Data'!R471))/('Historical Data'!R471)</f>
        <v>-0.001487462813</v>
      </c>
    </row>
    <row r="471">
      <c r="A471" s="2">
        <f>(('Historical Data'!C473)-('Historical Data'!C472))/('Historical Data'!C472)</f>
        <v>-0.001116320607</v>
      </c>
      <c r="C471" s="2">
        <f>(('Historical Data'!I473)-('Historical Data'!I472))/('Historical Data'!I472)</f>
        <v>0.06472491909</v>
      </c>
      <c r="D471" s="2">
        <f>(('Historical Data'!L473)-('Historical Data'!L472))/('Historical Data'!L472)</f>
        <v>0.002068014706</v>
      </c>
      <c r="E471" s="2">
        <f>(('Historical Data'!O473)-('Historical Data'!O472))/('Historical Data'!O472)</f>
        <v>-0.008569739953</v>
      </c>
      <c r="F471" s="2">
        <f>(('Historical Data'!R473)-('Historical Data'!R472))/('Historical Data'!R472)</f>
        <v>0.00007093707881</v>
      </c>
    </row>
    <row r="472">
      <c r="A472" s="2">
        <f>(('Historical Data'!C474)-('Historical Data'!C473))/('Historical Data'!C473)</f>
        <v>0.003576218149</v>
      </c>
      <c r="C472" s="2">
        <f>(('Historical Data'!I474)-('Historical Data'!I473))/('Historical Data'!I473)</f>
        <v>0.07294832827</v>
      </c>
      <c r="D472" s="2">
        <f>(('Historical Data'!L474)-('Historical Data'!L473))/('Historical Data'!L473)</f>
        <v>0.002522357258</v>
      </c>
      <c r="E472" s="2">
        <f>(('Historical Data'!O474)-('Historical Data'!O473))/('Historical Data'!O473)</f>
        <v>0.01073025335</v>
      </c>
      <c r="F472" s="2">
        <f>(('Historical Data'!R474)-('Historical Data'!R473))/('Historical Data'!R473)</f>
        <v>-0.003475670308</v>
      </c>
    </row>
    <row r="473">
      <c r="A473" s="2">
        <f>(('Historical Data'!C475)-('Historical Data'!C474))/('Historical Data'!C474)</f>
        <v>-0.01135857461</v>
      </c>
      <c r="C473" s="2">
        <f>(('Historical Data'!I475)-('Historical Data'!I474))/('Historical Data'!I474)</f>
        <v>-0.03541076487</v>
      </c>
      <c r="D473" s="2">
        <f>(('Historical Data'!L475)-('Historical Data'!L474))/('Historical Data'!L474)</f>
        <v>-0.01349496798</v>
      </c>
      <c r="E473" s="2">
        <f>(('Historical Data'!O475)-('Historical Data'!O474))/('Historical Data'!O474)</f>
        <v>0.001769389561</v>
      </c>
      <c r="F473" s="2">
        <f>(('Historical Data'!R475)-('Historical Data'!R474))/('Historical Data'!R474)</f>
        <v>0.008897430422</v>
      </c>
    </row>
    <row r="474">
      <c r="A474" s="2">
        <f>(('Historical Data'!C476)-('Historical Data'!C475))/('Historical Data'!C475)</f>
        <v>0.04956071187</v>
      </c>
      <c r="C474" s="2">
        <f>(('Historical Data'!I476)-('Historical Data'!I475))/('Historical Data'!I475)</f>
        <v>-0.04111600587</v>
      </c>
      <c r="D474" s="2">
        <f>(('Historical Data'!L476)-('Historical Data'!L475))/('Historical Data'!L475)</f>
        <v>0.0299095757</v>
      </c>
      <c r="E474" s="2">
        <f>(('Historical Data'!O476)-('Historical Data'!O475))/('Historical Data'!O475)</f>
        <v>0.01118634089</v>
      </c>
      <c r="F474" s="2">
        <f>(('Historical Data'!R476)-('Historical Data'!R475))/('Historical Data'!R475)</f>
        <v>-0.006137999153</v>
      </c>
    </row>
    <row r="475">
      <c r="A475" s="2">
        <f>(('Historical Data'!C477)-('Historical Data'!C476))/('Historical Data'!C476)</f>
        <v>0.02575660013</v>
      </c>
      <c r="C475" s="2">
        <f>(('Historical Data'!I477)-('Historical Data'!I476))/('Historical Data'!I476)</f>
        <v>-0.09341500766</v>
      </c>
      <c r="D475" s="2">
        <f>(('Historical Data'!L477)-('Historical Data'!L476))/('Historical Data'!L476)</f>
        <v>0.02386312472</v>
      </c>
      <c r="E475" s="2">
        <f>(('Historical Data'!O477)-('Historical Data'!O476))/('Historical Data'!O476)</f>
        <v>-0.009024745269</v>
      </c>
      <c r="F475" s="2">
        <f>(('Historical Data'!R477)-('Historical Data'!R476))/('Historical Data'!R476)</f>
        <v>0.01206786399</v>
      </c>
    </row>
    <row r="476">
      <c r="A476" s="2">
        <f>(('Historical Data'!C478)-('Historical Data'!C477))/('Historical Data'!C477)</f>
        <v>-0.003557229546</v>
      </c>
      <c r="C476" s="2">
        <f>(('Historical Data'!I478)-('Historical Data'!I477))/('Historical Data'!I477)</f>
        <v>0.08952702703</v>
      </c>
      <c r="D476" s="2">
        <f>(('Historical Data'!L478)-('Historical Data'!L477))/('Historical Data'!L477)</f>
        <v>0.0008795074758</v>
      </c>
      <c r="E476" s="2">
        <f>(('Historical Data'!O478)-('Historical Data'!O477))/('Historical Data'!O477)</f>
        <v>-0.02673325499</v>
      </c>
      <c r="F476" s="2">
        <f>(('Historical Data'!R478)-('Historical Data'!R477))/('Historical Data'!R477)</f>
        <v>0.01269551799</v>
      </c>
    </row>
    <row r="477">
      <c r="A477" s="2">
        <f>(('Historical Data'!C479)-('Historical Data'!C478))/('Historical Data'!C478)</f>
        <v>0.01595968081</v>
      </c>
      <c r="C477" s="2">
        <f>(('Historical Data'!I479)-('Historical Data'!I478))/('Historical Data'!I478)</f>
        <v>0.04341085271</v>
      </c>
      <c r="D477" s="2">
        <f>(('Historical Data'!L479)-('Historical Data'!L478))/('Historical Data'!L478)</f>
        <v>0.001098418278</v>
      </c>
      <c r="E477" s="2">
        <f>(('Historical Data'!O479)-('Historical Data'!O478))/('Historical Data'!O478)</f>
        <v>0.05312405675</v>
      </c>
      <c r="F477" s="2">
        <f>(('Historical Data'!R479)-('Historical Data'!R478))/('Historical Data'!R478)</f>
        <v>0.008588447153</v>
      </c>
    </row>
    <row r="478">
      <c r="A478" s="2">
        <f>(('Historical Data'!C480)-('Historical Data'!C479))/('Historical Data'!C479)</f>
        <v>0.003927242662</v>
      </c>
      <c r="C478" s="2">
        <f>(('Historical Data'!I480)-('Historical Data'!I479))/('Historical Data'!I479)</f>
        <v>-0.08469539376</v>
      </c>
      <c r="D478" s="2">
        <f>(('Historical Data'!L480)-('Historical Data'!L479))/('Historical Data'!L479)</f>
        <v>-0.001755540926</v>
      </c>
      <c r="E478" s="2">
        <f>(('Historical Data'!O480)-('Historical Data'!O479))/('Historical Data'!O479)</f>
        <v>0.002579535684</v>
      </c>
      <c r="F478" s="2">
        <f>(('Historical Data'!R480)-('Historical Data'!R479))/('Historical Data'!R479)</f>
        <v>0.005699766516</v>
      </c>
    </row>
    <row r="479">
      <c r="A479" s="2">
        <f>(('Historical Data'!C481)-('Historical Data'!C480))/('Historical Data'!C480)</f>
        <v>-0.003500102944</v>
      </c>
      <c r="C479" s="2">
        <f>(('Historical Data'!I481)-('Historical Data'!I480))/('Historical Data'!I480)</f>
        <v>-0.07954545455</v>
      </c>
      <c r="D479" s="2">
        <f>(('Historical Data'!L481)-('Historical Data'!L480))/('Historical Data'!L480)</f>
        <v>0.009892284018</v>
      </c>
      <c r="E479" s="2">
        <f>(('Historical Data'!O481)-('Historical Data'!O480))/('Historical Data'!O480)</f>
        <v>0.008290451687</v>
      </c>
      <c r="F479" s="2">
        <f>(('Historical Data'!R481)-('Historical Data'!R480))/('Historical Data'!R480)</f>
        <v>0.001843632639</v>
      </c>
    </row>
    <row r="480">
      <c r="A480" s="2">
        <f>(('Historical Data'!C482)-('Historical Data'!C481))/('Historical Data'!C481)</f>
        <v>-0.006611570248</v>
      </c>
      <c r="C480" s="2">
        <f>(('Historical Data'!I482)-('Historical Data'!I481))/('Historical Data'!I481)</f>
        <v>-0.0405643739</v>
      </c>
      <c r="D480" s="2">
        <f>(('Historical Data'!L482)-('Historical Data'!L481))/('Historical Data'!L481)</f>
        <v>0.008053983457</v>
      </c>
      <c r="E480" s="2">
        <f>(('Historical Data'!O482)-('Historical Data'!O481))/('Historical Data'!O481)</f>
        <v>-0.01531046215</v>
      </c>
      <c r="F480" s="2">
        <f>(('Historical Data'!R482)-('Historical Data'!R481))/('Historical Data'!R481)</f>
        <v>-0.0008178844057</v>
      </c>
    </row>
    <row r="481">
      <c r="A481" s="2">
        <f>(('Historical Data'!C483)-('Historical Data'!C482))/('Historical Data'!C482)</f>
        <v>0.004159733777</v>
      </c>
      <c r="C481" s="2">
        <f>(('Historical Data'!I483)-('Historical Data'!I482))/('Historical Data'!I482)</f>
        <v>0.02205882353</v>
      </c>
      <c r="D481" s="2">
        <f>(('Historical Data'!L483)-('Historical Data'!L482))/('Historical Data'!L482)</f>
        <v>-0.01058086806</v>
      </c>
      <c r="E481" s="2">
        <f>(('Historical Data'!O483)-('Historical Data'!O482))/('Historical Data'!O482)</f>
        <v>0.01670025914</v>
      </c>
      <c r="F481" s="2">
        <f>(('Historical Data'!R483)-('Historical Data'!R482))/('Historical Data'!R482)</f>
        <v>-0.007639836289</v>
      </c>
    </row>
    <row r="482">
      <c r="A482" s="2">
        <f>(('Historical Data'!C484)-('Historical Data'!C483))/('Historical Data'!C483)</f>
        <v>0.02982601491</v>
      </c>
      <c r="C482" s="2">
        <f>(('Historical Data'!I484)-('Historical Data'!I483))/('Historical Data'!I483)</f>
        <v>0.01258992806</v>
      </c>
      <c r="D482" s="2">
        <f>(('Historical Data'!L484)-('Historical Data'!L483))/('Historical Data'!L483)</f>
        <v>0.01113051069</v>
      </c>
      <c r="E482" s="2">
        <f>(('Historical Data'!O484)-('Historical Data'!O483))/('Historical Data'!O483)</f>
        <v>0.01670914755</v>
      </c>
      <c r="F482" s="2">
        <f>(('Historical Data'!R484)-('Historical Data'!R483))/('Historical Data'!R483)</f>
        <v>0.02529557327</v>
      </c>
    </row>
    <row r="483">
      <c r="A483" s="2">
        <f>(('Historical Data'!C485)-('Historical Data'!C484))/('Historical Data'!C484)</f>
        <v>0.005028157683</v>
      </c>
      <c r="C483" s="2">
        <f>(('Historical Data'!I485)-('Historical Data'!I484))/('Historical Data'!I484)</f>
        <v>-0.1012433393</v>
      </c>
      <c r="D483" s="2">
        <f>(('Historical Data'!L485)-('Historical Data'!L484))/('Historical Data'!L484)</f>
        <v>0.01251888625</v>
      </c>
      <c r="E483" s="2">
        <f>(('Historical Data'!O485)-('Historical Data'!O484))/('Historical Data'!O484)</f>
        <v>-0.005013927577</v>
      </c>
      <c r="F483" s="2">
        <f>(('Historical Data'!R485)-('Historical Data'!R484))/('Historical Data'!R484)</f>
        <v>0.000603378922</v>
      </c>
    </row>
    <row r="484">
      <c r="A484" s="2">
        <f>(('Historical Data'!C486)-('Historical Data'!C485))/('Historical Data'!C485)</f>
        <v>-0.005403241945</v>
      </c>
      <c r="C484" s="2">
        <f>(('Historical Data'!I486)-('Historical Data'!I485))/('Historical Data'!I485)</f>
        <v>0.07114624506</v>
      </c>
      <c r="D484" s="2">
        <f>(('Historical Data'!L486)-('Historical Data'!L485))/('Historical Data'!L485)</f>
        <v>-0.01662758474</v>
      </c>
      <c r="E484" s="2">
        <f>(('Historical Data'!O486)-('Historical Data'!O485))/('Historical Data'!O485)</f>
        <v>-0.01007838746</v>
      </c>
      <c r="F484" s="2">
        <f>(('Historical Data'!R486)-('Historical Data'!R485))/('Historical Data'!R485)</f>
        <v>0.009112227806</v>
      </c>
    </row>
    <row r="485">
      <c r="A485" s="2">
        <f>(('Historical Data'!C487)-('Historical Data'!C486))/('Historical Data'!C486)</f>
        <v>-0.007444668008</v>
      </c>
      <c r="C485" s="2">
        <f>(('Historical Data'!I487)-('Historical Data'!I486))/('Historical Data'!I486)</f>
        <v>0.1217712177</v>
      </c>
      <c r="D485" s="2">
        <f>(('Historical Data'!L487)-('Historical Data'!L486))/('Historical Data'!L486)</f>
        <v>0.01127249079</v>
      </c>
      <c r="E485" s="2">
        <f>(('Historical Data'!O487)-('Historical Data'!O486))/('Historical Data'!O486)</f>
        <v>-0.01018099548</v>
      </c>
      <c r="F485" s="2">
        <f>(('Historical Data'!R487)-('Historical Data'!R486))/('Historical Data'!R486)</f>
        <v>-0.01009229135</v>
      </c>
    </row>
    <row r="486">
      <c r="A486" s="2">
        <f>(('Historical Data'!C488)-('Historical Data'!C487))/('Historical Data'!C487)</f>
        <v>-0.01500101358</v>
      </c>
      <c r="C486" s="2">
        <f>(('Historical Data'!I488)-('Historical Data'!I487))/('Historical Data'!I487)</f>
        <v>-0.03453947368</v>
      </c>
      <c r="D486" s="2">
        <f>(('Historical Data'!L488)-('Historical Data'!L487))/('Historical Data'!L487)</f>
        <v>-0.00578778135</v>
      </c>
      <c r="E486" s="2">
        <f>(('Historical Data'!O488)-('Historical Data'!O487))/('Historical Data'!O487)</f>
        <v>-0.018</v>
      </c>
      <c r="F486" s="2">
        <f>(('Historical Data'!R488)-('Historical Data'!R487))/('Historical Data'!R487)</f>
        <v>0.001274398015</v>
      </c>
    </row>
    <row r="487">
      <c r="A487" s="2">
        <f>(('Historical Data'!C489)-('Historical Data'!C488))/('Historical Data'!C488)</f>
        <v>-0.008437950196</v>
      </c>
      <c r="C487" s="2">
        <f>(('Historical Data'!I489)-('Historical Data'!I488))/('Historical Data'!I488)</f>
        <v>-0.1039182283</v>
      </c>
      <c r="D487" s="2">
        <f>(('Historical Data'!L489)-('Historical Data'!L488))/('Historical Data'!L488)</f>
        <v>0.001078050884</v>
      </c>
      <c r="E487" s="2">
        <f>(('Historical Data'!O489)-('Historical Data'!O488))/('Historical Data'!O488)</f>
        <v>-0.01338376491</v>
      </c>
      <c r="F487" s="2">
        <f>(('Historical Data'!R489)-('Historical Data'!R488))/('Historical Data'!R488)</f>
        <v>0.006430868167</v>
      </c>
    </row>
    <row r="488">
      <c r="A488" s="2">
        <f>(('Historical Data'!C490)-('Historical Data'!C489))/('Historical Data'!C489)</f>
        <v>0.01681195517</v>
      </c>
      <c r="C488" s="2">
        <f>(('Historical Data'!I490)-('Historical Data'!I489))/('Historical Data'!I489)</f>
        <v>-0.036121673</v>
      </c>
      <c r="D488" s="2">
        <f>(('Historical Data'!L490)-('Historical Data'!L489))/('Historical Data'!L489)</f>
        <v>-0.004092181779</v>
      </c>
      <c r="E488" s="2">
        <f>(('Historical Data'!O490)-('Historical Data'!O489))/('Historical Data'!O489)</f>
        <v>0.0005897965202</v>
      </c>
      <c r="F488" s="2">
        <f>(('Historical Data'!R490)-('Historical Data'!R489))/('Historical Data'!R489)</f>
        <v>0.007188498403</v>
      </c>
    </row>
    <row r="489">
      <c r="A489" s="2">
        <f>(('Historical Data'!C491)-('Historical Data'!C490))/('Historical Data'!C490)</f>
        <v>-0.01081853439</v>
      </c>
      <c r="C489" s="2">
        <f>(('Historical Data'!I491)-('Historical Data'!I490))/('Historical Data'!I490)</f>
        <v>-0.02366863905</v>
      </c>
      <c r="D489" s="2">
        <f>(('Historical Data'!L491)-('Historical Data'!L490))/('Historical Data'!L490)</f>
        <v>-0.007352941176</v>
      </c>
      <c r="E489" s="2">
        <f>(('Historical Data'!O491)-('Historical Data'!O490))/('Historical Data'!O490)</f>
        <v>-0.006483937518</v>
      </c>
      <c r="F489" s="2">
        <f>(('Historical Data'!R491)-('Historical Data'!R490))/('Historical Data'!R490)</f>
        <v>-0.002643404705</v>
      </c>
    </row>
    <row r="490">
      <c r="A490" s="2">
        <f>(('Historical Data'!C492)-('Historical Data'!C491))/('Historical Data'!C491)</f>
        <v>0.01733388362</v>
      </c>
      <c r="C490" s="2">
        <f>(('Historical Data'!I492)-('Historical Data'!I491))/('Historical Data'!I491)</f>
        <v>-0.02626262626</v>
      </c>
      <c r="D490" s="2">
        <f>(('Historical Data'!L492)-('Historical Data'!L491))/('Historical Data'!L491)</f>
        <v>0.01176470588</v>
      </c>
      <c r="E490" s="2">
        <f>(('Historical Data'!O492)-('Historical Data'!O491))/('Historical Data'!O491)</f>
        <v>0.01156926728</v>
      </c>
      <c r="F490" s="2">
        <f>(('Historical Data'!R492)-('Historical Data'!R491))/('Historical Data'!R491)</f>
        <v>0.0102703419</v>
      </c>
    </row>
    <row r="491">
      <c r="A491" s="2">
        <f>(('Historical Data'!C493)-('Historical Data'!C492))/('Historical Data'!C492)</f>
        <v>0.006896551724</v>
      </c>
      <c r="C491" s="2">
        <f>(('Historical Data'!I493)-('Historical Data'!I492))/('Historical Data'!I492)</f>
        <v>-0.07883817427</v>
      </c>
      <c r="D491" s="2">
        <f>(('Historical Data'!L493)-('Historical Data'!L492))/('Historical Data'!L492)</f>
        <v>-0.0142118863</v>
      </c>
      <c r="E491" s="2">
        <f>(('Historical Data'!O493)-('Historical Data'!O492))/('Historical Data'!O492)</f>
        <v>0.02668621701</v>
      </c>
      <c r="F491" s="2">
        <f>(('Historical Data'!R493)-('Historical Data'!R492))/('Historical Data'!R492)</f>
        <v>-0.001508493474</v>
      </c>
    </row>
    <row r="492">
      <c r="A492" s="2">
        <f>(('Historical Data'!C494)-('Historical Data'!C493))/('Historical Data'!C493)</f>
        <v>-0.006849315068</v>
      </c>
      <c r="C492" s="2">
        <f>(('Historical Data'!I494)-('Historical Data'!I493))/('Historical Data'!I493)</f>
        <v>-0.08783783784</v>
      </c>
      <c r="D492" s="2">
        <f>(('Historical Data'!L494)-('Historical Data'!L493))/('Historical Data'!L493)</f>
        <v>0.0128877239</v>
      </c>
      <c r="E492" s="2">
        <f>(('Historical Data'!O494)-('Historical Data'!O493))/('Historical Data'!O493)</f>
        <v>-0.005998286204</v>
      </c>
      <c r="F492" s="2">
        <f>(('Historical Data'!R494)-('Historical Data'!R493))/('Historical Data'!R493)</f>
        <v>0.00394114556</v>
      </c>
    </row>
    <row r="493">
      <c r="A493" s="2">
        <f>(('Historical Data'!C495)-('Historical Data'!C494))/('Historical Data'!C494)</f>
        <v>-0.02332657201</v>
      </c>
      <c r="C493" s="2">
        <f>(('Historical Data'!I495)-('Historical Data'!I494))/('Historical Data'!I494)</f>
        <v>-0.004938271605</v>
      </c>
      <c r="D493" s="2">
        <f>(('Historical Data'!L495)-('Historical Data'!L494))/('Historical Data'!L494)</f>
        <v>-0.004528790166</v>
      </c>
      <c r="E493" s="2">
        <f>(('Historical Data'!O495)-('Historical Data'!O494))/('Historical Data'!O494)</f>
        <v>-0.01494252874</v>
      </c>
      <c r="F493" s="2">
        <f>(('Historical Data'!R495)-('Historical Data'!R494))/('Historical Data'!R494)</f>
        <v>-0.01131902643</v>
      </c>
    </row>
    <row r="494">
      <c r="A494" s="2">
        <f>(('Historical Data'!C496)-('Historical Data'!C495))/('Historical Data'!C495)</f>
        <v>-0.007061266874</v>
      </c>
      <c r="C494" s="2">
        <f>(('Historical Data'!I496)-('Historical Data'!I495))/('Historical Data'!I495)</f>
        <v>-0.07692307692</v>
      </c>
      <c r="D494" s="2">
        <f>(('Historical Data'!L496)-('Historical Data'!L495))/('Historical Data'!L495)</f>
        <v>-0.01494800693</v>
      </c>
      <c r="E494" s="2">
        <f>(('Historical Data'!O496)-('Historical Data'!O495))/('Historical Data'!O495)</f>
        <v>-0.01750291715</v>
      </c>
      <c r="F494" s="2">
        <f>(('Historical Data'!R496)-('Historical Data'!R495))/('Historical Data'!R495)</f>
        <v>-0.004433856131</v>
      </c>
    </row>
    <row r="495">
      <c r="A495" s="2">
        <f>(('Historical Data'!C497)-('Historical Data'!C496))/('Historical Data'!C496)</f>
        <v>-0.008575611797</v>
      </c>
      <c r="C495" s="2">
        <f>(('Historical Data'!I497)-('Historical Data'!I496))/('Historical Data'!I496)</f>
        <v>0.005376344086</v>
      </c>
      <c r="D495" s="2">
        <f>(('Historical Data'!L497)-('Historical Data'!L496))/('Historical Data'!L496)</f>
        <v>-0.006377831537</v>
      </c>
      <c r="E495" s="2">
        <f>(('Historical Data'!O497)-('Historical Data'!O496))/('Historical Data'!O496)</f>
        <v>0.008016627078</v>
      </c>
      <c r="F495" s="2">
        <f>(('Historical Data'!R497)-('Historical Data'!R496))/('Historical Data'!R496)</f>
        <v>-0.0002658867323</v>
      </c>
    </row>
    <row r="496">
      <c r="A496" s="2">
        <f>(('Historical Data'!C498)-('Historical Data'!C497))/('Historical Data'!C497)</f>
        <v>-0.0006329113924</v>
      </c>
      <c r="C496" s="2">
        <f>(('Historical Data'!I498)-('Historical Data'!I497))/('Historical Data'!I497)</f>
        <v>0.01604278075</v>
      </c>
      <c r="D496" s="2">
        <f>(('Historical Data'!L498)-('Historical Data'!L497))/('Historical Data'!L497)</f>
        <v>-0.003984063745</v>
      </c>
      <c r="E496" s="2">
        <f>(('Historical Data'!O498)-('Historical Data'!O497))/('Historical Data'!O497)</f>
        <v>0.00382916053</v>
      </c>
      <c r="F496" s="2">
        <f>(('Historical Data'!R498)-('Historical Data'!R497))/('Historical Data'!R497)</f>
        <v>0.0003989361702</v>
      </c>
    </row>
    <row r="497">
      <c r="A497" s="2">
        <f>(('Historical Data'!C499)-('Historical Data'!C498))/('Historical Data'!C498)</f>
        <v>0.006122018155</v>
      </c>
      <c r="C497" s="2">
        <f>(('Historical Data'!I499)-('Historical Data'!I498))/('Historical Data'!I498)</f>
        <v>-0.04473684211</v>
      </c>
      <c r="D497" s="2">
        <f>(('Historical Data'!L499)-('Historical Data'!L498))/('Historical Data'!L498)</f>
        <v>0.01155555556</v>
      </c>
      <c r="E497" s="2">
        <f>(('Historical Data'!O499)-('Historical Data'!O498))/('Historical Data'!O498)</f>
        <v>0.02787558685</v>
      </c>
      <c r="F497" s="2">
        <f>(('Historical Data'!R499)-('Historical Data'!R498))/('Historical Data'!R498)</f>
        <v>0.009171872923</v>
      </c>
    </row>
    <row r="498">
      <c r="A498" s="2">
        <f>(('Historical Data'!C500)-('Historical Data'!C499))/('Historical Data'!C499)</f>
        <v>-0.007133864876</v>
      </c>
      <c r="C498" s="2">
        <f>(('Historical Data'!I500)-('Historical Data'!I499))/('Historical Data'!I499)</f>
        <v>-0.02203856749</v>
      </c>
      <c r="D498" s="2">
        <f>(('Historical Data'!L500)-('Historical Data'!L499))/('Historical Data'!L499)</f>
        <v>0.01603690685</v>
      </c>
      <c r="E498" s="2">
        <f>(('Historical Data'!O500)-('Historical Data'!O499))/('Historical Data'!O499)</f>
        <v>-0.01769911504</v>
      </c>
      <c r="F498" s="2">
        <f>(('Historical Data'!R500)-('Historical Data'!R499))/('Historical Data'!R499)</f>
        <v>0.002305057956</v>
      </c>
    </row>
    <row r="499">
      <c r="A499" s="2">
        <f>(('Historical Data'!C501)-('Historical Data'!C500))/('Historical Data'!C500)</f>
        <v>0.00338123415</v>
      </c>
      <c r="C499" s="2">
        <f>(('Historical Data'!I501)-('Historical Data'!I500))/('Historical Data'!I500)</f>
        <v>-0.08169014085</v>
      </c>
      <c r="D499" s="2">
        <f>(('Historical Data'!L501)-('Historical Data'!L500))/('Historical Data'!L500)</f>
        <v>-0.003243243243</v>
      </c>
      <c r="E499" s="2">
        <f>(('Historical Data'!O501)-('Historical Data'!O500))/('Historical Data'!O500)</f>
        <v>0.01743679163</v>
      </c>
      <c r="F499" s="2">
        <f>(('Historical Data'!R501)-('Historical Data'!R500))/('Historical Data'!R500)</f>
        <v>0.002825415599</v>
      </c>
    </row>
    <row r="500">
      <c r="A500" s="2">
        <f>(('Historical Data'!C502)-('Historical Data'!C501))/('Historical Data'!C501)</f>
        <v>0.001053074979</v>
      </c>
      <c r="C500" s="2">
        <f>(('Historical Data'!I502)-('Historical Data'!I501))/('Historical Data'!I501)</f>
        <v>0.02760736196</v>
      </c>
      <c r="D500" s="2">
        <f>(('Historical Data'!L502)-('Historical Data'!L501))/('Historical Data'!L501)</f>
        <v>-0.001518438178</v>
      </c>
      <c r="E500" s="2">
        <f>(('Historical Data'!O502)-('Historical Data'!O501))/('Historical Data'!O501)</f>
        <v>0.0008568980291</v>
      </c>
      <c r="F500" s="2">
        <f>(('Historical Data'!R502)-('Historical Data'!R501))/('Historical Data'!R501)</f>
        <v>0.0087144542</v>
      </c>
    </row>
    <row r="501">
      <c r="A501" s="2">
        <f>(('Historical Data'!C503)-('Historical Data'!C502))/('Historical Data'!C502)</f>
        <v>-0.009678098043</v>
      </c>
      <c r="C501" s="2">
        <f>(('Historical Data'!I503)-('Historical Data'!I502))/('Historical Data'!I502)</f>
        <v>-0.06865671642</v>
      </c>
      <c r="D501" s="2">
        <f>(('Historical Data'!L503)-('Historical Data'!L502))/('Historical Data'!L502)</f>
        <v>0.004562242016</v>
      </c>
      <c r="E501" s="2">
        <f>(('Historical Data'!O503)-('Historical Data'!O502))/('Historical Data'!O502)</f>
        <v>-0.01312785388</v>
      </c>
      <c r="F501" s="2">
        <f>(('Historical Data'!R503)-('Historical Data'!R502))/('Historical Data'!R502)</f>
        <v>-0.01292627476</v>
      </c>
    </row>
    <row r="502">
      <c r="A502" s="2">
        <f>(('Historical Data'!C504)-('Historical Data'!C503))/('Historical Data'!C503)</f>
        <v>0.009135330359</v>
      </c>
      <c r="C502" s="2">
        <f>(('Historical Data'!I504)-('Historical Data'!I503))/('Historical Data'!I503)</f>
        <v>0.03846153846</v>
      </c>
      <c r="D502" s="2">
        <f>(('Historical Data'!L504)-('Historical Data'!L503))/('Historical Data'!L503)</f>
        <v>-0.0002162629758</v>
      </c>
      <c r="E502" s="2">
        <f>(('Historical Data'!O504)-('Historical Data'!O503))/('Historical Data'!O503)</f>
        <v>0.003470213997</v>
      </c>
      <c r="F502" s="2">
        <f>(('Historical Data'!R504)-('Historical Data'!R503))/('Historical Data'!R503)</f>
        <v>0.004145827849</v>
      </c>
    </row>
    <row r="503">
      <c r="A503" s="2">
        <f>(('Historical Data'!C505)-('Historical Data'!C504))/('Historical Data'!C504)</f>
        <v>0.002947368421</v>
      </c>
      <c r="C503" s="2">
        <f>(('Historical Data'!I505)-('Historical Data'!I504))/('Historical Data'!I504)</f>
        <v>-0.009259259259</v>
      </c>
      <c r="D503" s="2">
        <f>(('Historical Data'!L505)-('Historical Data'!L504))/('Historical Data'!L504)</f>
        <v>-0.01773739996</v>
      </c>
      <c r="E503" s="2">
        <f>(('Historical Data'!O505)-('Historical Data'!O504))/('Historical Data'!O504)</f>
        <v>0.006628242075</v>
      </c>
      <c r="F503" s="2">
        <f>(('Historical Data'!R505)-('Historical Data'!R504))/('Historical Data'!R504)</f>
        <v>-0.006750114686</v>
      </c>
    </row>
    <row r="504">
      <c r="A504" s="2">
        <f>(('Historical Data'!C506)-('Historical Data'!C505))/('Historical Data'!C505)</f>
        <v>0.006297229219</v>
      </c>
      <c r="C504" s="2">
        <f>(('Historical Data'!I506)-('Historical Data'!I505))/('Historical Data'!I505)</f>
        <v>-0.05295950156</v>
      </c>
      <c r="D504" s="2">
        <f>(('Historical Data'!L506)-('Historical Data'!L505))/('Historical Data'!L505)</f>
        <v>0.03787711958</v>
      </c>
      <c r="E504" s="2">
        <f>(('Historical Data'!O506)-('Historical Data'!O505))/('Historical Data'!O505)</f>
        <v>-0.01746349843</v>
      </c>
      <c r="F504" s="2">
        <f>(('Historical Data'!R506)-('Historical Data'!R505))/('Historical Data'!R505)</f>
        <v>0.00006598046978</v>
      </c>
    </row>
    <row r="505">
      <c r="A505" s="2">
        <f>(('Historical Data'!C507)-('Historical Data'!C506))/('Historical Data'!C506)</f>
        <v>-0.008135168961</v>
      </c>
      <c r="C505" s="2">
        <f>(('Historical Data'!I507)-('Historical Data'!I506))/('Historical Data'!I506)</f>
        <v>-0.01315789474</v>
      </c>
      <c r="D505" s="2">
        <f>(('Historical Data'!L507)-('Historical Data'!L506))/('Historical Data'!L506)</f>
        <v>0.006789730533</v>
      </c>
      <c r="E505" s="2">
        <f>(('Historical Data'!O507)-('Historical Data'!O506))/('Historical Data'!O506)</f>
        <v>-0.01573426573</v>
      </c>
      <c r="F505" s="2">
        <f>(('Historical Data'!R507)-('Historical Data'!R506))/('Historical Data'!R506)</f>
        <v>0.004354423699</v>
      </c>
    </row>
    <row r="506">
      <c r="A506" s="2">
        <f>(('Historical Data'!C508)-('Historical Data'!C507))/('Historical Data'!C507)</f>
        <v>-0.01409043113</v>
      </c>
      <c r="C506" s="2">
        <f>(('Historical Data'!I508)-('Historical Data'!I507))/('Historical Data'!I507)</f>
        <v>0.09</v>
      </c>
      <c r="D506" s="2">
        <f>(('Historical Data'!L508)-('Historical Data'!L507))/('Historical Data'!L507)</f>
        <v>0.01833508957</v>
      </c>
      <c r="E506" s="2">
        <f>(('Historical Data'!O508)-('Historical Data'!O507))/('Historical Data'!O507)</f>
        <v>0.003552397869</v>
      </c>
      <c r="F506" s="2">
        <f>(('Historical Data'!R508)-('Historical Data'!R507))/('Historical Data'!R507)</f>
        <v>-0.01241542403</v>
      </c>
    </row>
    <row r="507">
      <c r="A507" s="2">
        <f>(('Historical Data'!C509)-('Historical Data'!C508))/('Historical Data'!C508)</f>
        <v>0.03071672355</v>
      </c>
      <c r="C507" s="2">
        <f>(('Historical Data'!I509)-('Historical Data'!I508))/('Historical Data'!I508)</f>
        <v>0.09480122324</v>
      </c>
      <c r="D507" s="2">
        <f>(('Historical Data'!L509)-('Historical Data'!L508))/('Historical Data'!L508)</f>
        <v>-0.006415562914</v>
      </c>
      <c r="E507" s="2">
        <f>(('Historical Data'!O509)-('Historical Data'!O508))/('Historical Data'!O508)</f>
        <v>0.01651917404</v>
      </c>
      <c r="F507" s="2">
        <f>(('Historical Data'!R509)-('Historical Data'!R508))/('Historical Data'!R508)</f>
        <v>0.02381269123</v>
      </c>
    </row>
    <row r="508">
      <c r="A508" s="2">
        <f>(('Historical Data'!C510)-('Historical Data'!C509))/('Historical Data'!C509)</f>
        <v>0.005380794702</v>
      </c>
      <c r="C508" s="2">
        <f>(('Historical Data'!I510)-('Historical Data'!I509))/('Historical Data'!I509)</f>
        <v>-0.03351955307</v>
      </c>
      <c r="D508" s="2">
        <f>(('Historical Data'!L510)-('Historical Data'!L509))/('Historical Data'!L509)</f>
        <v>0.00499895855</v>
      </c>
      <c r="E508" s="2">
        <f>(('Historical Data'!O510)-('Historical Data'!O509))/('Historical Data'!O509)</f>
        <v>0.008995937319</v>
      </c>
      <c r="F508" s="2">
        <f>(('Historical Data'!R510)-('Historical Data'!R509))/('Historical Data'!R509)</f>
        <v>-0.01221413721</v>
      </c>
    </row>
    <row r="509">
      <c r="A509" s="2">
        <f>(('Historical Data'!C511)-('Historical Data'!C510))/('Historical Data'!C510)</f>
        <v>0.004734458625</v>
      </c>
      <c r="C509" s="2">
        <f>(('Historical Data'!I511)-('Historical Data'!I510))/('Historical Data'!I510)</f>
        <v>0.02601156069</v>
      </c>
      <c r="D509" s="2">
        <f>(('Historical Data'!L511)-('Historical Data'!L510))/('Historical Data'!L510)</f>
        <v>-0.004352331606</v>
      </c>
      <c r="E509" s="2">
        <f>(('Historical Data'!O511)-('Historical Data'!O510))/('Historical Data'!O510)</f>
        <v>0.002300834052</v>
      </c>
      <c r="F509" s="2">
        <f>(('Historical Data'!R511)-('Historical Data'!R510))/('Historical Data'!R510)</f>
        <v>-0.0009865824783</v>
      </c>
    </row>
    <row r="510">
      <c r="A510" s="2">
        <f>(('Historical Data'!C512)-('Historical Data'!C511))/('Historical Data'!C511)</f>
        <v>0.008195042</v>
      </c>
      <c r="C510" s="2">
        <f>(('Historical Data'!I512)-('Historical Data'!I511))/('Historical Data'!I511)</f>
        <v>-0.05633802817</v>
      </c>
      <c r="D510" s="2">
        <f>(('Historical Data'!L512)-('Historical Data'!L511))/('Historical Data'!L511)</f>
        <v>0.0008326394671</v>
      </c>
      <c r="E510" s="2">
        <f>(('Historical Data'!O512)-('Historical Data'!O511))/('Historical Data'!O511)</f>
        <v>0.005451936872</v>
      </c>
      <c r="F510" s="2">
        <f>(('Historical Data'!R512)-('Historical Data'!R511))/('Historical Data'!R511)</f>
        <v>-0.008097965633</v>
      </c>
    </row>
    <row r="511">
      <c r="A511" s="2">
        <f>(('Historical Data'!C513)-('Historical Data'!C512))/('Historical Data'!C512)</f>
        <v>-0.00426742532</v>
      </c>
      <c r="C511" s="2">
        <f>(('Historical Data'!I513)-('Historical Data'!I512))/('Historical Data'!I512)</f>
        <v>0.06268656716</v>
      </c>
      <c r="D511" s="2">
        <f>(('Historical Data'!L513)-('Historical Data'!L512))/('Historical Data'!L512)</f>
        <v>0.01393510815</v>
      </c>
      <c r="E511" s="2">
        <f>(('Historical Data'!O513)-('Historical Data'!O512))/('Historical Data'!O512)</f>
        <v>0.007705479452</v>
      </c>
      <c r="F511" s="2">
        <f>(('Historical Data'!R513)-('Historical Data'!R512))/('Historical Data'!R512)</f>
        <v>-0.005641842559</v>
      </c>
    </row>
    <row r="512">
      <c r="A512" s="2">
        <f>(('Historical Data'!C514)-('Historical Data'!C513))/('Historical Data'!C513)</f>
        <v>-0.002448979592</v>
      </c>
      <c r="C512" s="2">
        <f>(('Historical Data'!I514)-('Historical Data'!I513))/('Historical Data'!I513)</f>
        <v>0.1853932584</v>
      </c>
      <c r="D512" s="2">
        <f>(('Historical Data'!L514)-('Historical Data'!L513))/('Historical Data'!L513)</f>
        <v>0.01784615385</v>
      </c>
      <c r="E512" s="2">
        <f>(('Historical Data'!O514)-('Historical Data'!O513))/('Historical Data'!O513)</f>
        <v>0.007080147267</v>
      </c>
      <c r="F512" s="2">
        <f>(('Historical Data'!R514)-('Historical Data'!R513))/('Historical Data'!R513)</f>
        <v>0.007142380348</v>
      </c>
    </row>
    <row r="513">
      <c r="A513" s="2">
        <f>(('Historical Data'!C515)-('Historical Data'!C514))/('Historical Data'!C514)</f>
        <v>-0.01636661211</v>
      </c>
      <c r="C513" s="2">
        <f>(('Historical Data'!I515)-('Historical Data'!I514))/('Historical Data'!I514)</f>
        <v>0.08767772512</v>
      </c>
      <c r="D513" s="2">
        <f>(('Historical Data'!L515)-('Historical Data'!L514))/('Historical Data'!L514)</f>
        <v>0.002619911326</v>
      </c>
      <c r="E513" s="2">
        <f>(('Historical Data'!O515)-('Historical Data'!O514))/('Historical Data'!O514)</f>
        <v>0.003655793026</v>
      </c>
      <c r="F513" s="2">
        <f>(('Historical Data'!R515)-('Historical Data'!R514))/('Historical Data'!R514)</f>
        <v>-0.002916224814</v>
      </c>
    </row>
    <row r="514">
      <c r="A514" s="2">
        <f>(('Historical Data'!C516)-('Historical Data'!C515))/('Historical Data'!C515)</f>
        <v>-0.02454242928</v>
      </c>
      <c r="C514" s="2">
        <f>(('Historical Data'!I516)-('Historical Data'!I515))/('Historical Data'!I515)</f>
        <v>-0.02832244009</v>
      </c>
      <c r="D514" s="2">
        <f>(('Historical Data'!L516)-('Historical Data'!L515))/('Historical Data'!L515)</f>
        <v>-0.005025125628</v>
      </c>
      <c r="E514" s="2">
        <f>(('Historical Data'!O516)-('Historical Data'!O515))/('Historical Data'!O515)</f>
        <v>-0.009806668535</v>
      </c>
      <c r="F514" s="2">
        <f>(('Historical Data'!R516)-('Historical Data'!R515))/('Historical Data'!R515)</f>
        <v>-0.02678808827</v>
      </c>
    </row>
    <row r="515">
      <c r="A515" s="2">
        <f>(('Historical Data'!C517)-('Historical Data'!C516))/('Historical Data'!C516)</f>
        <v>-0.009381663113</v>
      </c>
      <c r="C515" s="2">
        <f>(('Historical Data'!I517)-('Historical Data'!I516))/('Historical Data'!I516)</f>
        <v>-0.01793721973</v>
      </c>
      <c r="D515" s="2">
        <f>(('Historical Data'!L517)-('Historical Data'!L516))/('Historical Data'!L516)</f>
        <v>-0.0006060606061</v>
      </c>
      <c r="E515" s="2">
        <f>(('Historical Data'!O517)-('Historical Data'!O516))/('Historical Data'!O516)</f>
        <v>0.005659309564</v>
      </c>
      <c r="F515" s="2">
        <f>(('Historical Data'!R517)-('Historical Data'!R516))/('Historical Data'!R516)</f>
        <v>-0.02725223687</v>
      </c>
    </row>
    <row r="516">
      <c r="A516" s="2">
        <f>(('Historical Data'!C518)-('Historical Data'!C517))/('Historical Data'!C517)</f>
        <v>0.006887645286</v>
      </c>
      <c r="C516" s="2">
        <f>(('Historical Data'!I518)-('Historical Data'!I517))/('Historical Data'!I517)</f>
        <v>-0.009132420091</v>
      </c>
      <c r="D516" s="2">
        <f>(('Historical Data'!L518)-('Historical Data'!L517))/('Historical Data'!L517)</f>
        <v>-0.01334141904</v>
      </c>
      <c r="E516" s="2">
        <f>(('Historical Data'!O518)-('Historical Data'!O517))/('Historical Data'!O517)</f>
        <v>-0.001125492403</v>
      </c>
      <c r="F516" s="2">
        <f>(('Historical Data'!R518)-('Historical Data'!R517))/('Historical Data'!R517)</f>
        <v>0.003861817161</v>
      </c>
    </row>
    <row r="517">
      <c r="A517" s="2">
        <f>(('Historical Data'!C519)-('Historical Data'!C518))/('Historical Data'!C518)</f>
        <v>0.01539119282</v>
      </c>
      <c r="C517" s="2">
        <f>(('Historical Data'!I519)-('Historical Data'!I518))/('Historical Data'!I518)</f>
        <v>-0.04377880184</v>
      </c>
      <c r="D517" s="2">
        <f>(('Historical Data'!L519)-('Historical Data'!L518))/('Historical Data'!L518)</f>
        <v>0.00962917435</v>
      </c>
      <c r="E517" s="2">
        <f>(('Historical Data'!O519)-('Historical Data'!O518))/('Historical Data'!O518)</f>
        <v>0.002253521127</v>
      </c>
      <c r="F517" s="2">
        <f>(('Historical Data'!R519)-('Historical Data'!R518))/('Historical Data'!R518)</f>
        <v>-0.01342939078</v>
      </c>
    </row>
    <row r="518">
      <c r="A518" s="2">
        <f>(('Historical Data'!C520)-('Historical Data'!C519))/('Historical Data'!C519)</f>
        <v>0.006526315789</v>
      </c>
      <c r="C518" s="2">
        <f>(('Historical Data'!I520)-('Historical Data'!I519))/('Historical Data'!I519)</f>
        <v>0.1277108434</v>
      </c>
      <c r="D518" s="2">
        <f>(('Historical Data'!L520)-('Historical Data'!L519))/('Historical Data'!L519)</f>
        <v>0.01075487013</v>
      </c>
      <c r="E518" s="2">
        <f>(('Historical Data'!O520)-('Historical Data'!O519))/('Historical Data'!O519)</f>
        <v>-0.008150646431</v>
      </c>
      <c r="F518" s="2">
        <f>(('Historical Data'!R520)-('Historical Data'!R519))/('Historical Data'!R519)</f>
        <v>0.005459057072</v>
      </c>
    </row>
    <row r="519">
      <c r="A519" s="2">
        <f>(('Historical Data'!C521)-('Historical Data'!C520))/('Historical Data'!C520)</f>
        <v>0.003555741477</v>
      </c>
      <c r="C519" s="2">
        <f>(('Historical Data'!I521)-('Historical Data'!I520))/('Historical Data'!I520)</f>
        <v>-0.1196581197</v>
      </c>
      <c r="D519" s="2">
        <f>(('Historical Data'!L521)-('Historical Data'!L520))/('Historical Data'!L520)</f>
        <v>0.006424412769</v>
      </c>
      <c r="E519" s="2">
        <f>(('Historical Data'!O521)-('Historical Data'!O520))/('Historical Data'!O520)</f>
        <v>-0.001416831964</v>
      </c>
      <c r="F519" s="2">
        <f>(('Historical Data'!R521)-('Historical Data'!R520))/('Historical Data'!R520)</f>
        <v>-0.0007051191651</v>
      </c>
    </row>
    <row r="520">
      <c r="A520" s="2">
        <f>(('Historical Data'!C522)-('Historical Data'!C521))/('Historical Data'!C521)</f>
        <v>0.007503126303</v>
      </c>
      <c r="C520" s="2">
        <f>(('Historical Data'!I522)-('Historical Data'!I521))/('Historical Data'!I521)</f>
        <v>-0.145631068</v>
      </c>
      <c r="D520" s="2">
        <f>(('Historical Data'!L522)-('Historical Data'!L521))/('Historical Data'!L521)</f>
        <v>0.01635747058</v>
      </c>
      <c r="E520" s="2">
        <f>(('Historical Data'!O522)-('Historical Data'!O521))/('Historical Data'!O521)</f>
        <v>0.02866061294</v>
      </c>
      <c r="F520" s="2">
        <f>(('Historical Data'!R522)-('Historical Data'!R521))/('Historical Data'!R521)</f>
        <v>-0.004022015241</v>
      </c>
    </row>
    <row r="521">
      <c r="A521" s="2">
        <f>(('Historical Data'!C523)-('Historical Data'!C522))/('Historical Data'!C522)</f>
        <v>0.003516756309</v>
      </c>
      <c r="C521" s="2">
        <f>(('Historical Data'!I523)-('Historical Data'!I522))/('Historical Data'!I522)</f>
        <v>0.03125</v>
      </c>
      <c r="D521" s="2">
        <f>(('Historical Data'!L523)-('Historical Data'!L522))/('Historical Data'!L522)</f>
        <v>0.03042198234</v>
      </c>
      <c r="E521" s="2">
        <f>(('Historical Data'!O523)-('Historical Data'!O522))/('Historical Data'!O522)</f>
        <v>0.001931034483</v>
      </c>
      <c r="F521" s="2">
        <f>(('Historical Data'!R523)-('Historical Data'!R522))/('Historical Data'!R522)</f>
        <v>-0.00410910379</v>
      </c>
    </row>
    <row r="522">
      <c r="A522" s="2">
        <f>(('Historical Data'!C524)-('Historical Data'!C523))/('Historical Data'!C523)</f>
        <v>-0.005978148835</v>
      </c>
      <c r="C522" s="2">
        <f>(('Historical Data'!I524)-('Historical Data'!I523))/('Historical Data'!I523)</f>
        <v>-0.05509641873</v>
      </c>
      <c r="D522" s="2">
        <f>(('Historical Data'!L524)-('Historical Data'!L523))/('Historical Data'!L523)</f>
        <v>0.001714285714</v>
      </c>
      <c r="E522" s="2">
        <f>(('Historical Data'!O524)-('Historical Data'!O523))/('Historical Data'!O523)</f>
        <v>-0.004129955947</v>
      </c>
      <c r="F522" s="2">
        <f>(('Historical Data'!R524)-('Historical Data'!R523))/('Historical Data'!R523)</f>
        <v>0.003130113111</v>
      </c>
    </row>
    <row r="523">
      <c r="A523" s="2">
        <f>(('Historical Data'!C525)-('Historical Data'!C524))/('Historical Data'!C524)</f>
        <v>0.009332227292</v>
      </c>
      <c r="C523" s="2">
        <f>(('Historical Data'!I525)-('Historical Data'!I524))/('Historical Data'!I524)</f>
        <v>-0.00583090379</v>
      </c>
      <c r="D523" s="2">
        <f>(('Historical Data'!L525)-('Historical Data'!L524))/('Historical Data'!L524)</f>
        <v>0.007415858528</v>
      </c>
      <c r="E523" s="2">
        <f>(('Historical Data'!O525)-('Historical Data'!O524))/('Historical Data'!O524)</f>
        <v>0.001658833287</v>
      </c>
      <c r="F523" s="2">
        <f>(('Historical Data'!R525)-('Historical Data'!R524))/('Historical Data'!R524)</f>
        <v>0.009715623005</v>
      </c>
    </row>
    <row r="524">
      <c r="A524" s="2">
        <f>(('Historical Data'!C526)-('Historical Data'!C525))/('Historical Data'!C525)</f>
        <v>-0.002054653791</v>
      </c>
      <c r="C524" s="2">
        <f>(('Historical Data'!I526)-('Historical Data'!I525))/('Historical Data'!I525)</f>
        <v>0.03812316716</v>
      </c>
      <c r="D524" s="2">
        <f>(('Historical Data'!L526)-('Historical Data'!L525))/('Historical Data'!L525)</f>
        <v>-0.007550018875</v>
      </c>
      <c r="E524" s="2">
        <f>(('Historical Data'!O526)-('Historical Data'!O525))/('Historical Data'!O525)</f>
        <v>0.005796301408</v>
      </c>
      <c r="F524" s="2">
        <f>(('Historical Data'!R526)-('Historical Data'!R525))/('Historical Data'!R525)</f>
        <v>0.005689001264</v>
      </c>
    </row>
    <row r="525">
      <c r="A525" s="2">
        <f>(('Historical Data'!C527)-('Historical Data'!C526))/('Historical Data'!C526)</f>
        <v>0.01544163064</v>
      </c>
      <c r="C525" s="2">
        <f>(('Historical Data'!I527)-('Historical Data'!I526))/('Historical Data'!I526)</f>
        <v>-0.01694915254</v>
      </c>
      <c r="D525" s="2">
        <f>(('Historical Data'!L527)-('Historical Data'!L526))/('Historical Data'!L526)</f>
        <v>0.007607455306</v>
      </c>
      <c r="E525" s="2">
        <f>(('Historical Data'!O527)-('Historical Data'!O526))/('Historical Data'!O526)</f>
        <v>-0.03402854007</v>
      </c>
      <c r="F525" s="2">
        <f>(('Historical Data'!R527)-('Historical Data'!R526))/('Historical Data'!R526)</f>
        <v>-0.007123402472</v>
      </c>
    </row>
    <row r="526">
      <c r="A526" s="2">
        <f>(('Historical Data'!C528)-('Historical Data'!C527))/('Historical Data'!C527)</f>
        <v>-0.01399026764</v>
      </c>
      <c r="C526" s="2">
        <f>(('Historical Data'!I528)-('Historical Data'!I527))/('Historical Data'!I527)</f>
        <v>-0.0316091954</v>
      </c>
      <c r="D526" s="2">
        <f>(('Historical Data'!L528)-('Historical Data'!L527))/('Historical Data'!L527)</f>
        <v>0.009626274066</v>
      </c>
      <c r="E526" s="2">
        <f>(('Historical Data'!O528)-('Historical Data'!O527))/('Historical Data'!O527)</f>
        <v>-0.001420454545</v>
      </c>
      <c r="F526" s="2">
        <f>(('Historical Data'!R528)-('Historical Data'!R527))/('Historical Data'!R527)</f>
        <v>0.003094886404</v>
      </c>
    </row>
    <row r="527">
      <c r="A527" s="2">
        <f>(('Historical Data'!C529)-('Historical Data'!C528))/('Historical Data'!C528)</f>
        <v>-0.0217972445</v>
      </c>
      <c r="C527" s="2">
        <f>(('Historical Data'!I529)-('Historical Data'!I528))/('Historical Data'!I528)</f>
        <v>0.08308605341</v>
      </c>
      <c r="D527" s="2">
        <f>(('Historical Data'!L529)-('Historical Data'!L528))/('Historical Data'!L528)</f>
        <v>-0.002991213311</v>
      </c>
      <c r="E527" s="2">
        <f>(('Historical Data'!O529)-('Historical Data'!O528))/('Historical Data'!O528)</f>
        <v>-0.008819345661</v>
      </c>
      <c r="F527" s="2">
        <f>(('Historical Data'!R529)-('Historical Data'!R528))/('Historical Data'!R528)</f>
        <v>-0.008484678494</v>
      </c>
    </row>
    <row r="528">
      <c r="A528" s="2">
        <f>(('Historical Data'!C530)-('Historical Data'!C529))/('Historical Data'!C529)</f>
        <v>0.005675846122</v>
      </c>
      <c r="C528" s="2">
        <f>(('Historical Data'!I530)-('Historical Data'!I529))/('Historical Data'!I529)</f>
        <v>-0.07945205479</v>
      </c>
      <c r="D528" s="2">
        <f>(('Historical Data'!L530)-('Historical Data'!L529))/('Historical Data'!L529)</f>
        <v>-0.009375585974</v>
      </c>
      <c r="E528" s="2">
        <f>(('Historical Data'!O530)-('Historical Data'!O529))/('Historical Data'!O529)</f>
        <v>0.08352468427</v>
      </c>
      <c r="F528" s="2">
        <f>(('Historical Data'!R530)-('Historical Data'!R529))/('Historical Data'!R529)</f>
        <v>-0.009759547383</v>
      </c>
    </row>
    <row r="529">
      <c r="A529" s="2">
        <f>(('Historical Data'!C531)-('Historical Data'!C530))/('Historical Data'!C530)</f>
        <v>-0.01839464883</v>
      </c>
      <c r="C529" s="2">
        <f>(('Historical Data'!I531)-('Historical Data'!I530))/('Historical Data'!I530)</f>
        <v>-0.05357142857</v>
      </c>
      <c r="D529" s="2">
        <f>(('Historical Data'!L531)-('Historical Data'!L530))/('Historical Data'!L530)</f>
        <v>0.0117357562</v>
      </c>
      <c r="E529" s="2">
        <f>(('Historical Data'!O531)-('Historical Data'!O530))/('Historical Data'!O530)</f>
        <v>0.0238410596</v>
      </c>
      <c r="F529" s="2">
        <f>(('Historical Data'!R531)-('Historical Data'!R530))/('Historical Data'!R530)</f>
        <v>-0.01035566348</v>
      </c>
    </row>
    <row r="530">
      <c r="A530" s="2">
        <f>(('Historical Data'!C532)-('Historical Data'!C531))/('Historical Data'!C531)</f>
        <v>-0.004897785349</v>
      </c>
      <c r="C530" s="2">
        <f>(('Historical Data'!I532)-('Historical Data'!I531))/('Historical Data'!I531)</f>
        <v>-0.02830188679</v>
      </c>
      <c r="D530" s="2">
        <f>(('Historical Data'!L532)-('Historical Data'!L531))/('Historical Data'!L531)</f>
        <v>0.00374181478</v>
      </c>
      <c r="E530" s="2">
        <f>(('Historical Data'!O532)-('Historical Data'!O531))/('Historical Data'!O531)</f>
        <v>0.02328589909</v>
      </c>
      <c r="F530" s="2">
        <f>(('Historical Data'!R532)-('Historical Data'!R531))/('Historical Data'!R531)</f>
        <v>-0.01096918525</v>
      </c>
    </row>
    <row r="531">
      <c r="A531" s="2">
        <f>(('Historical Data'!C533)-('Historical Data'!C532))/('Historical Data'!C532)</f>
        <v>0.01134175048</v>
      </c>
      <c r="C531" s="2">
        <f>(('Historical Data'!I533)-('Historical Data'!I532))/('Historical Data'!I532)</f>
        <v>0.04530744337</v>
      </c>
      <c r="D531" s="2">
        <f>(('Historical Data'!L533)-('Historical Data'!L532))/('Historical Data'!L532)</f>
        <v>0.005964585275</v>
      </c>
      <c r="E531" s="2">
        <f>(('Historical Data'!O533)-('Historical Data'!O532))/('Historical Data'!O532)</f>
        <v>0.02781289507</v>
      </c>
      <c r="F531" s="2">
        <f>(('Historical Data'!R533)-('Historical Data'!R532))/('Historical Data'!R532)</f>
        <v>0.008828894564</v>
      </c>
    </row>
    <row r="532">
      <c r="A532" s="2">
        <f>(('Historical Data'!C534)-('Historical Data'!C533))/('Historical Data'!C533)</f>
        <v>0.01269572577</v>
      </c>
      <c r="C532" s="2">
        <f>(('Historical Data'!I534)-('Historical Data'!I533))/('Historical Data'!I533)</f>
        <v>0.0773993808</v>
      </c>
      <c r="D532" s="2">
        <f>(('Historical Data'!L534)-('Historical Data'!L533))/('Historical Data'!L533)</f>
        <v>-0.01259959237</v>
      </c>
      <c r="E532" s="2">
        <f>(('Historical Data'!O534)-('Historical Data'!O533))/('Historical Data'!O533)</f>
        <v>-0.0009840098401</v>
      </c>
      <c r="F532" s="2">
        <f>(('Historical Data'!R534)-('Historical Data'!R533))/('Historical Data'!R533)</f>
        <v>0.0130912773</v>
      </c>
    </row>
    <row r="533">
      <c r="A533" s="2">
        <f>(('Historical Data'!C535)-('Historical Data'!C534))/('Historical Data'!C534)</f>
        <v>-0.003343083995</v>
      </c>
      <c r="C533" s="2">
        <f>(('Historical Data'!I535)-('Historical Data'!I534))/('Historical Data'!I534)</f>
        <v>0.08908045977</v>
      </c>
      <c r="D533" s="2">
        <f>(('Historical Data'!L535)-('Historical Data'!L534))/('Historical Data'!L534)</f>
        <v>-0.004128354288</v>
      </c>
      <c r="E533" s="2">
        <f>(('Historical Data'!O535)-('Historical Data'!O534))/('Historical Data'!O534)</f>
        <v>0.01009603546</v>
      </c>
      <c r="F533" s="2">
        <f>(('Historical Data'!R535)-('Historical Data'!R534))/('Historical Data'!R534)</f>
        <v>-0.005640037124</v>
      </c>
    </row>
    <row r="534">
      <c r="A534" s="2">
        <f>(('Historical Data'!C536)-('Historical Data'!C535))/('Historical Data'!C535)</f>
        <v>0.01572327044</v>
      </c>
      <c r="C534" s="2">
        <f>(('Historical Data'!I536)-('Historical Data'!I535))/('Historical Data'!I535)</f>
        <v>-0.04749340369</v>
      </c>
      <c r="D534" s="2">
        <f>(('Historical Data'!L536)-('Historical Data'!L535))/('Historical Data'!L535)</f>
        <v>0.013566987</v>
      </c>
      <c r="E534" s="2">
        <f>(('Historical Data'!O536)-('Historical Data'!O535))/('Historical Data'!O535)</f>
        <v>-0.003412969283</v>
      </c>
      <c r="F534" s="2">
        <f>(('Historical Data'!R536)-('Historical Data'!R535))/('Historical Data'!R535)</f>
        <v>-0.002297530155</v>
      </c>
    </row>
    <row r="535">
      <c r="A535" s="2">
        <f>(('Historical Data'!C537)-('Historical Data'!C536))/('Historical Data'!C536)</f>
        <v>0.0524251806</v>
      </c>
      <c r="C535" s="2">
        <f>(('Historical Data'!I537)-('Historical Data'!I536))/('Historical Data'!I536)</f>
        <v>-0.05263157895</v>
      </c>
      <c r="D535" s="2">
        <f>(('Historical Data'!L537)-('Historical Data'!L536))/('Historical Data'!L536)</f>
        <v>-0.02621305075</v>
      </c>
      <c r="E535" s="2">
        <f>(('Historical Data'!O537)-('Historical Data'!O536))/('Historical Data'!O536)</f>
        <v>0.001712328767</v>
      </c>
      <c r="F535" s="2">
        <f>(('Historical Data'!R537)-('Historical Data'!R536))/('Historical Data'!R536)</f>
        <v>-0.01309729419</v>
      </c>
    </row>
    <row r="536">
      <c r="A536" s="2">
        <f>(('Historical Data'!C538)-('Historical Data'!C537))/('Historical Data'!C537)</f>
        <v>-0.004314571485</v>
      </c>
      <c r="C536" s="2">
        <f>(('Historical Data'!I538)-('Historical Data'!I537))/('Historical Data'!I537)</f>
        <v>0.149122807</v>
      </c>
      <c r="D536" s="2">
        <f>(('Historical Data'!L538)-('Historical Data'!L537))/('Historical Data'!L537)</f>
        <v>0.01069110347</v>
      </c>
      <c r="E536" s="2">
        <f>(('Historical Data'!O538)-('Historical Data'!O537))/('Historical Data'!O537)</f>
        <v>-0.02271062271</v>
      </c>
      <c r="F536" s="2">
        <f>(('Historical Data'!R538)-('Historical Data'!R537))/('Historical Data'!R537)</f>
        <v>0.02092751932</v>
      </c>
    </row>
    <row r="537">
      <c r="A537" s="2">
        <f>(('Historical Data'!C539)-('Historical Data'!C538))/('Historical Data'!C538)</f>
        <v>-0.02127240496</v>
      </c>
      <c r="C537" s="2">
        <f>(('Historical Data'!I539)-('Historical Data'!I538))/('Historical Data'!I538)</f>
        <v>-0.03562340967</v>
      </c>
      <c r="D537" s="2">
        <f>(('Historical Data'!L539)-('Historical Data'!L538))/('Historical Data'!L538)</f>
        <v>-0.03834529656</v>
      </c>
      <c r="E537" s="2">
        <f>(('Historical Data'!O539)-('Historical Data'!O538))/('Historical Data'!O538)</f>
        <v>-0.006246876562</v>
      </c>
      <c r="F537" s="2">
        <f>(('Historical Data'!R539)-('Historical Data'!R538))/('Historical Data'!R538)</f>
        <v>-0.0007142346975</v>
      </c>
    </row>
    <row r="538">
      <c r="A538" s="2">
        <f>(('Historical Data'!C540)-('Historical Data'!C539))/('Historical Data'!C539)</f>
        <v>-0.007647413967</v>
      </c>
      <c r="C538" s="2">
        <f>(('Historical Data'!I540)-('Historical Data'!I539))/('Historical Data'!I539)</f>
        <v>0.03166226913</v>
      </c>
      <c r="D538" s="2">
        <f>(('Historical Data'!L540)-('Historical Data'!L539))/('Historical Data'!L539)</f>
        <v>0.01237477902</v>
      </c>
      <c r="E538" s="2">
        <f>(('Historical Data'!O540)-('Historical Data'!O539))/('Historical Data'!O539)</f>
        <v>-0.02112144833</v>
      </c>
      <c r="F538" s="2">
        <f>(('Historical Data'!R540)-('Historical Data'!R539))/('Historical Data'!R539)</f>
        <v>0.004216996641</v>
      </c>
    </row>
    <row r="539">
      <c r="A539" s="2">
        <f>(('Historical Data'!C541)-('Historical Data'!C540))/('Historical Data'!C540)</f>
        <v>-0.00202798621</v>
      </c>
      <c r="C539" s="2">
        <f>(('Historical Data'!I541)-('Historical Data'!I540))/('Historical Data'!I540)</f>
        <v>0</v>
      </c>
      <c r="D539" s="2">
        <f>(('Historical Data'!L541)-('Historical Data'!L540))/('Historical Data'!L540)</f>
        <v>-0.01105937136</v>
      </c>
      <c r="E539" s="2">
        <f>(('Historical Data'!O541)-('Historical Data'!O540))/('Historical Data'!O540)</f>
        <v>0.01926534806</v>
      </c>
      <c r="F539" s="2">
        <f>(('Historical Data'!R541)-('Historical Data'!R540))/('Historical Data'!R540)</f>
        <v>-0.003202846975</v>
      </c>
    </row>
    <row r="540">
      <c r="A540" s="2">
        <f>(('Historical Data'!C542)-('Historical Data'!C541))/('Historical Data'!C541)</f>
        <v>-0.01483438326</v>
      </c>
      <c r="C540" s="2">
        <f>(('Historical Data'!I542)-('Historical Data'!I541))/('Historical Data'!I541)</f>
        <v>0.04347826087</v>
      </c>
      <c r="D540" s="2">
        <f>(('Historical Data'!L542)-('Historical Data'!L541))/('Historical Data'!L541)</f>
        <v>0.005689621346</v>
      </c>
      <c r="E540" s="2">
        <f>(('Historical Data'!O542)-('Historical Data'!O541))/('Historical Data'!O541)</f>
        <v>0.0005040322581</v>
      </c>
      <c r="F540" s="2">
        <f>(('Historical Data'!R542)-('Historical Data'!R541))/('Historical Data'!R541)</f>
        <v>-0.005640842556</v>
      </c>
    </row>
    <row r="541">
      <c r="A541" s="2">
        <f>(('Historical Data'!C543)-('Historical Data'!C542))/('Historical Data'!C542)</f>
        <v>0.005156765677</v>
      </c>
      <c r="C541" s="2">
        <f>(('Historical Data'!I543)-('Historical Data'!I542))/('Historical Data'!I542)</f>
        <v>-0.07107843137</v>
      </c>
      <c r="D541" s="2">
        <f>(('Historical Data'!L543)-('Historical Data'!L542))/('Historical Data'!L542)</f>
        <v>0.01443620757</v>
      </c>
      <c r="E541" s="2">
        <f>(('Historical Data'!O543)-('Historical Data'!O542))/('Historical Data'!O542)</f>
        <v>0.01309823678</v>
      </c>
      <c r="F541" s="2">
        <f>(('Historical Data'!R543)-('Historical Data'!R542))/('Historical Data'!R542)</f>
        <v>-0.0008616975442</v>
      </c>
    </row>
    <row r="542">
      <c r="A542" s="2">
        <f>(('Historical Data'!C544)-('Historical Data'!C543))/('Historical Data'!C543)</f>
        <v>-0.00636158424</v>
      </c>
      <c r="C542" s="2">
        <f>(('Historical Data'!I544)-('Historical Data'!I543))/('Historical Data'!I543)</f>
        <v>0.02374670185</v>
      </c>
      <c r="D542" s="2">
        <f>(('Historical Data'!L544)-('Historical Data'!L543))/('Historical Data'!L543)</f>
        <v>-0.006538461538</v>
      </c>
      <c r="E542" s="2">
        <f>(('Historical Data'!O544)-('Historical Data'!O543))/('Historical Data'!O543)</f>
        <v>-0.01541521631</v>
      </c>
      <c r="F542" s="2">
        <f>(('Historical Data'!R544)-('Historical Data'!R543))/('Historical Data'!R543)</f>
        <v>-0.01135546931</v>
      </c>
    </row>
    <row r="543">
      <c r="A543" s="2">
        <f>(('Historical Data'!C545)-('Historical Data'!C544))/('Historical Data'!C544)</f>
        <v>-0.001652209831</v>
      </c>
      <c r="C543" s="2">
        <f>(('Historical Data'!I545)-('Historical Data'!I544))/('Historical Data'!I544)</f>
        <v>-0.005154639175</v>
      </c>
      <c r="D543" s="2">
        <f>(('Historical Data'!L545)-('Historical Data'!L544))/('Historical Data'!L544)</f>
        <v>0.002516453736</v>
      </c>
      <c r="E543" s="2">
        <f>(('Historical Data'!O545)-('Historical Data'!O544))/('Historical Data'!O544)</f>
        <v>0.008333333333</v>
      </c>
      <c r="F543" s="2">
        <f>(('Historical Data'!R545)-('Historical Data'!R544))/('Historical Data'!R544)</f>
        <v>0.0007269555103</v>
      </c>
    </row>
    <row r="544">
      <c r="A544" s="2">
        <f>(('Historical Data'!C546)-('Historical Data'!C545))/('Historical Data'!C545)</f>
        <v>0.003930492346</v>
      </c>
      <c r="D544" s="2">
        <f>(('Historical Data'!L546)-('Historical Data'!L545))/('Historical Data'!L545)</f>
        <v>0.0160262599</v>
      </c>
      <c r="E544" s="2">
        <f>(('Historical Data'!O546)-('Historical Data'!O545))/('Historical Data'!O545)</f>
        <v>0.00826446281</v>
      </c>
      <c r="F544" s="2">
        <f>(('Historical Data'!R546)-('Historical Data'!R545))/('Historical Data'!R545)</f>
        <v>0.01648990266</v>
      </c>
    </row>
    <row r="545">
      <c r="A545" s="2">
        <f>(('Historical Data'!C547)-('Historical Data'!C546))/('Historical Data'!C546)</f>
        <v>0.01545435813</v>
      </c>
      <c r="D545" s="2">
        <f>(('Historical Data'!L547)-('Historical Data'!L546))/('Historical Data'!L546)</f>
        <v>-0.01254275941</v>
      </c>
      <c r="E545" s="2">
        <f>(('Historical Data'!O547)-('Historical Data'!O546))/('Historical Data'!O546)</f>
        <v>-0.0009935419771</v>
      </c>
      <c r="F545" s="2">
        <f>(('Historical Data'!R547)-('Historical Data'!R546))/('Historical Data'!R546)</f>
        <v>0.007289358965</v>
      </c>
    </row>
    <row r="546">
      <c r="A546" s="2">
        <f>(('Historical Data'!C548)-('Historical Data'!C547))/('Historical Data'!C547)</f>
        <v>0.002840909091</v>
      </c>
      <c r="D546" s="2">
        <f>(('Historical Data'!L548)-('Historical Data'!L547))/('Historical Data'!L547)</f>
        <v>-0.01193225558</v>
      </c>
      <c r="E546" s="2">
        <f>(('Historical Data'!O548)-('Historical Data'!O547))/('Historical Data'!O547)</f>
        <v>0.004972650423</v>
      </c>
      <c r="F546" s="2">
        <f>(('Historical Data'!R548)-('Historical Data'!R547))/('Historical Data'!R547)</f>
        <v>-0.004256828663</v>
      </c>
    </row>
    <row r="547">
      <c r="A547" s="2">
        <f>(('Historical Data'!C549)-('Historical Data'!C548))/('Historical Data'!C548)</f>
        <v>-0.01031970862</v>
      </c>
      <c r="D547" s="2">
        <f>(('Historical Data'!L549)-('Historical Data'!L548))/('Historical Data'!L548)</f>
        <v>0.008765095442</v>
      </c>
      <c r="E547" s="2">
        <f>(('Historical Data'!O549)-('Historical Data'!O548))/('Historical Data'!O548)</f>
        <v>-0.01533894112</v>
      </c>
      <c r="F547" s="2">
        <f>(('Historical Data'!R549)-('Historical Data'!R548))/('Historical Data'!R548)</f>
        <v>-0.01987887424</v>
      </c>
    </row>
    <row r="548">
      <c r="A548" s="2">
        <f>(('Historical Data'!C550)-('Historical Data'!C549))/('Historical Data'!C549)</f>
        <v>0.004089143324</v>
      </c>
      <c r="D548" s="2">
        <f>(('Historical Data'!L550)-('Historical Data'!L549))/('Historical Data'!L549)</f>
        <v>-0.0003861749372</v>
      </c>
      <c r="E548" s="2">
        <f>(('Historical Data'!O550)-('Historical Data'!O549))/('Historical Data'!O549)</f>
        <v>-0.00351758794</v>
      </c>
      <c r="F548" s="2">
        <f>(('Historical Data'!R550)-('Historical Data'!R549))/('Historical Data'!R549)</f>
        <v>0.0001453911021</v>
      </c>
    </row>
    <row r="549">
      <c r="A549" s="2">
        <f>(('Historical Data'!C551)-('Historical Data'!C550))/('Historical Data'!C550)</f>
        <v>-0.006108735492</v>
      </c>
      <c r="D549" s="2">
        <f>(('Historical Data'!L551)-('Historical Data'!L550))/('Historical Data'!L550)</f>
        <v>-0.008112806645</v>
      </c>
      <c r="E549" s="2">
        <f>(('Historical Data'!O551)-('Historical Data'!O550))/('Historical Data'!O550)</f>
        <v>-0.008068582955</v>
      </c>
      <c r="F549" s="2">
        <f>(('Historical Data'!R551)-('Historical Data'!R550))/('Historical Data'!R550)</f>
        <v>-0.007341183312</v>
      </c>
    </row>
    <row r="550">
      <c r="A550" s="2">
        <f>(('Historical Data'!C552)-('Historical Data'!C551))/('Historical Data'!C551)</f>
        <v>-0.00512190125</v>
      </c>
      <c r="D550" s="2">
        <f>(('Historical Data'!L552)-('Historical Data'!L551))/('Historical Data'!L551)</f>
        <v>0.004868549172</v>
      </c>
      <c r="E550" s="2">
        <f>(('Historical Data'!O552)-('Historical Data'!O551))/('Historical Data'!O551)</f>
        <v>-0.008388408744</v>
      </c>
      <c r="F550" s="2">
        <f>(('Historical Data'!R552)-('Historical Data'!R551))/('Historical Data'!R551)</f>
        <v>0.004539796441</v>
      </c>
    </row>
    <row r="551">
      <c r="A551" s="2">
        <f>(('Historical Data'!C553)-('Historical Data'!C552))/('Historical Data'!C552)</f>
        <v>-0.003088962109</v>
      </c>
      <c r="D551" s="2">
        <f>(('Historical Data'!L553)-('Historical Data'!L552))/('Historical Data'!L552)</f>
        <v>-0.002713178295</v>
      </c>
      <c r="E551" s="2">
        <f>(('Historical Data'!O553)-('Historical Data'!O552))/('Historical Data'!O552)</f>
        <v>-0.0256344527</v>
      </c>
      <c r="F551" s="2">
        <f>(('Historical Data'!R553)-('Historical Data'!R552))/('Historical Data'!R552)</f>
        <v>0.006924702967</v>
      </c>
    </row>
    <row r="552">
      <c r="A552" s="2">
        <f>(('Historical Data'!C554)-('Historical Data'!C553))/('Historical Data'!C553)</f>
        <v>0.01322040901</v>
      </c>
      <c r="D552" s="2">
        <f>(('Historical Data'!L554)-('Historical Data'!L553))/('Historical Data'!L553)</f>
        <v>-0.0326467159</v>
      </c>
      <c r="E552" s="2">
        <f>(('Historical Data'!O554)-('Historical Data'!O553))/('Historical Data'!O553)</f>
        <v>0.006314127861</v>
      </c>
      <c r="F552" s="2">
        <f>(('Historical Data'!R554)-('Historical Data'!R553))/('Historical Data'!R553)</f>
        <v>0.0123787462</v>
      </c>
    </row>
    <row r="553">
      <c r="A553" s="2">
        <f>(('Historical Data'!C555)-('Historical Data'!C554))/('Historical Data'!C554)</f>
        <v>0.0002038735984</v>
      </c>
      <c r="D553" s="2">
        <f>(('Historical Data'!L555)-('Historical Data'!L554))/('Historical Data'!L554)</f>
        <v>-0.05122539172</v>
      </c>
      <c r="E553" s="2">
        <f>(('Historical Data'!O555)-('Historical Data'!O554))/('Historical Data'!O554)</f>
        <v>-0.06274509804</v>
      </c>
      <c r="F553" s="2">
        <f>(('Historical Data'!R555)-('Historical Data'!R554))/('Historical Data'!R554)</f>
        <v>0.01415802646</v>
      </c>
    </row>
    <row r="554">
      <c r="A554" s="2">
        <f>(('Historical Data'!C556)-('Historical Data'!C555))/('Historical Data'!C555)</f>
        <v>0.02160619649</v>
      </c>
      <c r="D554" s="2">
        <f>(('Historical Data'!L556)-('Historical Data'!L555))/('Historical Data'!L555)</f>
        <v>0.02138471311</v>
      </c>
      <c r="E554" s="2">
        <f>(('Historical Data'!O556)-('Historical Data'!O555))/('Historical Data'!O555)</f>
        <v>-0.006415620642</v>
      </c>
      <c r="F554" s="2">
        <f>(('Historical Data'!R556)-('Historical Data'!R555))/('Historical Data'!R555)</f>
        <v>0.007473736163</v>
      </c>
    </row>
    <row r="555">
      <c r="A555" s="2">
        <f>(('Historical Data'!C557)-('Historical Data'!C556))/('Historical Data'!C556)</f>
        <v>0.001396648045</v>
      </c>
      <c r="D555" s="2">
        <f>(('Historical Data'!L557)-('Historical Data'!L556))/('Historical Data'!L556)</f>
        <v>-0.0460199005</v>
      </c>
      <c r="E555" s="2">
        <f>(('Historical Data'!O557)-('Historical Data'!O556))/('Historical Data'!O556)</f>
        <v>-0.01263335205</v>
      </c>
      <c r="F555" s="2">
        <f>(('Historical Data'!R557)-('Historical Data'!R556))/('Historical Data'!R556)</f>
        <v>0.0002799356148</v>
      </c>
    </row>
    <row r="556">
      <c r="A556" s="2">
        <f>(('Historical Data'!C558)-('Historical Data'!C557))/('Historical Data'!C557)</f>
        <v>0.01494321578</v>
      </c>
      <c r="D556" s="2">
        <f>(('Historical Data'!L558)-('Historical Data'!L557))/('Historical Data'!L557)</f>
        <v>0.03150803998</v>
      </c>
      <c r="E556" s="2">
        <f>(('Historical Data'!O558)-('Historical Data'!O557))/('Historical Data'!O557)</f>
        <v>0.01791299403</v>
      </c>
      <c r="F556" s="2">
        <f>(('Historical Data'!R558)-('Historical Data'!R557))/('Historical Data'!R557)</f>
        <v>0.01539215</v>
      </c>
    </row>
    <row r="557">
      <c r="A557" s="2">
        <f>(('Historical Data'!C559)-('Historical Data'!C558))/('Historical Data'!C558)</f>
        <v>-0.005300353357</v>
      </c>
      <c r="D557" s="2">
        <f>(('Historical Data'!L559)-('Historical Data'!L558))/('Historical Data'!L558)</f>
        <v>-0.02570044238</v>
      </c>
      <c r="E557" s="2">
        <f>(('Historical Data'!O559)-('Historical Data'!O558))/('Historical Data'!O558)</f>
        <v>0.03407821229</v>
      </c>
      <c r="F557" s="2">
        <f>(('Historical Data'!R559)-('Historical Data'!R558))/('Historical Data'!R558)</f>
        <v>-0.007234892855</v>
      </c>
    </row>
    <row r="558">
      <c r="A558" s="2">
        <f>(('Historical Data'!C560)-('Historical Data'!C559))/('Historical Data'!C559)</f>
        <v>-0.02388000789</v>
      </c>
      <c r="D558" s="2">
        <f>(('Historical Data'!L560)-('Historical Data'!L559))/('Historical Data'!L559)</f>
        <v>-0.003027027027</v>
      </c>
      <c r="E558" s="2">
        <f>(('Historical Data'!O560)-('Historical Data'!O559))/('Historical Data'!O559)</f>
        <v>-0.005402485143</v>
      </c>
      <c r="F558" s="2">
        <f>(('Historical Data'!R560)-('Historical Data'!R559))/('Historical Data'!R559)</f>
        <v>-0.0006246529706</v>
      </c>
    </row>
    <row r="559">
      <c r="A559" s="2">
        <f>(('Historical Data'!C561)-('Historical Data'!C560))/('Historical Data'!C560)</f>
        <v>0.005458956733</v>
      </c>
      <c r="D559" s="2">
        <f>(('Historical Data'!L561)-('Historical Data'!L560))/('Historical Data'!L560)</f>
        <v>0.04445890262</v>
      </c>
      <c r="E559" s="2">
        <f>(('Historical Data'!O561)-('Historical Data'!O560))/('Historical Data'!O560)</f>
        <v>-0.009234111896</v>
      </c>
      <c r="F559" s="2">
        <f>(('Historical Data'!R561)-('Historical Data'!R560))/('Historical Data'!R560)</f>
        <v>-0.001388985346</v>
      </c>
    </row>
    <row r="560">
      <c r="A560" s="2">
        <f>(('Historical Data'!C562)-('Historical Data'!C561))/('Historical Data'!C561)</f>
        <v>0.01568469737</v>
      </c>
      <c r="D560" s="2">
        <f>(('Historical Data'!L562)-('Historical Data'!L561))/('Historical Data'!L561)</f>
        <v>-0.008098006645</v>
      </c>
      <c r="E560" s="2">
        <f>(('Historical Data'!O562)-('Historical Data'!O561))/('Historical Data'!O561)</f>
        <v>-0.01644736842</v>
      </c>
      <c r="F560" s="2">
        <f>(('Historical Data'!R562)-('Historical Data'!R561))/('Historical Data'!R561)</f>
        <v>0.02037693859</v>
      </c>
    </row>
    <row r="561">
      <c r="A561" s="2">
        <f>(('Historical Data'!C563)-('Historical Data'!C562))/('Historical Data'!C562)</f>
        <v>0.0005939417937</v>
      </c>
      <c r="D561" s="2">
        <f>(('Historical Data'!L563)-('Historical Data'!L562))/('Historical Data'!L562)</f>
        <v>-0.01925894913</v>
      </c>
      <c r="E561" s="2">
        <f>(('Historical Data'!O563)-('Historical Data'!O562))/('Historical Data'!O562)</f>
        <v>0.02787068004</v>
      </c>
      <c r="F561" s="2">
        <f>(('Historical Data'!R563)-('Historical Data'!R562))/('Historical Data'!R562)</f>
        <v>-0.005248091603</v>
      </c>
    </row>
    <row r="562">
      <c r="A562" s="2">
        <f>(('Historical Data'!C564)-('Historical Data'!C563))/('Historical Data'!C563)</f>
        <v>-0.002967946181</v>
      </c>
      <c r="D562" s="2">
        <f>(('Historical Data'!L564)-('Historical Data'!L563))/('Historical Data'!L563)</f>
        <v>-0.02411953042</v>
      </c>
      <c r="E562" s="2">
        <f>(('Historical Data'!O564)-('Historical Data'!O563))/('Historical Data'!O563)</f>
        <v>0.0149132321</v>
      </c>
      <c r="F562" s="2">
        <f>(('Historical Data'!R564)-('Historical Data'!R563))/('Historical Data'!R563)</f>
        <v>0.002809181226</v>
      </c>
    </row>
    <row r="563">
      <c r="A563" s="2">
        <f>(('Historical Data'!C565)-('Historical Data'!C564))/('Historical Data'!C564)</f>
        <v>0.01547926176</v>
      </c>
      <c r="D563" s="2">
        <f>(('Historical Data'!L565)-('Historical Data'!L564))/('Historical Data'!L564)</f>
        <v>0.01312335958</v>
      </c>
      <c r="E563" s="2">
        <f>(('Historical Data'!O565)-('Historical Data'!O564))/('Historical Data'!O564)</f>
        <v>0.00694629976</v>
      </c>
      <c r="F563" s="2">
        <f>(('Historical Data'!R565)-('Historical Data'!R564))/('Historical Data'!R564)</f>
        <v>0.003074610549</v>
      </c>
    </row>
    <row r="564">
      <c r="A564" s="2">
        <f>(('Historical Data'!C566)-('Historical Data'!C565))/('Historical Data'!C565)</f>
        <v>0.005081102208</v>
      </c>
      <c r="D564" s="2">
        <f>(('Historical Data'!L566)-('Historical Data'!L565))/('Historical Data'!L565)</f>
        <v>0.001727115717</v>
      </c>
      <c r="E564" s="2">
        <f>(('Historical Data'!O566)-('Historical Data'!O565))/('Historical Data'!O565)</f>
        <v>0.007694348634</v>
      </c>
      <c r="F564" s="2">
        <f>(('Historical Data'!R566)-('Historical Data'!R565))/('Historical Data'!R565)</f>
        <v>0.004359376064</v>
      </c>
    </row>
    <row r="565">
      <c r="A565" s="2">
        <f>(('Historical Data'!C567)-('Historical Data'!C566))/('Historical Data'!C566)</f>
        <v>0.01652731869</v>
      </c>
      <c r="D565" s="2">
        <f>(('Historical Data'!L567)-('Historical Data'!L566))/('Historical Data'!L566)</f>
        <v>0.01573275862</v>
      </c>
      <c r="E565" s="2">
        <f>(('Historical Data'!O567)-('Historical Data'!O566))/('Historical Data'!O566)</f>
        <v>-0.001053185887</v>
      </c>
      <c r="F565" s="2">
        <f>(('Historical Data'!R567)-('Historical Data'!R566))/('Historical Data'!R566)</f>
        <v>0.008409630383</v>
      </c>
    </row>
    <row r="566">
      <c r="A566" s="2">
        <f>(('Historical Data'!C568)-('Historical Data'!C567))/('Historical Data'!C567)</f>
        <v>0.0005738332058</v>
      </c>
      <c r="D566" s="2">
        <f>(('Historical Data'!L568)-('Historical Data'!L567))/('Historical Data'!L567)</f>
        <v>0.01357946107</v>
      </c>
      <c r="E566" s="2">
        <f>(('Historical Data'!O568)-('Historical Data'!O567))/('Historical Data'!O567)</f>
        <v>0.04744333158</v>
      </c>
      <c r="F566" s="2">
        <f>(('Historical Data'!R568)-('Historical Data'!R567))/('Historical Data'!R567)</f>
        <v>0.005514829511</v>
      </c>
    </row>
    <row r="567">
      <c r="A567" s="2">
        <f>(('Historical Data'!C569)-('Historical Data'!C568))/('Historical Data'!C568)</f>
        <v>-0.009367233799</v>
      </c>
      <c r="D567" s="2">
        <f>(('Historical Data'!L569)-('Historical Data'!L568))/('Historical Data'!L568)</f>
        <v>-0.001884027632</v>
      </c>
      <c r="E567" s="2">
        <f>(('Historical Data'!O569)-('Historical Data'!O568))/('Historical Data'!O568)</f>
        <v>-0.0103170609</v>
      </c>
      <c r="F567" s="2">
        <f>(('Historical Data'!R569)-('Historical Data'!R568))/('Historical Data'!R568)</f>
        <v>0.004815731389</v>
      </c>
    </row>
    <row r="568">
      <c r="A568" s="2">
        <f>(('Historical Data'!C570)-('Historical Data'!C569))/('Historical Data'!C569)</f>
        <v>0</v>
      </c>
      <c r="D568" s="2">
        <f>(('Historical Data'!L570)-('Historical Data'!L569))/('Historical Data'!L569)</f>
        <v>0.01174496644</v>
      </c>
      <c r="E568" s="2">
        <f>(('Historical Data'!O570)-('Historical Data'!O569))/('Historical Data'!O569)</f>
        <v>0.01423849479</v>
      </c>
      <c r="F568" s="2">
        <f>(('Historical Data'!R570)-('Historical Data'!R569))/('Historical Data'!R569)</f>
        <v>0.006856153897</v>
      </c>
    </row>
    <row r="569">
      <c r="A569" s="2">
        <f>(('Historical Data'!C571)-('Historical Data'!C570))/('Historical Data'!C570)</f>
        <v>-0.01061366268</v>
      </c>
      <c r="D569" s="2">
        <f>(('Historical Data'!L571)-('Historical Data'!L570))/('Historical Data'!L570)</f>
        <v>-0.002694859038</v>
      </c>
      <c r="E569" s="2">
        <f>(('Historical Data'!O571)-('Historical Data'!O570))/('Historical Data'!O570)</f>
        <v>-0.009526197042</v>
      </c>
      <c r="F569" s="2">
        <f>(('Historical Data'!R571)-('Historical Data'!R570))/('Historical Data'!R570)</f>
        <v>0.006346687822</v>
      </c>
    </row>
    <row r="570">
      <c r="A570" s="2">
        <f>(('Historical Data'!C572)-('Historical Data'!C571))/('Historical Data'!C571)</f>
        <v>0.001170275015</v>
      </c>
      <c r="D570" s="2">
        <f>(('Historical Data'!L572)-('Historical Data'!L571))/('Historical Data'!L571)</f>
        <v>0.00665142382</v>
      </c>
      <c r="E570" s="2">
        <f>(('Historical Data'!O572)-('Historical Data'!O571))/('Historical Data'!O571)</f>
        <v>0.004808909137</v>
      </c>
      <c r="F570" s="2">
        <f>(('Historical Data'!R572)-('Historical Data'!R571))/('Historical Data'!R571)</f>
        <v>-0.008277493102</v>
      </c>
    </row>
    <row r="571">
      <c r="A571" s="2">
        <f>(('Historical Data'!C573)-('Historical Data'!C572))/('Historical Data'!C572)</f>
        <v>-0.01383206702</v>
      </c>
      <c r="D571" s="2">
        <f>(('Historical Data'!L573)-('Historical Data'!L572))/('Historical Data'!L572)</f>
        <v>0.01218253149</v>
      </c>
      <c r="E571" s="2">
        <f>(('Historical Data'!O573)-('Historical Data'!O572))/('Historical Data'!O572)</f>
        <v>0.0040302267</v>
      </c>
      <c r="F571" s="2">
        <f>(('Historical Data'!R573)-('Historical Data'!R572))/('Historical Data'!R572)</f>
        <v>-0.001987281399</v>
      </c>
    </row>
    <row r="572">
      <c r="A572" s="2">
        <f>(('Historical Data'!C574)-('Historical Data'!C573))/('Historical Data'!C573)</f>
        <v>-0.01007506914</v>
      </c>
      <c r="D572" s="2">
        <f>(('Historical Data'!L574)-('Historical Data'!L573))/('Historical Data'!L573)</f>
        <v>0.008363933089</v>
      </c>
      <c r="E572" s="2">
        <f>(('Historical Data'!O574)-('Historical Data'!O573))/('Historical Data'!O573)</f>
        <v>0.008529854491</v>
      </c>
      <c r="F572" s="2">
        <f>(('Historical Data'!R574)-('Historical Data'!R573))/('Historical Data'!R573)</f>
        <v>0.002721359352</v>
      </c>
    </row>
    <row r="573">
      <c r="A573" s="2">
        <f>(('Historical Data'!C575)-('Historical Data'!C574))/('Historical Data'!C574)</f>
        <v>0.01376970665</v>
      </c>
      <c r="D573" s="2">
        <f>(('Historical Data'!L575)-('Historical Data'!L574))/('Historical Data'!L574)</f>
        <v>0.009103783128</v>
      </c>
      <c r="E573" s="2">
        <f>(('Historical Data'!O575)-('Historical Data'!O574))/('Historical Data'!O574)</f>
        <v>0.006467661692</v>
      </c>
      <c r="F573" s="2">
        <f>(('Historical Data'!R575)-('Historical Data'!R574))/('Historical Data'!R574)</f>
        <v>0.004633613557</v>
      </c>
    </row>
    <row r="574">
      <c r="A574" s="2">
        <f>(('Historical Data'!C576)-('Historical Data'!C575))/('Historical Data'!C575)</f>
        <v>-0.005118110236</v>
      </c>
      <c r="D574" s="2">
        <f>(('Historical Data'!L576)-('Historical Data'!L575))/('Historical Data'!L575)</f>
        <v>-0.0274659182</v>
      </c>
      <c r="E574" s="2">
        <f>(('Historical Data'!O576)-('Historical Data'!O575))/('Historical Data'!O575)</f>
        <v>0.002965892239</v>
      </c>
      <c r="F574" s="2">
        <f>(('Historical Data'!R576)-('Historical Data'!R575))/('Historical Data'!R575)</f>
        <v>-0.005073466429</v>
      </c>
    </row>
    <row r="575">
      <c r="A575" s="2">
        <f>(('Historical Data'!C577)-('Historical Data'!C576))/('Historical Data'!C576)</f>
        <v>-0.005144440047</v>
      </c>
      <c r="D575" s="2">
        <f>(('Historical Data'!L577)-('Historical Data'!L576))/('Historical Data'!L576)</f>
        <v>0.008864151721</v>
      </c>
      <c r="E575" s="2">
        <f>(('Historical Data'!O577)-('Historical Data'!O576))/('Historical Data'!O576)</f>
        <v>-0.003696402169</v>
      </c>
      <c r="F575" s="2">
        <f>(('Historical Data'!R577)-('Historical Data'!R576))/('Historical Data'!R576)</f>
        <v>0.0003311258278</v>
      </c>
    </row>
    <row r="576">
      <c r="A576" s="2">
        <f>(('Historical Data'!C578)-('Historical Data'!C577))/('Historical Data'!C577)</f>
        <v>0.0005966587112</v>
      </c>
      <c r="D576" s="2">
        <f>(('Historical Data'!L578)-('Historical Data'!L577))/('Historical Data'!L577)</f>
        <v>-0.01001225991</v>
      </c>
      <c r="E576" s="2">
        <f>(('Historical Data'!O578)-('Historical Data'!O577))/('Historical Data'!O577)</f>
        <v>0.005441503834</v>
      </c>
      <c r="F576" s="2">
        <f>(('Historical Data'!R578)-('Historical Data'!R577))/('Historical Data'!R577)</f>
        <v>0.001059251903</v>
      </c>
    </row>
    <row r="577">
      <c r="A577" s="2">
        <f>(('Historical Data'!C579)-('Historical Data'!C578))/('Historical Data'!C578)</f>
        <v>-0.04512025442</v>
      </c>
      <c r="D577" s="2">
        <f>(('Historical Data'!L579)-('Historical Data'!L578))/('Historical Data'!L578)</f>
        <v>0.007843137255</v>
      </c>
      <c r="E577" s="2">
        <f>(('Historical Data'!O579)-('Historical Data'!O578))/('Historical Data'!O578)</f>
        <v>-0.01451414514</v>
      </c>
      <c r="F577" s="2">
        <f>(('Historical Data'!R579)-('Historical Data'!R578))/('Historical Data'!R578)</f>
        <v>0.0001983995767</v>
      </c>
    </row>
    <row r="578">
      <c r="A578" s="2">
        <f>(('Historical Data'!C580)-('Historical Data'!C579))/('Historical Data'!C579)</f>
        <v>-0.03039134055</v>
      </c>
      <c r="D578" s="2">
        <f>(('Historical Data'!L580)-('Historical Data'!L579))/('Historical Data'!L579)</f>
        <v>0.008806061847</v>
      </c>
      <c r="E578" s="2">
        <f>(('Historical Data'!O580)-('Historical Data'!O579))/('Historical Data'!O579)</f>
        <v>-0.004992511233</v>
      </c>
      <c r="F578" s="2">
        <f>(('Historical Data'!R580)-('Historical Data'!R579))/('Historical Data'!R579)</f>
        <v>-0.002578682888</v>
      </c>
    </row>
    <row r="579">
      <c r="A579" s="2">
        <f>(('Historical Data'!C581)-('Historical Data'!C580))/('Historical Data'!C580)</f>
        <v>0.009660798626</v>
      </c>
      <c r="D579" s="2">
        <f>(('Historical Data'!L581)-('Historical Data'!L580))/('Historical Data'!L580)</f>
        <v>-0.005075111652</v>
      </c>
      <c r="E579" s="2">
        <f>(('Historical Data'!O581)-('Historical Data'!O580))/('Historical Data'!O580)</f>
        <v>-0.005519317612</v>
      </c>
      <c r="F579" s="2">
        <f>(('Historical Data'!R581)-('Historical Data'!R580))/('Historical Data'!R580)</f>
        <v>0.03460391117</v>
      </c>
    </row>
    <row r="580">
      <c r="A580" s="2">
        <f>(('Historical Data'!C582)-('Historical Data'!C581))/('Historical Data'!C581)</f>
        <v>0.007654688497</v>
      </c>
      <c r="D580" s="2">
        <f>(('Historical Data'!L582)-('Historical Data'!L581))/('Historical Data'!L581)</f>
        <v>-0.003060599878</v>
      </c>
      <c r="E580" s="2">
        <f>(('Historical Data'!O582)-('Historical Data'!O581))/('Historical Data'!O581)</f>
        <v>0.01160443996</v>
      </c>
      <c r="F580" s="2">
        <f>(('Historical Data'!R582)-('Historical Data'!R581))/('Historical Data'!R581)</f>
        <v>0.001794066765</v>
      </c>
    </row>
    <row r="581">
      <c r="A581" s="2">
        <f>(('Historical Data'!C583)-('Historical Data'!C582))/('Historical Data'!C582)</f>
        <v>-0.006330449462</v>
      </c>
      <c r="D581" s="2">
        <f>(('Historical Data'!L583)-('Historical Data'!L582))/('Historical Data'!L582)</f>
        <v>0.001023331969</v>
      </c>
      <c r="E581" s="2">
        <f>(('Historical Data'!O583)-('Historical Data'!O582))/('Historical Data'!O582)</f>
        <v>-0.01321695761</v>
      </c>
      <c r="F581" s="2">
        <f>(('Historical Data'!R583)-('Historical Data'!R582))/('Historical Data'!R582)</f>
        <v>0.0002558362648</v>
      </c>
    </row>
    <row r="582">
      <c r="A582" s="2">
        <f>(('Historical Data'!C584)-('Historical Data'!C583))/('Historical Data'!C583)</f>
        <v>-0.01167976216</v>
      </c>
      <c r="D582" s="2">
        <f>(('Historical Data'!L584)-('Historical Data'!L583))/('Historical Data'!L583)</f>
        <v>-0.0139030873</v>
      </c>
      <c r="E582" s="2">
        <f>(('Historical Data'!O584)-('Historical Data'!O583))/('Historical Data'!O583)</f>
        <v>-0.003790750569</v>
      </c>
      <c r="F582" s="2">
        <f>(('Historical Data'!R584)-('Historical Data'!R583))/('Historical Data'!R583)</f>
        <v>-0.01157363003</v>
      </c>
    </row>
    <row r="583">
      <c r="A583" s="2">
        <f>(('Historical Data'!C585)-('Historical Data'!C584))/('Historical Data'!C584)</f>
        <v>0.0004297378599</v>
      </c>
      <c r="D583" s="2">
        <f>(('Historical Data'!L585)-('Historical Data'!L584))/('Historical Data'!L584)</f>
        <v>0.007671573709</v>
      </c>
      <c r="E583" s="2">
        <f>(('Historical Data'!O585)-('Historical Data'!O584))/('Historical Data'!O584)</f>
        <v>-0.002029426687</v>
      </c>
      <c r="F583" s="2">
        <f>(('Historical Data'!R585)-('Historical Data'!R584))/('Historical Data'!R584)</f>
        <v>0.01222667874</v>
      </c>
    </row>
    <row r="584">
      <c r="A584" s="2">
        <f>(('Historical Data'!C586)-('Historical Data'!C585))/('Historical Data'!C585)</f>
        <v>0.01481958763</v>
      </c>
      <c r="D584" s="2">
        <f>(('Historical Data'!L586)-('Historical Data'!L585))/('Historical Data'!L585)</f>
        <v>0.004526748971</v>
      </c>
      <c r="E584" s="2">
        <f>(('Historical Data'!O586)-('Historical Data'!O585))/('Historical Data'!O585)</f>
        <v>0.02389425521</v>
      </c>
      <c r="F584" s="2">
        <f>(('Historical Data'!R586)-('Historical Data'!R585))/('Historical Data'!R585)</f>
        <v>-0.0005751901323</v>
      </c>
    </row>
    <row r="585">
      <c r="A585" s="2">
        <f>(('Historical Data'!C587)-('Historical Data'!C586))/('Historical Data'!C586)</f>
        <v>0.001904761905</v>
      </c>
      <c r="D585" s="2">
        <f>(('Historical Data'!L587)-('Historical Data'!L586))/('Historical Data'!L586)</f>
        <v>-0.01269971323</v>
      </c>
      <c r="E585" s="2">
        <f>(('Historical Data'!O587)-('Historical Data'!O586))/('Historical Data'!O586)</f>
        <v>-0.006703078451</v>
      </c>
      <c r="F585" s="2">
        <f>(('Historical Data'!R587)-('Historical Data'!R586))/('Historical Data'!R586)</f>
        <v>0.001214989129</v>
      </c>
    </row>
    <row r="586">
      <c r="A586" s="2">
        <f>(('Historical Data'!C588)-('Historical Data'!C587))/('Historical Data'!C587)</f>
        <v>-0.02070130967</v>
      </c>
      <c r="D586" s="2">
        <f>(('Historical Data'!L588)-('Historical Data'!L587))/('Historical Data'!L587)</f>
        <v>-0.01078838174</v>
      </c>
      <c r="E586" s="2">
        <f>(('Historical Data'!O588)-('Historical Data'!O587))/('Historical Data'!O587)</f>
        <v>-0.08072981755</v>
      </c>
      <c r="F586" s="2">
        <f>(('Historical Data'!R588)-('Historical Data'!R587))/('Historical Data'!R587)</f>
        <v>-0.0008941687424</v>
      </c>
    </row>
    <row r="587">
      <c r="A587" s="2">
        <f>(('Historical Data'!C589)-('Historical Data'!C588))/('Historical Data'!C588)</f>
        <v>-0.008628127696</v>
      </c>
      <c r="D587" s="2">
        <f>(('Historical Data'!L589)-('Historical Data'!L588))/('Historical Data'!L588)</f>
        <v>-0.03565436242</v>
      </c>
      <c r="E587" s="2">
        <f>(('Historical Data'!O589)-('Historical Data'!O588))/('Historical Data'!O588)</f>
        <v>-0.008700380642</v>
      </c>
      <c r="F587" s="2">
        <f>(('Historical Data'!R589)-('Historical Data'!R588))/('Historical Data'!R588)</f>
        <v>-0.001278527137</v>
      </c>
    </row>
    <row r="588">
      <c r="A588" s="2">
        <f>(('Historical Data'!C590)-('Historical Data'!C589))/('Historical Data'!C589)</f>
        <v>-0.005657093124</v>
      </c>
      <c r="D588" s="2">
        <f>(('Historical Data'!L590)-('Historical Data'!L589))/('Historical Data'!L589)</f>
        <v>-0.01348412353</v>
      </c>
      <c r="E588" s="2">
        <f>(('Historical Data'!O590)-('Historical Data'!O589))/('Historical Data'!O589)</f>
        <v>-0.009599561163</v>
      </c>
      <c r="F588" s="2">
        <f>(('Historical Data'!R590)-('Historical Data'!R589))/('Historical Data'!R589)</f>
        <v>-0.0046085899</v>
      </c>
    </row>
    <row r="589">
      <c r="A589" s="2">
        <f>(('Historical Data'!C591)-('Historical Data'!C590))/('Historical Data'!C590)</f>
        <v>0.01203501094</v>
      </c>
      <c r="D589" s="2">
        <f>(('Historical Data'!L591)-('Historical Data'!L590))/('Historical Data'!L590)</f>
        <v>0.009920634921</v>
      </c>
      <c r="E589" s="2">
        <f>(('Historical Data'!O591)-('Historical Data'!O590))/('Historical Data'!O590)</f>
        <v>0.02824702299</v>
      </c>
      <c r="F589" s="2">
        <f>(('Historical Data'!R591)-('Historical Data'!R590))/('Historical Data'!R590)</f>
        <v>0.003343836409</v>
      </c>
    </row>
    <row r="590">
      <c r="A590" s="2">
        <f>(('Historical Data'!C592)-('Historical Data'!C591))/('Historical Data'!C591)</f>
        <v>0.001945945946</v>
      </c>
      <c r="D590" s="2">
        <f>(('Historical Data'!L592)-('Historical Data'!L591))/('Historical Data'!L591)</f>
        <v>0.006985374372</v>
      </c>
      <c r="E590" s="2">
        <f>(('Historical Data'!O592)-('Historical Data'!O591))/('Historical Data'!O591)</f>
        <v>-0.002693239968</v>
      </c>
      <c r="F590" s="2">
        <f>(('Historical Data'!R592)-('Historical Data'!R591))/('Historical Data'!R591)</f>
        <v>-0.004678587451</v>
      </c>
    </row>
    <row r="591">
      <c r="A591" s="2">
        <f>(('Historical Data'!C593)-('Historical Data'!C592))/('Historical Data'!C592)</f>
        <v>0.002805351748</v>
      </c>
      <c r="D591" s="2">
        <f>(('Historical Data'!L593)-('Historical Data'!L592))/('Historical Data'!L592)</f>
        <v>0.0008671146759</v>
      </c>
      <c r="E591" s="2">
        <f>(('Historical Data'!O593)-('Historical Data'!O592))/('Historical Data'!O592)</f>
        <v>-0.001080205239</v>
      </c>
      <c r="F591" s="2">
        <f>(('Historical Data'!R593)-('Historical Data'!R592))/('Historical Data'!R592)</f>
        <v>-0.01023824855</v>
      </c>
    </row>
    <row r="592">
      <c r="A592" s="2">
        <f>(('Historical Data'!C594)-('Historical Data'!C593))/('Historical Data'!C593)</f>
        <v>0.005164622337</v>
      </c>
      <c r="D592" s="2">
        <f>(('Historical Data'!L594)-('Historical Data'!L593))/('Historical Data'!L593)</f>
        <v>-0.006281134936</v>
      </c>
      <c r="E592" s="2">
        <f>(('Historical Data'!O594)-('Historical Data'!O593))/('Historical Data'!O593)</f>
        <v>-0.006488240065</v>
      </c>
      <c r="F592" s="2">
        <f>(('Historical Data'!R594)-('Historical Data'!R593))/('Historical Data'!R593)</f>
        <v>0.002081842431</v>
      </c>
    </row>
    <row r="593">
      <c r="A593" s="2">
        <f>(('Historical Data'!C595)-('Historical Data'!C594))/('Historical Data'!C594)</f>
        <v>-0.007278955256</v>
      </c>
      <c r="D593" s="2">
        <f>(('Historical Data'!L595)-('Historical Data'!L594))/('Historical Data'!L594)</f>
        <v>-0.006974716652</v>
      </c>
      <c r="E593" s="2">
        <f>(('Historical Data'!O595)-('Historical Data'!O594))/('Historical Data'!O594)</f>
        <v>-0.0212244898</v>
      </c>
      <c r="F593" s="2">
        <f>(('Historical Data'!R595)-('Historical Data'!R594))/('Historical Data'!R594)</f>
        <v>0.002337207038</v>
      </c>
    </row>
    <row r="594">
      <c r="A594" s="2">
        <f>(('Historical Data'!C596)-('Historical Data'!C595))/('Historical Data'!C595)</f>
        <v>0.007332326936</v>
      </c>
      <c r="D594" s="2">
        <f>(('Historical Data'!L596)-('Historical Data'!L595))/('Historical Data'!L595)</f>
        <v>0.01558384548</v>
      </c>
      <c r="E594" s="2">
        <f>(('Historical Data'!O596)-('Historical Data'!O595))/('Historical Data'!O595)</f>
        <v>-0.004448151237</v>
      </c>
      <c r="F594" s="2">
        <f>(('Historical Data'!R596)-('Historical Data'!R595))/('Historical Data'!R595)</f>
        <v>0.0101690524</v>
      </c>
    </row>
    <row r="595">
      <c r="A595" s="2">
        <f>(('Historical Data'!C597)-('Historical Data'!C596))/('Historical Data'!C596)</f>
        <v>0.008349389852</v>
      </c>
      <c r="D595" s="2">
        <f>(('Historical Data'!L597)-('Historical Data'!L596))/('Historical Data'!L596)</f>
        <v>-0.01231899719</v>
      </c>
      <c r="E595" s="2">
        <f>(('Historical Data'!O597)-('Historical Data'!O596))/('Historical Data'!O596)</f>
        <v>0.01061156102</v>
      </c>
      <c r="F595" s="2">
        <f>(('Historical Data'!R597)-('Historical Data'!R596))/('Historical Data'!R596)</f>
        <v>0.0003205950244</v>
      </c>
    </row>
    <row r="596">
      <c r="A596" s="2">
        <f>(('Historical Data'!C598)-('Historical Data'!C597))/('Historical Data'!C597)</f>
        <v>-0.003821656051</v>
      </c>
      <c r="D596" s="2">
        <f>(('Historical Data'!L598)-('Historical Data'!L597))/('Historical Data'!L597)</f>
        <v>0.01312910284</v>
      </c>
      <c r="E596" s="2">
        <f>(('Historical Data'!O598)-('Historical Data'!O597))/('Historical Data'!O597)</f>
        <v>-0.01796076264</v>
      </c>
      <c r="F596" s="2">
        <f>(('Historical Data'!R598)-('Historical Data'!R597))/('Historical Data'!R597)</f>
        <v>-0.001730658291</v>
      </c>
    </row>
    <row r="597">
      <c r="A597" s="2">
        <f>(('Historical Data'!C599)-('Historical Data'!C598))/('Historical Data'!C598)</f>
        <v>0.01513213981</v>
      </c>
      <c r="D597" s="2">
        <f>(('Historical Data'!L599)-('Historical Data'!L598))/('Historical Data'!L598)</f>
        <v>0.004535637149</v>
      </c>
      <c r="E597" s="2">
        <f>(('Historical Data'!O599)-('Historical Data'!O598))/('Historical Data'!O598)</f>
        <v>0.01294316263</v>
      </c>
      <c r="F597" s="2">
        <f>(('Historical Data'!R599)-('Historical Data'!R598))/('Historical Data'!R598)</f>
        <v>-0.004237832285</v>
      </c>
    </row>
    <row r="598">
      <c r="A598" s="2">
        <f>(('Historical Data'!C600)-('Historical Data'!C599))/('Historical Data'!C599)</f>
        <v>0.01196724753</v>
      </c>
      <c r="D598" s="2">
        <f>(('Historical Data'!L600)-('Historical Data'!L599))/('Historical Data'!L599)</f>
        <v>0.004515158031</v>
      </c>
      <c r="E598" s="2">
        <f>(('Historical Data'!O600)-('Historical Data'!O599))/('Historical Data'!O599)</f>
        <v>-0.001111111111</v>
      </c>
      <c r="F598" s="2">
        <f>(('Historical Data'!R600)-('Historical Data'!R599))/('Historical Data'!R599)</f>
        <v>-0.01644312613</v>
      </c>
    </row>
    <row r="599">
      <c r="A599" s="2">
        <f>(('Historical Data'!C601)-('Historical Data'!C600))/('Historical Data'!C600)</f>
        <v>0.01929460581</v>
      </c>
      <c r="D599" s="2">
        <f>(('Historical Data'!L601)-('Historical Data'!L600))/('Historical Data'!L600)</f>
        <v>0.00470890411</v>
      </c>
      <c r="E599" s="2">
        <f>(('Historical Data'!O601)-('Historical Data'!O600))/('Historical Data'!O600)</f>
        <v>0.001946607341</v>
      </c>
      <c r="F599" s="2">
        <f>(('Historical Data'!R601)-('Historical Data'!R600))/('Historical Data'!R600)</f>
        <v>0.004195895889</v>
      </c>
    </row>
    <row r="600">
      <c r="A600" s="2">
        <f>(('Historical Data'!C602)-('Historical Data'!C601))/('Historical Data'!C601)</f>
        <v>-0.006309790352</v>
      </c>
      <c r="D600" s="2">
        <f>(('Historical Data'!L602)-('Historical Data'!L601))/('Historical Data'!L601)</f>
        <v>0.01384746485</v>
      </c>
      <c r="E600" s="2">
        <f>(('Historical Data'!O602)-('Historical Data'!O601))/('Historical Data'!O601)</f>
        <v>-0.003885650847</v>
      </c>
      <c r="F600" s="2">
        <f>(('Historical Data'!R602)-('Historical Data'!R601))/('Historical Data'!R601)</f>
        <v>-0.02618006137</v>
      </c>
    </row>
    <row r="601">
      <c r="A601" s="2">
        <f>(('Historical Data'!C603)-('Historical Data'!C602))/('Historical Data'!C602)</f>
        <v>0.00184350676</v>
      </c>
      <c r="D601" s="2">
        <f>(('Historical Data'!L603)-('Historical Data'!L602))/('Historical Data'!L602)</f>
        <v>-0.01723051061</v>
      </c>
      <c r="E601" s="2">
        <f>(('Historical Data'!O603)-('Historical Data'!O602))/('Historical Data'!O602)</f>
        <v>0.008080245194</v>
      </c>
      <c r="F601" s="2">
        <f>(('Historical Data'!R603)-('Historical Data'!R602))/('Historical Data'!R602)</f>
        <v>-0.01079377849</v>
      </c>
    </row>
    <row r="602">
      <c r="A602" s="2">
        <f>(('Historical Data'!C604)-('Historical Data'!C603))/('Historical Data'!C603)</f>
        <v>-0.01022285831</v>
      </c>
      <c r="D602" s="2">
        <f>(('Historical Data'!L604)-('Historical Data'!L603))/('Historical Data'!L603)</f>
        <v>-0.02009835365</v>
      </c>
      <c r="E602" s="2">
        <f>(('Historical Data'!O604)-('Historical Data'!O603))/('Historical Data'!O603)</f>
        <v>-0.003869541183</v>
      </c>
      <c r="F602" s="2">
        <f>(('Historical Data'!R604)-('Historical Data'!R603))/('Historical Data'!R603)</f>
        <v>-0.008268383599</v>
      </c>
    </row>
    <row r="603">
      <c r="A603" s="2">
        <f>(('Historical Data'!C605)-('Historical Data'!C604))/('Historical Data'!C604)</f>
        <v>0.01280727122</v>
      </c>
      <c r="D603" s="2">
        <f>(('Historical Data'!L605)-('Historical Data'!L604))/('Historical Data'!L604)</f>
        <v>-0.006982325987</v>
      </c>
      <c r="E603" s="2">
        <f>(('Historical Data'!O605)-('Historical Data'!O604))/('Historical Data'!O604)</f>
        <v>-0.01886792453</v>
      </c>
      <c r="F603" s="2">
        <f>(('Historical Data'!R605)-('Historical Data'!R604))/('Historical Data'!R604)</f>
        <v>-0.006423836534</v>
      </c>
    </row>
    <row r="604">
      <c r="A604" s="2">
        <f>(('Historical Data'!C606)-('Historical Data'!C605))/('Historical Data'!C605)</f>
        <v>0.01692841118</v>
      </c>
      <c r="D604" s="2">
        <f>(('Historical Data'!L606)-('Historical Data'!L605))/('Historical Data'!L605)</f>
        <v>-0.006372225884</v>
      </c>
      <c r="E604" s="2">
        <f>(('Historical Data'!O606)-('Historical Data'!O605))/('Historical Data'!O605)</f>
        <v>0.005373303167</v>
      </c>
      <c r="F604" s="2">
        <f>(('Historical Data'!R606)-('Historical Data'!R605))/('Historical Data'!R605)</f>
        <v>0.00006878052136</v>
      </c>
    </row>
    <row r="605">
      <c r="A605" s="2">
        <f>(('Historical Data'!C607)-('Historical Data'!C606))/('Historical Data'!C606)</f>
        <v>0.006217408744</v>
      </c>
      <c r="D605" s="2">
        <f>(('Historical Data'!L607)-('Historical Data'!L606))/('Historical Data'!L606)</f>
        <v>-0.02321981424</v>
      </c>
      <c r="E605" s="2">
        <f>(('Historical Data'!O607)-('Historical Data'!O606))/('Historical Data'!O606)</f>
        <v>-0.01575246132</v>
      </c>
      <c r="F605" s="2">
        <f>(('Historical Data'!R607)-('Historical Data'!R606))/('Historical Data'!R606)</f>
        <v>-0.01526822558</v>
      </c>
    </row>
    <row r="606">
      <c r="A606" s="2">
        <f>(('Historical Data'!C608)-('Historical Data'!C607))/('Historical Data'!C607)</f>
        <v>-0.009966115208</v>
      </c>
      <c r="D606" s="2">
        <f>(('Historical Data'!L608)-('Historical Data'!L607))/('Historical Data'!L607)</f>
        <v>0.01131990038</v>
      </c>
      <c r="E606" s="2">
        <f>(('Historical Data'!O608)-('Historical Data'!O607))/('Historical Data'!O607)</f>
        <v>-0.03658188054</v>
      </c>
      <c r="F606" s="2">
        <f>(('Historical Data'!R608)-('Historical Data'!R607))/('Historical Data'!R607)</f>
        <v>-0.004749266657</v>
      </c>
    </row>
    <row r="607">
      <c r="A607" s="2">
        <f>(('Historical Data'!C609)-('Historical Data'!C608))/('Historical Data'!C608)</f>
        <v>0.001409301389</v>
      </c>
      <c r="D607" s="2">
        <f>(('Historical Data'!L609)-('Historical Data'!L608))/('Historical Data'!L608)</f>
        <v>0.01746138348</v>
      </c>
      <c r="E607" s="2">
        <f>(('Historical Data'!O609)-('Historical Data'!O608))/('Historical Data'!O608)</f>
        <v>0.02996143578</v>
      </c>
      <c r="F607" s="2">
        <f>(('Historical Data'!R609)-('Historical Data'!R608))/('Historical Data'!R608)</f>
        <v>0.01024561404</v>
      </c>
    </row>
    <row r="608">
      <c r="A608" s="2">
        <f>(('Historical Data'!C610)-('Historical Data'!C609))/('Historical Data'!C609)</f>
        <v>0.005629272216</v>
      </c>
      <c r="D608" s="2">
        <f>(('Historical Data'!L610)-('Historical Data'!L609))/('Historical Data'!L609)</f>
        <v>-0.01584158416</v>
      </c>
      <c r="E608" s="2">
        <f>(('Historical Data'!O610)-('Historical Data'!O609))/('Historical Data'!O609)</f>
        <v>0.02678571429</v>
      </c>
      <c r="F608" s="2">
        <f>(('Historical Data'!R610)-('Historical Data'!R609))/('Historical Data'!R609)</f>
        <v>0.01778271742</v>
      </c>
    </row>
    <row r="609">
      <c r="A609" s="2">
        <f>(('Historical Data'!C611)-('Historical Data'!C610))/('Historical Data'!C610)</f>
        <v>0.003798480608</v>
      </c>
      <c r="D609" s="2">
        <f>(('Historical Data'!L611)-('Historical Data'!L610))/('Historical Data'!L610)</f>
        <v>0.01006036217</v>
      </c>
      <c r="E609" s="2">
        <f>(('Historical Data'!O611)-('Historical Data'!O610))/('Historical Data'!O610)</f>
        <v>-0.008695652174</v>
      </c>
      <c r="F609" s="2">
        <f>(('Historical Data'!R611)-('Historical Data'!R610))/('Historical Data'!R610)</f>
        <v>-0.003958503959</v>
      </c>
    </row>
    <row r="610">
      <c r="A610" s="2">
        <f>(('Historical Data'!C612)-('Historical Data'!C611))/('Historical Data'!C611)</f>
        <v>-0.00796654053</v>
      </c>
      <c r="D610" s="2">
        <f>(('Historical Data'!L612)-('Historical Data'!L611))/('Historical Data'!L611)</f>
        <v>0.007304116866</v>
      </c>
      <c r="E610" s="2">
        <f>(('Historical Data'!O612)-('Historical Data'!O611))/('Historical Data'!O611)</f>
        <v>-0.001131861913</v>
      </c>
      <c r="F610" s="2">
        <f>(('Historical Data'!R612)-('Historical Data'!R611))/('Historical Data'!R611)</f>
        <v>-0.009935589968</v>
      </c>
    </row>
    <row r="611">
      <c r="A611" s="2">
        <f>(('Historical Data'!C613)-('Historical Data'!C612))/('Historical Data'!C612)</f>
        <v>-0.000602288697</v>
      </c>
      <c r="D611" s="2">
        <f>(('Historical Data'!L613)-('Historical Data'!L612))/('Historical Data'!L612)</f>
        <v>-0.003955174687</v>
      </c>
      <c r="E611" s="2">
        <f>(('Historical Data'!O613)-('Historical Data'!O612))/('Historical Data'!O612)</f>
        <v>0.01161473088</v>
      </c>
      <c r="F611" s="2">
        <f>(('Historical Data'!R613)-('Historical Data'!R612))/('Historical Data'!R612)</f>
        <v>0.002145477196</v>
      </c>
    </row>
    <row r="612">
      <c r="A612" s="2">
        <f>(('Historical Data'!C614)-('Historical Data'!C613))/('Historical Data'!C613)</f>
        <v>-0.002008838891</v>
      </c>
      <c r="D612" s="2">
        <f>(('Historical Data'!L614)-('Historical Data'!L613))/('Historical Data'!L613)</f>
        <v>-0.001323626737</v>
      </c>
      <c r="E612" s="2">
        <f>(('Historical Data'!O614)-('Historical Data'!O613))/('Historical Data'!O613)</f>
        <v>0.00280033604</v>
      </c>
      <c r="F612" s="2">
        <f>(('Historical Data'!R614)-('Historical Data'!R613))/('Historical Data'!R613)</f>
        <v>0.01132596685</v>
      </c>
    </row>
    <row r="613">
      <c r="A613" s="2">
        <f>(('Historical Data'!C615)-('Historical Data'!C614))/('Historical Data'!C614)</f>
        <v>-0.0004025764895</v>
      </c>
      <c r="D613" s="2">
        <f>(('Historical Data'!L615)-('Historical Data'!L614))/('Historical Data'!L614)</f>
        <v>-0.006406008394</v>
      </c>
      <c r="E613" s="2">
        <f>(('Historical Data'!O615)-('Historical Data'!O614))/('Historical Data'!O614)</f>
        <v>-0.009494554594</v>
      </c>
      <c r="F613" s="2">
        <f>(('Historical Data'!R615)-('Historical Data'!R614))/('Historical Data'!R614)</f>
        <v>0.0008194482382</v>
      </c>
    </row>
    <row r="614">
      <c r="A614" s="2">
        <f>(('Historical Data'!C616)-('Historical Data'!C615))/('Historical Data'!C615)</f>
        <v>0.01651228353</v>
      </c>
      <c r="D614" s="2">
        <f>(('Historical Data'!L616)-('Historical Data'!L615))/('Historical Data'!L615)</f>
        <v>0.00711427301</v>
      </c>
      <c r="E614" s="2">
        <f>(('Historical Data'!O616)-('Historical Data'!O615))/('Historical Data'!O615)</f>
        <v>-0.01973498731</v>
      </c>
      <c r="F614" s="2">
        <f>(('Historical Data'!R616)-('Historical Data'!R615))/('Historical Data'!R615)</f>
        <v>-0.007846615721</v>
      </c>
    </row>
    <row r="615">
      <c r="A615" s="2">
        <f>(('Historical Data'!C617)-('Historical Data'!C616))/('Historical Data'!C616)</f>
        <v>0.006339144216</v>
      </c>
      <c r="D615" s="2">
        <f>(('Historical Data'!L617)-('Historical Data'!L616))/('Historical Data'!L616)</f>
        <v>-0.0002207505519</v>
      </c>
      <c r="E615" s="2">
        <f>(('Historical Data'!O617)-('Historical Data'!O616))/('Historical Data'!O616)</f>
        <v>0.008915731953</v>
      </c>
      <c r="F615" s="2">
        <f>(('Historical Data'!R617)-('Historical Data'!R616))/('Historical Data'!R616)</f>
        <v>-0.00240698714</v>
      </c>
    </row>
    <row r="616">
      <c r="A616" s="2">
        <f>(('Historical Data'!C618)-('Historical Data'!C617))/('Historical Data'!C617)</f>
        <v>0.003149606299</v>
      </c>
      <c r="D616" s="2">
        <f>(('Historical Data'!L618)-('Historical Data'!L617))/('Historical Data'!L617)</f>
        <v>-0.007286376684</v>
      </c>
      <c r="E616" s="2">
        <f>(('Historical Data'!O618)-('Historical Data'!O617))/('Historical Data'!O617)</f>
        <v>-0.0008551881414</v>
      </c>
      <c r="F616" s="2">
        <f>(('Historical Data'!R618)-('Historical Data'!R617))/('Historical Data'!R617)</f>
        <v>0.009375430856</v>
      </c>
    </row>
    <row r="617">
      <c r="A617" s="2">
        <f>(('Historical Data'!C619)-('Historical Data'!C618))/('Historical Data'!C618)</f>
        <v>0.01903453689</v>
      </c>
      <c r="D617" s="2">
        <f>(('Historical Data'!L619)-('Historical Data'!L618))/('Historical Data'!L618)</f>
        <v>0.002001779359</v>
      </c>
      <c r="E617" s="2">
        <f>(('Historical Data'!O619)-('Historical Data'!O618))/('Historical Data'!O618)</f>
        <v>0.009415121255</v>
      </c>
      <c r="F617" s="2">
        <f>(('Historical Data'!R619)-('Historical Data'!R618))/('Historical Data'!R618)</f>
        <v>0.0138642262</v>
      </c>
    </row>
    <row r="618">
      <c r="A618" s="2">
        <f>(('Historical Data'!C620)-('Historical Data'!C619))/('Historical Data'!C619)</f>
        <v>0.002695936838</v>
      </c>
      <c r="D618" s="2">
        <f>(('Historical Data'!L620)-('Historical Data'!L619))/('Historical Data'!L619)</f>
        <v>-0.0002219755827</v>
      </c>
      <c r="E618" s="2">
        <f>(('Historical Data'!O620)-('Historical Data'!O619))/('Historical Data'!O619)</f>
        <v>-0.0008479366874</v>
      </c>
      <c r="F618" s="2">
        <f>(('Historical Data'!R620)-('Historical Data'!R619))/('Historical Data'!R619)</f>
        <v>0.007342539576</v>
      </c>
    </row>
    <row r="619">
      <c r="A619" s="2">
        <f>(('Historical Data'!C621)-('Historical Data'!C620))/('Historical Data'!C620)</f>
        <v>-0.009986556558</v>
      </c>
      <c r="D619" s="2">
        <f>(('Historical Data'!L621)-('Historical Data'!L620))/('Historical Data'!L620)</f>
        <v>-0.004884547069</v>
      </c>
      <c r="E619" s="2">
        <f>(('Historical Data'!O621)-('Historical Data'!O620))/('Historical Data'!O620)</f>
        <v>-0.007920792079</v>
      </c>
      <c r="F619" s="2">
        <f>(('Historical Data'!R621)-('Historical Data'!R620))/('Historical Data'!R620)</f>
        <v>-0.00922830012</v>
      </c>
    </row>
    <row r="620">
      <c r="A620" s="2">
        <f>(('Historical Data'!C622)-('Historical Data'!C621))/('Historical Data'!C621)</f>
        <v>-0.01357904947</v>
      </c>
      <c r="D620" s="2">
        <f>(('Historical Data'!L622)-('Historical Data'!L621))/('Historical Data'!L621)</f>
        <v>-0.02387327086</v>
      </c>
      <c r="E620" s="2">
        <f>(('Historical Data'!O622)-('Historical Data'!O621))/('Historical Data'!O621)</f>
        <v>0.01026518392</v>
      </c>
      <c r="F620" s="2">
        <f>(('Historical Data'!R622)-('Historical Data'!R621))/('Historical Data'!R621)</f>
        <v>0.008639308855</v>
      </c>
    </row>
    <row r="621">
      <c r="A621" s="2">
        <f>(('Historical Data'!C623)-('Historical Data'!C622))/('Historical Data'!C622)</f>
        <v>0.005309734513</v>
      </c>
      <c r="D621" s="2">
        <f>(('Historical Data'!L623)-('Historical Data'!L622))/('Historical Data'!L622)</f>
        <v>-0.0192</v>
      </c>
      <c r="E621" s="2">
        <f>(('Historical Data'!O623)-('Historical Data'!O622))/('Historical Data'!O622)</f>
        <v>-0.005362686988</v>
      </c>
      <c r="F621" s="2">
        <f>(('Historical Data'!R623)-('Historical Data'!R622))/('Historical Data'!R622)</f>
        <v>0.003412740899</v>
      </c>
    </row>
    <row r="622">
      <c r="A622" s="2">
        <f>(('Historical Data'!C624)-('Historical Data'!C623))/('Historical Data'!C623)</f>
        <v>-0.01545383412</v>
      </c>
      <c r="D622" s="2">
        <f>(('Historical Data'!L624)-('Historical Data'!L623))/('Historical Data'!L623)</f>
        <v>-0.01374970869</v>
      </c>
      <c r="E622" s="2">
        <f>(('Historical Data'!O624)-('Historical Data'!O623))/('Historical Data'!O623)</f>
        <v>-0.01220204313</v>
      </c>
      <c r="F622" s="2">
        <f>(('Historical Data'!R624)-('Historical Data'!R623))/('Historical Data'!R623)</f>
        <v>-0.009936645549</v>
      </c>
    </row>
    <row r="623">
      <c r="A623" s="2">
        <f>(('Historical Data'!C625)-('Historical Data'!C624))/('Historical Data'!C624)</f>
        <v>-0.002384263859</v>
      </c>
      <c r="D623" s="2">
        <f>(('Historical Data'!L625)-('Historical Data'!L624))/('Historical Data'!L624)</f>
        <v>-0.008506616257</v>
      </c>
      <c r="E623" s="2">
        <f>(('Historical Data'!O625)-('Historical Data'!O624))/('Historical Data'!O624)</f>
        <v>0.01235277219</v>
      </c>
      <c r="F623" s="2">
        <f>(('Historical Data'!R625)-('Historical Data'!R624))/('Historical Data'!R624)</f>
        <v>0.001010373164</v>
      </c>
    </row>
    <row r="624">
      <c r="A624" s="2">
        <f>(('Historical Data'!C626)-('Historical Data'!C625))/('Historical Data'!C625)</f>
        <v>0.01294562836</v>
      </c>
      <c r="D624" s="2">
        <f>(('Historical Data'!L626)-('Historical Data'!L625))/('Historical Data'!L625)</f>
        <v>0.01286939943</v>
      </c>
      <c r="E624" s="2">
        <f>(('Historical Data'!O626)-('Historical Data'!O625))/('Historical Data'!O625)</f>
        <v>-0.01106696935</v>
      </c>
      <c r="F624" s="2">
        <f>(('Historical Data'!R626)-('Historical Data'!R625))/('Historical Data'!R625)</f>
        <v>0.009487921405</v>
      </c>
    </row>
    <row r="625">
      <c r="A625" s="2">
        <f>(('Historical Data'!C627)-('Historical Data'!C626))/('Historical Data'!C626)</f>
        <v>0.0001966181675</v>
      </c>
      <c r="D625" s="2">
        <f>(('Historical Data'!L627)-('Historical Data'!L626))/('Historical Data'!L626)</f>
        <v>0.003529411765</v>
      </c>
      <c r="E625" s="2">
        <f>(('Historical Data'!O627)-('Historical Data'!O626))/('Historical Data'!O626)</f>
        <v>0.001147776184</v>
      </c>
      <c r="F625" s="2">
        <f>(('Historical Data'!R627)-('Historical Data'!R626))/('Historical Data'!R626)</f>
        <v>-0.0001999733369</v>
      </c>
    </row>
    <row r="626">
      <c r="A626" s="2">
        <f>(('Historical Data'!C628)-('Historical Data'!C627))/('Historical Data'!C627)</f>
        <v>0.006683703558</v>
      </c>
      <c r="D626" s="2">
        <f>(('Historical Data'!L628)-('Historical Data'!L627))/('Historical Data'!L627)</f>
        <v>0.002813599062</v>
      </c>
      <c r="E626" s="2">
        <f>(('Historical Data'!O628)-('Historical Data'!O627))/('Historical Data'!O627)</f>
        <v>0.002292920608</v>
      </c>
      <c r="F626" s="2">
        <f>(('Historical Data'!R628)-('Historical Data'!R627))/('Historical Data'!R627)</f>
        <v>-0.004066937796</v>
      </c>
    </row>
    <row r="627">
      <c r="A627" s="2">
        <f>(('Historical Data'!C629)-('Historical Data'!C628))/('Historical Data'!C628)</f>
        <v>0.01034954111</v>
      </c>
      <c r="D627" s="2">
        <f>(('Historical Data'!L629)-('Historical Data'!L628))/('Historical Data'!L628)</f>
        <v>0.01917231704</v>
      </c>
      <c r="E627" s="2">
        <f>(('Historical Data'!O629)-('Historical Data'!O628))/('Historical Data'!O628)</f>
        <v>0.009150700601</v>
      </c>
      <c r="F627" s="2">
        <f>(('Historical Data'!R629)-('Historical Data'!R628))/('Historical Data'!R628)</f>
        <v>0.01579863436</v>
      </c>
    </row>
    <row r="628">
      <c r="A628" s="2">
        <f>(('Historical Data'!C630)-('Historical Data'!C629))/('Historical Data'!C629)</f>
        <v>0.001546192501</v>
      </c>
      <c r="D628" s="2">
        <f>(('Historical Data'!L630)-('Historical Data'!L629))/('Historical Data'!L629)</f>
        <v>0.01468226657</v>
      </c>
      <c r="E628" s="2">
        <f>(('Historical Data'!O630)-('Historical Data'!O629))/('Historical Data'!O629)</f>
        <v>0.01813544914</v>
      </c>
      <c r="F628" s="2">
        <f>(('Historical Data'!R630)-('Historical Data'!R629))/('Historical Data'!R629)</f>
        <v>0.005008567286</v>
      </c>
    </row>
    <row r="629">
      <c r="A629" s="2">
        <f>(('Historical Data'!C631)-('Historical Data'!C630))/('Historical Data'!C630)</f>
        <v>-0.005982246237</v>
      </c>
      <c r="D629" s="2">
        <f>(('Historical Data'!L631)-('Historical Data'!L630))/('Historical Data'!L630)</f>
        <v>-0.007913181099</v>
      </c>
      <c r="E629" s="2">
        <f>(('Historical Data'!O631)-('Historical Data'!O630))/('Historical Data'!O630)</f>
        <v>-0.01753409407</v>
      </c>
      <c r="F629" s="2">
        <f>(('Historical Data'!R631)-('Historical Data'!R630))/('Historical Data'!R630)</f>
        <v>-0.001704918033</v>
      </c>
    </row>
    <row r="630">
      <c r="A630" s="2">
        <f>(('Historical Data'!C632)-('Historical Data'!C631))/('Historical Data'!C631)</f>
        <v>-0.007765482431</v>
      </c>
      <c r="D630" s="2">
        <f>(('Historical Data'!L632)-('Historical Data'!L631))/('Historical Data'!L631)</f>
        <v>-0.001139471285</v>
      </c>
      <c r="E630" s="2">
        <f>(('Historical Data'!O632)-('Historical Data'!O631))/('Historical Data'!O631)</f>
        <v>-0.01444759207</v>
      </c>
      <c r="F630" s="2">
        <f>(('Historical Data'!R632)-('Historical Data'!R631))/('Historical Data'!R631)</f>
        <v>-0.001642143983</v>
      </c>
    </row>
    <row r="631">
      <c r="A631" s="2">
        <f>(('Historical Data'!C633)-('Historical Data'!C632))/('Historical Data'!C632)</f>
        <v>-0.002347877128</v>
      </c>
      <c r="D631" s="2">
        <f>(('Historical Data'!L633)-('Historical Data'!L632))/('Historical Data'!L632)</f>
        <v>-0.01209217431</v>
      </c>
      <c r="E631" s="2">
        <f>(('Historical Data'!O633)-('Historical Data'!O632))/('Historical Data'!O632)</f>
        <v>0.01322219028</v>
      </c>
      <c r="F631" s="2">
        <f>(('Historical Data'!R633)-('Historical Data'!R632))/('Historical Data'!R632)</f>
        <v>-0.02098822291</v>
      </c>
    </row>
    <row r="632">
      <c r="A632" s="2">
        <f>(('Historical Data'!C634)-('Historical Data'!C633))/('Historical Data'!C633)</f>
        <v>0.008040792312</v>
      </c>
      <c r="D632" s="2">
        <f>(('Historical Data'!L634)-('Historical Data'!L633))/('Historical Data'!L633)</f>
        <v>-0.004618937644</v>
      </c>
      <c r="E632" s="2">
        <f>(('Historical Data'!O634)-('Historical Data'!O633))/('Historical Data'!O633)</f>
        <v>-0.001134751773</v>
      </c>
      <c r="F632" s="2">
        <f>(('Historical Data'!R634)-('Historical Data'!R633))/('Historical Data'!R633)</f>
        <v>0.0004032258065</v>
      </c>
    </row>
    <row r="633">
      <c r="A633" s="2">
        <f>(('Historical Data'!C635)-('Historical Data'!C634))/('Historical Data'!C634)</f>
        <v>0.0140077821</v>
      </c>
      <c r="D633" s="2">
        <f>(('Historical Data'!L635)-('Historical Data'!L634))/('Historical Data'!L634)</f>
        <v>-0.001160092807</v>
      </c>
      <c r="E633" s="2">
        <f>(('Historical Data'!O635)-('Historical Data'!O634))/('Historical Data'!O634)</f>
        <v>0.01988071571</v>
      </c>
      <c r="F633" s="2">
        <f>(('Historical Data'!R635)-('Historical Data'!R634))/('Historical Data'!R634)</f>
        <v>-0.005239822652</v>
      </c>
    </row>
    <row r="634">
      <c r="A634" s="2">
        <f>(('Historical Data'!C636)-('Historical Data'!C635))/('Historical Data'!C635)</f>
        <v>-0.02647735994</v>
      </c>
      <c r="D634" s="2">
        <f>(('Historical Data'!L636)-('Historical Data'!L635))/('Historical Data'!L635)</f>
        <v>0.007433217189</v>
      </c>
      <c r="E634" s="2">
        <f>(('Historical Data'!O636)-('Historical Data'!O635))/('Historical Data'!O635)</f>
        <v>0.01113895851</v>
      </c>
      <c r="F634" s="2">
        <f>(('Historical Data'!R636)-('Historical Data'!R635))/('Historical Data'!R635)</f>
        <v>0.00519989195</v>
      </c>
    </row>
    <row r="635">
      <c r="A635" s="2">
        <f>(('Historical Data'!C637)-('Historical Data'!C636))/('Historical Data'!C636)</f>
        <v>0.01556957036</v>
      </c>
      <c r="D635" s="2">
        <f>(('Historical Data'!L637)-('Historical Data'!L636))/('Historical Data'!L636)</f>
        <v>0.02674659903</v>
      </c>
      <c r="E635" s="2">
        <f>(('Historical Data'!O637)-('Historical Data'!O636))/('Historical Data'!O636)</f>
        <v>0.006058936932</v>
      </c>
      <c r="F635" s="2">
        <f>(('Historical Data'!R637)-('Historical Data'!R636))/('Historical Data'!R636)</f>
        <v>0.0006718172657</v>
      </c>
    </row>
    <row r="636">
      <c r="A636" s="2">
        <f>(('Historical Data'!C638)-('Historical Data'!C637))/('Historical Data'!C637)</f>
        <v>-0.02231709684</v>
      </c>
      <c r="D636" s="2">
        <f>(('Historical Data'!L638)-('Historical Data'!L637))/('Historical Data'!L637)</f>
        <v>0.004491354143</v>
      </c>
      <c r="E636" s="2">
        <f>(('Historical Data'!O638)-('Historical Data'!O637))/('Historical Data'!O637)</f>
        <v>-0.02764850808</v>
      </c>
      <c r="F636" s="2">
        <f>(('Historical Data'!R638)-('Historical Data'!R637))/('Historical Data'!R637)</f>
        <v>0.007385028533</v>
      </c>
    </row>
    <row r="637">
      <c r="A637" s="2">
        <f>(('Historical Data'!C639)-('Historical Data'!C638))/('Historical Data'!C638)</f>
        <v>0.008535132989</v>
      </c>
      <c r="D637" s="2">
        <f>(('Historical Data'!L639)-('Historical Data'!L638))/('Historical Data'!L638)</f>
        <v>-0.008271853342</v>
      </c>
      <c r="E637" s="2">
        <f>(('Historical Data'!O639)-('Historical Data'!O638))/('Historical Data'!O638)</f>
        <v>-0.005630630631</v>
      </c>
      <c r="F637" s="2">
        <f>(('Historical Data'!R639)-('Historical Data'!R638))/('Historical Data'!R638)</f>
        <v>-0.007064311896</v>
      </c>
    </row>
    <row r="638">
      <c r="A638" s="2">
        <f>(('Historical Data'!C640)-('Historical Data'!C639))/('Historical Data'!C639)</f>
        <v>0.008462901004</v>
      </c>
      <c r="D638" s="2">
        <f>(('Historical Data'!L640)-('Historical Data'!L639))/('Historical Data'!L639)</f>
        <v>0.01082055906</v>
      </c>
      <c r="E638" s="2">
        <f>(('Historical Data'!O640)-('Historical Data'!O639))/('Historical Data'!O639)</f>
        <v>0.01330690827</v>
      </c>
      <c r="F638" s="2">
        <f>(('Historical Data'!R640)-('Historical Data'!R639))/('Historical Data'!R639)</f>
        <v>0.00187932076</v>
      </c>
    </row>
    <row r="639">
      <c r="A639" s="2">
        <f>(('Historical Data'!C641)-('Historical Data'!C640))/('Historical Data'!C640)</f>
        <v>0.02322404372</v>
      </c>
      <c r="D639" s="2">
        <f>(('Historical Data'!L641)-('Historical Data'!L640))/('Historical Data'!L640)</f>
        <v>0.01895628903</v>
      </c>
      <c r="E639" s="2">
        <f>(('Historical Data'!O641)-('Historical Data'!O640))/('Historical Data'!O640)</f>
        <v>0.01005867561</v>
      </c>
      <c r="F639" s="2">
        <f>(('Historical Data'!R641)-('Historical Data'!R640))/('Historical Data'!R640)</f>
        <v>0.006833255175</v>
      </c>
    </row>
    <row r="640">
      <c r="A640" s="2">
        <f>(('Historical Data'!C642)-('Historical Data'!C641))/('Historical Data'!C641)</f>
        <v>-0.001144382987</v>
      </c>
      <c r="D640" s="2">
        <f>(('Historical Data'!L642)-('Historical Data'!L641))/('Historical Data'!L641)</f>
        <v>0.02210549354</v>
      </c>
      <c r="E640" s="2">
        <f>(('Historical Data'!O642)-('Historical Data'!O641))/('Historical Data'!O641)</f>
        <v>0.01078838174</v>
      </c>
      <c r="F640" s="2">
        <f>(('Historical Data'!R642)-('Historical Data'!R641))/('Historical Data'!R641)</f>
        <v>0.001796526715</v>
      </c>
    </row>
    <row r="641">
      <c r="A641" s="2">
        <f>(('Historical Data'!C643)-('Historical Data'!C642))/('Historical Data'!C642)</f>
        <v>0.004964674432</v>
      </c>
      <c r="D641" s="2">
        <f>(('Historical Data'!L643)-('Historical Data'!L642))/('Historical Data'!L642)</f>
        <v>-0.007708779443</v>
      </c>
      <c r="E641" s="2">
        <f>(('Historical Data'!O643)-('Historical Data'!O642))/('Historical Data'!O642)</f>
        <v>0.004378762999</v>
      </c>
      <c r="F641" s="2">
        <f>(('Historical Data'!R643)-('Historical Data'!R642))/('Historical Data'!R642)</f>
        <v>0.01574123273</v>
      </c>
    </row>
    <row r="642">
      <c r="A642" s="2">
        <f>(('Historical Data'!C644)-('Historical Data'!C643))/('Historical Data'!C643)</f>
        <v>0.009120273608</v>
      </c>
      <c r="D642" s="2">
        <f>(('Historical Data'!L644)-('Historical Data'!L643))/('Historical Data'!L643)</f>
        <v>-0.01035822184</v>
      </c>
      <c r="E642" s="2">
        <f>(('Historical Data'!O644)-('Historical Data'!O643))/('Historical Data'!O643)</f>
        <v>0.01307901907</v>
      </c>
      <c r="F642" s="2">
        <f>(('Historical Data'!R644)-('Historical Data'!R643))/('Historical Data'!R643)</f>
        <v>0.003204080298</v>
      </c>
    </row>
    <row r="643">
      <c r="A643" s="2">
        <f>(('Historical Data'!C645)-('Historical Data'!C644))/('Historical Data'!C644)</f>
        <v>0.009226134438</v>
      </c>
      <c r="D643" s="2">
        <f>(('Historical Data'!L645)-('Historical Data'!L644))/('Historical Data'!L644)</f>
        <v>0.004143044047</v>
      </c>
      <c r="E643" s="2">
        <f>(('Historical Data'!O645)-('Historical Data'!O644))/('Historical Data'!O644)</f>
        <v>0.001344809037</v>
      </c>
      <c r="F643" s="2">
        <f>(('Historical Data'!R645)-('Historical Data'!R644))/('Historical Data'!R644)</f>
        <v>0.002346499804</v>
      </c>
    </row>
    <row r="644">
      <c r="A644" s="2">
        <f>(('Historical Data'!C646)-('Historical Data'!C645))/('Historical Data'!C645)</f>
        <v>-0.007089552239</v>
      </c>
      <c r="D644" s="2">
        <f>(('Historical Data'!L646)-('Historical Data'!L645))/('Historical Data'!L645)</f>
        <v>0.00108577633</v>
      </c>
      <c r="E644" s="2">
        <f>(('Historical Data'!O646)-('Historical Data'!O645))/('Historical Data'!O645)</f>
        <v>-0.003491807682</v>
      </c>
      <c r="F644" s="2">
        <f>(('Historical Data'!R646)-('Historical Data'!R645))/('Historical Data'!R645)</f>
        <v>0.001040447392</v>
      </c>
    </row>
    <row r="645">
      <c r="A645" s="2">
        <f>(('Historical Data'!C647)-('Historical Data'!C646))/('Historical Data'!C646)</f>
        <v>-0.004133784292</v>
      </c>
      <c r="D645" s="2">
        <f>(('Historical Data'!L647)-('Historical Data'!L646))/('Historical Data'!L646)</f>
        <v>-0.01670281996</v>
      </c>
      <c r="E645" s="2">
        <f>(('Historical Data'!O647)-('Historical Data'!O646))/('Historical Data'!O646)</f>
        <v>-0.01185983827</v>
      </c>
      <c r="F645" s="2">
        <f>(('Historical Data'!R647)-('Historical Data'!R646))/('Historical Data'!R646)</f>
        <v>-0.01188774847</v>
      </c>
    </row>
    <row r="646">
      <c r="A646" s="2">
        <f>(('Historical Data'!C648)-('Historical Data'!C647))/('Historical Data'!C647)</f>
        <v>-0.01716981132</v>
      </c>
      <c r="D646" s="2">
        <f>(('Historical Data'!L648)-('Historical Data'!L647))/('Historical Data'!L647)</f>
        <v>-0.006176924774</v>
      </c>
      <c r="E646" s="2">
        <f>(('Historical Data'!O648)-('Historical Data'!O647))/('Historical Data'!O647)</f>
        <v>0.001363884343</v>
      </c>
      <c r="F646" s="2">
        <f>(('Historical Data'!R648)-('Historical Data'!R647))/('Historical Data'!R647)</f>
        <v>0.02826901584</v>
      </c>
    </row>
    <row r="647">
      <c r="A647" s="2">
        <f>(('Historical Data'!C649)-('Historical Data'!C648))/('Historical Data'!C648)</f>
        <v>-0.0009598771357</v>
      </c>
      <c r="D647" s="2">
        <f>(('Historical Data'!L649)-('Historical Data'!L648))/('Historical Data'!L648)</f>
        <v>0.001775804661</v>
      </c>
      <c r="E647" s="2">
        <f>(('Historical Data'!O649)-('Historical Data'!O648))/('Historical Data'!O648)</f>
        <v>0.01607191501</v>
      </c>
      <c r="F647" s="2">
        <f>(('Historical Data'!R649)-('Historical Data'!R648))/('Historical Data'!R648)</f>
        <v>-0.0007032798414</v>
      </c>
    </row>
    <row r="648">
      <c r="A648" s="2">
        <f>(('Historical Data'!C650)-('Historical Data'!C649))/('Historical Data'!C649)</f>
        <v>0.01191391238</v>
      </c>
      <c r="D648" s="2">
        <f>(('Historical Data'!L650)-('Historical Data'!L649))/('Historical Data'!L649)</f>
        <v>-0.004210059827</v>
      </c>
      <c r="E648" s="2">
        <f>(('Historical Data'!O650)-('Historical Data'!O649))/('Historical Data'!O649)</f>
        <v>-0.009115281501</v>
      </c>
      <c r="F648" s="2">
        <f>(('Historical Data'!R650)-('Historical Data'!R649))/('Historical Data'!R649)</f>
        <v>-0.0003198976328</v>
      </c>
    </row>
    <row r="649">
      <c r="A649" s="2">
        <f>(('Historical Data'!C651)-('Historical Data'!C650))/('Historical Data'!C650)</f>
        <v>-0.001519179643</v>
      </c>
      <c r="D649" s="2">
        <f>(('Historical Data'!L651)-('Historical Data'!L650))/('Historical Data'!L650)</f>
        <v>-0.01335113485</v>
      </c>
      <c r="E649" s="2">
        <f>(('Historical Data'!O651)-('Historical Data'!O650))/('Historical Data'!O650)</f>
        <v>-0.02516233766</v>
      </c>
      <c r="F649" s="2">
        <f>(('Historical Data'!R651)-('Historical Data'!R650))/('Historical Data'!R650)</f>
        <v>0.002176</v>
      </c>
    </row>
    <row r="650">
      <c r="A650" s="2">
        <f>(('Historical Data'!C652)-('Historical Data'!C651))/('Historical Data'!C651)</f>
        <v>0.01084062381</v>
      </c>
      <c r="D650" s="2">
        <f>(('Historical Data'!L652)-('Historical Data'!L651))/('Historical Data'!L651)</f>
        <v>-0.02435723951</v>
      </c>
      <c r="E650" s="2">
        <f>(('Historical Data'!O652)-('Historical Data'!O651))/('Historical Data'!O651)</f>
        <v>0.01193449903</v>
      </c>
      <c r="F650" s="2">
        <f>(('Historical Data'!R652)-('Historical Data'!R651))/('Historical Data'!R651)</f>
        <v>0.002618302574</v>
      </c>
    </row>
    <row r="651">
      <c r="A651" s="2">
        <f>(('Historical Data'!C653)-('Historical Data'!C652))/('Historical Data'!C652)</f>
        <v>-0.009783631232</v>
      </c>
      <c r="D651" s="2">
        <f>(('Historical Data'!L653)-('Historical Data'!L652))/('Historical Data'!L652)</f>
        <v>-0.007628294036</v>
      </c>
      <c r="E651" s="2">
        <f>(('Historical Data'!O653)-('Historical Data'!O652))/('Historical Data'!O652)</f>
        <v>0.009325287987</v>
      </c>
      <c r="F651" s="2">
        <f>(('Historical Data'!R653)-('Historical Data'!R652))/('Historical Data'!R652)</f>
        <v>-0.01095541401</v>
      </c>
    </row>
    <row r="652">
      <c r="A652" s="2">
        <f>(('Historical Data'!C654)-('Historical Data'!C653))/('Historical Data'!C653)</f>
        <v>0.007220216606</v>
      </c>
      <c r="D652" s="2">
        <f>(('Historical Data'!L654)-('Historical Data'!L653))/('Historical Data'!L653)</f>
        <v>0.004891684137</v>
      </c>
      <c r="E652" s="2">
        <f>(('Historical Data'!O654)-('Historical Data'!O653))/('Historical Data'!O653)</f>
        <v>0.00652173913</v>
      </c>
      <c r="F652" s="2">
        <f>(('Historical Data'!R654)-('Historical Data'!R653))/('Historical Data'!R653)</f>
        <v>0.0105615662</v>
      </c>
    </row>
    <row r="653">
      <c r="A653" s="2">
        <f>(('Historical Data'!C655)-('Historical Data'!C654))/('Historical Data'!C654)</f>
        <v>0.0009432182607</v>
      </c>
      <c r="D653" s="2">
        <f>(('Historical Data'!L655)-('Historical Data'!L654))/('Historical Data'!L654)</f>
        <v>0.0006954102921</v>
      </c>
      <c r="E653" s="2">
        <f>(('Historical Data'!O655)-('Historical Data'!O654))/('Historical Data'!O654)</f>
        <v>-0.001889848812</v>
      </c>
      <c r="F653" s="2">
        <f>(('Historical Data'!R655)-('Historical Data'!R654))/('Historical Data'!R654)</f>
        <v>0.001083354576</v>
      </c>
    </row>
    <row r="654">
      <c r="A654" s="2">
        <f>(('Historical Data'!C656)-('Historical Data'!C655))/('Historical Data'!C655)</f>
        <v>-0.001319261214</v>
      </c>
      <c r="D654" s="2">
        <f>(('Historical Data'!L656)-('Historical Data'!L655))/('Historical Data'!L655)</f>
        <v>-0.01111883252</v>
      </c>
      <c r="E654" s="2">
        <f>(('Historical Data'!O656)-('Historical Data'!O655))/('Historical Data'!O655)</f>
        <v>0.01217203138</v>
      </c>
      <c r="F654" s="2">
        <f>(('Historical Data'!R656)-('Historical Data'!R655))/('Historical Data'!R655)</f>
        <v>-0.001273155516</v>
      </c>
    </row>
    <row r="655">
      <c r="A655" s="2">
        <f>(('Historical Data'!C657)-('Historical Data'!C656))/('Historical Data'!C656)</f>
        <v>0.007171164371</v>
      </c>
      <c r="D655" s="2">
        <f>(('Historical Data'!L657)-('Historical Data'!L656))/('Historical Data'!L656)</f>
        <v>0.002108222066</v>
      </c>
      <c r="E655" s="2">
        <f>(('Historical Data'!O657)-('Historical Data'!O656))/('Historical Data'!O656)</f>
        <v>-0.009086050241</v>
      </c>
      <c r="F655" s="2">
        <f>(('Historical Data'!R657)-('Historical Data'!R656))/('Historical Data'!R656)</f>
        <v>-0.004971636178</v>
      </c>
    </row>
    <row r="656">
      <c r="A656" s="2">
        <f>(('Historical Data'!C658)-('Historical Data'!C657))/('Historical Data'!C657)</f>
        <v>0.007869589657</v>
      </c>
      <c r="D656" s="2">
        <f>(('Historical Data'!L658)-('Historical Data'!L657))/('Historical Data'!L657)</f>
        <v>0.005142589995</v>
      </c>
      <c r="E656" s="2">
        <f>(('Historical Data'!O658)-('Historical Data'!O657))/('Historical Data'!O657)</f>
        <v>0.0005393743258</v>
      </c>
      <c r="F656" s="2">
        <f>(('Historical Data'!R658)-('Historical Data'!R657))/('Historical Data'!R657)</f>
        <v>0.005829222984</v>
      </c>
    </row>
    <row r="657">
      <c r="A657" s="2">
        <f>(('Historical Data'!C659)-('Historical Data'!C658))/('Historical Data'!C658)</f>
        <v>0.001673173452</v>
      </c>
      <c r="D657" s="2">
        <f>(('Historical Data'!L659)-('Historical Data'!L658))/('Historical Data'!L658)</f>
        <v>-0.001162790698</v>
      </c>
      <c r="E657" s="2">
        <f>(('Historical Data'!O659)-('Historical Data'!O658))/('Historical Data'!O658)</f>
        <v>-0.01132075472</v>
      </c>
      <c r="F657" s="2">
        <f>(('Historical Data'!R659)-('Historical Data'!R658))/('Historical Data'!R658)</f>
        <v>-0.007833397019</v>
      </c>
    </row>
    <row r="658">
      <c r="A658" s="2">
        <f>(('Historical Data'!C660)-('Historical Data'!C659))/('Historical Data'!C659)</f>
        <v>-0.009836674091</v>
      </c>
      <c r="D658" s="2">
        <f>(('Historical Data'!L660)-('Historical Data'!L659))/('Historical Data'!L659)</f>
        <v>-0.002561117579</v>
      </c>
      <c r="E658" s="2">
        <f>(('Historical Data'!O660)-('Historical Data'!O659))/('Historical Data'!O659)</f>
        <v>-0.01663031625</v>
      </c>
      <c r="F658" s="2">
        <f>(('Historical Data'!R660)-('Historical Data'!R659))/('Historical Data'!R659)</f>
        <v>-0.006418897233</v>
      </c>
    </row>
    <row r="659">
      <c r="A659" s="2">
        <f>(('Historical Data'!C661)-('Historical Data'!C660))/('Historical Data'!C660)</f>
        <v>-0.007310215558</v>
      </c>
      <c r="D659" s="2">
        <f>(('Historical Data'!L661)-('Historical Data'!L660))/('Historical Data'!L660)</f>
        <v>-0.008403361345</v>
      </c>
      <c r="E659" s="2">
        <f>(('Historical Data'!O661)-('Historical Data'!O660))/('Historical Data'!O660)</f>
        <v>-0.004990296645</v>
      </c>
      <c r="F659" s="2">
        <f>(('Historical Data'!R661)-('Historical Data'!R660))/('Historical Data'!R660)</f>
        <v>-0.01020737774</v>
      </c>
    </row>
    <row r="660">
      <c r="A660" s="2">
        <f>(('Historical Data'!C662)-('Historical Data'!C661))/('Historical Data'!C661)</f>
        <v>0.03342145015</v>
      </c>
      <c r="D660" s="2">
        <f>(('Historical Data'!L662)-('Historical Data'!L661))/('Historical Data'!L661)</f>
        <v>-0.00918079096</v>
      </c>
      <c r="E660" s="2">
        <f>(('Historical Data'!O662)-('Historical Data'!O661))/('Historical Data'!O661)</f>
        <v>0.005572582892</v>
      </c>
      <c r="F660" s="2">
        <f>(('Historical Data'!R662)-('Historical Data'!R661))/('Historical Data'!R661)</f>
        <v>-0.00717968801</v>
      </c>
    </row>
    <row r="661">
      <c r="A661" s="2">
        <f>(('Historical Data'!C663)-('Historical Data'!C662))/('Historical Data'!C662)</f>
        <v>0.00566416956</v>
      </c>
      <c r="D661" s="2">
        <f>(('Historical Data'!L663)-('Historical Data'!L662))/('Historical Data'!L662)</f>
        <v>0.007840342124</v>
      </c>
      <c r="E661" s="2">
        <f>(('Historical Data'!O663)-('Historical Data'!O662))/('Historical Data'!O662)</f>
        <v>0.004156275977</v>
      </c>
      <c r="F661" s="2">
        <f>(('Historical Data'!R663)-('Historical Data'!R662))/('Historical Data'!R662)</f>
        <v>0.002826901584</v>
      </c>
    </row>
    <row r="662">
      <c r="A662" s="2">
        <f>(('Historical Data'!C664)-('Historical Data'!C663))/('Historical Data'!C663)</f>
        <v>0.00726744186</v>
      </c>
      <c r="D662" s="2">
        <f>(('Historical Data'!L664)-('Historical Data'!L663))/('Historical Data'!L663)</f>
        <v>-0.004007543612</v>
      </c>
      <c r="E662" s="2">
        <f>(('Historical Data'!O664)-('Historical Data'!O663))/('Historical Data'!O663)</f>
        <v>0.009381898455</v>
      </c>
      <c r="F662" s="2">
        <f>(('Historical Data'!R664)-('Historical Data'!R663))/('Historical Data'!R663)</f>
        <v>-0.0050478563</v>
      </c>
    </row>
    <row r="663">
      <c r="A663" s="2">
        <f>(('Historical Data'!C665)-('Historical Data'!C664))/('Historical Data'!C664)</f>
        <v>0.0003607503608</v>
      </c>
      <c r="D663" s="2">
        <f>(('Historical Data'!L665)-('Historical Data'!L664))/('Historical Data'!L664)</f>
        <v>-0.003786982249</v>
      </c>
      <c r="E663" s="2">
        <f>(('Historical Data'!O665)-('Historical Data'!O664))/('Historical Data'!O664)</f>
        <v>-0.00574084199</v>
      </c>
      <c r="F663" s="2">
        <f>(('Historical Data'!R665)-('Historical Data'!R664))/('Historical Data'!R664)</f>
        <v>0.0003953350465</v>
      </c>
    </row>
    <row r="664">
      <c r="A664" s="2">
        <f>(('Historical Data'!C666)-('Historical Data'!C665))/('Historical Data'!C665)</f>
        <v>0.009376126938</v>
      </c>
      <c r="D664" s="2">
        <f>(('Historical Data'!L666)-('Historical Data'!L665))/('Historical Data'!L665)</f>
        <v>-0.008553100499</v>
      </c>
      <c r="E664" s="2">
        <f>(('Historical Data'!O666)-('Historical Data'!O665))/('Historical Data'!O665)</f>
        <v>-0.01017321969</v>
      </c>
      <c r="F664" s="2">
        <f>(('Historical Data'!R666)-('Historical Data'!R665))/('Historical Data'!R665)</f>
        <v>0.009352565369</v>
      </c>
    </row>
    <row r="665">
      <c r="A665" s="2">
        <f>(('Historical Data'!C667)-('Historical Data'!C666))/('Historical Data'!C666)</f>
        <v>-0.01321900679</v>
      </c>
      <c r="D665" s="2">
        <f>(('Historical Data'!L667)-('Historical Data'!L666))/('Historical Data'!L666)</f>
        <v>0.003354900551</v>
      </c>
      <c r="E665" s="2">
        <f>(('Historical Data'!O667)-('Historical Data'!O666))/('Historical Data'!O666)</f>
        <v>-0.006388888889</v>
      </c>
      <c r="F665" s="2">
        <f>(('Historical Data'!R667)-('Historical Data'!R666))/('Historical Data'!R666)</f>
        <v>-0.004632952692</v>
      </c>
    </row>
    <row r="666">
      <c r="A666" s="2">
        <f>(('Historical Data'!C668)-('Historical Data'!C667))/('Historical Data'!C667)</f>
        <v>0.008327299059</v>
      </c>
      <c r="D666" s="2">
        <f>(('Historical Data'!L668)-('Historical Data'!L667))/('Historical Data'!L667)</f>
        <v>0.00620969668</v>
      </c>
      <c r="E666" s="2">
        <f>(('Historical Data'!O668)-('Historical Data'!O667))/('Historical Data'!O667)</f>
        <v>0.01062342745</v>
      </c>
      <c r="F666" s="2">
        <f>(('Historical Data'!R668)-('Historical Data'!R667))/('Historical Data'!R667)</f>
        <v>0.006555657532</v>
      </c>
    </row>
    <row r="667">
      <c r="A667" s="2">
        <f>(('Historical Data'!C669)-('Historical Data'!C668))/('Historical Data'!C668)</f>
        <v>0.008976660682</v>
      </c>
      <c r="D667" s="2">
        <f>(('Historical Data'!L669)-('Historical Data'!L668))/('Historical Data'!L668)</f>
        <v>-0.007832898172</v>
      </c>
      <c r="E667" s="2">
        <f>(('Historical Data'!O669)-('Historical Data'!O668))/('Historical Data'!O668)</f>
        <v>0.01355463347</v>
      </c>
      <c r="F667" s="2">
        <f>(('Historical Data'!R669)-('Historical Data'!R668))/('Historical Data'!R668)</f>
        <v>0.00156311059</v>
      </c>
    </row>
    <row r="668">
      <c r="A668" s="2">
        <f>(('Historical Data'!C670)-('Historical Data'!C669))/('Historical Data'!C669)</f>
        <v>0.00640569395</v>
      </c>
      <c r="D668" s="2">
        <f>(('Historical Data'!L670)-('Historical Data'!L669))/('Historical Data'!L669)</f>
        <v>0.02655502392</v>
      </c>
      <c r="E668" s="2">
        <f>(('Historical Data'!O670)-('Historical Data'!O669))/('Historical Data'!O669)</f>
        <v>0.01255458515</v>
      </c>
      <c r="F668" s="2">
        <f>(('Historical Data'!R670)-('Historical Data'!R669))/('Historical Data'!R669)</f>
        <v>0.0005852516582</v>
      </c>
    </row>
    <row r="669">
      <c r="A669" s="2">
        <f>(('Historical Data'!C671)-('Historical Data'!C670))/('Historical Data'!C670)</f>
        <v>0.004420084866</v>
      </c>
      <c r="D669" s="2">
        <f>(('Historical Data'!L671)-('Historical Data'!L670))/('Historical Data'!L670)</f>
        <v>-0.00186436728</v>
      </c>
      <c r="E669" s="2">
        <f>(('Historical Data'!O671)-('Historical Data'!O670))/('Historical Data'!O670)</f>
        <v>0.005121293801</v>
      </c>
      <c r="F669" s="2">
        <f>(('Historical Data'!R671)-('Historical Data'!R670))/('Historical Data'!R670)</f>
        <v>0.001104828752</v>
      </c>
    </row>
    <row r="670">
      <c r="A670" s="2">
        <f>(('Historical Data'!C672)-('Historical Data'!C671))/('Historical Data'!C671)</f>
        <v>0.009505368773</v>
      </c>
      <c r="D670" s="2">
        <f>(('Historical Data'!L672)-('Historical Data'!L671))/('Historical Data'!L671)</f>
        <v>-0.01097361662</v>
      </c>
      <c r="E670" s="2">
        <f>(('Historical Data'!O672)-('Historical Data'!O671))/('Historical Data'!O671)</f>
        <v>-0.002949852507</v>
      </c>
      <c r="F670" s="2">
        <f>(('Historical Data'!R672)-('Historical Data'!R671))/('Historical Data'!R671)</f>
        <v>0.001947546092</v>
      </c>
    </row>
    <row r="671">
      <c r="A671" s="2">
        <f>(('Historical Data'!C673)-('Historical Data'!C672))/('Historical Data'!C672)</f>
        <v>0.008544027899</v>
      </c>
      <c r="D671" s="2">
        <f>(('Historical Data'!L673)-('Historical Data'!L672))/('Historical Data'!L672)</f>
        <v>-0.00566572238</v>
      </c>
      <c r="E671" s="2">
        <f>(('Historical Data'!O673)-('Historical Data'!O672))/('Historical Data'!O672)</f>
        <v>0.02555137171</v>
      </c>
      <c r="F671" s="2">
        <f>(('Historical Data'!R673)-('Historical Data'!R672))/('Historical Data'!R672)</f>
        <v>0.0011014643</v>
      </c>
    </row>
    <row r="672">
      <c r="A672" s="2">
        <f>(('Historical Data'!C674)-('Historical Data'!C673))/('Historical Data'!C673)</f>
        <v>-0.01002766252</v>
      </c>
      <c r="D672" s="2">
        <f>(('Historical Data'!L674)-('Historical Data'!L673))/('Historical Data'!L673)</f>
        <v>-0.003323836657</v>
      </c>
      <c r="E672" s="2">
        <f>(('Historical Data'!O674)-('Historical Data'!O673))/('Historical Data'!O673)</f>
        <v>0.007081038552</v>
      </c>
      <c r="F672" s="2">
        <f>(('Historical Data'!R674)-('Historical Data'!R673))/('Historical Data'!R673)</f>
        <v>-0.01339719112</v>
      </c>
    </row>
    <row r="673">
      <c r="A673" s="2">
        <f>(('Historical Data'!C675)-('Historical Data'!C674))/('Historical Data'!C674)</f>
        <v>-0.001746419839</v>
      </c>
      <c r="D673" s="2">
        <f>(('Historical Data'!L675)-('Historical Data'!L674))/('Historical Data'!L674)</f>
        <v>-0.005240590758</v>
      </c>
      <c r="E673" s="2">
        <f>(('Historical Data'!O675)-('Historical Data'!O674))/('Historical Data'!O674)</f>
        <v>0.01119791667</v>
      </c>
      <c r="F673" s="2">
        <f>(('Historical Data'!R675)-('Historical Data'!R674))/('Historical Data'!R674)</f>
        <v>-0.001967987405</v>
      </c>
    </row>
    <row r="674">
      <c r="A674" s="2">
        <f>(('Historical Data'!C676)-('Historical Data'!C675))/('Historical Data'!C675)</f>
        <v>-0.006473058083</v>
      </c>
      <c r="D674" s="2">
        <f>(('Historical Data'!L676)-('Historical Data'!L675))/('Historical Data'!L675)</f>
        <v>-0.00622605364</v>
      </c>
      <c r="E674" s="2">
        <f>(('Historical Data'!O676)-('Historical Data'!O675))/('Historical Data'!O675)</f>
        <v>-0.008241050734</v>
      </c>
      <c r="F674" s="2">
        <f>(('Historical Data'!R676)-('Historical Data'!R675))/('Historical Data'!R675)</f>
        <v>0.009530695412</v>
      </c>
    </row>
    <row r="675">
      <c r="A675" s="2">
        <f>(('Historical Data'!C677)-('Historical Data'!C676))/('Historical Data'!C676)</f>
        <v>-0.002113048072</v>
      </c>
      <c r="D675" s="2">
        <f>(('Historical Data'!L677)-('Historical Data'!L676))/('Historical Data'!L676)</f>
        <v>-0.0113253012</v>
      </c>
      <c r="E675" s="2">
        <f>(('Historical Data'!O677)-('Historical Data'!O676))/('Historical Data'!O676)</f>
        <v>0.004154764996</v>
      </c>
      <c r="F675" s="2">
        <f>(('Historical Data'!R677)-('Historical Data'!R676))/('Historical Data'!R676)</f>
        <v>-0.004297154763</v>
      </c>
    </row>
    <row r="676">
      <c r="A676" s="2">
        <f>(('Historical Data'!C678)-('Historical Data'!C677))/('Historical Data'!C677)</f>
        <v>0.00299982354</v>
      </c>
      <c r="D676" s="2">
        <f>(('Historical Data'!L678)-('Historical Data'!L677))/('Historical Data'!L677)</f>
        <v>0.007555447234</v>
      </c>
      <c r="E676" s="2">
        <f>(('Historical Data'!O678)-('Historical Data'!O677))/('Historical Data'!O677)</f>
        <v>-0.00155159038</v>
      </c>
      <c r="F676" s="2">
        <f>(('Historical Data'!R678)-('Historical Data'!R677))/('Historical Data'!R677)</f>
        <v>0.01190086968</v>
      </c>
    </row>
    <row r="677">
      <c r="A677" s="2">
        <f>(('Historical Data'!C679)-('Historical Data'!C678))/('Historical Data'!C678)</f>
        <v>-0.007916959887</v>
      </c>
      <c r="D677" s="2">
        <f>(('Historical Data'!L679)-('Historical Data'!L678))/('Historical Data'!L678)</f>
        <v>0.005805515239</v>
      </c>
      <c r="E677" s="2">
        <f>(('Historical Data'!O679)-('Historical Data'!O678))/('Historical Data'!O678)</f>
        <v>-0.01320901321</v>
      </c>
      <c r="F677" s="2">
        <f>(('Historical Data'!R679)-('Historical Data'!R678))/('Historical Data'!R678)</f>
        <v>-0.01757673667</v>
      </c>
    </row>
    <row r="678">
      <c r="A678" s="2">
        <f>(('Historical Data'!C680)-('Historical Data'!C679))/('Historical Data'!C679)</f>
        <v>-0.001950700479</v>
      </c>
      <c r="D678" s="2">
        <f>(('Historical Data'!L680)-('Historical Data'!L679))/('Historical Data'!L679)</f>
        <v>0.02164502165</v>
      </c>
      <c r="E678" s="2">
        <f>(('Historical Data'!O680)-('Historical Data'!O679))/('Historical Data'!O679)</f>
        <v>0.004199475066</v>
      </c>
      <c r="F678" s="2">
        <f>(('Historical Data'!R680)-('Historical Data'!R679))/('Historical Data'!R679)</f>
        <v>0.006972308097</v>
      </c>
    </row>
    <row r="679">
      <c r="A679" s="2">
        <f>(('Historical Data'!C681)-('Historical Data'!C680))/('Historical Data'!C680)</f>
        <v>0.001599147122</v>
      </c>
      <c r="D679" s="2">
        <f>(('Historical Data'!L681)-('Historical Data'!L680))/('Historical Data'!L680)</f>
        <v>0.002824858757</v>
      </c>
      <c r="E679" s="2">
        <f>(('Historical Data'!O681)-('Historical Data'!O680))/('Historical Data'!O680)</f>
        <v>0.02195504443</v>
      </c>
      <c r="F679" s="2">
        <f>(('Historical Data'!R681)-('Historical Data'!R680))/('Historical Data'!R680)</f>
        <v>0.0109739369</v>
      </c>
    </row>
    <row r="680">
      <c r="A680" s="2">
        <f>(('Historical Data'!C682)-('Historical Data'!C681))/('Historical Data'!C681)</f>
        <v>-0.005854177754</v>
      </c>
      <c r="D680" s="2">
        <f>(('Historical Data'!L682)-('Historical Data'!L681))/('Historical Data'!L681)</f>
        <v>0.01478873239</v>
      </c>
      <c r="E680" s="2">
        <f>(('Historical Data'!O682)-('Historical Data'!O681))/('Historical Data'!O681)</f>
        <v>-0.00895140665</v>
      </c>
      <c r="F680" s="2">
        <f>(('Historical Data'!R682)-('Historical Data'!R681))/('Historical Data'!R681)</f>
        <v>-0.008399560638</v>
      </c>
    </row>
    <row r="681">
      <c r="A681" s="2">
        <f>(('Historical Data'!C683)-('Historical Data'!C682))/('Historical Data'!C682)</f>
        <v>0.00124910778</v>
      </c>
      <c r="D681" s="2">
        <f>(('Historical Data'!L683)-('Historical Data'!L682))/('Historical Data'!L682)</f>
        <v>-0.000693962526</v>
      </c>
      <c r="E681" s="2">
        <f>(('Historical Data'!O683)-('Historical Data'!O682))/('Historical Data'!O682)</f>
        <v>-0.004903225806</v>
      </c>
      <c r="F681" s="2">
        <f>(('Historical Data'!R683)-('Historical Data'!R682))/('Historical Data'!R682)</f>
        <v>0.003779240242</v>
      </c>
    </row>
    <row r="682">
      <c r="A682" s="2">
        <f>(('Historical Data'!C684)-('Historical Data'!C683))/('Historical Data'!C683)</f>
        <v>-0.004811976475</v>
      </c>
      <c r="D682" s="2">
        <f>(('Historical Data'!L684)-('Historical Data'!L683))/('Historical Data'!L683)</f>
        <v>-0.02407407407</v>
      </c>
      <c r="E682" s="2">
        <f>(('Historical Data'!O684)-('Historical Data'!O683))/('Historical Data'!O683)</f>
        <v>0.006742738589</v>
      </c>
      <c r="F682" s="2">
        <f>(('Historical Data'!R684)-('Historical Data'!R683))/('Historical Data'!R683)</f>
        <v>-0.002921129503</v>
      </c>
    </row>
    <row r="683">
      <c r="A683" s="2">
        <f>(('Historical Data'!C685)-('Historical Data'!C684))/('Historical Data'!C684)</f>
        <v>-0.006088825215</v>
      </c>
      <c r="D683" s="2">
        <f>(('Historical Data'!L685)-('Historical Data'!L684))/('Historical Data'!L684)</f>
        <v>0.01755218216</v>
      </c>
      <c r="E683" s="2">
        <f>(('Historical Data'!O685)-('Historical Data'!O684))/('Historical Data'!O684)</f>
        <v>-0.005151983514</v>
      </c>
      <c r="F683" s="2">
        <f>(('Historical Data'!R685)-('Historical Data'!R684))/('Historical Data'!R684)</f>
        <v>-0.0008463541667</v>
      </c>
    </row>
    <row r="684">
      <c r="A684" s="2">
        <f>(('Historical Data'!C686)-('Historical Data'!C685))/('Historical Data'!C685)</f>
        <v>-0.03891891892</v>
      </c>
      <c r="D684" s="2">
        <f>(('Historical Data'!L686)-('Historical Data'!L685))/('Historical Data'!L685)</f>
        <v>0.03869463869</v>
      </c>
      <c r="E684" s="2">
        <f>(('Historical Data'!O686)-('Historical Data'!O685))/('Historical Data'!O685)</f>
        <v>-0.01320559296</v>
      </c>
      <c r="F684" s="2">
        <f>(('Historical Data'!R686)-('Historical Data'!R685))/('Historical Data'!R685)</f>
        <v>-0.008666188832</v>
      </c>
    </row>
    <row r="685">
      <c r="A685" s="2">
        <f>(('Historical Data'!C687)-('Historical Data'!C686))/('Historical Data'!C686)</f>
        <v>0.004311961005</v>
      </c>
      <c r="D685" s="2">
        <f>(('Historical Data'!L687)-('Historical Data'!L686))/('Historical Data'!L686)</f>
        <v>-0.002917414722</v>
      </c>
      <c r="E685" s="2">
        <f>(('Historical Data'!O687)-('Historical Data'!O686))/('Historical Data'!O686)</f>
        <v>0.008659144581</v>
      </c>
      <c r="F685" s="2">
        <f>(('Historical Data'!R687)-('Historical Data'!R686))/('Historical Data'!R686)</f>
        <v>-0.003680820297</v>
      </c>
    </row>
    <row r="686">
      <c r="A686" s="2">
        <f>(('Historical Data'!C688)-('Historical Data'!C687))/('Historical Data'!C687)</f>
        <v>-0.001680044801</v>
      </c>
      <c r="D686" s="2">
        <f>(('Historical Data'!L688)-('Historical Data'!L687))/('Historical Data'!L687)</f>
        <v>0.02048165654</v>
      </c>
      <c r="E686" s="2">
        <f>(('Historical Data'!O688)-('Historical Data'!O687))/('Historical Data'!O687)</f>
        <v>0.008064516129</v>
      </c>
      <c r="F686" s="2">
        <f>(('Historical Data'!R688)-('Historical Data'!R687))/('Historical Data'!R687)</f>
        <v>-0.006069402296</v>
      </c>
    </row>
    <row r="687">
      <c r="A687" s="2">
        <f>(('Historical Data'!C689)-('Historical Data'!C688))/('Historical Data'!C688)</f>
        <v>-0.01439790576</v>
      </c>
      <c r="D687" s="2">
        <f>(('Historical Data'!L689)-('Historical Data'!L688))/('Historical Data'!L688)</f>
        <v>-0.01301279224</v>
      </c>
      <c r="E687" s="2">
        <f>(('Historical Data'!O689)-('Historical Data'!O688))/('Historical Data'!O688)</f>
        <v>-0.002838709677</v>
      </c>
      <c r="F687" s="2">
        <f>(('Historical Data'!R689)-('Historical Data'!R688))/('Historical Data'!R688)</f>
        <v>-0.008894198858</v>
      </c>
    </row>
    <row r="688">
      <c r="A688" s="2">
        <f>(('Historical Data'!C690)-('Historical Data'!C689))/('Historical Data'!C689)</f>
        <v>0.009296148738</v>
      </c>
      <c r="D688" s="2">
        <f>(('Historical Data'!L690)-('Historical Data'!L689))/('Historical Data'!L689)</f>
        <v>0.004022346369</v>
      </c>
      <c r="E688" s="2">
        <f>(('Historical Data'!O690)-('Historical Data'!O689))/('Historical Data'!O689)</f>
        <v>0.02173913043</v>
      </c>
      <c r="F688" s="2">
        <f>(('Historical Data'!R690)-('Historical Data'!R689))/('Historical Data'!R689)</f>
        <v>-0.01326011251</v>
      </c>
    </row>
    <row r="689">
      <c r="A689" s="2">
        <f>(('Historical Data'!C691)-('Historical Data'!C690))/('Historical Data'!C690)</f>
        <v>0.01278195489</v>
      </c>
      <c r="D689" s="2">
        <f>(('Historical Data'!L691)-('Historical Data'!L690))/('Historical Data'!L690)</f>
        <v>-0.008012463833</v>
      </c>
      <c r="E689" s="2">
        <f>(('Historical Data'!O691)-('Historical Data'!O690))/('Historical Data'!O690)</f>
        <v>-0.001266464032</v>
      </c>
      <c r="F689" s="2">
        <f>(('Historical Data'!R691)-('Historical Data'!R690))/('Historical Data'!R690)</f>
        <v>-0.006787023212</v>
      </c>
    </row>
    <row r="690">
      <c r="A690" s="2">
        <f>(('Historical Data'!C692)-('Historical Data'!C691))/('Historical Data'!C691)</f>
        <v>-0.002227171492</v>
      </c>
      <c r="D690" s="2">
        <f>(('Historical Data'!L692)-('Historical Data'!L691))/('Historical Data'!L691)</f>
        <v>-0.006955351133</v>
      </c>
      <c r="E690" s="2">
        <f>(('Historical Data'!O692)-('Historical Data'!O691))/('Historical Data'!O691)</f>
        <v>-0.01800659396</v>
      </c>
      <c r="F690" s="2">
        <f>(('Historical Data'!R692)-('Historical Data'!R691))/('Historical Data'!R691)</f>
        <v>-0.0032800328</v>
      </c>
    </row>
    <row r="691">
      <c r="A691" s="2">
        <f>(('Historical Data'!C693)-('Historical Data'!C692))/('Historical Data'!C692)</f>
        <v>0.01171875</v>
      </c>
      <c r="D691" s="2">
        <f>(('Historical Data'!L693)-('Historical Data'!L692))/('Historical Data'!L692)</f>
        <v>0.002485314053</v>
      </c>
      <c r="E691" s="2">
        <f>(('Historical Data'!O693)-('Historical Data'!O692))/('Historical Data'!O692)</f>
        <v>-0.02324380165</v>
      </c>
      <c r="F691" s="2">
        <f>(('Historical Data'!R693)-('Historical Data'!R692))/('Historical Data'!R692)</f>
        <v>-0.00459344577</v>
      </c>
    </row>
    <row r="692">
      <c r="A692" s="2">
        <f>(('Historical Data'!C694)-('Historical Data'!C693))/('Historical Data'!C693)</f>
        <v>-0.01360544218</v>
      </c>
      <c r="D692" s="2">
        <f>(('Historical Data'!L694)-('Historical Data'!L693))/('Historical Data'!L693)</f>
        <v>-0.02479152581</v>
      </c>
      <c r="E692" s="2">
        <f>(('Historical Data'!O694)-('Historical Data'!O693))/('Historical Data'!O693)</f>
        <v>-0.005817028027</v>
      </c>
      <c r="F692" s="2">
        <f>(('Historical Data'!R694)-('Historical Data'!R693))/('Historical Data'!R693)</f>
        <v>0.002066258007</v>
      </c>
    </row>
    <row r="693">
      <c r="A693" s="2">
        <f>(('Historical Data'!C695)-('Historical Data'!C694))/('Historical Data'!C694)</f>
        <v>-0.003727865797</v>
      </c>
      <c r="D693" s="2">
        <f>(('Historical Data'!L695)-('Historical Data'!L694))/('Historical Data'!L694)</f>
        <v>-0.01039981511</v>
      </c>
      <c r="E693" s="2">
        <f>(('Historical Data'!O695)-('Historical Data'!O694))/('Historical Data'!O694)</f>
        <v>-0.03430851064</v>
      </c>
      <c r="F693" s="2">
        <f>(('Historical Data'!R695)-('Historical Data'!R694))/('Historical Data'!R694)</f>
        <v>0.003299195821</v>
      </c>
    </row>
    <row r="694">
      <c r="A694" s="2">
        <f>(('Historical Data'!C696)-('Historical Data'!C695))/('Historical Data'!C695)</f>
        <v>-0.007109448082</v>
      </c>
      <c r="D694" s="2">
        <f>(('Historical Data'!L696)-('Historical Data'!L695))/('Historical Data'!L695)</f>
        <v>-0.008407286315</v>
      </c>
      <c r="E694" s="2">
        <f>(('Historical Data'!O696)-('Historical Data'!O695))/('Historical Data'!O695)</f>
        <v>0.002754062242</v>
      </c>
      <c r="F694" s="2">
        <f>(('Historical Data'!R696)-('Historical Data'!R695))/('Historical Data'!R695)</f>
        <v>-0.01486606837</v>
      </c>
    </row>
    <row r="695">
      <c r="A695" s="2">
        <f>(('Historical Data'!C697)-('Historical Data'!C696))/('Historical Data'!C696)</f>
        <v>0.007160354249</v>
      </c>
      <c r="D695" s="2">
        <f>(('Historical Data'!L697)-('Historical Data'!L696))/('Historical Data'!L696)</f>
        <v>-0.006829957607</v>
      </c>
      <c r="E695" s="2">
        <f>(('Historical Data'!O697)-('Historical Data'!O696))/('Historical Data'!O696)</f>
        <v>0.02361988465</v>
      </c>
      <c r="F695" s="2">
        <f>(('Historical Data'!R697)-('Historical Data'!R696))/('Historical Data'!R696)</f>
        <v>0.002016689847</v>
      </c>
    </row>
    <row r="696">
      <c r="A696" s="2">
        <f>(('Historical Data'!C698)-('Historical Data'!C697))/('Historical Data'!C697)</f>
        <v>0.008793264733</v>
      </c>
      <c r="D696" s="2">
        <f>(('Historical Data'!L698)-('Historical Data'!L697))/('Historical Data'!L697)</f>
        <v>0.0109082286</v>
      </c>
      <c r="E696" s="2">
        <f>(('Historical Data'!O698)-('Historical Data'!O697))/('Historical Data'!O697)</f>
        <v>0.02978266702</v>
      </c>
      <c r="F696" s="2">
        <f>(('Historical Data'!R698)-('Historical Data'!R697))/('Historical Data'!R697)</f>
        <v>-0.005066278021</v>
      </c>
    </row>
    <row r="697">
      <c r="A697" s="2">
        <f>(('Historical Data'!C699)-('Historical Data'!C698))/('Historical Data'!C698)</f>
        <v>-0.0009272997033</v>
      </c>
      <c r="D697" s="2">
        <f>(('Historical Data'!L699)-('Historical Data'!L698))/('Historical Data'!L698)</f>
        <v>-0.01219798264</v>
      </c>
      <c r="E697" s="2">
        <f>(('Historical Data'!O699)-('Historical Data'!O698))/('Historical Data'!O698)</f>
        <v>0.006253256905</v>
      </c>
      <c r="F697" s="2">
        <f>(('Historical Data'!R699)-('Historical Data'!R698))/('Historical Data'!R698)</f>
        <v>0.009905133929</v>
      </c>
    </row>
    <row r="698">
      <c r="A698" s="2">
        <f>(('Historical Data'!C700)-('Historical Data'!C699))/('Historical Data'!C699)</f>
        <v>-0.003898273622</v>
      </c>
      <c r="D698" s="2">
        <f>(('Historical Data'!L700)-('Historical Data'!L699))/('Historical Data'!L699)</f>
        <v>0.02992163382</v>
      </c>
      <c r="E698" s="2">
        <f>(('Historical Data'!O700)-('Historical Data'!O699))/('Historical Data'!O699)</f>
        <v>0.0007767995857</v>
      </c>
      <c r="F698" s="2">
        <f>(('Historical Data'!R700)-('Historical Data'!R699))/('Historical Data'!R699)</f>
        <v>-0.01229451582</v>
      </c>
    </row>
    <row r="699">
      <c r="A699" s="2">
        <f>(('Historical Data'!C701)-('Historical Data'!C700))/('Historical Data'!C700)</f>
        <v>0.003540812523</v>
      </c>
      <c r="D699" s="2">
        <f>(('Historical Data'!L701)-('Historical Data'!L700))/('Historical Data'!L700)</f>
        <v>-0.002075167166</v>
      </c>
      <c r="E699" s="2">
        <f>(('Historical Data'!O701)-('Historical Data'!O700))/('Historical Data'!O700)</f>
        <v>0.01655886158</v>
      </c>
      <c r="F699" s="2">
        <f>(('Historical Data'!R701)-('Historical Data'!R700))/('Historical Data'!R700)</f>
        <v>0.002237762238</v>
      </c>
    </row>
    <row r="700">
      <c r="A700" s="2">
        <f>(('Historical Data'!C702)-('Historical Data'!C701))/('Historical Data'!C701)</f>
        <v>-0.001485608171</v>
      </c>
      <c r="D700" s="2">
        <f>(('Historical Data'!L702)-('Historical Data'!L701))/('Historical Data'!L701)</f>
        <v>0.003234750462</v>
      </c>
      <c r="E700" s="2">
        <f>(('Historical Data'!O702)-('Historical Data'!O701))/('Historical Data'!O701)</f>
        <v>0.01832527361</v>
      </c>
      <c r="F700" s="2">
        <f>(('Historical Data'!R702)-('Historical Data'!R701))/('Historical Data'!R701)</f>
        <v>0.009559028747</v>
      </c>
    </row>
    <row r="701">
      <c r="A701" s="2">
        <f>(('Historical Data'!C703)-('Historical Data'!C702))/('Historical Data'!C702)</f>
        <v>0.00725311512</v>
      </c>
      <c r="D701" s="2">
        <f>(('Historical Data'!L703)-('Historical Data'!L702))/('Historical Data'!L702)</f>
        <v>-0.004375863657</v>
      </c>
      <c r="E701" s="2">
        <f>(('Historical Data'!O703)-('Historical Data'!O702))/('Historical Data'!O702)</f>
        <v>0.005248687828</v>
      </c>
      <c r="F701" s="2">
        <f>(('Historical Data'!R703)-('Historical Data'!R702))/('Historical Data'!R702)</f>
        <v>0.009537632179</v>
      </c>
    </row>
    <row r="702">
      <c r="A702" s="2">
        <f>(('Historical Data'!C704)-('Historical Data'!C703))/('Historical Data'!C703)</f>
        <v>-0.004062038405</v>
      </c>
      <c r="D702" s="2">
        <f>(('Historical Data'!L704)-('Historical Data'!L703))/('Historical Data'!L703)</f>
        <v>0.006476983576</v>
      </c>
      <c r="E702" s="2">
        <f>(('Historical Data'!O704)-('Historical Data'!O703))/('Historical Data'!O703)</f>
        <v>0.01466931875</v>
      </c>
      <c r="F702" s="2">
        <f>(('Historical Data'!R704)-('Historical Data'!R703))/('Historical Data'!R703)</f>
        <v>0.001300746218</v>
      </c>
    </row>
    <row r="703">
      <c r="A703" s="2">
        <f>(('Historical Data'!C705)-('Historical Data'!C704))/('Historical Data'!C704)</f>
        <v>-0.003151649981</v>
      </c>
      <c r="D703" s="2">
        <f>(('Historical Data'!L705)-('Historical Data'!L704))/('Historical Data'!L704)</f>
        <v>0.006665134452</v>
      </c>
      <c r="E703" s="2">
        <f>(('Historical Data'!O705)-('Historical Data'!O704))/('Historical Data'!O704)</f>
        <v>-0.002205341828</v>
      </c>
      <c r="F703" s="2">
        <f>(('Historical Data'!R705)-('Historical Data'!R704))/('Historical Data'!R704)</f>
        <v>0.02577601532</v>
      </c>
    </row>
    <row r="704">
      <c r="A704" s="2">
        <f>(('Historical Data'!C706)-('Historical Data'!C705))/('Historical Data'!C705)</f>
        <v>-0.008368978985</v>
      </c>
      <c r="D704" s="2">
        <f>(('Historical Data'!L706)-('Historical Data'!L705))/('Historical Data'!L705)</f>
        <v>-0.02168949772</v>
      </c>
      <c r="E704" s="2">
        <f>(('Historical Data'!O706)-('Historical Data'!O705))/('Historical Data'!O705)</f>
        <v>-0.009577603143</v>
      </c>
      <c r="F704" s="2">
        <f>(('Historical Data'!R706)-('Historical Data'!R705))/('Historical Data'!R705)</f>
        <v>-0.01186429381</v>
      </c>
    </row>
    <row r="705">
      <c r="A705" s="2">
        <f>(('Historical Data'!C707)-('Historical Data'!C706))/('Historical Data'!C706)</f>
        <v>-0.007314328582</v>
      </c>
      <c r="D705" s="2">
        <f>(('Historical Data'!L707)-('Historical Data'!L706))/('Historical Data'!L706)</f>
        <v>-0.02263710618</v>
      </c>
      <c r="E705" s="2">
        <f>(('Historical Data'!O707)-('Historical Data'!O706))/('Historical Data'!O706)</f>
        <v>-0.0178527151</v>
      </c>
      <c r="F705" s="2">
        <f>(('Historical Data'!R707)-('Historical Data'!R706))/('Historical Data'!R706)</f>
        <v>-0.001349072513</v>
      </c>
    </row>
    <row r="706">
      <c r="A706" s="2">
        <f>(('Historical Data'!C708)-('Historical Data'!C707))/('Historical Data'!C707)</f>
        <v>-0.01379180049</v>
      </c>
      <c r="D706" s="2">
        <f>(('Historical Data'!L708)-('Historical Data'!L707))/('Historical Data'!L707)</f>
        <v>-0.006924546323</v>
      </c>
      <c r="E706" s="2">
        <f>(('Historical Data'!O708)-('Historical Data'!O707))/('Historical Data'!O707)</f>
        <v>-0.01792476647</v>
      </c>
      <c r="F706" s="2">
        <f>(('Historical Data'!R708)-('Historical Data'!R707))/('Historical Data'!R707)</f>
        <v>0.000675447484</v>
      </c>
    </row>
    <row r="707">
      <c r="A707" s="2">
        <f>(('Historical Data'!C709)-('Historical Data'!C708))/('Historical Data'!C708)</f>
        <v>0.01551724138</v>
      </c>
      <c r="D707" s="2">
        <f>(('Historical Data'!L709)-('Historical Data'!L708))/('Historical Data'!L708)</f>
        <v>-0.004087521039</v>
      </c>
      <c r="E707" s="2">
        <f>(('Historical Data'!O709)-('Historical Data'!O708))/('Historical Data'!O708)</f>
        <v>-0.002827763496</v>
      </c>
      <c r="F707" s="2">
        <f>(('Historical Data'!R709)-('Historical Data'!R708))/('Historical Data'!R708)</f>
        <v>0.01181235235</v>
      </c>
    </row>
    <row r="708">
      <c r="A708" s="2">
        <f>(('Historical Data'!C710)-('Historical Data'!C709))/('Historical Data'!C709)</f>
        <v>-0.01150726278</v>
      </c>
      <c r="D708" s="2">
        <f>(('Historical Data'!L710)-('Historical Data'!L709))/('Historical Data'!L709)</f>
        <v>-0.02028005794</v>
      </c>
      <c r="E708" s="2">
        <f>(('Historical Data'!O710)-('Historical Data'!O709))/('Historical Data'!O709)</f>
        <v>0.006960556845</v>
      </c>
      <c r="F708" s="2">
        <f>(('Historical Data'!R710)-('Historical Data'!R709))/('Historical Data'!R709)</f>
        <v>0.004669779853</v>
      </c>
    </row>
    <row r="709">
      <c r="A709" s="2">
        <f>(('Historical Data'!C711)-('Historical Data'!C710))/('Historical Data'!C710)</f>
        <v>-0.01965648855</v>
      </c>
      <c r="D709" s="2">
        <f>(('Historical Data'!L711)-('Historical Data'!L710))/('Historical Data'!L710)</f>
        <v>0.02168555939</v>
      </c>
      <c r="E709" s="2">
        <f>(('Historical Data'!O711)-('Historical Data'!O710))/('Historical Data'!O710)</f>
        <v>-0.006144393241</v>
      </c>
      <c r="F709" s="2">
        <f>(('Historical Data'!R711)-('Historical Data'!R710))/('Historical Data'!R710)</f>
        <v>-0.005312084993</v>
      </c>
    </row>
    <row r="710">
      <c r="A710" s="2">
        <f>(('Historical Data'!C712)-('Historical Data'!C711))/('Historical Data'!C711)</f>
        <v>0.003698656804</v>
      </c>
      <c r="D710" s="2">
        <f>(('Historical Data'!L712)-('Historical Data'!L711))/('Historical Data'!L711)</f>
        <v>-0.006994693681</v>
      </c>
      <c r="E710" s="2">
        <f>(('Historical Data'!O712)-('Historical Data'!O711))/('Historical Data'!O711)</f>
        <v>-0.004636785162</v>
      </c>
      <c r="F710" s="2">
        <f>(('Historical Data'!R712)-('Historical Data'!R711))/('Historical Data'!R711)</f>
        <v>-0.017623498</v>
      </c>
    </row>
    <row r="711">
      <c r="A711" s="2">
        <f>(('Historical Data'!C713)-('Historical Data'!C712))/('Historical Data'!C712)</f>
        <v>0.0001939487975</v>
      </c>
      <c r="D711" s="2">
        <f>(('Historical Data'!L713)-('Historical Data'!L712))/('Historical Data'!L712)</f>
        <v>-0.03424823901</v>
      </c>
      <c r="E711" s="2">
        <f>(('Historical Data'!O713)-('Historical Data'!O712))/('Historical Data'!O712)</f>
        <v>-0.007505175983</v>
      </c>
      <c r="F711" s="2">
        <f>(('Historical Data'!R713)-('Historical Data'!R712))/('Historical Data'!R712)</f>
        <v>0.01427018211</v>
      </c>
    </row>
    <row r="712">
      <c r="A712" s="2">
        <f>(('Historical Data'!C714)-('Historical Data'!C713))/('Historical Data'!C713)</f>
        <v>0.01085902657</v>
      </c>
      <c r="D712" s="2">
        <f>(('Historical Data'!L714)-('Historical Data'!L713))/('Historical Data'!L713)</f>
        <v>0.006790744467</v>
      </c>
      <c r="E712" s="2">
        <f>(('Historical Data'!O714)-('Historical Data'!O713))/('Historical Data'!O713)</f>
        <v>-0.04615384615</v>
      </c>
      <c r="F712" s="2">
        <f>(('Historical Data'!R714)-('Historical Data'!R713))/('Historical Data'!R713)</f>
        <v>0.005158783331</v>
      </c>
    </row>
    <row r="713">
      <c r="A713" s="2">
        <f>(('Historical Data'!C715)-('Historical Data'!C714))/('Historical Data'!C714)</f>
        <v>0.001150968732</v>
      </c>
      <c r="D713" s="2">
        <f>(('Historical Data'!L715)-('Historical Data'!L714))/('Historical Data'!L714)</f>
        <v>-0.002248313765</v>
      </c>
      <c r="E713" s="2">
        <f>(('Historical Data'!O715)-('Historical Data'!O714))/('Historical Data'!O714)</f>
        <v>-0.01339529798</v>
      </c>
      <c r="F713" s="2">
        <f>(('Historical Data'!R715)-('Historical Data'!R714))/('Historical Data'!R714)</f>
        <v>-0.002799440112</v>
      </c>
    </row>
    <row r="714">
      <c r="A714" s="2">
        <f>(('Historical Data'!C716)-('Historical Data'!C715))/('Historical Data'!C715)</f>
        <v>0.01073002491</v>
      </c>
      <c r="D714" s="2">
        <f>(('Historical Data'!L716)-('Historical Data'!L715))/('Historical Data'!L715)</f>
        <v>0.00525788683</v>
      </c>
      <c r="E714" s="2">
        <f>(('Historical Data'!O716)-('Historical Data'!O715))/('Historical Data'!O715)</f>
        <v>0.02133555001</v>
      </c>
      <c r="F714" s="2">
        <f>(('Historical Data'!R716)-('Historical Data'!R715))/('Historical Data'!R715)</f>
        <v>0.01223180269</v>
      </c>
    </row>
    <row r="715">
      <c r="A715" s="2">
        <f>(('Historical Data'!C717)-('Historical Data'!C716))/('Historical Data'!C716)</f>
        <v>0.004928909953</v>
      </c>
      <c r="D715" s="2">
        <f>(('Historical Data'!L717)-('Historical Data'!L716))/('Historical Data'!L716)</f>
        <v>0.04059775841</v>
      </c>
      <c r="E715" s="2">
        <f>(('Historical Data'!O717)-('Historical Data'!O716))/('Historical Data'!O716)</f>
        <v>-0.01790558871</v>
      </c>
      <c r="F715" s="2">
        <f>(('Historical Data'!R717)-('Historical Data'!R716))/('Historical Data'!R716)</f>
        <v>-0.009046487058</v>
      </c>
    </row>
    <row r="716">
      <c r="A716" s="2">
        <f>(('Historical Data'!C718)-('Historical Data'!C717))/('Historical Data'!C717)</f>
        <v>0.00528202226</v>
      </c>
      <c r="D716" s="2">
        <f>(('Historical Data'!L718)-('Historical Data'!L717))/('Historical Data'!L717)</f>
        <v>0.01579703207</v>
      </c>
      <c r="E716" s="2">
        <f>(('Historical Data'!O718)-('Historical Data'!O717))/('Historical Data'!O717)</f>
        <v>0.002762430939</v>
      </c>
      <c r="F716" s="2">
        <f>(('Historical Data'!R718)-('Historical Data'!R717))/('Historical Data'!R717)</f>
        <v>0.005797294596</v>
      </c>
    </row>
    <row r="717">
      <c r="A717" s="2">
        <f>(('Historical Data'!C719)-('Historical Data'!C718))/('Historical Data'!C718)</f>
        <v>-0.003002439482</v>
      </c>
      <c r="D717" s="2">
        <f>(('Historical Data'!L719)-('Historical Data'!L718))/('Historical Data'!L718)</f>
        <v>-0.007304429783</v>
      </c>
      <c r="E717" s="2">
        <f>(('Historical Data'!O719)-('Historical Data'!O718))/('Historical Data'!O718)</f>
        <v>-0.02286501377</v>
      </c>
      <c r="F717" s="2">
        <f>(('Historical Data'!R719)-('Historical Data'!R718))/('Historical Data'!R718)</f>
        <v>-0.002318802173</v>
      </c>
    </row>
    <row r="718">
      <c r="A718" s="2">
        <f>(('Historical Data'!C720)-('Historical Data'!C719))/('Historical Data'!C719)</f>
        <v>-0.002446828534</v>
      </c>
      <c r="D718" s="2">
        <f>(('Historical Data'!L720)-('Historical Data'!L719))/('Historical Data'!L719)</f>
        <v>-0.001898884405</v>
      </c>
      <c r="E718" s="2">
        <f>(('Historical Data'!O720)-('Historical Data'!O719))/('Historical Data'!O719)</f>
        <v>-0.01606991824</v>
      </c>
      <c r="F718" s="2">
        <f>(('Historical Data'!R720)-('Historical Data'!R719))/('Historical Data'!R719)</f>
        <v>-0.003851517365</v>
      </c>
    </row>
    <row r="719">
      <c r="A719" s="2">
        <f>(('Historical Data'!C721)-('Historical Data'!C720))/('Historical Data'!C720)</f>
        <v>-0.01886792453</v>
      </c>
      <c r="D719" s="2">
        <f>(('Historical Data'!L721)-('Historical Data'!L720))/('Historical Data'!L720)</f>
        <v>-0.001426872771</v>
      </c>
      <c r="E719" s="2">
        <f>(('Historical Data'!O721)-('Historical Data'!O720))/('Historical Data'!O720)</f>
        <v>-0.006303724928</v>
      </c>
      <c r="F719" s="2">
        <f>(('Historical Data'!R721)-('Historical Data'!R720))/('Historical Data'!R720)</f>
        <v>0.002266515566</v>
      </c>
    </row>
    <row r="720">
      <c r="A720" s="2">
        <f>(('Historical Data'!C722)-('Historical Data'!C721))/('Historical Data'!C721)</f>
        <v>0.01134615385</v>
      </c>
      <c r="D720" s="2">
        <f>(('Historical Data'!L722)-('Historical Data'!L721))/('Historical Data'!L721)</f>
        <v>0.006906406287</v>
      </c>
      <c r="E720" s="2">
        <f>(('Historical Data'!O722)-('Historical Data'!O721))/('Historical Data'!O721)</f>
        <v>0.01153402537</v>
      </c>
      <c r="F720" s="2">
        <f>(('Historical Data'!R722)-('Historical Data'!R721))/('Historical Data'!R721)</f>
        <v>0.007050216162</v>
      </c>
    </row>
    <row r="721">
      <c r="A721" s="2">
        <f>(('Historical Data'!C723)-('Historical Data'!C722))/('Historical Data'!C722)</f>
        <v>-0.006845407872</v>
      </c>
      <c r="D721" s="2">
        <f>(('Historical Data'!L723)-('Historical Data'!L722))/('Historical Data'!L722)</f>
        <v>-0.01253547777</v>
      </c>
      <c r="E721" s="2">
        <f>(('Historical Data'!O723)-('Historical Data'!O722))/('Historical Data'!O722)</f>
        <v>0.01767388826</v>
      </c>
      <c r="F721" s="2">
        <f>(('Historical Data'!R723)-('Historical Data'!R722))/('Historical Data'!R722)</f>
        <v>0.00693481276</v>
      </c>
    </row>
    <row r="722">
      <c r="A722" s="2">
        <f>(('Historical Data'!C724)-('Historical Data'!C723))/('Historical Data'!C723)</f>
        <v>0.01799731955</v>
      </c>
      <c r="D722" s="2">
        <f>(('Historical Data'!L724)-('Historical Data'!L723))/('Historical Data'!L723)</f>
        <v>0.006467065868</v>
      </c>
      <c r="E722" s="2">
        <f>(('Historical Data'!O724)-('Historical Data'!O723))/('Historical Data'!O723)</f>
        <v>0.004201680672</v>
      </c>
      <c r="F722" s="2">
        <f>(('Historical Data'!R724)-('Historical Data'!R723))/('Historical Data'!R723)</f>
        <v>-0.002230093139</v>
      </c>
    </row>
    <row r="723">
      <c r="A723" s="2">
        <f>(('Historical Data'!C725)-('Historical Data'!C724))/('Historical Data'!C724)</f>
        <v>0.00206883581</v>
      </c>
      <c r="D723" s="2">
        <f>(('Historical Data'!L725)-('Historical Data'!L724))/('Historical Data'!L724)</f>
        <v>0.005711565921</v>
      </c>
      <c r="E723" s="2">
        <f>(('Historical Data'!O725)-('Historical Data'!O724))/('Historical Data'!O724)</f>
        <v>-0.007252440725</v>
      </c>
      <c r="F723" s="2">
        <f>(('Historical Data'!R725)-('Historical Data'!R724))/('Historical Data'!R724)</f>
        <v>-0.004601630292</v>
      </c>
    </row>
    <row r="724">
      <c r="A724" s="2">
        <f>(('Historical Data'!C726)-('Historical Data'!C725))/('Historical Data'!C725)</f>
        <v>-0.09834834835</v>
      </c>
      <c r="D724" s="2">
        <f>(('Historical Data'!L726)-('Historical Data'!L725))/('Historical Data'!L725)</f>
        <v>0.0198769522</v>
      </c>
      <c r="E724" s="2">
        <f>(('Historical Data'!O726)-('Historical Data'!O725))/('Historical Data'!O725)</f>
        <v>-0.01601573476</v>
      </c>
      <c r="F724" s="2">
        <f>(('Historical Data'!R726)-('Historical Data'!R725))/('Historical Data'!R725)</f>
        <v>0.00931184784</v>
      </c>
    </row>
    <row r="725">
      <c r="A725" s="2">
        <f>(('Historical Data'!C727)-('Historical Data'!C726))/('Historical Data'!C726)</f>
        <v>-0.00582847627</v>
      </c>
      <c r="D725" s="2">
        <f>(('Historical Data'!L727)-('Historical Data'!L726))/('Historical Data'!L726)</f>
        <v>-0.007424593968</v>
      </c>
      <c r="E725" s="2">
        <f>(('Historical Data'!O727)-('Historical Data'!O726))/('Historical Data'!O726)</f>
        <v>0.01684751571</v>
      </c>
      <c r="F725" s="2">
        <f>(('Historical Data'!R727)-('Historical Data'!R726))/('Historical Data'!R726)</f>
        <v>-0.0115160636</v>
      </c>
    </row>
    <row r="726">
      <c r="A726" s="2">
        <f>(('Historical Data'!C728)-('Historical Data'!C727))/('Historical Data'!C727)</f>
        <v>0.01067839196</v>
      </c>
      <c r="D726" s="2">
        <f>(('Historical Data'!L728)-('Historical Data'!L727))/('Historical Data'!L727)</f>
        <v>0.01402524544</v>
      </c>
      <c r="E726" s="2">
        <f>(('Historical Data'!O728)-('Historical Data'!O727))/('Historical Data'!O727)</f>
        <v>0.007582139848</v>
      </c>
      <c r="F726" s="2">
        <f>(('Historical Data'!R728)-('Historical Data'!R727))/('Historical Data'!R727)</f>
        <v>-0.00529555835</v>
      </c>
    </row>
    <row r="727">
      <c r="A727" s="2">
        <f>(('Historical Data'!C729)-('Historical Data'!C728))/('Historical Data'!C728)</f>
        <v>-0.009736896623</v>
      </c>
      <c r="D727" s="2">
        <f>(('Historical Data'!L729)-('Historical Data'!L728))/('Historical Data'!L728)</f>
        <v>-0.007607192254</v>
      </c>
      <c r="E727" s="2">
        <f>(('Historical Data'!O729)-('Historical Data'!O728))/('Historical Data'!O728)</f>
        <v>-0.003901895206</v>
      </c>
      <c r="F727" s="2">
        <f>(('Historical Data'!R729)-('Historical Data'!R728))/('Historical Data'!R728)</f>
        <v>-0.00439209423</v>
      </c>
    </row>
    <row r="728">
      <c r="A728" s="2">
        <f>(('Historical Data'!C730)-('Historical Data'!C729))/('Historical Data'!C729)</f>
        <v>0.005857740586</v>
      </c>
      <c r="D728" s="2">
        <f>(('Historical Data'!L730)-('Historical Data'!L729))/('Historical Data'!L729)</f>
        <v>-0.01161440186</v>
      </c>
      <c r="E728" s="2">
        <f>(('Historical Data'!O730)-('Historical Data'!O729))/('Historical Data'!O729)</f>
        <v>-0.01315053162</v>
      </c>
      <c r="F728" s="2">
        <f>(('Historical Data'!R730)-('Historical Data'!R729))/('Historical Data'!R729)</f>
        <v>0.00942450371</v>
      </c>
    </row>
    <row r="729">
      <c r="A729" s="2">
        <f>(('Historical Data'!C731)-('Historical Data'!C730))/('Historical Data'!C730)</f>
        <v>0.005823627288</v>
      </c>
      <c r="D729" s="2">
        <f>(('Historical Data'!L731)-('Historical Data'!L730))/('Historical Data'!L730)</f>
        <v>-0.005875440658</v>
      </c>
      <c r="E729" s="2">
        <f>(('Historical Data'!O731)-('Historical Data'!O730))/('Historical Data'!O730)</f>
        <v>0.01559398923</v>
      </c>
      <c r="F729" s="2">
        <f>(('Historical Data'!R731)-('Historical Data'!R730))/('Historical Data'!R730)</f>
        <v>0.002383790226</v>
      </c>
    </row>
    <row r="730">
      <c r="A730" s="2">
        <f>(('Historical Data'!C732)-('Historical Data'!C731))/('Historical Data'!C731)</f>
        <v>-0.008891645988</v>
      </c>
      <c r="D730" s="2">
        <f>(('Historical Data'!L732)-('Historical Data'!L731))/('Historical Data'!L731)</f>
        <v>0.001182033097</v>
      </c>
      <c r="E730" s="2">
        <f>(('Historical Data'!O732)-('Historical Data'!O731))/('Historical Data'!O731)</f>
        <v>0.003350083752</v>
      </c>
      <c r="F730" s="2">
        <f>(('Historical Data'!R732)-('Historical Data'!R731))/('Historical Data'!R731)</f>
        <v>-0.0009248249438</v>
      </c>
    </row>
    <row r="731">
      <c r="A731" s="2">
        <f>(('Historical Data'!C733)-('Historical Data'!C732))/('Historical Data'!C732)</f>
        <v>-0.001669100772</v>
      </c>
      <c r="D731" s="2">
        <f>(('Historical Data'!L733)-('Historical Data'!L732))/('Historical Data'!L732)</f>
        <v>0.003069657615</v>
      </c>
      <c r="E731" s="2">
        <f>(('Historical Data'!O733)-('Historical Data'!O732))/('Historical Data'!O732)</f>
        <v>0</v>
      </c>
      <c r="F731" s="2">
        <f>(('Historical Data'!R733)-('Historical Data'!R732))/('Historical Data'!R732)</f>
        <v>0.006942607776</v>
      </c>
    </row>
    <row r="732">
      <c r="A732" s="2">
        <f>(('Historical Data'!C734)-('Historical Data'!C733))/('Historical Data'!C733)</f>
        <v>0.004179728318</v>
      </c>
      <c r="D732" s="2">
        <f>(('Historical Data'!L734)-('Historical Data'!L733))/('Historical Data'!L733)</f>
        <v>-0.01012241055</v>
      </c>
      <c r="E732" s="2">
        <f>(('Historical Data'!O734)-('Historical Data'!O733))/('Historical Data'!O733)</f>
        <v>0.003617139677</v>
      </c>
      <c r="F732" s="2">
        <f>(('Historical Data'!R734)-('Historical Data'!R733))/('Historical Data'!R733)</f>
        <v>-0.007617046425</v>
      </c>
    </row>
    <row r="733">
      <c r="A733" s="2">
        <f>(('Historical Data'!C735)-('Historical Data'!C734))/('Historical Data'!C734)</f>
        <v>0.006867845994</v>
      </c>
      <c r="D733" s="2">
        <f>(('Historical Data'!L735)-('Historical Data'!L734))/('Historical Data'!L734)</f>
        <v>0.009512485137</v>
      </c>
      <c r="E733" s="2">
        <f>(('Historical Data'!O735)-('Historical Data'!O734))/('Historical Data'!O734)</f>
        <v>0.006099251456</v>
      </c>
      <c r="F733" s="2">
        <f>(('Historical Data'!R735)-('Historical Data'!R734))/('Historical Data'!R734)</f>
        <v>0.0158141997</v>
      </c>
    </row>
    <row r="734">
      <c r="A734" s="2">
        <f>(('Historical Data'!C736)-('Historical Data'!C735))/('Historical Data'!C735)</f>
        <v>0.00186027284</v>
      </c>
      <c r="D734" s="2">
        <f>(('Historical Data'!L736)-('Historical Data'!L735))/('Historical Data'!L735)</f>
        <v>0.02355712603</v>
      </c>
      <c r="E734" s="2">
        <f>(('Historical Data'!O736)-('Historical Data'!O735))/('Historical Data'!O735)</f>
        <v>-0.008542298154</v>
      </c>
      <c r="F734" s="2">
        <f>(('Historical Data'!R736)-('Historical Data'!R735))/('Historical Data'!R735)</f>
        <v>-0.005601875977</v>
      </c>
    </row>
    <row r="735">
      <c r="A735" s="2">
        <f>(('Historical Data'!C737)-('Historical Data'!C736))/('Historical Data'!C736)</f>
        <v>-0.008665153703</v>
      </c>
      <c r="D735" s="2">
        <f>(('Historical Data'!L737)-('Historical Data'!L736))/('Historical Data'!L736)</f>
        <v>0.0004602991945</v>
      </c>
      <c r="E735" s="2">
        <f>(('Historical Data'!O737)-('Historical Data'!O736))/('Historical Data'!O736)</f>
        <v>-0.0108393552</v>
      </c>
      <c r="F735" s="2">
        <f>(('Historical Data'!R737)-('Historical Data'!R736))/('Historical Data'!R736)</f>
        <v>-0.003930302633</v>
      </c>
    </row>
    <row r="736">
      <c r="A736" s="2">
        <f>(('Historical Data'!C738)-('Historical Data'!C737))/('Historical Data'!C737)</f>
        <v>-0.002497398543</v>
      </c>
      <c r="D736" s="2">
        <f>(('Historical Data'!L738)-('Historical Data'!L737))/('Historical Data'!L737)</f>
        <v>0.02346445825</v>
      </c>
      <c r="E736" s="2">
        <f>(('Historical Data'!O738)-('Historical Data'!O737))/('Historical Data'!O737)</f>
        <v>-0.008429334083</v>
      </c>
      <c r="F736" s="2">
        <f>(('Historical Data'!R738)-('Historical Data'!R737))/('Historical Data'!R737)</f>
        <v>-0.03485466263</v>
      </c>
    </row>
    <row r="737">
      <c r="A737" s="2">
        <f>(('Historical Data'!C739)-('Historical Data'!C738))/('Historical Data'!C738)</f>
        <v>-0.004798664719</v>
      </c>
      <c r="D737" s="2">
        <f>(('Historical Data'!L739)-('Historical Data'!L738))/('Historical Data'!L738)</f>
        <v>0.01438525511</v>
      </c>
      <c r="E737" s="2">
        <f>(('Historical Data'!O739)-('Historical Data'!O738))/('Historical Data'!O738)</f>
        <v>-0.01246812128</v>
      </c>
      <c r="F737" s="2">
        <f>(('Historical Data'!R739)-('Historical Data'!R738))/('Historical Data'!R738)</f>
        <v>-0.0007495230308</v>
      </c>
    </row>
    <row r="738">
      <c r="A738" s="2">
        <f>(('Historical Data'!C740)-('Historical Data'!C739))/('Historical Data'!C739)</f>
        <v>0.01174004193</v>
      </c>
      <c r="D738" s="2">
        <f>(('Historical Data'!L740)-('Historical Data'!L739))/('Historical Data'!L739)</f>
        <v>-0.002658985154</v>
      </c>
      <c r="E738" s="2">
        <f>(('Historical Data'!O740)-('Historical Data'!O739))/('Historical Data'!O739)</f>
        <v>-0.004591104735</v>
      </c>
      <c r="F738" s="2">
        <f>(('Historical Data'!R740)-('Historical Data'!R739))/('Historical Data'!R739)</f>
        <v>-0.001022843505</v>
      </c>
    </row>
    <row r="739">
      <c r="A739" s="2">
        <f>(('Historical Data'!C741)-('Historical Data'!C740))/('Historical Data'!C740)</f>
        <v>0.002486531289</v>
      </c>
      <c r="D739" s="2">
        <f>(('Historical Data'!L741)-('Historical Data'!L740))/('Historical Data'!L740)</f>
        <v>0.01777382804</v>
      </c>
      <c r="E739" s="2">
        <f>(('Historical Data'!O741)-('Historical Data'!O740))/('Historical Data'!O740)</f>
        <v>0.01758431825</v>
      </c>
      <c r="F739" s="2">
        <f>(('Historical Data'!R741)-('Historical Data'!R740))/('Historical Data'!R740)</f>
        <v>-0.009215017065</v>
      </c>
    </row>
    <row r="740">
      <c r="A740" s="2">
        <f>(('Historical Data'!C742)-('Historical Data'!C741))/('Historical Data'!C741)</f>
        <v>0.0208763952</v>
      </c>
      <c r="D740" s="2">
        <f>(('Historical Data'!L742)-('Historical Data'!L741))/('Historical Data'!L741)</f>
        <v>-0.001964636542</v>
      </c>
      <c r="E740" s="2">
        <f>(('Historical Data'!O742)-('Historical Data'!O741))/('Historical Data'!O741)</f>
        <v>-0.004815864023</v>
      </c>
      <c r="F740" s="2">
        <f>(('Historical Data'!R742)-('Historical Data'!R741))/('Historical Data'!R741)</f>
        <v>0.004615914571</v>
      </c>
    </row>
    <row r="741">
      <c r="A741" s="2">
        <f>(('Historical Data'!C743)-('Historical Data'!C742))/('Historical Data'!C742)</f>
        <v>-0.001214820814</v>
      </c>
      <c r="D741" s="2">
        <f>(('Historical Data'!L743)-('Historical Data'!L742))/('Historical Data'!L742)</f>
        <v>0.0135608049</v>
      </c>
      <c r="E741" s="2">
        <f>(('Historical Data'!O743)-('Historical Data'!O742))/('Historical Data'!O742)</f>
        <v>-0.01053230857</v>
      </c>
      <c r="F741" s="2">
        <f>(('Historical Data'!R743)-('Historical Data'!R742))/('Historical Data'!R742)</f>
        <v>0.0008229323824</v>
      </c>
    </row>
    <row r="742">
      <c r="A742" s="2">
        <f>(('Historical Data'!C744)-('Historical Data'!C743))/('Historical Data'!C743)</f>
        <v>0.007297790391</v>
      </c>
      <c r="D742" s="2">
        <f>(('Historical Data'!L744)-('Historical Data'!L743))/('Historical Data'!L743)</f>
        <v>-0.004747518343</v>
      </c>
      <c r="E742" s="2">
        <f>(('Historical Data'!O744)-('Historical Data'!O743))/('Historical Data'!O743)</f>
        <v>0.007767548907</v>
      </c>
      <c r="F742" s="2">
        <f>(('Historical Data'!R744)-('Historical Data'!R743))/('Historical Data'!R743)</f>
        <v>0.01808962587</v>
      </c>
    </row>
    <row r="743">
      <c r="A743" s="2">
        <f>(('Historical Data'!C745)-('Historical Data'!C744))/('Historical Data'!C744)</f>
        <v>-0.005031193399</v>
      </c>
      <c r="D743" s="2">
        <f>(('Historical Data'!L745)-('Historical Data'!L744))/('Historical Data'!L744)</f>
        <v>-0.004770164788</v>
      </c>
      <c r="E743" s="2">
        <f>(('Historical Data'!O745)-('Historical Data'!O744))/('Historical Data'!O744)</f>
        <v>0.02198115901</v>
      </c>
      <c r="F743" s="2">
        <f>(('Historical Data'!R745)-('Historical Data'!R744))/('Historical Data'!R744)</f>
        <v>-0.02638309328</v>
      </c>
    </row>
    <row r="744">
      <c r="A744" s="2">
        <f>(('Historical Data'!C746)-('Historical Data'!C745))/('Historical Data'!C745)</f>
        <v>0.008697411003</v>
      </c>
      <c r="D744" s="2">
        <f>(('Historical Data'!L746)-('Historical Data'!L745))/('Historical Data'!L745)</f>
        <v>0.006318082789</v>
      </c>
      <c r="E744" s="2">
        <f>(('Historical Data'!O746)-('Historical Data'!O745))/('Historical Data'!O745)</f>
        <v>-0.02765363128</v>
      </c>
      <c r="F744" s="2">
        <f>(('Historical Data'!R746)-('Historical Data'!R745))/('Historical Data'!R745)</f>
        <v>-0.00483893267</v>
      </c>
    </row>
    <row r="745">
      <c r="A745" s="2">
        <f>(('Historical Data'!C747)-('Historical Data'!C746))/('Historical Data'!C746)</f>
        <v>0.007419290154</v>
      </c>
      <c r="D745" s="2">
        <f>(('Historical Data'!L747)-('Historical Data'!L746))/('Historical Data'!L746)</f>
        <v>0.02922710543</v>
      </c>
      <c r="E745" s="2">
        <f>(('Historical Data'!O747)-('Historical Data'!O746))/('Historical Data'!O746)</f>
        <v>0.008905486929</v>
      </c>
      <c r="F745" s="2">
        <f>(('Historical Data'!R747)-('Historical Data'!R746))/('Historical Data'!R746)</f>
        <v>0.01535148652</v>
      </c>
    </row>
    <row r="746">
      <c r="A746" s="2">
        <f>(('Historical Data'!C748)-('Historical Data'!C747))/('Historical Data'!C747)</f>
        <v>-0.001194267516</v>
      </c>
      <c r="D746" s="2">
        <f>(('Historical Data'!L748)-('Historical Data'!L747))/('Historical Data'!L747)</f>
        <v>-0.01093815734</v>
      </c>
      <c r="E746" s="2">
        <f>(('Historical Data'!O748)-('Historical Data'!O747))/('Historical Data'!O747)</f>
        <v>0.007972665148</v>
      </c>
      <c r="F746" s="2">
        <f>(('Historical Data'!R748)-('Historical Data'!R747))/('Historical Data'!R747)</f>
        <v>0</v>
      </c>
    </row>
    <row r="747">
      <c r="A747" s="2">
        <f>(('Historical Data'!C749)-('Historical Data'!C748))/('Historical Data'!C748)</f>
        <v>-0.007572738143</v>
      </c>
      <c r="D747" s="2">
        <f>(('Historical Data'!L749)-('Historical Data'!L748))/('Historical Data'!L748)</f>
        <v>-0.0004253509145</v>
      </c>
      <c r="E747" s="2">
        <f>(('Historical Data'!O749)-('Historical Data'!O748))/('Historical Data'!O748)</f>
        <v>-0.01073446328</v>
      </c>
      <c r="F747" s="2">
        <f>(('Historical Data'!R749)-('Historical Data'!R748))/('Historical Data'!R748)</f>
        <v>-0.015461449</v>
      </c>
    </row>
    <row r="748">
      <c r="A748" s="2">
        <f>(('Historical Data'!C750)-('Historical Data'!C749))/('Historical Data'!C749)</f>
        <v>-0.002008032129</v>
      </c>
      <c r="D748" s="2">
        <f>(('Historical Data'!L750)-('Historical Data'!L749))/('Historical Data'!L749)</f>
        <v>-0.005744680851</v>
      </c>
      <c r="E748" s="2">
        <f>(('Historical Data'!O750)-('Historical Data'!O749))/('Historical Data'!O749)</f>
        <v>0.012564249</v>
      </c>
      <c r="F748" s="2">
        <f>(('Historical Data'!R750)-('Historical Data'!R749))/('Historical Data'!R749)</f>
        <v>0.002432075603</v>
      </c>
    </row>
    <row r="749">
      <c r="A749" s="2">
        <f>(('Historical Data'!C751)-('Historical Data'!C750))/('Historical Data'!C750)</f>
        <v>0.007847082495</v>
      </c>
      <c r="D749" s="2">
        <f>(('Historical Data'!L751)-('Historical Data'!L750))/('Historical Data'!L750)</f>
        <v>0.01583565162</v>
      </c>
      <c r="E749" s="2">
        <f>(('Historical Data'!O751)-('Historical Data'!O750))/('Historical Data'!O750)</f>
        <v>-0.003666102651</v>
      </c>
      <c r="F749" s="2">
        <f>(('Historical Data'!R751)-('Historical Data'!R750))/('Historical Data'!R750)</f>
        <v>0.007070567032</v>
      </c>
    </row>
    <row r="750">
      <c r="A750" s="2">
        <f>(('Historical Data'!C752)-('Historical Data'!C751))/('Historical Data'!C751)</f>
        <v>0.00379317229</v>
      </c>
      <c r="D750" s="2">
        <f>(('Historical Data'!L752)-('Historical Data'!L751))/('Historical Data'!L751)</f>
        <v>-0.005898462187</v>
      </c>
      <c r="E750" s="2">
        <f>(('Historical Data'!O752)-('Historical Data'!O751))/('Historical Data'!O751)</f>
        <v>0.009623549391</v>
      </c>
      <c r="F750" s="2">
        <f>(('Historical Data'!R752)-('Historical Data'!R751))/('Historical Data'!R751)</f>
        <v>0.004542951542</v>
      </c>
    </row>
    <row r="751">
      <c r="A751" s="2">
        <f>(('Historical Data'!C753)-('Historical Data'!C752))/('Historical Data'!C752)</f>
        <v>0.003182179793</v>
      </c>
      <c r="D751" s="2">
        <f>(('Historical Data'!L753)-('Historical Data'!L752))/('Historical Data'!L752)</f>
        <v>0.01822420004</v>
      </c>
      <c r="E751" s="2">
        <f>(('Historical Data'!O753)-('Historical Data'!O752))/('Historical Data'!O752)</f>
        <v>0.001682085786</v>
      </c>
      <c r="F751" s="2">
        <f>(('Historical Data'!R753)-('Historical Data'!R752))/('Historical Data'!R752)</f>
        <v>0.0008222557215</v>
      </c>
    </row>
    <row r="752">
      <c r="A752" s="2">
        <f>(('Historical Data'!C754)-('Historical Data'!C753))/('Historical Data'!C753)</f>
        <v>0.0007930214116</v>
      </c>
      <c r="D752" s="2">
        <f>(('Historical Data'!L754)-('Historical Data'!L753))/('Historical Data'!L753)</f>
        <v>0.001664932362</v>
      </c>
      <c r="E752" s="2">
        <f>(('Historical Data'!O754)-('Historical Data'!O753))/('Historical Data'!O753)</f>
        <v>-0.01119507417</v>
      </c>
      <c r="F752" s="2">
        <f>(('Historical Data'!R754)-('Historical Data'!R753))/('Historical Data'!R753)</f>
        <v>-0.002259345474</v>
      </c>
    </row>
    <row r="753">
      <c r="A753" s="2">
        <f>(('Historical Data'!C755)-('Historical Data'!C754))/('Historical Data'!C754)</f>
        <v>0.0007923930269</v>
      </c>
      <c r="D753" s="2">
        <f>(('Historical Data'!L755)-('Historical Data'!L754))/('Historical Data'!L754)</f>
        <v>-0.00332432994</v>
      </c>
      <c r="E753" s="2">
        <f>(('Historical Data'!O755)-('Historical Data'!O754))/('Historical Data'!O754)</f>
        <v>0.001981318992</v>
      </c>
      <c r="F753" s="2">
        <f>(('Historical Data'!R755)-('Historical Data'!R754))/('Historical Data'!R754)</f>
        <v>0.005558224113</v>
      </c>
    </row>
    <row r="754">
      <c r="A754" s="2">
        <f>(('Historical Data'!C756)-('Historical Data'!C755))/('Historical Data'!C755)</f>
        <v>-0.0001979414093</v>
      </c>
      <c r="D754" s="2">
        <f>(('Historical Data'!L756)-('Historical Data'!L755))/('Historical Data'!L755)</f>
        <v>-0.005420054201</v>
      </c>
      <c r="E754" s="2">
        <f>(('Historical Data'!O756)-('Historical Data'!O755))/('Historical Data'!O755)</f>
        <v>0.002824858757</v>
      </c>
      <c r="F754" s="2">
        <f>(('Historical Data'!R756)-('Historical Data'!R755))/('Historical Data'!R755)</f>
        <v>0.01501296574</v>
      </c>
    </row>
    <row r="755">
      <c r="A755" s="2">
        <f>(('Historical Data'!C757)-('Historical Data'!C756))/('Historical Data'!C756)</f>
        <v>0</v>
      </c>
      <c r="D755" s="2">
        <f>(('Historical Data'!L757)-('Historical Data'!L756))/('Historical Data'!L756)</f>
        <v>0.007545587927</v>
      </c>
      <c r="E755" s="2">
        <f>(('Historical Data'!O757)-('Historical Data'!O756))/('Historical Data'!O756)</f>
        <v>0.01408450704</v>
      </c>
      <c r="F755" s="2">
        <f>(('Historical Data'!R757)-('Historical Data'!R756))/('Historical Data'!R756)</f>
        <v>-0.006050826946</v>
      </c>
    </row>
    <row r="756">
      <c r="A756" s="2">
        <f>(('Historical Data'!C758)-('Historical Data'!C757))/('Historical Data'!C757)</f>
        <v>-0.00851316571</v>
      </c>
      <c r="D756" s="2">
        <f>(('Historical Data'!L758)-('Historical Data'!L757))/('Historical Data'!L757)</f>
        <v>-0.01268982734</v>
      </c>
      <c r="E756" s="2">
        <f>(('Historical Data'!O758)-('Historical Data'!O757))/('Historical Data'!O757)</f>
        <v>-0.006666666667</v>
      </c>
      <c r="F756" s="2">
        <f>(('Historical Data'!R758)-('Historical Data'!R757))/('Historical Data'!R757)</f>
        <v>0.005478896104</v>
      </c>
    </row>
    <row r="757">
      <c r="A757" s="2">
        <f>(('Historical Data'!C759)-('Historical Data'!C758))/('Historical Data'!C758)</f>
        <v>0.0001996805112</v>
      </c>
      <c r="D757" s="2">
        <f>(('Historical Data'!L759)-('Historical Data'!L758))/('Historical Data'!L758)</f>
        <v>0.002317741256</v>
      </c>
      <c r="E757" s="2">
        <f>(('Historical Data'!O759)-('Historical Data'!O758))/('Historical Data'!O758)</f>
        <v>0.00755033557</v>
      </c>
      <c r="F757" s="2">
        <f>(('Historical Data'!R759)-('Historical Data'!R758))/('Historical Data'!R758)</f>
        <v>-0.008274470232</v>
      </c>
    </row>
    <row r="758">
      <c r="A758" s="2">
        <f>(('Historical Data'!C760)-('Historical Data'!C759))/('Historical Data'!C759)</f>
        <v>0.007386703933</v>
      </c>
      <c r="D758" s="2">
        <f>(('Historical Data'!L760)-('Historical Data'!L759))/('Historical Data'!L759)</f>
        <v>-0.006516712214</v>
      </c>
      <c r="E758" s="2">
        <f>(('Historical Data'!O760)-('Historical Data'!O759))/('Historical Data'!O759)</f>
        <v>-0.01665278934</v>
      </c>
      <c r="F758" s="2">
        <f>(('Historical Data'!R760)-('Historical Data'!R759))/('Historical Data'!R759)</f>
        <v>0.008614841948</v>
      </c>
    </row>
    <row r="759">
      <c r="A759" s="2">
        <f>(('Historical Data'!C761)-('Historical Data'!C760))/('Historical Data'!C760)</f>
        <v>-0.01089972255</v>
      </c>
      <c r="D759" s="2">
        <f>(('Historical Data'!L761)-('Historical Data'!L760))/('Historical Data'!L760)</f>
        <v>0.006559458316</v>
      </c>
      <c r="E759" s="2">
        <f>(('Historical Data'!O761)-('Historical Data'!O760))/('Historical Data'!O760)</f>
        <v>-0.01524132091</v>
      </c>
      <c r="F759" s="2">
        <f>(('Historical Data'!R761)-('Historical Data'!R760))/('Historical Data'!R760)</f>
        <v>0.004102495124</v>
      </c>
    </row>
    <row r="760">
      <c r="A760" s="2">
        <f>(('Historical Data'!C762)-('Historical Data'!C761))/('Historical Data'!C761)</f>
        <v>0.006611901423</v>
      </c>
      <c r="D760" s="2">
        <f>(('Historical Data'!L762)-('Historical Data'!L761))/('Historical Data'!L761)</f>
        <v>0.0006306495691</v>
      </c>
      <c r="E760" s="2">
        <f>(('Historical Data'!O762)-('Historical Data'!O761))/('Historical Data'!O761)</f>
        <v>-0.005445686443</v>
      </c>
      <c r="F760" s="2">
        <f>(('Historical Data'!R762)-('Historical Data'!R761))/('Historical Data'!R761)</f>
        <v>0.004286671132</v>
      </c>
    </row>
    <row r="761">
      <c r="A761" s="2">
        <f>(('Historical Data'!C763)-('Historical Data'!C762))/('Historical Data'!C762)</f>
        <v>0.00398089172</v>
      </c>
      <c r="D761" s="2">
        <f>(('Historical Data'!L763)-('Historical Data'!L762))/('Historical Data'!L762)</f>
        <v>-0.01260504202</v>
      </c>
      <c r="E761" s="2">
        <f>(('Historical Data'!O763)-('Historical Data'!O762))/('Historical Data'!O762)</f>
        <v>-0.002593659942</v>
      </c>
      <c r="F761" s="2">
        <f>(('Historical Data'!R763)-('Historical Data'!R762))/('Historical Data'!R762)</f>
        <v>0.003801520608</v>
      </c>
    </row>
    <row r="762">
      <c r="A762" s="2">
        <f>(('Historical Data'!C764)-('Historical Data'!C763))/('Historical Data'!C763)</f>
        <v>-0.001982553529</v>
      </c>
      <c r="D762" s="2">
        <f>(('Historical Data'!L764)-('Historical Data'!L763))/('Historical Data'!L763)</f>
        <v>-0.03744680851</v>
      </c>
      <c r="E762" s="2">
        <f>(('Historical Data'!O764)-('Historical Data'!O763))/('Historical Data'!O763)</f>
        <v>0.007223345854</v>
      </c>
      <c r="F762" s="2">
        <f>(('Historical Data'!R764)-('Historical Data'!R763))/('Historical Data'!R763)</f>
        <v>0.0005979669125</v>
      </c>
    </row>
    <row r="763">
      <c r="A763" s="2">
        <f>(('Historical Data'!C765)-('Historical Data'!C764))/('Historical Data'!C764)</f>
        <v>0.004966229638</v>
      </c>
      <c r="D763" s="2">
        <f>(('Historical Data'!L765)-('Historical Data'!L764))/('Historical Data'!L764)</f>
        <v>-0.005747126437</v>
      </c>
      <c r="E763" s="2">
        <f>(('Historical Data'!O765)-('Historical Data'!O764))/('Historical Data'!O764)</f>
        <v>-0.01663798049</v>
      </c>
      <c r="F763" s="2">
        <f>(('Historical Data'!R765)-('Historical Data'!R764))/('Historical Data'!R764)</f>
        <v>-0.005378486056</v>
      </c>
    </row>
    <row r="764">
      <c r="A764" s="2">
        <f>(('Historical Data'!C766)-('Historical Data'!C765))/('Historical Data'!C765)</f>
        <v>-0.005732358174</v>
      </c>
      <c r="D764" s="2">
        <f>(('Historical Data'!L766)-('Historical Data'!L765))/('Historical Data'!L765)</f>
        <v>-0.02556691863</v>
      </c>
      <c r="E764" s="2">
        <f>(('Historical Data'!O766)-('Historical Data'!O765))/('Historical Data'!O765)</f>
        <v>-0.01108518086</v>
      </c>
      <c r="F764" s="2">
        <f>(('Historical Data'!R766)-('Historical Data'!R765))/('Historical Data'!R765)</f>
        <v>0.001001401963</v>
      </c>
    </row>
    <row r="765">
      <c r="A765" s="2">
        <f>(('Historical Data'!C767)-('Historical Data'!C766))/('Historical Data'!C766)</f>
        <v>0.008946322068</v>
      </c>
      <c r="D765" s="2">
        <f>(('Historical Data'!L767)-('Historical Data'!L766))/('Historical Data'!L766)</f>
        <v>-0.01619895049</v>
      </c>
      <c r="E765" s="2">
        <f>(('Historical Data'!O767)-('Historical Data'!O766))/('Historical Data'!O766)</f>
        <v>0.00383480826</v>
      </c>
      <c r="F765" s="2">
        <f>(('Historical Data'!R767)-('Historical Data'!R766))/('Historical Data'!R766)</f>
        <v>-0.01200480192</v>
      </c>
    </row>
    <row r="766">
      <c r="A766" s="2">
        <f>(('Historical Data'!C768)-('Historical Data'!C767))/('Historical Data'!C767)</f>
        <v>0.01024630542</v>
      </c>
      <c r="D766" s="2">
        <f>(('Historical Data'!L768)-('Historical Data'!L767))/('Historical Data'!L767)</f>
        <v>-0.01971243043</v>
      </c>
      <c r="E766" s="2">
        <f>(('Historical Data'!O768)-('Historical Data'!O767))/('Historical Data'!O767)</f>
        <v>-0.005289450485</v>
      </c>
      <c r="F766" s="2">
        <f>(('Historical Data'!R768)-('Historical Data'!R767))/('Historical Data'!R767)</f>
        <v>-0.003847711624</v>
      </c>
    </row>
    <row r="767">
      <c r="A767" s="2">
        <f>(('Historical Data'!C769)-('Historical Data'!C768))/('Historical Data'!C768)</f>
        <v>0.005851375073</v>
      </c>
      <c r="D767" s="2">
        <f>(('Historical Data'!L769)-('Historical Data'!L768))/('Historical Data'!L768)</f>
        <v>0.005441211261</v>
      </c>
      <c r="E767" s="2">
        <f>(('Historical Data'!O769)-('Historical Data'!O768))/('Historical Data'!O768)</f>
        <v>0.011816839</v>
      </c>
      <c r="F767" s="2">
        <f>(('Historical Data'!R769)-('Historical Data'!R768))/('Historical Data'!R768)</f>
        <v>0.001965169072</v>
      </c>
    </row>
    <row r="768">
      <c r="A768" s="2">
        <f>(('Historical Data'!C770)-('Historical Data'!C769))/('Historical Data'!C769)</f>
        <v>0.003684312585</v>
      </c>
      <c r="D768" s="2">
        <f>(('Historical Data'!L770)-('Historical Data'!L769))/('Historical Data'!L769)</f>
        <v>0.004</v>
      </c>
      <c r="E768" s="2">
        <f>(('Historical Data'!O770)-('Historical Data'!O769))/('Historical Data'!O769)</f>
        <v>0</v>
      </c>
      <c r="F768" s="2">
        <f>(('Historical Data'!R770)-('Historical Data'!R769))/('Historical Data'!R769)</f>
        <v>0.04139050453</v>
      </c>
    </row>
    <row r="769">
      <c r="A769" s="2">
        <f>(('Historical Data'!C771)-('Historical Data'!C770))/('Historical Data'!C770)</f>
        <v>-0.008693972179</v>
      </c>
      <c r="D769" s="2">
        <f>(('Historical Data'!L771)-('Historical Data'!L770))/('Historical Data'!L770)</f>
        <v>0.01757675182</v>
      </c>
      <c r="E769" s="2">
        <f>(('Historical Data'!O771)-('Historical Data'!O770))/('Historical Data'!O770)</f>
        <v>0.009051094891</v>
      </c>
      <c r="F769" s="2">
        <f>(('Historical Data'!R771)-('Historical Data'!R770))/('Historical Data'!R770)</f>
        <v>-0.01207949084</v>
      </c>
    </row>
    <row r="770">
      <c r="A770" s="2">
        <f>(('Historical Data'!C772)-('Historical Data'!C771))/('Historical Data'!C771)</f>
        <v>0.01987916585</v>
      </c>
      <c r="D770" s="2">
        <f>(('Historical Data'!L772)-('Historical Data'!L771))/('Historical Data'!L771)</f>
        <v>-0.008291110088</v>
      </c>
      <c r="E770" s="2">
        <f>(('Historical Data'!O772)-('Historical Data'!O771))/('Historical Data'!O771)</f>
        <v>0.01707175926</v>
      </c>
      <c r="F770" s="2">
        <f>(('Historical Data'!R772)-('Historical Data'!R771))/('Historical Data'!R771)</f>
        <v>0.02300815146</v>
      </c>
    </row>
    <row r="771">
      <c r="A771" s="2">
        <f>(('Historical Data'!C773)-('Historical Data'!C772))/('Historical Data'!C772)</f>
        <v>-0.00363080451</v>
      </c>
      <c r="D771" s="2">
        <f>(('Historical Data'!L773)-('Historical Data'!L772))/('Historical Data'!L772)</f>
        <v>-0.02090106828</v>
      </c>
      <c r="E771" s="2">
        <f>(('Historical Data'!O773)-('Historical Data'!O772))/('Historical Data'!O772)</f>
        <v>0.01365576102</v>
      </c>
      <c r="F771" s="2">
        <f>(('Historical Data'!R773)-('Historical Data'!R772))/('Historical Data'!R772)</f>
        <v>0.003341472818</v>
      </c>
    </row>
    <row r="772">
      <c r="A772" s="2">
        <f>(('Historical Data'!C774)-('Historical Data'!C773))/('Historical Data'!C773)</f>
        <v>0.002876869965</v>
      </c>
      <c r="D772" s="2">
        <f>(('Historical Data'!L774)-('Historical Data'!L773))/('Historical Data'!L773)</f>
        <v>-0.014943074</v>
      </c>
      <c r="E772" s="2">
        <f>(('Historical Data'!O774)-('Historical Data'!O773))/('Historical Data'!O773)</f>
        <v>0</v>
      </c>
      <c r="F772" s="2">
        <f>(('Historical Data'!R774)-('Historical Data'!R773))/('Historical Data'!R773)</f>
        <v>0.0001280901755</v>
      </c>
    </row>
    <row r="773">
      <c r="A773" s="2">
        <f>(('Historical Data'!C775)-('Historical Data'!C774))/('Historical Data'!C774)</f>
        <v>-0.0009562057755</v>
      </c>
      <c r="D773" s="2">
        <f>(('Historical Data'!L775)-('Historical Data'!L774))/('Historical Data'!L774)</f>
        <v>0.01372501806</v>
      </c>
      <c r="E773" s="2">
        <f>(('Historical Data'!O775)-('Historical Data'!O774))/('Historical Data'!O774)</f>
        <v>0.007297221443</v>
      </c>
      <c r="F773" s="2">
        <f>(('Historical Data'!R775)-('Historical Data'!R774))/('Historical Data'!R774)</f>
        <v>0.008516905738</v>
      </c>
    </row>
    <row r="774">
      <c r="A774" s="2">
        <f>(('Historical Data'!C776)-('Historical Data'!C775))/('Historical Data'!C775)</f>
        <v>-0.03943338438</v>
      </c>
      <c r="D774" s="2">
        <f>(('Historical Data'!L776)-('Historical Data'!L775))/('Historical Data'!L775)</f>
        <v>0.004275534442</v>
      </c>
      <c r="E774" s="2">
        <f>(('Historical Data'!O776)-('Historical Data'!O775))/('Historical Data'!O775)</f>
        <v>-0.02201170242</v>
      </c>
      <c r="F774" s="2">
        <f>(('Historical Data'!R776)-('Historical Data'!R775))/('Historical Data'!R775)</f>
        <v>-0.002222363325</v>
      </c>
    </row>
    <row r="775">
      <c r="A775" s="2">
        <f>(('Historical Data'!C777)-('Historical Data'!C776))/('Historical Data'!C776)</f>
        <v>0</v>
      </c>
      <c r="D775" s="2">
        <f>(('Historical Data'!L777)-('Historical Data'!L776))/('Historical Data'!L776)</f>
        <v>0.01750236518</v>
      </c>
      <c r="E775" s="2">
        <f>(('Historical Data'!O777)-('Historical Data'!O776))/('Historical Data'!O776)</f>
        <v>0.0008547008547</v>
      </c>
      <c r="F775" s="2">
        <f>(('Historical Data'!R777)-('Historical Data'!R776))/('Historical Data'!R776)</f>
        <v>0.01298205422</v>
      </c>
    </row>
    <row r="776">
      <c r="A776" s="2">
        <f>(('Historical Data'!C778)-('Historical Data'!C777))/('Historical Data'!C777)</f>
        <v>0</v>
      </c>
      <c r="D776" s="2">
        <f>(('Historical Data'!L778)-('Historical Data'!L777))/('Historical Data'!L777)</f>
        <v>-0.01115760112</v>
      </c>
      <c r="E776" s="2">
        <f>(('Historical Data'!O778)-('Historical Data'!O777))/('Historical Data'!O777)</f>
        <v>-0.01394819243</v>
      </c>
      <c r="F776" s="2">
        <f>(('Historical Data'!R778)-('Historical Data'!R777))/('Historical Data'!R777)</f>
        <v>-0.006847593919</v>
      </c>
    </row>
    <row r="777">
      <c r="A777" s="2">
        <f>(('Historical Data'!C779)-('Historical Data'!C778))/('Historical Data'!C778)</f>
        <v>-0.01335193304</v>
      </c>
      <c r="D777" s="2">
        <f>(('Historical Data'!L779)-('Historical Data'!L778))/('Historical Data'!L778)</f>
        <v>-0.004936530324</v>
      </c>
      <c r="E777" s="2">
        <f>(('Historical Data'!O779)-('Historical Data'!O778))/('Historical Data'!O778)</f>
        <v>-0.01154734411</v>
      </c>
      <c r="F777" s="2">
        <f>(('Historical Data'!R779)-('Historical Data'!R778))/('Historical Data'!R778)</f>
        <v>0.0007590612942</v>
      </c>
    </row>
    <row r="778">
      <c r="A778" s="2">
        <f>(('Historical Data'!C780)-('Historical Data'!C779))/('Historical Data'!C779)</f>
        <v>0.009493031711</v>
      </c>
      <c r="D778" s="2">
        <f>(('Historical Data'!L780)-('Historical Data'!L779))/('Historical Data'!L779)</f>
        <v>-0.0002362390739</v>
      </c>
      <c r="E778" s="2">
        <f>(('Historical Data'!O780)-('Historical Data'!O779))/('Historical Data'!O779)</f>
        <v>0.06279205607</v>
      </c>
      <c r="F778" s="2">
        <f>(('Historical Data'!R780)-('Historical Data'!R779))/('Historical Data'!R779)</f>
        <v>0.004740534732</v>
      </c>
    </row>
    <row r="779">
      <c r="A779" s="2">
        <f>(('Historical Data'!C781)-('Historical Data'!C780))/('Historical Data'!C780)</f>
        <v>-0.004201680672</v>
      </c>
      <c r="D779" s="2">
        <f>(('Historical Data'!L781)-('Historical Data'!L780))/('Historical Data'!L780)</f>
        <v>-0.01016068053</v>
      </c>
      <c r="E779" s="2">
        <f>(('Historical Data'!O781)-('Historical Data'!O780))/('Historical Data'!O780)</f>
        <v>-0.006045616928</v>
      </c>
      <c r="F779" s="2">
        <f>(('Historical Data'!R781)-('Historical Data'!R780))/('Historical Data'!R780)</f>
        <v>0.001006542526</v>
      </c>
    </row>
    <row r="780">
      <c r="A780" s="2">
        <f>(('Historical Data'!C782)-('Historical Data'!C781))/('Historical Data'!C781)</f>
        <v>0.003616636528</v>
      </c>
      <c r="D780" s="2">
        <f>(('Historical Data'!L782)-('Historical Data'!L781))/('Historical Data'!L781)</f>
        <v>-0.0002387204583</v>
      </c>
      <c r="E780" s="2">
        <f>(('Historical Data'!O782)-('Historical Data'!O781))/('Historical Data'!O781)</f>
        <v>0.001105888858</v>
      </c>
      <c r="F780" s="2">
        <f>(('Historical Data'!R782)-('Historical Data'!R781))/('Historical Data'!R781)</f>
        <v>-0.003016591252</v>
      </c>
    </row>
    <row r="781">
      <c r="A781" s="2">
        <f>(('Historical Data'!C783)-('Historical Data'!C782))/('Historical Data'!C782)</f>
        <v>0.003603603604</v>
      </c>
      <c r="D781" s="2">
        <f>(('Historical Data'!L783)-('Historical Data'!L782))/('Historical Data'!L782)</f>
        <v>-0.007163323782</v>
      </c>
      <c r="E781" s="2">
        <f>(('Historical Data'!O783)-('Historical Data'!O782))/('Historical Data'!O782)</f>
        <v>0.004142502071</v>
      </c>
      <c r="F781" s="2">
        <f>(('Historical Data'!R783)-('Historical Data'!R782))/('Historical Data'!R782)</f>
        <v>-0.007690368129</v>
      </c>
    </row>
    <row r="782">
      <c r="A782" s="2">
        <f>(('Historical Data'!C784)-('Historical Data'!C783))/('Historical Data'!C783)</f>
        <v>-0.002792738879</v>
      </c>
      <c r="D782" s="2">
        <f>(('Historical Data'!L784)-('Historical Data'!L783))/('Historical Data'!L783)</f>
        <v>-0.001443001443</v>
      </c>
      <c r="E782" s="2">
        <f>(('Historical Data'!O784)-('Historical Data'!O783))/('Historical Data'!O783)</f>
        <v>0.001925192519</v>
      </c>
      <c r="F782" s="2">
        <f>(('Historical Data'!R784)-('Historical Data'!R783))/('Historical Data'!R783)</f>
        <v>-0.001969254224</v>
      </c>
    </row>
    <row r="783">
      <c r="A783" s="2">
        <f>(('Historical Data'!C785)-('Historical Data'!C784))/('Historical Data'!C784)</f>
        <v>-0.00700140028</v>
      </c>
      <c r="D783" s="2">
        <f>(('Historical Data'!L785)-('Historical Data'!L784))/('Historical Data'!L784)</f>
        <v>-0.00289017341</v>
      </c>
      <c r="E783" s="2">
        <f>(('Historical Data'!O785)-('Historical Data'!O784))/('Historical Data'!O784)</f>
        <v>-0.01070546253</v>
      </c>
      <c r="F783" s="2">
        <f>(('Historical Data'!R785)-('Historical Data'!R784))/('Historical Data'!R784)</f>
        <v>-0.005346572465</v>
      </c>
    </row>
    <row r="784">
      <c r="A784" s="2">
        <f>(('Historical Data'!C786)-('Historical Data'!C785))/('Historical Data'!C785)</f>
        <v>0.01289282836</v>
      </c>
      <c r="D784" s="2">
        <f>(('Historical Data'!L786)-('Historical Data'!L785))/('Historical Data'!L785)</f>
        <v>0</v>
      </c>
      <c r="E784" s="2">
        <f>(('Historical Data'!O786)-('Historical Data'!O785))/('Historical Data'!O785)</f>
        <v>-0.007769145394</v>
      </c>
      <c r="F784" s="2">
        <f>(('Historical Data'!R786)-('Historical Data'!R785))/('Historical Data'!R785)</f>
        <v>-0.004095475779</v>
      </c>
    </row>
    <row r="785">
      <c r="A785" s="2">
        <f>(('Historical Data'!C787)-('Historical Data'!C786))/('Historical Data'!C786)</f>
        <v>-0.02426412092</v>
      </c>
      <c r="D785" s="2">
        <f>(('Historical Data'!L787)-('Historical Data'!L786))/('Historical Data'!L786)</f>
        <v>-0.005072463768</v>
      </c>
      <c r="E785" s="2">
        <f>(('Historical Data'!O787)-('Historical Data'!O786))/('Historical Data'!O786)</f>
        <v>-0.004194630872</v>
      </c>
      <c r="F785" s="2">
        <f>(('Historical Data'!R787)-('Historical Data'!R786))/('Historical Data'!R786)</f>
        <v>0.00886718499</v>
      </c>
    </row>
    <row r="786">
      <c r="A786" s="2">
        <f>(('Historical Data'!C788)-('Historical Data'!C787))/('Historical Data'!C787)</f>
        <v>-0.01263758663</v>
      </c>
      <c r="D786" s="2">
        <f>(('Historical Data'!L788)-('Historical Data'!L787))/('Historical Data'!L787)</f>
        <v>0.006069434329</v>
      </c>
      <c r="E786" s="2">
        <f>(('Historical Data'!O788)-('Historical Data'!O787))/('Historical Data'!O787)</f>
        <v>-0.00449311991</v>
      </c>
      <c r="F786" s="2">
        <f>(('Historical Data'!R788)-('Historical Data'!R787))/('Historical Data'!R787)</f>
        <v>0.003184510541</v>
      </c>
    </row>
    <row r="787">
      <c r="A787" s="2">
        <f>(('Historical Data'!C789)-('Historical Data'!C788))/('Historical Data'!C788)</f>
        <v>-0.003303055326</v>
      </c>
      <c r="D787" s="2">
        <f>(('Historical Data'!L789)-('Historical Data'!L788))/('Historical Data'!L788)</f>
        <v>0.003378378378</v>
      </c>
      <c r="E787" s="2">
        <f>(('Historical Data'!O789)-('Historical Data'!O788))/('Historical Data'!O788)</f>
        <v>-0.00197461213</v>
      </c>
      <c r="F787" s="2">
        <f>(('Historical Data'!R789)-('Historical Data'!R788))/('Historical Data'!R788)</f>
        <v>0.006348803251</v>
      </c>
    </row>
    <row r="788">
      <c r="A788" s="2">
        <f>(('Historical Data'!C790)-('Historical Data'!C789))/('Historical Data'!C789)</f>
        <v>0.004142502071</v>
      </c>
      <c r="D788" s="2">
        <f>(('Historical Data'!L790)-('Historical Data'!L789))/('Historical Data'!L789)</f>
        <v>0.03896103896</v>
      </c>
      <c r="E788" s="2">
        <f>(('Historical Data'!O790)-('Historical Data'!O789))/('Historical Data'!O789)</f>
        <v>0.009044657999</v>
      </c>
      <c r="F788" s="2">
        <f>(('Historical Data'!R790)-('Historical Data'!R789))/('Historical Data'!R789)</f>
        <v>0.01192353795</v>
      </c>
    </row>
    <row r="789">
      <c r="A789" s="2">
        <f>(('Historical Data'!C791)-('Historical Data'!C790))/('Historical Data'!C790)</f>
        <v>0.001856435644</v>
      </c>
      <c r="D789" s="2">
        <f>(('Historical Data'!L791)-('Historical Data'!L790))/('Historical Data'!L790)</f>
        <v>-0.007407407407</v>
      </c>
      <c r="E789" s="2">
        <f>(('Historical Data'!O791)-('Historical Data'!O790))/('Historical Data'!O790)</f>
        <v>-0.005882352941</v>
      </c>
      <c r="F789" s="2">
        <f>(('Historical Data'!R791)-('Historical Data'!R790))/('Historical Data'!R790)</f>
        <v>0.0009975062344</v>
      </c>
    </row>
    <row r="790">
      <c r="A790" s="2">
        <f>(('Historical Data'!C792)-('Historical Data'!C791))/('Historical Data'!C791)</f>
        <v>0.005970763846</v>
      </c>
      <c r="D790" s="2">
        <f>(('Historical Data'!L792)-('Historical Data'!L791))/('Historical Data'!L791)</f>
        <v>0.01795708955</v>
      </c>
      <c r="E790" s="2">
        <f>(('Historical Data'!O792)-('Historical Data'!O791))/('Historical Data'!O791)</f>
        <v>-0.003099464638</v>
      </c>
      <c r="F790" s="2">
        <f>(('Historical Data'!R792)-('Historical Data'!R791))/('Historical Data'!R791)</f>
        <v>0.002927254609</v>
      </c>
    </row>
    <row r="791">
      <c r="A791" s="2">
        <f>(('Historical Data'!C793)-('Historical Data'!C792))/('Historical Data'!C792)</f>
        <v>-0.009414654114</v>
      </c>
      <c r="D791" s="2">
        <f>(('Historical Data'!L793)-('Historical Data'!L792))/('Historical Data'!L792)</f>
        <v>-0.00824742268</v>
      </c>
      <c r="E791" s="2">
        <f>(('Historical Data'!O793)-('Historical Data'!O792))/('Historical Data'!O792)</f>
        <v>-0.001695873375</v>
      </c>
      <c r="F791" s="2">
        <f>(('Historical Data'!R793)-('Historical Data'!R792))/('Historical Data'!R792)</f>
        <v>-0.005030118611</v>
      </c>
    </row>
    <row r="792">
      <c r="A792" s="2">
        <f>(('Historical Data'!C794)-('Historical Data'!C793))/('Historical Data'!C793)</f>
        <v>-0.001859504132</v>
      </c>
      <c r="D792" s="2">
        <f>(('Historical Data'!L794)-('Historical Data'!L793))/('Historical Data'!L793)</f>
        <v>0.06167706168</v>
      </c>
      <c r="E792" s="2">
        <f>(('Historical Data'!O794)-('Historical Data'!O793))/('Historical Data'!O793)</f>
        <v>0.002831257078</v>
      </c>
      <c r="F792" s="2">
        <f>(('Historical Data'!R794)-('Historical Data'!R793))/('Historical Data'!R793)</f>
        <v>-0.005742104606</v>
      </c>
    </row>
    <row r="793">
      <c r="A793" s="2">
        <f>(('Historical Data'!C795)-('Historical Data'!C794))/('Historical Data'!C794)</f>
        <v>-0.005174912026</v>
      </c>
      <c r="D793" s="2">
        <f>(('Historical Data'!L795)-('Historical Data'!L794))/('Historical Data'!L794)</f>
        <v>-0.01000870322</v>
      </c>
      <c r="E793" s="2">
        <f>(('Historical Data'!O795)-('Historical Data'!O794))/('Historical Data'!O794)</f>
        <v>-0.01298701299</v>
      </c>
      <c r="F793" s="2">
        <f>(('Historical Data'!R795)-('Historical Data'!R794))/('Historical Data'!R794)</f>
        <v>0.004708097928</v>
      </c>
    </row>
    <row r="794">
      <c r="A794" s="2">
        <f>(('Historical Data'!C796)-('Historical Data'!C795))/('Historical Data'!C795)</f>
        <v>0.006450270495</v>
      </c>
      <c r="D794" s="2">
        <f>(('Historical Data'!L796)-('Historical Data'!L795))/('Historical Data'!L795)</f>
        <v>0.009230769231</v>
      </c>
      <c r="E794" s="2">
        <f>(('Historical Data'!O796)-('Historical Data'!O795))/('Historical Data'!O795)</f>
        <v>0.0008581235698</v>
      </c>
      <c r="F794" s="2">
        <f>(('Historical Data'!R796)-('Historical Data'!R795))/('Historical Data'!R795)</f>
        <v>-0.006935332709</v>
      </c>
    </row>
    <row r="795">
      <c r="A795" s="2">
        <f>(('Historical Data'!C797)-('Historical Data'!C796))/('Historical Data'!C796)</f>
        <v>0.0006202191441</v>
      </c>
      <c r="D795" s="2">
        <f>(('Historical Data'!L797)-('Historical Data'!L796))/('Historical Data'!L796)</f>
        <v>0.008493031359</v>
      </c>
      <c r="E795" s="2">
        <f>(('Historical Data'!O797)-('Historical Data'!O796))/('Historical Data'!O796)</f>
        <v>0.01857673621</v>
      </c>
      <c r="F795" s="2">
        <f>(('Historical Data'!R797)-('Historical Data'!R796))/('Historical Data'!R796)</f>
        <v>-0.0005662514156</v>
      </c>
    </row>
    <row r="796">
      <c r="A796" s="2">
        <f>(('Historical Data'!C798)-('Historical Data'!C797))/('Historical Data'!C797)</f>
        <v>0.01508264463</v>
      </c>
      <c r="D796" s="2">
        <f>(('Historical Data'!L798)-('Historical Data'!L797))/('Historical Data'!L797)</f>
        <v>0.005830274239</v>
      </c>
      <c r="E796" s="2">
        <f>(('Historical Data'!O798)-('Historical Data'!O797))/('Historical Data'!O797)</f>
        <v>0.0008417508418</v>
      </c>
      <c r="F796" s="2">
        <f>(('Historical Data'!R798)-('Historical Data'!R797))/('Historical Data'!R797)</f>
        <v>0.004469625433</v>
      </c>
    </row>
    <row r="797">
      <c r="A797" s="2">
        <f>(('Historical Data'!C799)-('Historical Data'!C798))/('Historical Data'!C798)</f>
        <v>-0.003663749237</v>
      </c>
      <c r="D797" s="2">
        <f>(('Historical Data'!L799)-('Historical Data'!L798))/('Historical Data'!L798)</f>
        <v>-0.0002146844139</v>
      </c>
      <c r="E797" s="2">
        <f>(('Historical Data'!O799)-('Historical Data'!O798))/('Historical Data'!O798)</f>
        <v>0.003644519204</v>
      </c>
      <c r="F797" s="2">
        <f>(('Historical Data'!R799)-('Historical Data'!R798))/('Historical Data'!R798)</f>
        <v>-0.001504136375</v>
      </c>
    </row>
    <row r="798">
      <c r="A798" s="2">
        <f>(('Historical Data'!C800)-('Historical Data'!C799))/('Historical Data'!C799)</f>
        <v>0.004494382022</v>
      </c>
      <c r="D798" s="2">
        <f>(('Historical Data'!L800)-('Historical Data'!L799))/('Historical Data'!L799)</f>
        <v>0.01717844106</v>
      </c>
      <c r="E798" s="2">
        <f>(('Historical Data'!O800)-('Historical Data'!O799))/('Historical Data'!O799)</f>
        <v>0.01731843575</v>
      </c>
      <c r="F798" s="2">
        <f>(('Historical Data'!R800)-('Historical Data'!R799))/('Historical Data'!R799)</f>
        <v>0.001569168968</v>
      </c>
    </row>
    <row r="799">
      <c r="A799" s="2">
        <f>(('Historical Data'!C801)-('Historical Data'!C800))/('Historical Data'!C800)</f>
        <v>-0.005491153142</v>
      </c>
      <c r="D799" s="2">
        <f>(('Historical Data'!L801)-('Historical Data'!L800))/('Historical Data'!L800)</f>
        <v>0.0006333122229</v>
      </c>
      <c r="E799" s="2">
        <f>(('Historical Data'!O801)-('Historical Data'!O800))/('Historical Data'!O800)</f>
        <v>0.0002745744097</v>
      </c>
      <c r="F799" s="2">
        <f>(('Historical Data'!R801)-('Historical Data'!R800))/('Historical Data'!R800)</f>
        <v>0.006580184245</v>
      </c>
    </row>
    <row r="800">
      <c r="A800" s="2">
        <f>(('Historical Data'!C802)-('Historical Data'!C801))/('Historical Data'!C801)</f>
        <v>0.01226993865</v>
      </c>
      <c r="D800" s="2">
        <f>(('Historical Data'!L802)-('Historical Data'!L801))/('Historical Data'!L801)</f>
        <v>0.008438818565</v>
      </c>
      <c r="E800" s="2">
        <f>(('Historical Data'!O802)-('Historical Data'!O801))/('Historical Data'!O801)</f>
        <v>-0.0005489980785</v>
      </c>
      <c r="F800" s="2">
        <f>(('Historical Data'!R802)-('Historical Data'!R801))/('Historical Data'!R801)</f>
        <v>-0.001680986179</v>
      </c>
    </row>
    <row r="801">
      <c r="A801" s="2">
        <f>(('Historical Data'!C803)-('Historical Data'!C802))/('Historical Data'!C802)</f>
        <v>0.01454545455</v>
      </c>
      <c r="D801" s="2">
        <f>(('Historical Data'!L803)-('Historical Data'!L802))/('Historical Data'!L802)</f>
        <v>0.01255230126</v>
      </c>
      <c r="E801" s="2">
        <f>(('Historical Data'!O803)-('Historical Data'!O802))/('Historical Data'!O802)</f>
        <v>0.002197198572</v>
      </c>
      <c r="F801" s="2">
        <f>(('Historical Data'!R803)-('Historical Data'!R802))/('Historical Data'!R802)</f>
        <v>0.00748362956</v>
      </c>
    </row>
    <row r="802">
      <c r="A802" s="2">
        <f>(('Historical Data'!C804)-('Historical Data'!C803))/('Historical Data'!C803)</f>
        <v>-0.002986857826</v>
      </c>
      <c r="D802" s="2">
        <f>(('Historical Data'!L804)-('Historical Data'!L803))/('Historical Data'!L803)</f>
        <v>0.004338842975</v>
      </c>
      <c r="E802" s="2">
        <f>(('Historical Data'!O804)-('Historical Data'!O803))/('Historical Data'!O803)</f>
        <v>0.004384762949</v>
      </c>
      <c r="F802" s="2">
        <f>(('Historical Data'!R804)-('Historical Data'!R803))/('Historical Data'!R803)</f>
        <v>0.002352212937</v>
      </c>
    </row>
    <row r="803">
      <c r="A803" s="2">
        <f>(('Historical Data'!C805)-('Historical Data'!C804))/('Historical Data'!C804)</f>
        <v>0.0007988815658</v>
      </c>
      <c r="D803" s="2">
        <f>(('Historical Data'!L805)-('Historical Data'!L804))/('Historical Data'!L804)</f>
        <v>-0.001028594939</v>
      </c>
      <c r="E803" s="2">
        <f>(('Historical Data'!O805)-('Historical Data'!O804))/('Historical Data'!O804)</f>
        <v>0.01828103683</v>
      </c>
      <c r="F803" s="2">
        <f>(('Historical Data'!R805)-('Historical Data'!R804))/('Historical Data'!R804)</f>
        <v>0.002284937936</v>
      </c>
    </row>
    <row r="804">
      <c r="A804" s="2">
        <f>(('Historical Data'!C806)-('Historical Data'!C805))/('Historical Data'!C805)</f>
        <v>-0.006385950908</v>
      </c>
      <c r="D804" s="2">
        <f>(('Historical Data'!L806)-('Historical Data'!L805))/('Historical Data'!L805)</f>
        <v>0.01009060956</v>
      </c>
      <c r="E804" s="2">
        <f>(('Historical Data'!O806)-('Historical Data'!O805))/('Historical Data'!O805)</f>
        <v>0.004555198285</v>
      </c>
      <c r="F804" s="2">
        <f>(('Historical Data'!R806)-('Historical Data'!R805))/('Historical Data'!R805)</f>
        <v>-0.004929143561</v>
      </c>
    </row>
    <row r="805">
      <c r="A805" s="2">
        <f>(('Historical Data'!C807)-('Historical Data'!C806))/('Historical Data'!C806)</f>
        <v>-0.01727254469</v>
      </c>
      <c r="D805" s="2">
        <f>(('Historical Data'!L807)-('Historical Data'!L806))/('Historical Data'!L806)</f>
        <v>0.01019367992</v>
      </c>
      <c r="E805" s="2">
        <f>(('Historical Data'!O807)-('Historical Data'!O806))/('Historical Data'!O806)</f>
        <v>0</v>
      </c>
      <c r="F805" s="2">
        <f>(('Historical Data'!R807)-('Historical Data'!R806))/('Historical Data'!R806)</f>
        <v>-0.0007430340557</v>
      </c>
    </row>
    <row r="806">
      <c r="A806" s="2">
        <f>(('Historical Data'!C808)-('Historical Data'!C807))/('Historical Data'!C807)</f>
        <v>0.006948702228</v>
      </c>
      <c r="D806" s="2">
        <f>(('Historical Data'!L808)-('Historical Data'!L807))/('Historical Data'!L807)</f>
        <v>-0.005852674067</v>
      </c>
      <c r="E806" s="2">
        <f>(('Historical Data'!O808)-('Historical Data'!O807))/('Historical Data'!O807)</f>
        <v>0.008002133902</v>
      </c>
      <c r="F806" s="2">
        <f>(('Historical Data'!R808)-('Historical Data'!R807))/('Historical Data'!R807)</f>
        <v>-0.001053414302</v>
      </c>
    </row>
    <row r="807">
      <c r="A807" s="2">
        <f>(('Historical Data'!C809)-('Historical Data'!C808))/('Historical Data'!C808)</f>
        <v>-0.002638522427</v>
      </c>
      <c r="D807" s="2">
        <f>(('Historical Data'!L809)-('Historical Data'!L808))/('Historical Data'!L808)</f>
        <v>0.001421031263</v>
      </c>
      <c r="E807" s="2">
        <f>(('Historical Data'!O809)-('Historical Data'!O808))/('Historical Data'!O808)</f>
        <v>0.00132310135</v>
      </c>
      <c r="F807" s="2">
        <f>(('Historical Data'!R809)-('Historical Data'!R808))/('Historical Data'!R808)</f>
        <v>0.003845915266</v>
      </c>
    </row>
    <row r="808">
      <c r="A808" s="2">
        <f>(('Historical Data'!C810)-('Historical Data'!C809))/('Historical Data'!C809)</f>
        <v>0.008343508344</v>
      </c>
      <c r="D808" s="2">
        <f>(('Historical Data'!L810)-('Historical Data'!L809))/('Historical Data'!L809)</f>
        <v>0.004865193594</v>
      </c>
      <c r="E808" s="2">
        <f>(('Historical Data'!O810)-('Historical Data'!O809))/('Historical Data'!O809)</f>
        <v>0.001321353066</v>
      </c>
      <c r="F808" s="2">
        <f>(('Historical Data'!R810)-('Historical Data'!R809))/('Historical Data'!R809)</f>
        <v>0.0009886918371</v>
      </c>
    </row>
    <row r="809">
      <c r="A809" s="2">
        <f>(('Historical Data'!C811)-('Historical Data'!C810))/('Historical Data'!C810)</f>
        <v>0.006659939455</v>
      </c>
      <c r="D809" s="2">
        <f>(('Historical Data'!L811)-('Historical Data'!L810))/('Historical Data'!L810)</f>
        <v>-0.003631228566</v>
      </c>
      <c r="E809" s="2">
        <f>(('Historical Data'!O811)-('Historical Data'!O810))/('Historical Data'!O810)</f>
        <v>-0.004222750066</v>
      </c>
      <c r="F809" s="2">
        <f>(('Historical Data'!R811)-('Historical Data'!R810))/('Historical Data'!R810)</f>
        <v>-0.000802518674</v>
      </c>
    </row>
    <row r="810">
      <c r="A810" s="2">
        <f>(('Historical Data'!C812)-('Historical Data'!C811))/('Historical Data'!C811)</f>
        <v>-0.002004811548</v>
      </c>
      <c r="D810" s="2">
        <f>(('Historical Data'!L812)-('Historical Data'!L811))/('Historical Data'!L811)</f>
        <v>0.00323952217</v>
      </c>
      <c r="E810" s="2">
        <f>(('Historical Data'!O812)-('Historical Data'!O811))/('Historical Data'!O811)</f>
        <v>0.00185528757</v>
      </c>
      <c r="F810" s="2">
        <f>(('Historical Data'!R812)-('Historical Data'!R811))/('Historical Data'!R811)</f>
        <v>-0.001235635735</v>
      </c>
    </row>
    <row r="811">
      <c r="A811" s="2">
        <f>(('Historical Data'!C813)-('Historical Data'!C812))/('Historical Data'!C812)</f>
        <v>-0.002008838891</v>
      </c>
      <c r="D811" s="2">
        <f>(('Historical Data'!L813)-('Historical Data'!L812))/('Historical Data'!L812)</f>
        <v>0.009889001009</v>
      </c>
      <c r="E811" s="2">
        <f>(('Historical Data'!O813)-('Historical Data'!O812))/('Historical Data'!O812)</f>
        <v>0.01216931217</v>
      </c>
      <c r="F811" s="2">
        <f>(('Historical Data'!R813)-('Historical Data'!R812))/('Historical Data'!R812)</f>
        <v>-0.009093158481</v>
      </c>
    </row>
    <row r="812">
      <c r="A812" s="2">
        <f>(('Historical Data'!C814)-('Historical Data'!C813))/('Historical Data'!C813)</f>
        <v>-0.002616747182</v>
      </c>
      <c r="D812" s="2">
        <f>(('Historical Data'!L814)-('Historical Data'!L813))/('Historical Data'!L813)</f>
        <v>0.02897681855</v>
      </c>
      <c r="E812" s="2">
        <f>(('Historical Data'!O814)-('Historical Data'!O813))/('Historical Data'!O813)</f>
        <v>-0.01803450078</v>
      </c>
      <c r="F812" s="2">
        <f>(('Historical Data'!R814)-('Historical Data'!R813))/('Historical Data'!R813)</f>
        <v>0.002247331294</v>
      </c>
    </row>
    <row r="813">
      <c r="A813" s="2">
        <f>(('Historical Data'!C815)-('Historical Data'!C814))/('Historical Data'!C814)</f>
        <v>0.004439959637</v>
      </c>
      <c r="D813" s="2">
        <f>(('Historical Data'!L815)-('Historical Data'!L814))/('Historical Data'!L814)</f>
        <v>0.01340066032</v>
      </c>
      <c r="E813" s="2">
        <f>(('Historical Data'!O815)-('Historical Data'!O814))/('Historical Data'!O814)</f>
        <v>-0.00292786798</v>
      </c>
      <c r="F813" s="2">
        <f>(('Historical Data'!R815)-('Historical Data'!R814))/('Historical Data'!R814)</f>
        <v>0.0128308938</v>
      </c>
    </row>
    <row r="814">
      <c r="A814" s="2">
        <f>(('Historical Data'!C816)-('Historical Data'!C815))/('Historical Data'!C815)</f>
        <v>0.002812939522</v>
      </c>
      <c r="D814" s="2">
        <f>(('Historical Data'!L816)-('Historical Data'!L815))/('Historical Data'!L815)</f>
        <v>-0.008623993867</v>
      </c>
      <c r="E814" s="2">
        <f>(('Historical Data'!O816)-('Historical Data'!O815))/('Historical Data'!O815)</f>
        <v>0.005872931127</v>
      </c>
      <c r="F814" s="2">
        <f>(('Historical Data'!R816)-('Historical Data'!R815))/('Historical Data'!R815)</f>
        <v>-0.002213885985</v>
      </c>
    </row>
    <row r="815">
      <c r="A815" s="2">
        <f>(('Historical Data'!C817)-('Historical Data'!C816))/('Historical Data'!C816)</f>
        <v>0.002604688439</v>
      </c>
      <c r="D815" s="2">
        <f>(('Historical Data'!L817)-('Historical Data'!L816))/('Historical Data'!L816)</f>
        <v>-0.002319737096</v>
      </c>
      <c r="E815" s="2">
        <f>(('Historical Data'!O817)-('Historical Data'!O816))/('Historical Data'!O816)</f>
        <v>0.006900212314</v>
      </c>
      <c r="F815" s="2">
        <f>(('Historical Data'!R817)-('Historical Data'!R816))/('Historical Data'!R816)</f>
        <v>-0.01029275809</v>
      </c>
    </row>
    <row r="816">
      <c r="A816" s="2">
        <f>(('Historical Data'!C818)-('Historical Data'!C817))/('Historical Data'!C817)</f>
        <v>-0.0135891287</v>
      </c>
      <c r="D816" s="2">
        <f>(('Historical Data'!L818)-('Historical Data'!L817))/('Historical Data'!L817)</f>
        <v>0.001162565394</v>
      </c>
      <c r="E816" s="2">
        <f>(('Historical Data'!O818)-('Historical Data'!O817))/('Historical Data'!O817)</f>
        <v>0.01871375857</v>
      </c>
      <c r="F816" s="2">
        <f>(('Historical Data'!R818)-('Historical Data'!R817))/('Historical Data'!R817)</f>
        <v>-0.00006227425582</v>
      </c>
    </row>
    <row r="817">
      <c r="A817" s="2">
        <f>(('Historical Data'!C819)-('Historical Data'!C818))/('Historical Data'!C818)</f>
        <v>-0.01256077796</v>
      </c>
      <c r="D817" s="2">
        <f>(('Historical Data'!L819)-('Historical Data'!L818))/('Historical Data'!L818)</f>
        <v>0.001741823108</v>
      </c>
      <c r="E817" s="2">
        <f>(('Historical Data'!O819)-('Historical Data'!O818))/('Historical Data'!O818)</f>
        <v>0.004139715395</v>
      </c>
      <c r="F817" s="2">
        <f>(('Historical Data'!R819)-('Historical Data'!R818))/('Historical Data'!R818)</f>
        <v>-0.02752693529</v>
      </c>
    </row>
    <row r="818">
      <c r="A818" s="2">
        <f>(('Historical Data'!C820)-('Historical Data'!C819))/('Historical Data'!C819)</f>
        <v>-0.01292572835</v>
      </c>
      <c r="D818" s="2">
        <f>(('Historical Data'!L820)-('Historical Data'!L819))/('Historical Data'!L819)</f>
        <v>0.003863987635</v>
      </c>
      <c r="E818" s="2">
        <f>(('Historical Data'!O820)-('Historical Data'!O819))/('Historical Data'!O819)</f>
        <v>-0.01056428755</v>
      </c>
      <c r="F818" s="2">
        <f>(('Historical Data'!R820)-('Historical Data'!R819))/('Historical Data'!R819)</f>
        <v>-0.004482869036</v>
      </c>
    </row>
    <row r="819">
      <c r="A819" s="2">
        <f>(('Historical Data'!C821)-('Historical Data'!C820))/('Historical Data'!C820)</f>
        <v>0.009145707753</v>
      </c>
      <c r="D819" s="2">
        <f>(('Historical Data'!L821)-('Historical Data'!L820))/('Historical Data'!L820)</f>
        <v>0.008083140878</v>
      </c>
      <c r="E819" s="2">
        <f>(('Historical Data'!O821)-('Historical Data'!O820))/('Historical Data'!O820)</f>
        <v>0.006770833333</v>
      </c>
      <c r="F819" s="2">
        <f>(('Historical Data'!R821)-('Historical Data'!R820))/('Historical Data'!R820)</f>
        <v>0.004181408813</v>
      </c>
    </row>
    <row r="820">
      <c r="A820" s="2">
        <f>(('Historical Data'!C822)-('Historical Data'!C821))/('Historical Data'!C821)</f>
        <v>-0.006385169928</v>
      </c>
      <c r="D820" s="2">
        <f>(('Historical Data'!L822)-('Historical Data'!L821))/('Historical Data'!L821)</f>
        <v>0.0301641848</v>
      </c>
      <c r="E820" s="2">
        <f>(('Historical Data'!O822)-('Historical Data'!O821))/('Historical Data'!O821)</f>
        <v>0.006466632178</v>
      </c>
      <c r="F820" s="2">
        <f>(('Historical Data'!R822)-('Historical Data'!R821))/('Historical Data'!R821)</f>
        <v>-0.0003843689942</v>
      </c>
    </row>
    <row r="821">
      <c r="A821" s="2">
        <f>(('Historical Data'!C823)-('Historical Data'!C822))/('Historical Data'!C822)</f>
        <v>0.03669154229</v>
      </c>
      <c r="D821" s="2">
        <f>(('Historical Data'!L823)-('Historical Data'!L822))/('Historical Data'!L822)</f>
        <v>-0.01186063751</v>
      </c>
      <c r="E821" s="2">
        <f>(('Historical Data'!O823)-('Historical Data'!O822))/('Historical Data'!O822)</f>
        <v>0.00976612696</v>
      </c>
      <c r="F821" s="2">
        <f>(('Historical Data'!R823)-('Historical Data'!R822))/('Historical Data'!R822)</f>
        <v>0.003973340169</v>
      </c>
    </row>
    <row r="822">
      <c r="A822" s="2">
        <f>(('Historical Data'!C824)-('Historical Data'!C823))/('Historical Data'!C823)</f>
        <v>-0.01599680064</v>
      </c>
      <c r="D822" s="2">
        <f>(('Historical Data'!L824)-('Historical Data'!L823))/('Historical Data'!L823)</f>
        <v>0.007501875469</v>
      </c>
      <c r="E822" s="2">
        <f>(('Historical Data'!O824)-('Historical Data'!O823))/('Historical Data'!O823)</f>
        <v>0.003308729957</v>
      </c>
      <c r="F822" s="2">
        <f>(('Historical Data'!R824)-('Historical Data'!R823))/('Historical Data'!R823)</f>
        <v>0.003702285204</v>
      </c>
    </row>
    <row r="823">
      <c r="A823" s="2">
        <f>(('Historical Data'!C825)-('Historical Data'!C824))/('Historical Data'!C824)</f>
        <v>0.006502743345</v>
      </c>
      <c r="D823" s="2">
        <f>(('Historical Data'!L825)-('Historical Data'!L824))/('Historical Data'!L824)</f>
        <v>-0.01600893522</v>
      </c>
      <c r="E823" s="2">
        <f>(('Historical Data'!O825)-('Historical Data'!O824))/('Historical Data'!O824)</f>
        <v>0.005834601725</v>
      </c>
      <c r="F823" s="2">
        <f>(('Historical Data'!R825)-('Historical Data'!R824))/('Historical Data'!R824)</f>
        <v>-0.008903586874</v>
      </c>
    </row>
    <row r="824">
      <c r="A824" s="2">
        <f>(('Historical Data'!C826)-('Historical Data'!C825))/('Historical Data'!C825)</f>
        <v>-0.02099737533</v>
      </c>
      <c r="D824" s="2">
        <f>(('Historical Data'!L826)-('Historical Data'!L825))/('Historical Data'!L825)</f>
        <v>0.004918653046</v>
      </c>
      <c r="E824" s="2">
        <f>(('Historical Data'!O826)-('Historical Data'!O825))/('Historical Data'!O825)</f>
        <v>-0.005296343001</v>
      </c>
      <c r="F824" s="2">
        <f>(('Historical Data'!R826)-('Historical Data'!R825))/('Historical Data'!R825)</f>
        <v>-0.003272587269</v>
      </c>
    </row>
    <row r="825">
      <c r="A825" s="2">
        <f>(('Historical Data'!C827)-('Historical Data'!C826))/('Historical Data'!C826)</f>
        <v>-0.005155702207</v>
      </c>
      <c r="D825" s="2">
        <f>(('Historical Data'!L827)-('Historical Data'!L826))/('Historical Data'!L826)</f>
        <v>-0.04631024096</v>
      </c>
      <c r="E825" s="2">
        <f>(('Historical Data'!O827)-('Historical Data'!O826))/('Historical Data'!O826)</f>
        <v>-0.009381338742</v>
      </c>
      <c r="F825" s="2">
        <f>(('Historical Data'!R827)-('Historical Data'!R826))/('Historical Data'!R826)</f>
        <v>0.0007725487671</v>
      </c>
    </row>
    <row r="826">
      <c r="A826" s="2">
        <f>(('Historical Data'!C828)-('Historical Data'!C827))/('Historical Data'!C827)</f>
        <v>-0.006633499171</v>
      </c>
      <c r="D826" s="2">
        <f>(('Historical Data'!L828)-('Historical Data'!L827))/('Historical Data'!L827)</f>
        <v>0.006316620608</v>
      </c>
      <c r="E826" s="2">
        <f>(('Historical Data'!O828)-('Historical Data'!O827))/('Historical Data'!O827)</f>
        <v>-0.01126183773</v>
      </c>
      <c r="F826" s="2">
        <f>(('Historical Data'!R828)-('Historical Data'!R827))/('Historical Data'!R827)</f>
        <v>0.003216468318</v>
      </c>
    </row>
    <row r="827">
      <c r="A827" s="2">
        <f>(('Historical Data'!C829)-('Historical Data'!C828))/('Historical Data'!C828)</f>
        <v>-0.002712854758</v>
      </c>
      <c r="D827" s="2">
        <f>(('Historical Data'!L829)-('Historical Data'!L828))/('Historical Data'!L828)</f>
        <v>0.003530796391</v>
      </c>
      <c r="E827" s="2">
        <f>(('Historical Data'!O829)-('Historical Data'!O828))/('Historical Data'!O828)</f>
        <v>-0.006730520321</v>
      </c>
      <c r="F827" s="2">
        <f>(('Historical Data'!R829)-('Historical Data'!R828))/('Historical Data'!R828)</f>
        <v>0.006476434755</v>
      </c>
    </row>
    <row r="828">
      <c r="A828" s="2">
        <f>(('Historical Data'!C830)-('Historical Data'!C829))/('Historical Data'!C829)</f>
        <v>0.006695961498</v>
      </c>
      <c r="D828" s="2">
        <f>(('Historical Data'!L830)-('Historical Data'!L829))/('Historical Data'!L829)</f>
        <v>-0.02853792025</v>
      </c>
      <c r="E828" s="2">
        <f>(('Historical Data'!O830)-('Historical Data'!O829))/('Historical Data'!O829)</f>
        <v>-0.01172791243</v>
      </c>
      <c r="F828" s="2">
        <f>(('Historical Data'!R830)-('Historical Data'!R829))/('Historical Data'!R829)</f>
        <v>0.002102446483</v>
      </c>
    </row>
    <row r="829">
      <c r="A829" s="2">
        <f>(('Historical Data'!C831)-('Historical Data'!C830))/('Historical Data'!C830)</f>
        <v>0.004364996882</v>
      </c>
      <c r="D829" s="2">
        <f>(('Historical Data'!L831)-('Historical Data'!L830))/('Historical Data'!L830)</f>
        <v>0.01448692153</v>
      </c>
      <c r="E829" s="2">
        <f>(('Historical Data'!O831)-('Historical Data'!O830))/('Historical Data'!O830)</f>
        <v>0.01582278481</v>
      </c>
      <c r="F829" s="2">
        <f>(('Historical Data'!R831)-('Historical Data'!R830))/('Historical Data'!R830)</f>
        <v>0.005404030771</v>
      </c>
    </row>
    <row r="830">
      <c r="A830" s="2">
        <f>(('Historical Data'!C832)-('Historical Data'!C831))/('Historical Data'!C831)</f>
        <v>-0.003725165563</v>
      </c>
      <c r="D830" s="2">
        <f>(('Historical Data'!L832)-('Historical Data'!L831))/('Historical Data'!L831)</f>
        <v>0.01150337168</v>
      </c>
      <c r="E830" s="2">
        <f>(('Historical Data'!O832)-('Historical Data'!O831))/('Historical Data'!O831)</f>
        <v>0.01012461059</v>
      </c>
      <c r="F830" s="2">
        <f>(('Historical Data'!R832)-('Historical Data'!R831))/('Historical Data'!R831)</f>
        <v>0.01517642595</v>
      </c>
    </row>
    <row r="831">
      <c r="A831" s="2">
        <f>(('Historical Data'!C833)-('Historical Data'!C832))/('Historical Data'!C832)</f>
        <v>0.003739094308</v>
      </c>
      <c r="D831" s="2">
        <f>(('Historical Data'!L833)-('Historical Data'!L832))/('Historical Data'!L832)</f>
        <v>-0.001568627451</v>
      </c>
      <c r="E831" s="2">
        <f>(('Historical Data'!O833)-('Historical Data'!O832))/('Historical Data'!O832)</f>
        <v>0.00976612696</v>
      </c>
      <c r="F831" s="2">
        <f>(('Historical Data'!R833)-('Historical Data'!R832))/('Historical Data'!R832)</f>
        <v>0.005979818114</v>
      </c>
    </row>
    <row r="832">
      <c r="A832" s="2">
        <f>(('Historical Data'!C834)-('Historical Data'!C833))/('Historical Data'!C833)</f>
        <v>0.0006208609272</v>
      </c>
      <c r="D832" s="2">
        <f>(('Historical Data'!L834)-('Historical Data'!L833))/('Historical Data'!L833)</f>
        <v>0.004320502749</v>
      </c>
      <c r="E832" s="2">
        <f>(('Historical Data'!O834)-('Historical Data'!O833))/('Historical Data'!O833)</f>
        <v>0.001272588445</v>
      </c>
      <c r="F832" s="2">
        <f>(('Historical Data'!R834)-('Historical Data'!R833))/('Historical Data'!R833)</f>
        <v>0.006811145511</v>
      </c>
    </row>
    <row r="833">
      <c r="A833" s="2">
        <f>(('Historical Data'!C835)-('Historical Data'!C834))/('Historical Data'!C834)</f>
        <v>-0.005170630817</v>
      </c>
      <c r="D833" s="2">
        <f>(('Historical Data'!L835)-('Historical Data'!L834))/('Historical Data'!L834)</f>
        <v>0.003910833007</v>
      </c>
      <c r="E833" s="2">
        <f>(('Historical Data'!O835)-('Historical Data'!O834))/('Historical Data'!O834)</f>
        <v>0.007117437722</v>
      </c>
      <c r="F833" s="2">
        <f>(('Historical Data'!R835)-('Historical Data'!R834))/('Historical Data'!R834)</f>
        <v>-0.000307503075</v>
      </c>
    </row>
    <row r="834">
      <c r="A834" s="2">
        <f>(('Historical Data'!C836)-('Historical Data'!C835))/('Historical Data'!C835)</f>
        <v>-0.00498960499</v>
      </c>
      <c r="D834" s="2">
        <f>(('Historical Data'!L836)-('Historical Data'!L835))/('Historical Data'!L835)</f>
        <v>0.008570315543</v>
      </c>
      <c r="E834" s="2">
        <f>(('Historical Data'!O836)-('Historical Data'!O835))/('Historical Data'!O835)</f>
        <v>-0.003785966683</v>
      </c>
      <c r="F834" s="2">
        <f>(('Historical Data'!R836)-('Historical Data'!R835))/('Historical Data'!R835)</f>
        <v>-0.007751461089</v>
      </c>
    </row>
    <row r="835">
      <c r="A835" s="2">
        <f>(('Historical Data'!C837)-('Historical Data'!C836))/('Historical Data'!C836)</f>
        <v>-0.001671541997</v>
      </c>
      <c r="D835" s="2">
        <f>(('Historical Data'!L837)-('Historical Data'!L836))/('Historical Data'!L836)</f>
        <v>-0.011201236</v>
      </c>
      <c r="E835" s="2">
        <f>(('Historical Data'!O837)-('Historical Data'!O836))/('Historical Data'!O836)</f>
        <v>0</v>
      </c>
      <c r="F835" s="2">
        <f>(('Historical Data'!R837)-('Historical Data'!R836))/('Historical Data'!R836)</f>
        <v>0.002294004588</v>
      </c>
    </row>
    <row r="836">
      <c r="A836" s="2">
        <f>(('Historical Data'!C838)-('Historical Data'!C837))/('Historical Data'!C837)</f>
        <v>-0.01674340728</v>
      </c>
      <c r="D836" s="2">
        <f>(('Historical Data'!L838)-('Historical Data'!L837))/('Historical Data'!L837)</f>
        <v>0.021484375</v>
      </c>
      <c r="E836" s="2">
        <f>(('Historical Data'!O838)-('Historical Data'!O837))/('Historical Data'!O837)</f>
        <v>-0.0177349886</v>
      </c>
      <c r="F836" s="2">
        <f>(('Historical Data'!R838)-('Historical Data'!R837))/('Historical Data'!R837)</f>
        <v>0.009526166027</v>
      </c>
    </row>
    <row r="837">
      <c r="A837" s="2">
        <f>(('Historical Data'!C839)-('Historical Data'!C838))/('Historical Data'!C838)</f>
        <v>-0.002979991486</v>
      </c>
      <c r="D837" s="2">
        <f>(('Historical Data'!L839)-('Historical Data'!L838))/('Historical Data'!L838)</f>
        <v>-0.008030592734</v>
      </c>
      <c r="E837" s="2">
        <f>(('Historical Data'!O839)-('Historical Data'!O838))/('Historical Data'!O838)</f>
        <v>-0.01418622646</v>
      </c>
      <c r="F837" s="2">
        <f>(('Historical Data'!R839)-('Historical Data'!R838))/('Historical Data'!R838)</f>
        <v>0.001225490196</v>
      </c>
    </row>
    <row r="838">
      <c r="A838" s="2">
        <f>(('Historical Data'!C840)-('Historical Data'!C839))/('Historical Data'!C839)</f>
        <v>-0.001067463706</v>
      </c>
      <c r="D838" s="2">
        <f>(('Historical Data'!L840)-('Historical Data'!L839))/('Historical Data'!L839)</f>
        <v>0.0003855050116</v>
      </c>
      <c r="E838" s="2">
        <f>(('Historical Data'!O840)-('Historical Data'!O839))/('Historical Data'!O839)</f>
        <v>0.01177394035</v>
      </c>
      <c r="F838" s="2">
        <f>(('Historical Data'!R840)-('Historical Data'!R839))/('Historical Data'!R839)</f>
        <v>0.002692778458</v>
      </c>
    </row>
    <row r="839">
      <c r="A839" s="2">
        <f>(('Historical Data'!C841)-('Historical Data'!C840))/('Historical Data'!C840)</f>
        <v>0.007052789057</v>
      </c>
      <c r="D839" s="2">
        <f>(('Historical Data'!L841)-('Historical Data'!L840))/('Historical Data'!L840)</f>
        <v>0.005780346821</v>
      </c>
      <c r="E839" s="2">
        <f>(('Historical Data'!O841)-('Historical Data'!O840))/('Historical Data'!O840)</f>
        <v>0.0007757951901</v>
      </c>
      <c r="F839" s="2">
        <f>(('Historical Data'!R841)-('Historical Data'!R840))/('Historical Data'!R840)</f>
        <v>0.003784179688</v>
      </c>
    </row>
    <row r="840">
      <c r="A840" s="2">
        <f>(('Historical Data'!C842)-('Historical Data'!C841))/('Historical Data'!C841)</f>
        <v>-0.0002122241087</v>
      </c>
      <c r="D840" s="2">
        <f>(('Historical Data'!L842)-('Historical Data'!L841))/('Historical Data'!L841)</f>
        <v>-0.002681992337</v>
      </c>
      <c r="E840" s="2">
        <f>(('Historical Data'!O842)-('Historical Data'!O841))/('Historical Data'!O841)</f>
        <v>0.008785529716</v>
      </c>
      <c r="F840" s="2">
        <f>(('Historical Data'!R842)-('Historical Data'!R841))/('Historical Data'!R841)</f>
        <v>-0.000121610118</v>
      </c>
    </row>
    <row r="841">
      <c r="A841" s="2">
        <f>(('Historical Data'!C843)-('Historical Data'!C842))/('Historical Data'!C842)</f>
        <v>0.003608575674</v>
      </c>
      <c r="D841" s="2">
        <f>(('Historical Data'!L843)-('Historical Data'!L842))/('Historical Data'!L842)</f>
        <v>0.002305032655</v>
      </c>
      <c r="E841" s="2">
        <f>(('Historical Data'!O843)-('Historical Data'!O842))/('Historical Data'!O842)</f>
        <v>-0.03739754098</v>
      </c>
      <c r="F841" s="2">
        <f>(('Historical Data'!R843)-('Historical Data'!R842))/('Historical Data'!R842)</f>
        <v>0.00802724398</v>
      </c>
    </row>
    <row r="842">
      <c r="A842" s="2">
        <f>(('Historical Data'!C844)-('Historical Data'!C843))/('Historical Data'!C843)</f>
        <v>0.0152284264</v>
      </c>
      <c r="D842" s="2">
        <f>(('Historical Data'!L844)-('Historical Data'!L843))/('Historical Data'!L843)</f>
        <v>0.02951322346</v>
      </c>
      <c r="E842" s="2">
        <f>(('Historical Data'!O844)-('Historical Data'!O843))/('Historical Data'!O843)</f>
        <v>-0.001330494944</v>
      </c>
      <c r="F842" s="2">
        <f>(('Historical Data'!R844)-('Historical Data'!R843))/('Historical Data'!R843)</f>
        <v>-0.004162644788</v>
      </c>
    </row>
    <row r="843">
      <c r="A843" s="2">
        <f>(('Historical Data'!C845)-('Historical Data'!C844))/('Historical Data'!C844)</f>
        <v>-0.004375</v>
      </c>
      <c r="D843" s="2">
        <f>(('Historical Data'!L845)-('Historical Data'!L844))/('Historical Data'!L844)</f>
        <v>0.00409530901</v>
      </c>
      <c r="E843" s="2">
        <f>(('Historical Data'!O845)-('Historical Data'!O844))/('Historical Data'!O844)</f>
        <v>0.0135891287</v>
      </c>
      <c r="F843" s="2">
        <f>(('Historical Data'!R845)-('Historical Data'!R844))/('Historical Data'!R844)</f>
        <v>0.005876294905</v>
      </c>
    </row>
    <row r="844">
      <c r="A844" s="2">
        <f>(('Historical Data'!C846)-('Historical Data'!C845))/('Historical Data'!C845)</f>
        <v>0.005649717514</v>
      </c>
      <c r="D844" s="2">
        <f>(('Historical Data'!L846)-('Historical Data'!L845))/('Historical Data'!L845)</f>
        <v>0</v>
      </c>
      <c r="E844" s="2">
        <f>(('Historical Data'!O846)-('Historical Data'!O845))/('Historical Data'!O845)</f>
        <v>-0.005257623554</v>
      </c>
      <c r="F844" s="2">
        <f>(('Historical Data'!R846)-('Historical Data'!R845))/('Historical Data'!R845)</f>
        <v>0.004878342568</v>
      </c>
    </row>
    <row r="845">
      <c r="A845" s="2">
        <f>(('Historical Data'!C847)-('Historical Data'!C846))/('Historical Data'!C846)</f>
        <v>0.01290054099</v>
      </c>
      <c r="D845" s="2">
        <f>(('Historical Data'!L847)-('Historical Data'!L846))/('Historical Data'!L846)</f>
        <v>0.006674082314</v>
      </c>
      <c r="E845" s="2">
        <f>(('Historical Data'!O847)-('Historical Data'!O846))/('Historical Data'!O846)</f>
        <v>0.006871035941</v>
      </c>
      <c r="F845" s="2">
        <f>(('Historical Data'!R847)-('Historical Data'!R846))/('Historical Data'!R846)</f>
        <v>-0.005873539107</v>
      </c>
    </row>
    <row r="846">
      <c r="A846" s="2">
        <f>(('Historical Data'!C848)-('Historical Data'!C847))/('Historical Data'!C847)</f>
        <v>0.005546425637</v>
      </c>
      <c r="D846" s="2">
        <f>(('Historical Data'!L848)-('Historical Data'!L847))/('Historical Data'!L847)</f>
        <v>0</v>
      </c>
      <c r="E846" s="2">
        <f>(('Historical Data'!O848)-('Historical Data'!O847))/('Historical Data'!O847)</f>
        <v>-0.003674540682</v>
      </c>
      <c r="F846" s="2">
        <f>(('Historical Data'!R848)-('Historical Data'!R847))/('Historical Data'!R847)</f>
        <v>-0.0006631699524</v>
      </c>
    </row>
    <row r="847">
      <c r="A847" s="2">
        <f>(('Historical Data'!C849)-('Historical Data'!C848))/('Historical Data'!C848)</f>
        <v>0.01470888662</v>
      </c>
      <c r="D847" s="2">
        <f>(('Historical Data'!L849)-('Historical Data'!L848))/('Historical Data'!L848)</f>
        <v>0.004419889503</v>
      </c>
      <c r="E847" s="2">
        <f>(('Historical Data'!O849)-('Historical Data'!O848))/('Historical Data'!O848)</f>
        <v>-0.005268703899</v>
      </c>
      <c r="F847" s="2">
        <f>(('Historical Data'!R849)-('Historical Data'!R848))/('Historical Data'!R848)</f>
        <v>0.0045246139</v>
      </c>
    </row>
    <row r="848">
      <c r="A848" s="2">
        <f>(('Historical Data'!C850)-('Historical Data'!C849))/('Historical Data'!C849)</f>
        <v>-0.02677672639</v>
      </c>
      <c r="D848" s="2">
        <f>(('Historical Data'!L850)-('Historical Data'!L849))/('Historical Data'!L849)</f>
        <v>-0.000733406674</v>
      </c>
      <c r="E848" s="2">
        <f>(('Historical Data'!O850)-('Historical Data'!O849))/('Historical Data'!O849)</f>
        <v>-0.01721398305</v>
      </c>
      <c r="F848" s="2">
        <f>(('Historical Data'!R850)-('Historical Data'!R849))/('Historical Data'!R849)</f>
        <v>0.008107621164</v>
      </c>
    </row>
    <row r="849">
      <c r="A849" s="2">
        <f>(('Historical Data'!C851)-('Historical Data'!C850))/('Historical Data'!C850)</f>
        <v>-0.003516756309</v>
      </c>
      <c r="D849" s="2">
        <f>(('Historical Data'!L851)-('Historical Data'!L850))/('Historical Data'!L850)</f>
        <v>0.009541284404</v>
      </c>
      <c r="E849" s="2">
        <f>(('Historical Data'!O851)-('Historical Data'!O850))/('Historical Data'!O850)</f>
        <v>0.01023982754</v>
      </c>
      <c r="F849" s="2">
        <f>(('Historical Data'!R851)-('Historical Data'!R850))/('Historical Data'!R850)</f>
        <v>-0.00131061599</v>
      </c>
    </row>
    <row r="850">
      <c r="A850" s="2">
        <f>(('Historical Data'!C852)-('Historical Data'!C851))/('Historical Data'!C851)</f>
        <v>-0.02159020137</v>
      </c>
      <c r="D850" s="2">
        <f>(('Historical Data'!L852)-('Historical Data'!L851))/('Historical Data'!L851)</f>
        <v>0.009087604507</v>
      </c>
      <c r="E850" s="2">
        <f>(('Historical Data'!O852)-('Historical Data'!O851))/('Historical Data'!O851)</f>
        <v>-0.006134969325</v>
      </c>
      <c r="F850" s="2">
        <f>(('Historical Data'!R852)-('Historical Data'!R851))/('Historical Data'!R851)</f>
        <v>-0.001968503937</v>
      </c>
    </row>
    <row r="851">
      <c r="A851" s="2">
        <f>(('Historical Data'!C853)-('Historical Data'!C852))/('Historical Data'!C852)</f>
        <v>-0.004031402504</v>
      </c>
      <c r="D851" s="2">
        <f>(('Historical Data'!L853)-('Historical Data'!L852))/('Historical Data'!L852)</f>
        <v>0.01224783862</v>
      </c>
      <c r="E851" s="2">
        <f>(('Historical Data'!O853)-('Historical Data'!O852))/('Historical Data'!O852)</f>
        <v>-0.005367686527</v>
      </c>
      <c r="F851" s="2">
        <f>(('Historical Data'!R853)-('Historical Data'!R852))/('Historical Data'!R852)</f>
        <v>0.006216006216</v>
      </c>
    </row>
    <row r="852">
      <c r="A852" s="2">
        <f>(('Historical Data'!C854)-('Historical Data'!C853))/('Historical Data'!C853)</f>
        <v>0.01043885812</v>
      </c>
      <c r="D852" s="2">
        <f>(('Historical Data'!L854)-('Historical Data'!L853))/('Historical Data'!L853)</f>
        <v>-0.0003558718861</v>
      </c>
      <c r="E852" s="2">
        <f>(('Historical Data'!O854)-('Historical Data'!O853))/('Historical Data'!O853)</f>
        <v>-0.01349163519</v>
      </c>
      <c r="F852" s="2">
        <f>(('Historical Data'!R854)-('Historical Data'!R853))/('Historical Data'!R853)</f>
        <v>-0.003207603208</v>
      </c>
    </row>
    <row r="853">
      <c r="A853" s="2">
        <f>(('Historical Data'!C855)-('Historical Data'!C854))/('Historical Data'!C854)</f>
        <v>-0.01749947291</v>
      </c>
      <c r="D853" s="2">
        <f>(('Historical Data'!L855)-('Historical Data'!L854))/('Historical Data'!L854)</f>
        <v>0.00355998576</v>
      </c>
      <c r="E853" s="2">
        <f>(('Historical Data'!O855)-('Historical Data'!O854))/('Historical Data'!O854)</f>
        <v>-0.003829321663</v>
      </c>
      <c r="F853" s="2">
        <f>(('Historical Data'!R855)-('Historical Data'!R854))/('Historical Data'!R854)</f>
        <v>-0.01382515941</v>
      </c>
    </row>
    <row r="854">
      <c r="A854" s="2">
        <f>(('Historical Data'!C856)-('Historical Data'!C855))/('Historical Data'!C855)</f>
        <v>-0.003862660944</v>
      </c>
      <c r="D854" s="2">
        <f>(('Historical Data'!L856)-('Historical Data'!L855))/('Historical Data'!L855)</f>
        <v>-0.01064207166</v>
      </c>
      <c r="E854" s="2">
        <f>(('Historical Data'!O856)-('Historical Data'!O855))/('Historical Data'!O855)</f>
        <v>0.00823723229</v>
      </c>
      <c r="F854" s="2">
        <f>(('Historical Data'!R856)-('Historical Data'!R855))/('Historical Data'!R855)</f>
        <v>-0.0009668257901</v>
      </c>
    </row>
    <row r="855">
      <c r="A855" s="2">
        <f>(('Historical Data'!C857)-('Historical Data'!C856))/('Historical Data'!C856)</f>
        <v>-0.003015941405</v>
      </c>
      <c r="D855" s="2">
        <f>(('Historical Data'!L857)-('Historical Data'!L856))/('Historical Data'!L856)</f>
        <v>-0.01756902115</v>
      </c>
      <c r="E855" s="2">
        <f>(('Historical Data'!O857)-('Historical Data'!O856))/('Historical Data'!O856)</f>
        <v>0.01851851852</v>
      </c>
      <c r="F855" s="2">
        <f>(('Historical Data'!R857)-('Historical Data'!R856))/('Historical Data'!R856)</f>
        <v>-0.01342769007</v>
      </c>
    </row>
    <row r="856">
      <c r="A856" s="2">
        <f>(('Historical Data'!C858)-('Historical Data'!C857))/('Historical Data'!C857)</f>
        <v>-0.004321521175</v>
      </c>
      <c r="D856" s="2">
        <f>(('Historical Data'!L858)-('Historical Data'!L857))/('Historical Data'!L857)</f>
        <v>0.01423357664</v>
      </c>
      <c r="E856" s="2">
        <f>(('Historical Data'!O858)-('Historical Data'!O857))/('Historical Data'!O857)</f>
        <v>-0.007486631016</v>
      </c>
      <c r="F856" s="2">
        <f>(('Historical Data'!R858)-('Historical Data'!R857))/('Historical Data'!R857)</f>
        <v>-0.008951014653</v>
      </c>
    </row>
    <row r="857">
      <c r="A857" s="2">
        <f>(('Historical Data'!C859)-('Historical Data'!C858))/('Historical Data'!C858)</f>
        <v>0.0008680555556</v>
      </c>
      <c r="D857" s="2">
        <f>(('Historical Data'!L859)-('Historical Data'!L858))/('Historical Data'!L858)</f>
        <v>-0.01511335013</v>
      </c>
      <c r="E857" s="2">
        <f>(('Historical Data'!O859)-('Historical Data'!O858))/('Historical Data'!O858)</f>
        <v>-0.005118534483</v>
      </c>
      <c r="F857" s="2">
        <f>(('Historical Data'!R859)-('Historical Data'!R858))/('Historical Data'!R858)</f>
        <v>0.00575317043</v>
      </c>
    </row>
    <row r="858">
      <c r="A858" s="2">
        <f>(('Historical Data'!C860)-('Historical Data'!C859))/('Historical Data'!C859)</f>
        <v>0.008239375542</v>
      </c>
      <c r="D858" s="2">
        <f>(('Historical Data'!L860)-('Historical Data'!L859))/('Historical Data'!L859)</f>
        <v>0.01461454147</v>
      </c>
      <c r="E858" s="2">
        <f>(('Historical Data'!O860)-('Historical Data'!O859))/('Historical Data'!O859)</f>
        <v>0.01733008394</v>
      </c>
      <c r="F858" s="2">
        <f>(('Historical Data'!R860)-('Historical Data'!R859))/('Historical Data'!R859)</f>
        <v>0.0120556034</v>
      </c>
    </row>
    <row r="859">
      <c r="A859" s="2">
        <f>(('Historical Data'!C861)-('Historical Data'!C860))/('Historical Data'!C860)</f>
        <v>0.003225806452</v>
      </c>
      <c r="D859" s="2">
        <f>(('Historical Data'!L861)-('Historical Data'!L860))/('Historical Data'!L860)</f>
        <v>-0.0003601008282</v>
      </c>
      <c r="E859" s="2">
        <f>(('Historical Data'!O861)-('Historical Data'!O860))/('Historical Data'!O860)</f>
        <v>-0.03114186851</v>
      </c>
      <c r="F859" s="2">
        <f>(('Historical Data'!R861)-('Historical Data'!R860))/('Historical Data'!R860)</f>
        <v>0.0006685304485</v>
      </c>
    </row>
    <row r="860">
      <c r="A860" s="2">
        <f>(('Historical Data'!C862)-('Historical Data'!C861))/('Historical Data'!C861)</f>
        <v>0.01650589496</v>
      </c>
      <c r="D860" s="2">
        <f>(('Historical Data'!L862)-('Historical Data'!L861))/('Historical Data'!L861)</f>
        <v>-0.002161383285</v>
      </c>
      <c r="E860" s="2">
        <f>(('Historical Data'!O862)-('Historical Data'!O861))/('Historical Data'!O861)</f>
        <v>-0.02307692308</v>
      </c>
      <c r="F860" s="2">
        <f>(('Historical Data'!R862)-('Historical Data'!R861))/('Historical Data'!R861)</f>
        <v>0.01433343456</v>
      </c>
    </row>
    <row r="861">
      <c r="A861" s="2">
        <f>(('Historical Data'!C863)-('Historical Data'!C862))/('Historical Data'!C862)</f>
        <v>-0.02952340784</v>
      </c>
      <c r="D861" s="2">
        <f>(('Historical Data'!L863)-('Historical Data'!L862))/('Historical Data'!L862)</f>
        <v>0.004332129964</v>
      </c>
      <c r="E861" s="2">
        <f>(('Historical Data'!O863)-('Historical Data'!O862))/('Historical Data'!O862)</f>
        <v>-0.006467941507</v>
      </c>
      <c r="F861" s="2">
        <f>(('Historical Data'!R863)-('Historical Data'!R862))/('Historical Data'!R862)</f>
        <v>-0.005748158793</v>
      </c>
    </row>
    <row r="862">
      <c r="A862" s="2">
        <f>(('Historical Data'!C864)-('Historical Data'!C863))/('Historical Data'!C863)</f>
        <v>0.004563233377</v>
      </c>
      <c r="D862" s="2">
        <f>(('Historical Data'!L864)-('Historical Data'!L863))/('Historical Data'!L863)</f>
        <v>-0.01617541337</v>
      </c>
      <c r="E862" s="2">
        <f>(('Historical Data'!O864)-('Historical Data'!O863))/('Historical Data'!O863)</f>
        <v>0.003396546844</v>
      </c>
      <c r="F862" s="2">
        <f>(('Historical Data'!R864)-('Historical Data'!R863))/('Historical Data'!R863)</f>
        <v>0.01457392352</v>
      </c>
    </row>
    <row r="863">
      <c r="A863" s="2">
        <f>(('Historical Data'!C865)-('Historical Data'!C864))/('Historical Data'!C864)</f>
        <v>-0.008436080467</v>
      </c>
      <c r="D863" s="2">
        <f>(('Historical Data'!L865)-('Historical Data'!L864))/('Historical Data'!L864)</f>
        <v>0.01644135915</v>
      </c>
      <c r="E863" s="2">
        <f>(('Historical Data'!O865)-('Historical Data'!O864))/('Historical Data'!O864)</f>
        <v>-0.005359661495</v>
      </c>
      <c r="F863" s="2">
        <f>(('Historical Data'!R865)-('Historical Data'!R864))/('Historical Data'!R864)</f>
        <v>-0.008369442631</v>
      </c>
    </row>
    <row r="864">
      <c r="A864" s="2">
        <f>(('Historical Data'!C866)-('Historical Data'!C865))/('Historical Data'!C865)</f>
        <v>0.0002181500873</v>
      </c>
      <c r="D864" s="2">
        <f>(('Historical Data'!L866)-('Historical Data'!L865))/('Historical Data'!L865)</f>
        <v>-0.01509705248</v>
      </c>
      <c r="E864" s="2">
        <f>(('Historical Data'!O866)-('Historical Data'!O865))/('Historical Data'!O865)</f>
        <v>0.01871809416</v>
      </c>
      <c r="F864" s="2">
        <f>(('Historical Data'!R866)-('Historical Data'!R865))/('Historical Data'!R865)</f>
        <v>0.001735903268</v>
      </c>
    </row>
    <row r="865">
      <c r="A865" s="2">
        <f>(('Historical Data'!C867)-('Historical Data'!C866))/('Historical Data'!C866)</f>
        <v>-0.001744820065</v>
      </c>
      <c r="D865" s="2">
        <f>(('Historical Data'!L867)-('Historical Data'!L866))/('Historical Data'!L866)</f>
        <v>-0.01058394161</v>
      </c>
      <c r="E865" s="2">
        <f>(('Historical Data'!O867)-('Historical Data'!O866))/('Historical Data'!O866)</f>
        <v>-0.006959910913</v>
      </c>
      <c r="F865" s="2">
        <f>(('Historical Data'!R867)-('Historical Data'!R866))/('Historical Data'!R866)</f>
        <v>0.0007768150583</v>
      </c>
    </row>
    <row r="866">
      <c r="A866" s="2">
        <f>(('Historical Data'!C868)-('Historical Data'!C867))/('Historical Data'!C867)</f>
        <v>-0.003277255844</v>
      </c>
      <c r="D866" s="2">
        <f>(('Historical Data'!L868)-('Historical Data'!L867))/('Historical Data'!L867)</f>
        <v>-0.01549243821</v>
      </c>
      <c r="E866" s="2">
        <f>(('Historical Data'!O868)-('Historical Data'!O867))/('Historical Data'!O867)</f>
        <v>-0.003083823942</v>
      </c>
      <c r="F866" s="2">
        <f>(('Historical Data'!R868)-('Historical Data'!R867))/('Historical Data'!R867)</f>
        <v>-0.01373298304</v>
      </c>
    </row>
    <row r="867">
      <c r="A867" s="2">
        <f>(('Historical Data'!C869)-('Historical Data'!C868))/('Historical Data'!C868)</f>
        <v>-0.002192021043</v>
      </c>
      <c r="D867" s="2">
        <f>(('Historical Data'!L869)-('Historical Data'!L868))/('Historical Data'!L868)</f>
        <v>0.02997377295</v>
      </c>
      <c r="E867" s="2">
        <f>(('Historical Data'!O869)-('Historical Data'!O868))/('Historical Data'!O868)</f>
        <v>-0.01040494938</v>
      </c>
      <c r="F867" s="2">
        <f>(('Historical Data'!R869)-('Historical Data'!R868))/('Historical Data'!R868)</f>
        <v>0.007446422085</v>
      </c>
    </row>
    <row r="868">
      <c r="A868" s="2">
        <f>(('Historical Data'!C870)-('Historical Data'!C869))/('Historical Data'!C869)</f>
        <v>0.003514938489</v>
      </c>
      <c r="D868" s="2">
        <f>(('Historical Data'!L870)-('Historical Data'!L869))/('Historical Data'!L869)</f>
        <v>-0.01673335758</v>
      </c>
      <c r="E868" s="2">
        <f>(('Historical Data'!O870)-('Historical Data'!O869))/('Historical Data'!O869)</f>
        <v>-0.00852514919</v>
      </c>
      <c r="F868" s="2">
        <f>(('Historical Data'!R870)-('Historical Data'!R869))/('Historical Data'!R869)</f>
        <v>0.002283516616</v>
      </c>
    </row>
    <row r="869">
      <c r="A869" s="2">
        <f>(('Historical Data'!C871)-('Historical Data'!C870))/('Historical Data'!C870)</f>
        <v>0.0002189141856</v>
      </c>
      <c r="D869" s="2">
        <f>(('Historical Data'!L871)-('Historical Data'!L870))/('Historical Data'!L870)</f>
        <v>0.002219755827</v>
      </c>
      <c r="E869" s="2">
        <f>(('Historical Data'!O871)-('Historical Data'!O870))/('Historical Data'!O870)</f>
        <v>0.006305531671</v>
      </c>
      <c r="F869" s="2">
        <f>(('Historical Data'!R871)-('Historical Data'!R870))/('Historical Data'!R870)</f>
        <v>0.004256849931</v>
      </c>
    </row>
    <row r="870">
      <c r="A870" s="2">
        <f>(('Historical Data'!C872)-('Historical Data'!C871))/('Historical Data'!C871)</f>
        <v>0.006128255636</v>
      </c>
      <c r="D870" s="2">
        <f>(('Historical Data'!L872)-('Historical Data'!L871))/('Historical Data'!L871)</f>
        <v>0.006644518272</v>
      </c>
      <c r="E870" s="2">
        <f>(('Historical Data'!O872)-('Historical Data'!O871))/('Historical Data'!O871)</f>
        <v>0.007974935916</v>
      </c>
      <c r="F870" s="2">
        <f>(('Historical Data'!R872)-('Historical Data'!R871))/('Historical Data'!R871)</f>
        <v>0.006328358209</v>
      </c>
    </row>
    <row r="871">
      <c r="A871" s="2">
        <f>(('Historical Data'!C873)-('Historical Data'!C872))/('Historical Data'!C872)</f>
        <v>0.01631498804</v>
      </c>
      <c r="D871" s="2">
        <f>(('Historical Data'!L873)-('Historical Data'!L872))/('Historical Data'!L872)</f>
        <v>0.008800880088</v>
      </c>
      <c r="E871" s="2">
        <f>(('Historical Data'!O873)-('Historical Data'!O872))/('Historical Data'!O872)</f>
        <v>0.009042102289</v>
      </c>
      <c r="F871" s="2">
        <f>(('Historical Data'!R873)-('Historical Data'!R872))/('Historical Data'!R872)</f>
        <v>-0.005280018984</v>
      </c>
    </row>
    <row r="872">
      <c r="A872" s="2">
        <f>(('Historical Data'!C874)-('Historical Data'!C873))/('Historical Data'!C873)</f>
        <v>0.01220034247</v>
      </c>
      <c r="D872" s="2">
        <f>(('Historical Data'!L874)-('Historical Data'!L873))/('Historical Data'!L873)</f>
        <v>0.003635041803</v>
      </c>
      <c r="E872" s="2">
        <f>(('Historical Data'!O874)-('Historical Data'!O873))/('Historical Data'!O873)</f>
        <v>-0.005600672081</v>
      </c>
      <c r="F872" s="2">
        <f>(('Historical Data'!R874)-('Historical Data'!R873))/('Historical Data'!R873)</f>
        <v>0.003518816723</v>
      </c>
    </row>
    <row r="873">
      <c r="A873" s="2">
        <f>(('Historical Data'!C875)-('Historical Data'!C874))/('Historical Data'!C874)</f>
        <v>-0.0002114611969</v>
      </c>
      <c r="D873" s="2">
        <f>(('Historical Data'!L875)-('Historical Data'!L874))/('Historical Data'!L874)</f>
        <v>0.01557406737</v>
      </c>
      <c r="E873" s="2">
        <f>(('Historical Data'!O875)-('Historical Data'!O874))/('Historical Data'!O874)</f>
        <v>0.02083920023</v>
      </c>
      <c r="F873" s="2">
        <f>(('Historical Data'!R875)-('Historical Data'!R874))/('Historical Data'!R874)</f>
        <v>0.001129204802</v>
      </c>
    </row>
    <row r="874">
      <c r="A874" s="2">
        <f>(('Historical Data'!C876)-('Historical Data'!C875))/('Historical Data'!C875)</f>
        <v>0.002115059222</v>
      </c>
      <c r="D874" s="2">
        <f>(('Historical Data'!L876)-('Historical Data'!L875))/('Historical Data'!L875)</f>
        <v>-0.009272467903</v>
      </c>
      <c r="E874" s="2">
        <f>(('Historical Data'!O876)-('Historical Data'!O875))/('Historical Data'!O875)</f>
        <v>-0.004689655172</v>
      </c>
      <c r="F874" s="2">
        <f>(('Historical Data'!R876)-('Historical Data'!R875))/('Historical Data'!R875)</f>
        <v>-0.009498367468</v>
      </c>
    </row>
    <row r="875">
      <c r="A875" s="2">
        <f>(('Historical Data'!C877)-('Historical Data'!C876))/('Historical Data'!C876)</f>
        <v>-0.01097509498</v>
      </c>
      <c r="D875" s="2">
        <f>(('Historical Data'!L877)-('Historical Data'!L876))/('Historical Data'!L876)</f>
        <v>0.002159827214</v>
      </c>
      <c r="E875" s="2">
        <f>(('Historical Data'!O877)-('Historical Data'!O876))/('Historical Data'!O876)</f>
        <v>-0.009977827051</v>
      </c>
      <c r="F875" s="2">
        <f>(('Historical Data'!R877)-('Historical Data'!R876))/('Historical Data'!R876)</f>
        <v>0.003596044351</v>
      </c>
    </row>
    <row r="876">
      <c r="A876" s="2">
        <f>(('Historical Data'!C878)-('Historical Data'!C877))/('Historical Data'!C877)</f>
        <v>0.01259069569</v>
      </c>
      <c r="D876" s="2">
        <f>(('Historical Data'!L878)-('Historical Data'!L877))/('Historical Data'!L877)</f>
        <v>-0.002514367816</v>
      </c>
      <c r="E876" s="2">
        <f>(('Historical Data'!O878)-('Historical Data'!O877))/('Historical Data'!O877)</f>
        <v>0.006998880179</v>
      </c>
      <c r="F876" s="2">
        <f>(('Historical Data'!R878)-('Historical Data'!R877))/('Historical Data'!R877)</f>
        <v>-0.004956703494</v>
      </c>
    </row>
    <row r="877">
      <c r="A877" s="2">
        <f>(('Historical Data'!C879)-('Historical Data'!C878))/('Historical Data'!C878)</f>
        <v>0.001264488936</v>
      </c>
      <c r="D877" s="2">
        <f>(('Historical Data'!L879)-('Historical Data'!L878))/('Historical Data'!L878)</f>
        <v>0.004681310767</v>
      </c>
      <c r="E877" s="2">
        <f>(('Historical Data'!O879)-('Historical Data'!O878))/('Historical Data'!O878)</f>
        <v>0.00361412288</v>
      </c>
      <c r="F877" s="2">
        <f>(('Historical Data'!R879)-('Historical Data'!R878))/('Historical Data'!R878)</f>
        <v>-0.0102028568</v>
      </c>
    </row>
    <row r="878">
      <c r="A878" s="2">
        <f>(('Historical Data'!C880)-('Historical Data'!C879))/('Historical Data'!C879)</f>
        <v>0.0002104820038</v>
      </c>
      <c r="D878" s="2">
        <f>(('Historical Data'!L880)-('Historical Data'!L879))/('Historical Data'!L879)</f>
        <v>0.005017921147</v>
      </c>
      <c r="E878" s="2">
        <f>(('Historical Data'!O880)-('Historical Data'!O879))/('Historical Data'!O879)</f>
        <v>0.009141274238</v>
      </c>
      <c r="F878" s="2">
        <f>(('Historical Data'!R880)-('Historical Data'!R879))/('Historical Data'!R879)</f>
        <v>-0.01333980112</v>
      </c>
    </row>
    <row r="879">
      <c r="A879" s="2">
        <f>(('Historical Data'!C881)-('Historical Data'!C880))/('Historical Data'!C880)</f>
        <v>-0.005050505051</v>
      </c>
      <c r="D879" s="2">
        <f>(('Historical Data'!L881)-('Historical Data'!L880))/('Historical Data'!L880)</f>
        <v>-0.02389443652</v>
      </c>
      <c r="E879" s="2">
        <f>(('Historical Data'!O881)-('Historical Data'!O880))/('Historical Data'!O880)</f>
        <v>0.009058468295</v>
      </c>
      <c r="F879" s="2">
        <f>(('Historical Data'!R881)-('Historical Data'!R880))/('Historical Data'!R880)</f>
        <v>0.007251720747</v>
      </c>
    </row>
    <row r="880">
      <c r="A880" s="2">
        <f>(('Historical Data'!C882)-('Historical Data'!C881))/('Historical Data'!C881)</f>
        <v>-0.004018612521</v>
      </c>
      <c r="D880" s="2">
        <f>(('Historical Data'!L882)-('Historical Data'!L881))/('Historical Data'!L881)</f>
        <v>0.01607599562</v>
      </c>
      <c r="E880" s="2">
        <f>(('Historical Data'!O882)-('Historical Data'!O881))/('Historical Data'!O881)</f>
        <v>0.00571273123</v>
      </c>
      <c r="F880" s="2">
        <f>(('Historical Data'!R882)-('Historical Data'!R881))/('Historical Data'!R881)</f>
        <v>-0.0004270896888</v>
      </c>
    </row>
    <row r="881">
      <c r="A881" s="2">
        <f>(('Historical Data'!C883)-('Historical Data'!C882))/('Historical Data'!C882)</f>
        <v>-0.009343809726</v>
      </c>
      <c r="D881" s="2">
        <f>(('Historical Data'!L883)-('Historical Data'!L882))/('Historical Data'!L882)</f>
        <v>-0.01222581805</v>
      </c>
      <c r="E881" s="2">
        <f>(('Historical Data'!O883)-('Historical Data'!O882))/('Historical Data'!O882)</f>
        <v>0.002163916689</v>
      </c>
      <c r="F881" s="2">
        <f>(('Historical Data'!R883)-('Historical Data'!R882))/('Historical Data'!R882)</f>
        <v>0.008423365684</v>
      </c>
    </row>
    <row r="882">
      <c r="A882" s="2">
        <f>(('Historical Data'!C884)-('Historical Data'!C883))/('Historical Data'!C883)</f>
        <v>-0.01264737406</v>
      </c>
      <c r="D882" s="2">
        <f>(('Historical Data'!L884)-('Historical Data'!L883))/('Historical Data'!L883)</f>
        <v>0.01710957408</v>
      </c>
      <c r="E882" s="2">
        <f>(('Historical Data'!O884)-('Historical Data'!O883))/('Historical Data'!O883)</f>
        <v>-0.01349527665</v>
      </c>
      <c r="F882" s="2">
        <f>(('Historical Data'!R884)-('Historical Data'!R883))/('Historical Data'!R883)</f>
        <v>0.0079293021</v>
      </c>
    </row>
    <row r="883">
      <c r="A883" s="2">
        <f>(('Historical Data'!C885)-('Historical Data'!C884))/('Historical Data'!C884)</f>
        <v>-0.005644811116</v>
      </c>
      <c r="D883" s="2">
        <f>(('Historical Data'!L885)-('Historical Data'!L884))/('Historical Data'!L884)</f>
        <v>0.02505368647</v>
      </c>
      <c r="E883" s="2">
        <f>(('Historical Data'!O885)-('Historical Data'!O884))/('Historical Data'!O884)</f>
        <v>-0.04787961696</v>
      </c>
      <c r="F883" s="2">
        <f>(('Historical Data'!R885)-('Historical Data'!R884))/('Historical Data'!R884)</f>
        <v>-0.005164544799</v>
      </c>
    </row>
    <row r="884">
      <c r="A884" s="2">
        <f>(('Historical Data'!C886)-('Historical Data'!C885))/('Historical Data'!C885)</f>
        <v>0.01026200873</v>
      </c>
      <c r="D884" s="2">
        <f>(('Historical Data'!L886)-('Historical Data'!L885))/('Historical Data'!L885)</f>
        <v>0.01745810056</v>
      </c>
      <c r="E884" s="2">
        <f>(('Historical Data'!O886)-('Historical Data'!O885))/('Historical Data'!O885)</f>
        <v>0.002873563218</v>
      </c>
      <c r="F884" s="2">
        <f>(('Historical Data'!R886)-('Historical Data'!R885))/('Historical Data'!R885)</f>
        <v>0.00688156465</v>
      </c>
    </row>
    <row r="885">
      <c r="A885" s="2">
        <f>(('Historical Data'!C887)-('Historical Data'!C886))/('Historical Data'!C886)</f>
        <v>0.01059001513</v>
      </c>
      <c r="D885" s="2">
        <f>(('Historical Data'!L887)-('Historical Data'!L886))/('Historical Data'!L886)</f>
        <v>0.01269732327</v>
      </c>
      <c r="E885" s="2">
        <f>(('Historical Data'!O887)-('Historical Data'!O886))/('Historical Data'!O886)</f>
        <v>0.004297994269</v>
      </c>
      <c r="F885" s="2">
        <f>(('Historical Data'!R887)-('Historical Data'!R886))/('Historical Data'!R886)</f>
        <v>-0.007553956835</v>
      </c>
    </row>
    <row r="886">
      <c r="A886" s="2">
        <f>(('Historical Data'!C888)-('Historical Data'!C887))/('Historical Data'!C887)</f>
        <v>0.01325919589</v>
      </c>
      <c r="D886" s="2">
        <f>(('Historical Data'!L888)-('Historical Data'!L887))/('Historical Data'!L887)</f>
        <v>-0.01999322264</v>
      </c>
      <c r="E886" s="2">
        <f>(('Historical Data'!O888)-('Historical Data'!O887))/('Historical Data'!O887)</f>
        <v>0.003994293866</v>
      </c>
      <c r="F886" s="2">
        <f>(('Historical Data'!R888)-('Historical Data'!R887))/('Historical Data'!R887)</f>
        <v>0.006463694575</v>
      </c>
    </row>
    <row r="887">
      <c r="A887" s="2">
        <f>(('Historical Data'!C889)-('Historical Data'!C888))/('Historical Data'!C888)</f>
        <v>0.0004221190376</v>
      </c>
      <c r="D887" s="2">
        <f>(('Historical Data'!L889)-('Historical Data'!L888))/('Historical Data'!L888)</f>
        <v>0.004495159059</v>
      </c>
      <c r="E887" s="2">
        <f>(('Historical Data'!O889)-('Historical Data'!O888))/('Historical Data'!O888)</f>
        <v>-0.004546746235</v>
      </c>
      <c r="F887" s="2">
        <f>(('Historical Data'!R889)-('Historical Data'!R888))/('Historical Data'!R888)</f>
        <v>-0.01218414261</v>
      </c>
    </row>
    <row r="888">
      <c r="A888" s="2">
        <f>(('Historical Data'!C890)-('Historical Data'!C889))/('Historical Data'!C889)</f>
        <v>0.0004219409283</v>
      </c>
      <c r="D888" s="2">
        <f>(('Historical Data'!L890)-('Historical Data'!L889))/('Historical Data'!L889)</f>
        <v>0.01790017212</v>
      </c>
      <c r="E888" s="2">
        <f>(('Historical Data'!O890)-('Historical Data'!O889))/('Historical Data'!O889)</f>
        <v>-0.003996574365</v>
      </c>
      <c r="F888" s="2">
        <f>(('Historical Data'!R890)-('Historical Data'!R889))/('Historical Data'!R889)</f>
        <v>0.01440029165</v>
      </c>
    </row>
    <row r="889">
      <c r="A889" s="2">
        <f>(('Historical Data'!C891)-('Historical Data'!C890))/('Historical Data'!C890)</f>
        <v>0.02319696331</v>
      </c>
      <c r="D889" s="2">
        <f>(('Historical Data'!L891)-('Historical Data'!L890))/('Historical Data'!L890)</f>
        <v>-0.0006763611769</v>
      </c>
      <c r="E889" s="2">
        <f>(('Historical Data'!O891)-('Historical Data'!O890))/('Historical Data'!O890)</f>
        <v>0.01519059903</v>
      </c>
      <c r="F889" s="2">
        <f>(('Historical Data'!R891)-('Historical Data'!R890))/('Historical Data'!R890)</f>
        <v>0.0149146451</v>
      </c>
    </row>
    <row r="890">
      <c r="A890" s="2">
        <f>(('Historical Data'!C892)-('Historical Data'!C891))/('Historical Data'!C891)</f>
        <v>-0.0098928277</v>
      </c>
      <c r="D890" s="2">
        <f>(('Historical Data'!L892)-('Historical Data'!L891))/('Historical Data'!L891)</f>
        <v>-0.005076142132</v>
      </c>
      <c r="E890" s="2">
        <f>(('Historical Data'!O892)-('Historical Data'!O891))/('Historical Data'!O891)</f>
        <v>0.004799548278</v>
      </c>
      <c r="F890" s="2">
        <f>(('Historical Data'!R892)-('Historical Data'!R891))/('Historical Data'!R891)</f>
        <v>-0.005901794145</v>
      </c>
    </row>
    <row r="891">
      <c r="A891" s="2">
        <f>(('Historical Data'!C893)-('Historical Data'!C892))/('Historical Data'!C892)</f>
        <v>-0.01498751041</v>
      </c>
      <c r="D891" s="2">
        <f>(('Historical Data'!L893)-('Historical Data'!L892))/('Historical Data'!L892)</f>
        <v>-0.005102040816</v>
      </c>
      <c r="E891" s="2">
        <f>(('Historical Data'!O893)-('Historical Data'!O892))/('Historical Data'!O892)</f>
        <v>-0.005900533858</v>
      </c>
      <c r="F891" s="2">
        <f>(('Historical Data'!R893)-('Historical Data'!R892))/('Historical Data'!R892)</f>
        <v>-0.002849679411</v>
      </c>
    </row>
    <row r="892">
      <c r="A892" s="2">
        <f>(('Historical Data'!C894)-('Historical Data'!C893))/('Historical Data'!C893)</f>
        <v>-0.01056635672</v>
      </c>
      <c r="D892" s="2">
        <f>(('Historical Data'!L894)-('Historical Data'!L893))/('Historical Data'!L893)</f>
        <v>0.004786324786</v>
      </c>
      <c r="E892" s="2">
        <f>(('Historical Data'!O894)-('Historical Data'!O893))/('Historical Data'!O893)</f>
        <v>-0.001413227812</v>
      </c>
      <c r="F892" s="2">
        <f>(('Historical Data'!R894)-('Historical Data'!R893))/('Historical Data'!R893)</f>
        <v>0.001726601572</v>
      </c>
    </row>
    <row r="893">
      <c r="A893" s="2">
        <f>(('Historical Data'!C895)-('Historical Data'!C894))/('Historical Data'!C894)</f>
        <v>-0.00982486117</v>
      </c>
      <c r="D893" s="2">
        <f>(('Historical Data'!L895)-('Historical Data'!L894))/('Historical Data'!L894)</f>
        <v>0.007145287513</v>
      </c>
      <c r="E893" s="2">
        <f>(('Historical Data'!O895)-('Historical Data'!O894))/('Historical Data'!O894)</f>
        <v>-0.01075573167</v>
      </c>
      <c r="F893" s="2">
        <f>(('Historical Data'!R895)-('Historical Data'!R894))/('Historical Data'!R894)</f>
        <v>-0.009687964339</v>
      </c>
    </row>
    <row r="894">
      <c r="A894" s="2">
        <f>(('Historical Data'!C896)-('Historical Data'!C895))/('Historical Data'!C895)</f>
        <v>0.01056945643</v>
      </c>
      <c r="D894" s="2">
        <f>(('Historical Data'!L896)-('Historical Data'!L895))/('Historical Data'!L895)</f>
        <v>-0.001013513514</v>
      </c>
      <c r="E894" s="2">
        <f>(('Historical Data'!O896)-('Historical Data'!O895))/('Historical Data'!O895)</f>
        <v>-0.008583690987</v>
      </c>
      <c r="F894" s="2">
        <f>(('Historical Data'!R896)-('Historical Data'!R895))/('Historical Data'!R895)</f>
        <v>0.008282319049</v>
      </c>
    </row>
    <row r="895">
      <c r="A895" s="2">
        <f>(('Historical Data'!C897)-('Historical Data'!C896))/('Historical Data'!C896)</f>
        <v>0.008324439701</v>
      </c>
      <c r="D895" s="2">
        <f>(('Historical Data'!L897)-('Historical Data'!L896))/('Historical Data'!L896)</f>
        <v>-0.002705444707</v>
      </c>
      <c r="E895" s="2">
        <f>(('Historical Data'!O897)-('Historical Data'!O896))/('Historical Data'!O896)</f>
        <v>0.0152958153</v>
      </c>
      <c r="F895" s="2">
        <f>(('Historical Data'!R897)-('Historical Data'!R896))/('Historical Data'!R896)</f>
        <v>-0.006547619048</v>
      </c>
    </row>
    <row r="896">
      <c r="A896" s="2">
        <f>(('Historical Data'!C898)-('Historical Data'!C897))/('Historical Data'!C897)</f>
        <v>0.01354784081</v>
      </c>
      <c r="D896" s="2">
        <f>(('Historical Data'!L898)-('Historical Data'!L897))/('Historical Data'!L897)</f>
        <v>0.009155645982</v>
      </c>
      <c r="E896" s="2">
        <f>(('Historical Data'!O898)-('Historical Data'!O897))/('Historical Data'!O897)</f>
        <v>0.001989766913</v>
      </c>
      <c r="F896" s="2">
        <f>(('Historical Data'!R898)-('Historical Data'!R897))/('Historical Data'!R897)</f>
        <v>0.01324146195</v>
      </c>
    </row>
    <row r="897">
      <c r="A897" s="2">
        <f>(('Historical Data'!C899)-('Historical Data'!C898))/('Historical Data'!C898)</f>
        <v>0.002297410192</v>
      </c>
      <c r="D897" s="2">
        <f>(('Historical Data'!L899)-('Historical Data'!L898))/('Historical Data'!L898)</f>
        <v>0.002352150538</v>
      </c>
      <c r="E897" s="2">
        <f>(('Historical Data'!O899)-('Historical Data'!O898))/('Historical Data'!O898)</f>
        <v>-0.008226950355</v>
      </c>
      <c r="F897" s="2">
        <f>(('Historical Data'!R899)-('Historical Data'!R898))/('Historical Data'!R898)</f>
        <v>0.004848914907</v>
      </c>
    </row>
    <row r="898">
      <c r="A898" s="2">
        <f>(('Historical Data'!C900)-('Historical Data'!C899))/('Historical Data'!C899)</f>
        <v>0.003125651177</v>
      </c>
      <c r="D898" s="2">
        <f>(('Historical Data'!L900)-('Historical Data'!L899))/('Historical Data'!L899)</f>
        <v>0.01642641636</v>
      </c>
      <c r="E898" s="2">
        <f>(('Historical Data'!O900)-('Historical Data'!O899))/('Historical Data'!O899)</f>
        <v>-0.004290617849</v>
      </c>
      <c r="F898" s="2">
        <f>(('Historical Data'!R900)-('Historical Data'!R899))/('Historical Data'!R899)</f>
        <v>-0.04843170717</v>
      </c>
    </row>
    <row r="899">
      <c r="A899" s="2">
        <f>(('Historical Data'!C901)-('Historical Data'!C900))/('Historical Data'!C900)</f>
        <v>0.006439551309</v>
      </c>
      <c r="D899" s="2">
        <f>(('Historical Data'!L901)-('Historical Data'!L900))/('Historical Data'!L900)</f>
        <v>0.0003298153034</v>
      </c>
      <c r="E899" s="2">
        <f>(('Historical Data'!O901)-('Historical Data'!O900))/('Historical Data'!O900)</f>
        <v>0.01666187877</v>
      </c>
      <c r="F899" s="2">
        <f>(('Historical Data'!R901)-('Historical Data'!R900))/('Historical Data'!R900)</f>
        <v>-0.005813234385</v>
      </c>
    </row>
    <row r="900">
      <c r="A900" s="2">
        <f>(('Historical Data'!C902)-('Historical Data'!C901))/('Historical Data'!C901)</f>
        <v>-0.02187822497</v>
      </c>
      <c r="D900" s="2">
        <f>(('Historical Data'!L902)-('Historical Data'!L901))/('Historical Data'!L901)</f>
        <v>0.007253544346</v>
      </c>
      <c r="E900" s="2">
        <f>(('Historical Data'!O902)-('Historical Data'!O901))/('Historical Data'!O901)</f>
        <v>-0.01780163888</v>
      </c>
      <c r="F900" s="2">
        <f>(('Historical Data'!R902)-('Historical Data'!R901))/('Historical Data'!R901)</f>
        <v>0.03066683255</v>
      </c>
    </row>
    <row r="901">
      <c r="A901" s="2">
        <f>(('Historical Data'!C903)-('Historical Data'!C902))/('Historical Data'!C902)</f>
        <v>-0.01540409369</v>
      </c>
      <c r="D901" s="2">
        <f>(('Historical Data'!L903)-('Historical Data'!L902))/('Historical Data'!L902)</f>
        <v>-0.02291325696</v>
      </c>
      <c r="E901" s="2">
        <f>(('Historical Data'!O903)-('Historical Data'!O902))/('Historical Data'!O902)</f>
        <v>-0.01956271577</v>
      </c>
      <c r="F901" s="2">
        <f>(('Historical Data'!R903)-('Historical Data'!R902))/('Historical Data'!R902)</f>
        <v>0.02649526224</v>
      </c>
    </row>
    <row r="902">
      <c r="A902" s="2">
        <f>(('Historical Data'!C904)-('Historical Data'!C903))/('Historical Data'!C903)</f>
        <v>-0.04114873553</v>
      </c>
      <c r="D902" s="2">
        <f>(('Historical Data'!L904)-('Historical Data'!L903))/('Historical Data'!L903)</f>
        <v>-0.002010050251</v>
      </c>
      <c r="E902" s="2">
        <f>(('Historical Data'!O904)-('Historical Data'!O903))/('Historical Data'!O903)</f>
        <v>-0.03198356808</v>
      </c>
      <c r="F902" s="2">
        <f>(('Historical Data'!R904)-('Historical Data'!R903))/('Historical Data'!R903)</f>
        <v>-0.01187676388</v>
      </c>
    </row>
    <row r="903">
      <c r="A903" s="2">
        <f>(('Historical Data'!C905)-('Historical Data'!C904))/('Historical Data'!C904)</f>
        <v>0.009387572642</v>
      </c>
      <c r="D903" s="2">
        <f>(('Historical Data'!L905)-('Historical Data'!L904))/('Historical Data'!L904)</f>
        <v>-0.05740181269</v>
      </c>
      <c r="E903" s="2">
        <f>(('Historical Data'!O905)-('Historical Data'!O904))/('Historical Data'!O904)</f>
        <v>-0.001515610791</v>
      </c>
      <c r="F903" s="2">
        <f>(('Historical Data'!R905)-('Historical Data'!R904))/('Historical Data'!R904)</f>
        <v>0.0001785076758</v>
      </c>
    </row>
    <row r="904">
      <c r="A904" s="2">
        <f>(('Historical Data'!C906)-('Historical Data'!C905))/('Historical Data'!C905)</f>
        <v>-0.0008857395926</v>
      </c>
      <c r="D904" s="2">
        <f>(('Historical Data'!L906)-('Historical Data'!L905))/('Historical Data'!L905)</f>
        <v>-0.0146011396</v>
      </c>
      <c r="E904" s="2">
        <f>(('Historical Data'!O906)-('Historical Data'!O905))/('Historical Data'!O905)</f>
        <v>0.003339404979</v>
      </c>
      <c r="F904" s="2">
        <f>(('Historical Data'!R906)-('Historical Data'!R905))/('Historical Data'!R905)</f>
        <v>0.0114819442</v>
      </c>
    </row>
    <row r="905">
      <c r="A905" s="2">
        <f>(('Historical Data'!C907)-('Historical Data'!C906))/('Historical Data'!C906)</f>
        <v>0.0157358156</v>
      </c>
      <c r="D905" s="2">
        <f>(('Historical Data'!L907)-('Historical Data'!L906))/('Historical Data'!L906)</f>
        <v>-0.01409468739</v>
      </c>
      <c r="E905" s="2">
        <f>(('Historical Data'!O907)-('Historical Data'!O906))/('Historical Data'!O906)</f>
        <v>0.01361573374</v>
      </c>
      <c r="F905" s="2">
        <f>(('Historical Data'!R907)-('Historical Data'!R906))/('Historical Data'!R906)</f>
        <v>0.004999411834</v>
      </c>
    </row>
    <row r="906">
      <c r="A906" s="2">
        <f>(('Historical Data'!C908)-('Historical Data'!C907))/('Historical Data'!C907)</f>
        <v>-0.007855116736</v>
      </c>
      <c r="D906" s="2">
        <f>(('Historical Data'!L908)-('Historical Data'!L907))/('Historical Data'!L907)</f>
        <v>0.01099706745</v>
      </c>
      <c r="E906" s="2">
        <f>(('Historical Data'!O908)-('Historical Data'!O907))/('Historical Data'!O907)</f>
        <v>-0.007164179104</v>
      </c>
      <c r="F906" s="2">
        <f>(('Historical Data'!R908)-('Historical Data'!R907))/('Historical Data'!R907)</f>
        <v>-0.001931292796</v>
      </c>
    </row>
    <row r="907">
      <c r="A907" s="2">
        <f>(('Historical Data'!C909)-('Historical Data'!C908))/('Historical Data'!C908)</f>
        <v>-0.01341543875</v>
      </c>
      <c r="D907" s="2">
        <f>(('Historical Data'!L909)-('Historical Data'!L908))/('Historical Data'!L908)</f>
        <v>0.03335750544</v>
      </c>
      <c r="E907" s="2">
        <f>(('Historical Data'!O909)-('Historical Data'!O908))/('Historical Data'!O908)</f>
        <v>0.01172579675</v>
      </c>
      <c r="F907" s="2">
        <f>(('Historical Data'!R909)-('Historical Data'!R908))/('Historical Data'!R908)</f>
        <v>-0.02187170165</v>
      </c>
    </row>
    <row r="908">
      <c r="A908" s="2">
        <f>(('Historical Data'!C910)-('Historical Data'!C909))/('Historical Data'!C909)</f>
        <v>0.01136870263</v>
      </c>
      <c r="D908" s="2">
        <f>(('Historical Data'!L910)-('Historical Data'!L909))/('Historical Data'!L909)</f>
        <v>0.001403508772</v>
      </c>
      <c r="E908" s="2">
        <f>(('Historical Data'!O910)-('Historical Data'!O909))/('Historical Data'!O909)</f>
        <v>0.001783060921</v>
      </c>
      <c r="F908" s="2">
        <f>(('Historical Data'!R910)-('Historical Data'!R909))/('Historical Data'!R909)</f>
        <v>0.002877525328</v>
      </c>
    </row>
    <row r="909">
      <c r="A909" s="2">
        <f>(('Historical Data'!C911)-('Historical Data'!C910))/('Historical Data'!C910)</f>
        <v>0.001542869738</v>
      </c>
      <c r="D909" s="2">
        <f>(('Historical Data'!L911)-('Historical Data'!L910))/('Historical Data'!L910)</f>
        <v>-0.002102312544</v>
      </c>
      <c r="E909" s="2">
        <f>(('Historical Data'!O911)-('Historical Data'!O910))/('Historical Data'!O910)</f>
        <v>-0.000296647879</v>
      </c>
      <c r="F909" s="2">
        <f>(('Historical Data'!R911)-('Historical Data'!R910))/('Historical Data'!R910)</f>
        <v>0.009026241855</v>
      </c>
    </row>
    <row r="910">
      <c r="A910" s="2">
        <f>(('Historical Data'!C912)-('Historical Data'!C911))/('Historical Data'!C911)</f>
        <v>0.06800176056</v>
      </c>
      <c r="D910" s="2">
        <f>(('Historical Data'!L912)-('Historical Data'!L911))/('Historical Data'!L911)</f>
        <v>-0.002808988764</v>
      </c>
      <c r="E910" s="2">
        <f>(('Historical Data'!O912)-('Historical Data'!O911))/('Historical Data'!O911)</f>
        <v>0.01246290801</v>
      </c>
      <c r="F910" s="2">
        <f>(('Historical Data'!R912)-('Historical Data'!R911))/('Historical Data'!R911)</f>
        <v>-0.005213270142</v>
      </c>
    </row>
    <row r="911">
      <c r="A911" s="2">
        <f>(('Historical Data'!C913)-('Historical Data'!C912))/('Historical Data'!C912)</f>
        <v>0.01916340408</v>
      </c>
      <c r="D911" s="2">
        <f>(('Historical Data'!L913)-('Historical Data'!L912))/('Historical Data'!L912)</f>
        <v>0.00176056338</v>
      </c>
      <c r="E911" s="2">
        <f>(('Historical Data'!O913)-('Historical Data'!O912))/('Historical Data'!O912)</f>
        <v>-0.0002930832356</v>
      </c>
      <c r="F911" s="2">
        <f>(('Historical Data'!R913)-('Historical Data'!R912))/('Historical Data'!R912)</f>
        <v>-0.0001786565031</v>
      </c>
    </row>
    <row r="912">
      <c r="A912" s="2">
        <f>(('Historical Data'!C914)-('Historical Data'!C913))/('Historical Data'!C913)</f>
        <v>0.0105135463</v>
      </c>
      <c r="D912" s="2">
        <f>(('Historical Data'!L914)-('Historical Data'!L913))/('Historical Data'!L913)</f>
        <v>0.007381370826</v>
      </c>
      <c r="E912" s="2">
        <f>(('Historical Data'!O914)-('Historical Data'!O913))/('Historical Data'!O913)</f>
        <v>0.0008795074758</v>
      </c>
      <c r="F912" s="2">
        <f>(('Historical Data'!R914)-('Historical Data'!R913))/('Historical Data'!R913)</f>
        <v>0.003156828876</v>
      </c>
    </row>
    <row r="913">
      <c r="A913" s="2">
        <f>(('Historical Data'!C915)-('Historical Data'!C914))/('Historical Data'!C914)</f>
        <v>0.005202080832</v>
      </c>
      <c r="D913" s="2">
        <f>(('Historical Data'!L915)-('Historical Data'!L914))/('Historical Data'!L914)</f>
        <v>0.02023726448</v>
      </c>
      <c r="E913" s="2">
        <f>(('Historical Data'!O915)-('Historical Data'!O914))/('Historical Data'!O914)</f>
        <v>-0.02226127709</v>
      </c>
      <c r="F913" s="2">
        <f>(('Historical Data'!R915)-('Historical Data'!R914))/('Historical Data'!R914)</f>
        <v>0.01181569885</v>
      </c>
    </row>
    <row r="914">
      <c r="A914" s="2">
        <f>(('Historical Data'!C916)-('Historical Data'!C915))/('Historical Data'!C915)</f>
        <v>0.004179936306</v>
      </c>
      <c r="D914" s="2">
        <f>(('Historical Data'!L916)-('Historical Data'!L915))/('Historical Data'!L915)</f>
        <v>0.007181942544</v>
      </c>
      <c r="E914" s="2">
        <f>(('Historical Data'!O916)-('Historical Data'!O915))/('Historical Data'!O915)</f>
        <v>0.00419412822</v>
      </c>
      <c r="F914" s="2">
        <f>(('Historical Data'!R916)-('Historical Data'!R915))/('Historical Data'!R915)</f>
        <v>-0.001467050056</v>
      </c>
    </row>
    <row r="915">
      <c r="A915" s="2">
        <f>(('Historical Data'!C917)-('Historical Data'!C916))/('Historical Data'!C916)</f>
        <v>-0.004558969277</v>
      </c>
      <c r="D915" s="2">
        <f>(('Historical Data'!L917)-('Historical Data'!L916))/('Historical Data'!L916)</f>
        <v>0.005432937182</v>
      </c>
      <c r="E915" s="2">
        <f>(('Historical Data'!O917)-('Historical Data'!O916))/('Historical Data'!O916)</f>
        <v>-0.0005966587112</v>
      </c>
      <c r="F915" s="2">
        <f>(('Historical Data'!R917)-('Historical Data'!R916))/('Historical Data'!R916)</f>
        <v>-0.00005876821815</v>
      </c>
    </row>
    <row r="916">
      <c r="A916" s="2">
        <f>(('Historical Data'!C918)-('Historical Data'!C917))/('Historical Data'!C917)</f>
        <v>0.01035444046</v>
      </c>
      <c r="D916" s="2">
        <f>(('Historical Data'!L918)-('Historical Data'!L917))/('Historical Data'!L917)</f>
        <v>-0.01418439716</v>
      </c>
      <c r="E916" s="2">
        <f>(('Historical Data'!O918)-('Historical Data'!O917))/('Historical Data'!O917)</f>
        <v>0.01820895522</v>
      </c>
      <c r="F916" s="2">
        <f>(('Historical Data'!R918)-('Historical Data'!R917))/('Historical Data'!R917)</f>
        <v>-0.005759623861</v>
      </c>
    </row>
    <row r="917">
      <c r="A917" s="2">
        <f>(('Historical Data'!C919)-('Historical Data'!C918))/('Historical Data'!C918)</f>
        <v>0.0009854158455</v>
      </c>
      <c r="D917" s="2">
        <f>(('Historical Data'!L919)-('Historical Data'!L918))/('Historical Data'!L918)</f>
        <v>-0.001370332306</v>
      </c>
      <c r="E917" s="2">
        <f>(('Historical Data'!O919)-('Historical Data'!O918))/('Historical Data'!O918)</f>
        <v>0.008208736441</v>
      </c>
      <c r="F917" s="2">
        <f>(('Historical Data'!R919)-('Historical Data'!R918))/('Historical Data'!R918)</f>
        <v>0.006975232015</v>
      </c>
    </row>
    <row r="918">
      <c r="A918" s="2">
        <f>(('Historical Data'!C920)-('Historical Data'!C919))/('Historical Data'!C919)</f>
        <v>-0.001575113211</v>
      </c>
      <c r="D918" s="2">
        <f>(('Historical Data'!L920)-('Historical Data'!L919))/('Historical Data'!L919)</f>
        <v>0</v>
      </c>
      <c r="E918" s="2">
        <f>(('Historical Data'!O920)-('Historical Data'!O919))/('Historical Data'!O919)</f>
        <v>-0.0002907822041</v>
      </c>
      <c r="F918" s="2">
        <f>(('Historical Data'!R920)-('Historical Data'!R919))/('Historical Data'!R919)</f>
        <v>-0.006457293807</v>
      </c>
    </row>
    <row r="919">
      <c r="A919" s="2">
        <f>(('Historical Data'!C921)-('Historical Data'!C920))/('Historical Data'!C920)</f>
        <v>-0.01695917965</v>
      </c>
      <c r="D919" s="2">
        <f>(('Historical Data'!L921)-('Historical Data'!L920))/('Historical Data'!L920)</f>
        <v>0.01886792453</v>
      </c>
      <c r="E919" s="2">
        <f>(('Historical Data'!O921)-('Historical Data'!O920))/('Historical Data'!O920)</f>
        <v>-0.004363001745</v>
      </c>
      <c r="F919" s="2">
        <f>(('Historical Data'!R921)-('Historical Data'!R920))/('Historical Data'!R920)</f>
        <v>-0.001122599705</v>
      </c>
    </row>
    <row r="920">
      <c r="A920" s="2">
        <f>(('Historical Data'!C922)-('Historical Data'!C921))/('Historical Data'!C921)</f>
        <v>0.01083249749</v>
      </c>
      <c r="D920" s="2">
        <f>(('Historical Data'!L922)-('Historical Data'!L921))/('Historical Data'!L921)</f>
        <v>-0.003367003367</v>
      </c>
      <c r="E920" s="2">
        <f>(('Historical Data'!O922)-('Historical Data'!O921))/('Historical Data'!O921)</f>
        <v>0.007011393514</v>
      </c>
      <c r="F920" s="2">
        <f>(('Historical Data'!R922)-('Historical Data'!R921))/('Historical Data'!R921)</f>
        <v>0.00573760795</v>
      </c>
    </row>
    <row r="921">
      <c r="A921" s="2">
        <f>(('Historical Data'!C923)-('Historical Data'!C922))/('Historical Data'!C922)</f>
        <v>0.002976781107</v>
      </c>
      <c r="D921" s="2">
        <f>(('Historical Data'!L923)-('Historical Data'!L922))/('Historical Data'!L922)</f>
        <v>-0.01722972973</v>
      </c>
      <c r="E921" s="2">
        <f>(('Historical Data'!O923)-('Historical Data'!O922))/('Historical Data'!O922)</f>
        <v>-0.01479547433</v>
      </c>
      <c r="F921" s="2">
        <f>(('Historical Data'!R923)-('Historical Data'!R922))/('Historical Data'!R922)</f>
        <v>0.008880785744</v>
      </c>
    </row>
    <row r="922">
      <c r="A922" s="2">
        <f>(('Historical Data'!C924)-('Historical Data'!C923))/('Historical Data'!C923)</f>
        <v>-0.00949742778</v>
      </c>
      <c r="D922" s="2">
        <f>(('Historical Data'!L924)-('Historical Data'!L923))/('Historical Data'!L923)</f>
        <v>0.00275008594</v>
      </c>
      <c r="E922" s="2">
        <f>(('Historical Data'!O924)-('Historical Data'!O923))/('Historical Data'!O923)</f>
        <v>-0.03209658422</v>
      </c>
      <c r="F922" s="2">
        <f>(('Historical Data'!R924)-('Historical Data'!R923))/('Historical Data'!R923)</f>
        <v>0.01737204151</v>
      </c>
    </row>
    <row r="923">
      <c r="A923" s="2">
        <f>(('Historical Data'!C925)-('Historical Data'!C924))/('Historical Data'!C924)</f>
        <v>-0.007191370356</v>
      </c>
      <c r="D923" s="2">
        <f>(('Historical Data'!L925)-('Historical Data'!L924))/('Historical Data'!L924)</f>
        <v>0.002742543709</v>
      </c>
      <c r="E923" s="2">
        <f>(('Historical Data'!O925)-('Historical Data'!O924))/('Historical Data'!O924)</f>
        <v>-0.01399452388</v>
      </c>
      <c r="F923" s="2">
        <f>(('Historical Data'!R925)-('Historical Data'!R924))/('Historical Data'!R924)</f>
        <v>0.007907403163</v>
      </c>
    </row>
    <row r="924">
      <c r="A924" s="2">
        <f>(('Historical Data'!C926)-('Historical Data'!C925))/('Historical Data'!C925)</f>
        <v>-0.01146881288</v>
      </c>
      <c r="D924" s="2">
        <f>(('Historical Data'!L926)-('Historical Data'!L925))/('Historical Data'!L925)</f>
        <v>-0.006495726496</v>
      </c>
      <c r="E924" s="2">
        <f>(('Historical Data'!O926)-('Historical Data'!O925))/('Historical Data'!O925)</f>
        <v>-0.001851280469</v>
      </c>
      <c r="F924" s="2">
        <f>(('Historical Data'!R926)-('Historical Data'!R925))/('Historical Data'!R925)</f>
        <v>-0.002444570779</v>
      </c>
    </row>
    <row r="925">
      <c r="A925" s="2">
        <f>(('Historical Data'!C927)-('Historical Data'!C926))/('Historical Data'!C926)</f>
        <v>-0.01282312233</v>
      </c>
      <c r="D925" s="2">
        <f>(('Historical Data'!L927)-('Historical Data'!L926))/('Historical Data'!L926)</f>
        <v>-0.01479697178</v>
      </c>
      <c r="E925" s="2">
        <f>(('Historical Data'!O927)-('Historical Data'!O926))/('Historical Data'!O926)</f>
        <v>-0.01391035549</v>
      </c>
      <c r="F925" s="2">
        <f>(('Historical Data'!R927)-('Historical Data'!R926))/('Historical Data'!R926)</f>
        <v>0.0006838775859</v>
      </c>
    </row>
    <row r="926">
      <c r="A926" s="2">
        <f>(('Historical Data'!C928)-('Historical Data'!C927))/('Historical Data'!C927)</f>
        <v>0.00412371134</v>
      </c>
      <c r="D926" s="2">
        <f>(('Historical Data'!L928)-('Historical Data'!L927))/('Historical Data'!L927)</f>
        <v>-0.003492839679</v>
      </c>
      <c r="E926" s="2">
        <f>(('Historical Data'!O928)-('Historical Data'!O927))/('Historical Data'!O927)</f>
        <v>-0.003134796238</v>
      </c>
      <c r="F926" s="2">
        <f>(('Historical Data'!R928)-('Historical Data'!R927))/('Historical Data'!R927)</f>
        <v>0.002676690017</v>
      </c>
    </row>
    <row r="927">
      <c r="A927" s="2">
        <f>(('Historical Data'!C929)-('Historical Data'!C928))/('Historical Data'!C928)</f>
        <v>0.001848049281</v>
      </c>
      <c r="D927" s="2">
        <f>(('Historical Data'!L929)-('Historical Data'!L928))/('Historical Data'!L928)</f>
        <v>0.009113214161</v>
      </c>
      <c r="E927" s="2">
        <f>(('Historical Data'!O929)-('Historical Data'!O928))/('Historical Data'!O928)</f>
        <v>-0.02044025157</v>
      </c>
      <c r="F927" s="2">
        <f>(('Historical Data'!R929)-('Historical Data'!R928))/('Historical Data'!R928)</f>
        <v>0.009826195615</v>
      </c>
    </row>
    <row r="928">
      <c r="A928" s="2">
        <f>(('Historical Data'!C930)-('Historical Data'!C929))/('Historical Data'!C929)</f>
        <v>0.006558721049</v>
      </c>
      <c r="D928" s="2">
        <f>(('Historical Data'!L930)-('Historical Data'!L929))/('Historical Data'!L929)</f>
        <v>-0.02014588399</v>
      </c>
      <c r="E928" s="2">
        <f>(('Historical Data'!O930)-('Historical Data'!O929))/('Historical Data'!O929)</f>
        <v>0.004494382022</v>
      </c>
      <c r="F928" s="2">
        <f>(('Historical Data'!R930)-('Historical Data'!R929))/('Historical Data'!R929)</f>
        <v>-0.0217672535</v>
      </c>
    </row>
    <row r="929">
      <c r="A929" s="2">
        <f>(('Historical Data'!C931)-('Historical Data'!C930))/('Historical Data'!C930)</f>
        <v>0.01018122582</v>
      </c>
      <c r="D929" s="2">
        <f>(('Historical Data'!L931)-('Historical Data'!L930))/('Historical Data'!L930)</f>
        <v>0.01488833747</v>
      </c>
      <c r="E929" s="2">
        <f>(('Historical Data'!O931)-('Historical Data'!O930))/('Historical Data'!O930)</f>
        <v>0.009268136785</v>
      </c>
      <c r="F929" s="2">
        <f>(('Historical Data'!R931)-('Historical Data'!R930))/('Historical Data'!R930)</f>
        <v>-0.002587396504</v>
      </c>
    </row>
    <row r="930">
      <c r="A930" s="2">
        <f>(('Historical Data'!C932)-('Historical Data'!C931))/('Historical Data'!C931)</f>
        <v>0.003829873009</v>
      </c>
      <c r="D930" s="2">
        <f>(('Historical Data'!L932)-('Historical Data'!L931))/('Historical Data'!L931)</f>
        <v>-0.01362207475</v>
      </c>
      <c r="E930" s="2">
        <f>(('Historical Data'!O932)-('Historical Data'!O931))/('Historical Data'!O931)</f>
        <v>0.008233058898</v>
      </c>
      <c r="F930" s="2">
        <f>(('Historical Data'!R932)-('Historical Data'!R931))/('Historical Data'!R931)</f>
        <v>0.003516458177</v>
      </c>
    </row>
    <row r="931">
      <c r="A931" s="2">
        <f>(('Historical Data'!C933)-('Historical Data'!C932))/('Historical Data'!C932)</f>
        <v>0.02469879518</v>
      </c>
      <c r="D931" s="2">
        <f>(('Historical Data'!L933)-('Historical Data'!L932))/('Historical Data'!L932)</f>
        <v>0.01699716714</v>
      </c>
      <c r="E931" s="2">
        <f>(('Historical Data'!O933)-('Historical Data'!O932))/('Historical Data'!O932)</f>
        <v>0.01444723618</v>
      </c>
      <c r="F931" s="2">
        <f>(('Historical Data'!R933)-('Historical Data'!R932))/('Historical Data'!R932)</f>
        <v>0.01815257353</v>
      </c>
    </row>
    <row r="932">
      <c r="A932" s="2">
        <f>(('Historical Data'!C934)-('Historical Data'!C933))/('Historical Data'!C933)</f>
        <v>-0.008230452675</v>
      </c>
      <c r="D932" s="2">
        <f>(('Historical Data'!L934)-('Historical Data'!L933))/('Historical Data'!L933)</f>
        <v>0.008008356546</v>
      </c>
      <c r="E932" s="2">
        <f>(('Historical Data'!O934)-('Historical Data'!O933))/('Historical Data'!O933)</f>
        <v>0.00773993808</v>
      </c>
      <c r="F932" s="2">
        <f>(('Historical Data'!R934)-('Historical Data'!R933))/('Historical Data'!R933)</f>
        <v>-0.007673211465</v>
      </c>
    </row>
    <row r="933">
      <c r="A933" s="2">
        <f>(('Historical Data'!C935)-('Historical Data'!C934))/('Historical Data'!C934)</f>
        <v>-0.0007903576368</v>
      </c>
      <c r="D933" s="2">
        <f>(('Historical Data'!L935)-('Historical Data'!L934))/('Historical Data'!L934)</f>
        <v>0.002417962003</v>
      </c>
      <c r="E933" s="2">
        <f>(('Historical Data'!O935)-('Historical Data'!O934))/('Historical Data'!O934)</f>
        <v>-0.003686635945</v>
      </c>
      <c r="F933" s="2">
        <f>(('Historical Data'!R935)-('Historical Data'!R934))/('Historical Data'!R934)</f>
        <v>-0.01114396179</v>
      </c>
    </row>
    <row r="934">
      <c r="A934" s="2">
        <f>(('Historical Data'!C936)-('Historical Data'!C935))/('Historical Data'!C935)</f>
        <v>0.01720387582</v>
      </c>
      <c r="D934" s="2">
        <f>(('Historical Data'!L936)-('Historical Data'!L935))/('Historical Data'!L935)</f>
        <v>0.002067539628</v>
      </c>
      <c r="E934" s="2">
        <f>(('Historical Data'!O936)-('Historical Data'!O935))/('Historical Data'!O935)</f>
        <v>0.01017576318</v>
      </c>
      <c r="F934" s="2">
        <f>(('Historical Data'!R936)-('Historical Data'!R935))/('Historical Data'!R935)</f>
        <v>-0.01368445262</v>
      </c>
    </row>
    <row r="935">
      <c r="A935" s="2">
        <f>(('Historical Data'!C937)-('Historical Data'!C936))/('Historical Data'!C936)</f>
        <v>0.01030326594</v>
      </c>
      <c r="D935" s="2">
        <f>(('Historical Data'!L937)-('Historical Data'!L936))/('Historical Data'!L936)</f>
        <v>0.007221458047</v>
      </c>
      <c r="E935" s="2">
        <f>(('Historical Data'!O937)-('Historical Data'!O936))/('Historical Data'!O936)</f>
        <v>-0.003663003663</v>
      </c>
      <c r="F935" s="2">
        <f>(('Historical Data'!R937)-('Historical Data'!R936))/('Historical Data'!R936)</f>
        <v>0.01562317827</v>
      </c>
    </row>
    <row r="936">
      <c r="A936" s="2">
        <f>(('Historical Data'!C938)-('Historical Data'!C937))/('Historical Data'!C937)</f>
        <v>0.004233211468</v>
      </c>
      <c r="D936" s="2">
        <f>(('Historical Data'!L938)-('Historical Data'!L937))/('Historical Data'!L937)</f>
        <v>-0.01194947081</v>
      </c>
      <c r="E936" s="2">
        <f>(('Historical Data'!O938)-('Historical Data'!O937))/('Historical Data'!O937)</f>
        <v>0.006740196078</v>
      </c>
      <c r="F936" s="2">
        <f>(('Historical Data'!R938)-('Historical Data'!R937))/('Historical Data'!R937)</f>
        <v>-0.002582941109</v>
      </c>
    </row>
    <row r="937">
      <c r="A937" s="2">
        <f>(('Historical Data'!C939)-('Historical Data'!C938))/('Historical Data'!C938)</f>
        <v>0.006323050393</v>
      </c>
      <c r="D937" s="2">
        <f>(('Historical Data'!L939)-('Historical Data'!L938))/('Historical Data'!L938)</f>
        <v>0.01071181755</v>
      </c>
      <c r="E937" s="2">
        <f>(('Historical Data'!O939)-('Historical Data'!O938))/('Historical Data'!O938)</f>
        <v>-0.0009129640901</v>
      </c>
      <c r="F937" s="2">
        <f>(('Historical Data'!R939)-('Historical Data'!R938))/('Historical Data'!R938)</f>
        <v>-0.003050008632</v>
      </c>
    </row>
    <row r="938">
      <c r="A938" s="2">
        <f>(('Historical Data'!C940)-('Historical Data'!C939))/('Historical Data'!C939)</f>
        <v>0.002475247525</v>
      </c>
      <c r="D938" s="2">
        <f>(('Historical Data'!L940)-('Historical Data'!L939))/('Historical Data'!L939)</f>
        <v>-0.005128205128</v>
      </c>
      <c r="E938" s="2">
        <f>(('Historical Data'!O940)-('Historical Data'!O939))/('Historical Data'!O939)</f>
        <v>-0.03502893695</v>
      </c>
      <c r="F938" s="2">
        <f>(('Historical Data'!R940)-('Historical Data'!R939))/('Historical Data'!R939)</f>
        <v>-0.005656892173</v>
      </c>
    </row>
    <row r="939">
      <c r="A939" s="2">
        <f>(('Historical Data'!C941)-('Historical Data'!C940))/('Historical Data'!C940)</f>
        <v>0.003798670465</v>
      </c>
      <c r="D939" s="2">
        <f>(('Historical Data'!L941)-('Historical Data'!L940))/('Historical Data'!L940)</f>
        <v>-0.001718213058</v>
      </c>
      <c r="E939" s="2">
        <f>(('Historical Data'!O941)-('Historical Data'!O940))/('Historical Data'!O940)</f>
        <v>-0.02809343434</v>
      </c>
      <c r="F939" s="2">
        <f>(('Historical Data'!R941)-('Historical Data'!R940))/('Historical Data'!R940)</f>
        <v>0.005514919308</v>
      </c>
    </row>
    <row r="940">
      <c r="A940" s="2">
        <f>(('Historical Data'!C942)-('Historical Data'!C941))/('Historical Data'!C941)</f>
        <v>0.003216650899</v>
      </c>
      <c r="D940" s="2">
        <f>(('Historical Data'!L942)-('Historical Data'!L941))/('Historical Data'!L941)</f>
        <v>0.02030981067</v>
      </c>
      <c r="E940" s="2">
        <f>(('Historical Data'!O942)-('Historical Data'!O941))/('Historical Data'!O941)</f>
        <v>0.0204611887</v>
      </c>
      <c r="F940" s="2">
        <f>(('Historical Data'!R942)-('Historical Data'!R941))/('Historical Data'!R941)</f>
        <v>0.001962935165</v>
      </c>
    </row>
    <row r="941">
      <c r="A941" s="2">
        <f>(('Historical Data'!C943)-('Historical Data'!C942))/('Historical Data'!C942)</f>
        <v>0.003772161449</v>
      </c>
      <c r="D941" s="2">
        <f>(('Historical Data'!L943)-('Historical Data'!L942))/('Historical Data'!L942)</f>
        <v>-0.0185560054</v>
      </c>
      <c r="E941" s="2">
        <f>(('Historical Data'!O943)-('Historical Data'!O942))/('Historical Data'!O942)</f>
        <v>-0.0009548058561</v>
      </c>
      <c r="F941" s="2">
        <f>(('Historical Data'!R943)-('Historical Data'!R942))/('Historical Data'!R942)</f>
        <v>-0.002016709882</v>
      </c>
    </row>
    <row r="942">
      <c r="A942" s="2">
        <f>(('Historical Data'!C944)-('Historical Data'!C943))/('Historical Data'!C943)</f>
        <v>-0.009019165727</v>
      </c>
      <c r="D942" s="2">
        <f>(('Historical Data'!L944)-('Historical Data'!L943))/('Historical Data'!L943)</f>
        <v>0.0137504297</v>
      </c>
      <c r="E942" s="2">
        <f>(('Historical Data'!O944)-('Historical Data'!O943))/('Historical Data'!O943)</f>
        <v>0.02230009557</v>
      </c>
      <c r="F942" s="2">
        <f>(('Historical Data'!R944)-('Historical Data'!R943))/('Historical Data'!R943)</f>
        <v>-0.0009237875289</v>
      </c>
    </row>
    <row r="943">
      <c r="A943" s="2">
        <f>(('Historical Data'!C945)-('Historical Data'!C944))/('Historical Data'!C944)</f>
        <v>-0.002275312856</v>
      </c>
      <c r="D943" s="2">
        <f>(('Historical Data'!L945)-('Historical Data'!L944))/('Historical Data'!L944)</f>
        <v>0.007121057986</v>
      </c>
      <c r="E943" s="2">
        <f>(('Historical Data'!O945)-('Historical Data'!O944))/('Historical Data'!O944)</f>
        <v>0.008725459645</v>
      </c>
      <c r="F943" s="2">
        <f>(('Historical Data'!R945)-('Historical Data'!R944))/('Historical Data'!R944)</f>
        <v>-0.006472491909</v>
      </c>
    </row>
    <row r="944">
      <c r="A944" s="2">
        <f>(('Historical Data'!C946)-('Historical Data'!C945))/('Historical Data'!C945)</f>
        <v>-0.003610794375</v>
      </c>
      <c r="D944" s="2">
        <f>(('Historical Data'!L946)-('Historical Data'!L945))/('Historical Data'!L945)</f>
        <v>-0.0101010101</v>
      </c>
      <c r="E944" s="2">
        <f>(('Historical Data'!O946)-('Historical Data'!O945))/('Historical Data'!O945)</f>
        <v>0.002780352178</v>
      </c>
      <c r="F944" s="2">
        <f>(('Historical Data'!R946)-('Historical Data'!R945))/('Historical Data'!R945)</f>
        <v>-0.01046998604</v>
      </c>
    </row>
    <row r="945">
      <c r="A945" s="2">
        <f>(('Historical Data'!C947)-('Historical Data'!C946))/('Historical Data'!C946)</f>
        <v>0.00610337593</v>
      </c>
      <c r="D945" s="2">
        <f>(('Historical Data'!L947)-('Historical Data'!L946))/('Historical Data'!L946)</f>
        <v>-0.01020408163</v>
      </c>
      <c r="E945" s="2">
        <f>(('Historical Data'!O947)-('Historical Data'!O946))/('Historical Data'!O946)</f>
        <v>0.01293900185</v>
      </c>
      <c r="F945" s="2">
        <f>(('Historical Data'!R947)-('Historical Data'!R946))/('Historical Data'!R946)</f>
        <v>-0.00728897249</v>
      </c>
    </row>
    <row r="946">
      <c r="A946" s="2">
        <f>(('Historical Data'!C948)-('Historical Data'!C947))/('Historical Data'!C947)</f>
        <v>-0.004549763033</v>
      </c>
      <c r="D946" s="2">
        <f>(('Historical Data'!L948)-('Historical Data'!L947))/('Historical Data'!L947)</f>
        <v>-0.009278350515</v>
      </c>
      <c r="E946" s="2">
        <f>(('Historical Data'!O948)-('Historical Data'!O947))/('Historical Data'!O947)</f>
        <v>0.007907542579</v>
      </c>
    </row>
    <row r="947">
      <c r="A947" s="2">
        <f>(('Historical Data'!C949)-('Historical Data'!C948))/('Historical Data'!C948)</f>
        <v>0.004189678157</v>
      </c>
      <c r="D947" s="2">
        <f>(('Historical Data'!L949)-('Historical Data'!L948))/('Historical Data'!L948)</f>
        <v>-0.003815469997</v>
      </c>
      <c r="E947" s="2">
        <f>(('Historical Data'!O949)-('Historical Data'!O948))/('Historical Data'!O948)</f>
        <v>-0.03349426675</v>
      </c>
    </row>
    <row r="948">
      <c r="A948" s="2">
        <f>(('Historical Data'!C950)-('Historical Data'!C949))/('Historical Data'!C949)</f>
        <v>0.01574056514</v>
      </c>
      <c r="D948" s="2">
        <f>(('Historical Data'!L950)-('Historical Data'!L949))/('Historical Data'!L949)</f>
        <v>0.02367688022</v>
      </c>
      <c r="E948" s="2">
        <f>(('Historical Data'!O950)-('Historical Data'!O949))/('Historical Data'!O949)</f>
        <v>-0.001561036528</v>
      </c>
    </row>
    <row r="949">
      <c r="A949" s="2">
        <f>(('Historical Data'!C951)-('Historical Data'!C950))/('Historical Data'!C950)</f>
        <v>-0.0003734129948</v>
      </c>
      <c r="D949" s="2">
        <f>(('Historical Data'!L951)-('Historical Data'!L950))/('Historical Data'!L950)</f>
        <v>0.00612244898</v>
      </c>
      <c r="E949" s="2">
        <f>(('Historical Data'!O951)-('Historical Data'!O950))/('Historical Data'!O950)</f>
        <v>0.01125703565</v>
      </c>
    </row>
    <row r="950">
      <c r="A950" s="2">
        <f>(('Historical Data'!C952)-('Historical Data'!C951))/('Historical Data'!C951)</f>
        <v>0.01326111319</v>
      </c>
      <c r="D950" s="2">
        <f>(('Historical Data'!L952)-('Historical Data'!L951))/('Historical Data'!L951)</f>
        <v>-0.01521298174</v>
      </c>
      <c r="E950" s="2">
        <f>(('Historical Data'!O952)-('Historical Data'!O951))/('Historical Data'!O951)</f>
        <v>-0.007111935683</v>
      </c>
    </row>
    <row r="951">
      <c r="A951" s="2">
        <f>(('Historical Data'!C953)-('Historical Data'!C952))/('Historical Data'!C952)</f>
        <v>0.0003686635945</v>
      </c>
      <c r="D951" s="2">
        <f>(('Historical Data'!L953)-('Historical Data'!L952))/('Historical Data'!L952)</f>
        <v>0.01682114658</v>
      </c>
      <c r="E951" s="2">
        <f>(('Historical Data'!O953)-('Historical Data'!O952))/('Historical Data'!O952)</f>
        <v>-0.003737153535</v>
      </c>
    </row>
    <row r="952">
      <c r="A952" s="2">
        <f>(('Historical Data'!C954)-('Historical Data'!C953))/('Historical Data'!C953)</f>
        <v>-0.003501013451</v>
      </c>
      <c r="D952" s="2">
        <f>(('Historical Data'!L954)-('Historical Data'!L953))/('Historical Data'!L953)</f>
        <v>0.003376097232</v>
      </c>
      <c r="E952" s="2">
        <f>(('Historical Data'!O954)-('Historical Data'!O953))/('Historical Data'!O953)</f>
        <v>0</v>
      </c>
    </row>
    <row r="953">
      <c r="A953" s="2">
        <f>(('Historical Data'!C955)-('Historical Data'!C954))/('Historical Data'!C954)</f>
        <v>0.0425295858</v>
      </c>
      <c r="D953" s="2">
        <f>(('Historical Data'!L955)-('Historical Data'!L954))/('Historical Data'!L954)</f>
        <v>0.008411843876</v>
      </c>
      <c r="E953" s="2">
        <f>(('Historical Data'!O955)-('Historical Data'!O954))/('Historical Data'!O954)</f>
        <v>-0.0331353548</v>
      </c>
    </row>
    <row r="954">
      <c r="A954" s="2">
        <f>(('Historical Data'!C956)-('Historical Data'!C955))/('Historical Data'!C955)</f>
        <v>0.0003547357219</v>
      </c>
      <c r="D954" s="2">
        <f>(('Historical Data'!L956)-('Historical Data'!L955))/('Historical Data'!L955)</f>
        <v>-0.005005005005</v>
      </c>
      <c r="E954" s="2">
        <f>(('Historical Data'!O956)-('Historical Data'!O955))/('Historical Data'!O955)</f>
        <v>0.01260911736</v>
      </c>
    </row>
    <row r="955">
      <c r="A955" s="2">
        <f>(('Historical Data'!C957)-('Historical Data'!C956))/('Historical Data'!C956)</f>
        <v>0.006382978723</v>
      </c>
      <c r="D955" s="2">
        <f>(('Historical Data'!L957)-('Historical Data'!L956))/('Historical Data'!L956)</f>
        <v>0.007377598927</v>
      </c>
      <c r="E955" s="2">
        <f>(('Historical Data'!O957)-('Historical Data'!O956))/('Historical Data'!O956)</f>
        <v>0.000319284802</v>
      </c>
    </row>
    <row r="956">
      <c r="A956" s="2">
        <f>(('Historical Data'!C958)-('Historical Data'!C957))/('Historical Data'!C957)</f>
        <v>-0.002995066949</v>
      </c>
      <c r="D956" s="2">
        <f>(('Historical Data'!L958)-('Historical Data'!L957))/('Historical Data'!L957)</f>
        <v>0.01864181092</v>
      </c>
      <c r="E956" s="2">
        <f>(('Historical Data'!O958)-('Historical Data'!O957))/('Historical Data'!O957)</f>
        <v>0.004468560485</v>
      </c>
    </row>
    <row r="957">
      <c r="A957" s="2">
        <f>(('Historical Data'!C959)-('Historical Data'!C958))/('Historical Data'!C958)</f>
        <v>0.000176709666</v>
      </c>
      <c r="D957" s="2">
        <f>(('Historical Data'!L959)-('Historical Data'!L958))/('Historical Data'!L958)</f>
        <v>0.01078431373</v>
      </c>
      <c r="E957" s="2">
        <f>(('Historical Data'!O959)-('Historical Data'!O958))/('Historical Data'!O958)</f>
        <v>0.003495392437</v>
      </c>
    </row>
    <row r="958">
      <c r="A958" s="2">
        <f>(('Historical Data'!C960)-('Historical Data'!C959))/('Historical Data'!C959)</f>
        <v>-0.005653710247</v>
      </c>
      <c r="D958" s="2">
        <f>(('Historical Data'!L960)-('Historical Data'!L959))/('Historical Data'!L959)</f>
        <v>0.005172971225</v>
      </c>
      <c r="E958" s="2">
        <f>(('Historical Data'!O960)-('Historical Data'!O959))/('Historical Data'!O959)</f>
        <v>-0.008549715009</v>
      </c>
    </row>
    <row r="959">
      <c r="A959" s="2">
        <f>(('Historical Data'!C961)-('Historical Data'!C960))/('Historical Data'!C960)</f>
        <v>-0.005685856432</v>
      </c>
      <c r="D959" s="2">
        <f>(('Historical Data'!L961)-('Historical Data'!L960))/('Historical Data'!L960)</f>
        <v>-0.006111289804</v>
      </c>
      <c r="E959" s="2">
        <f>(('Historical Data'!O961)-('Historical Data'!O960))/('Historical Data'!O960)</f>
        <v>-0.0003193867774</v>
      </c>
    </row>
    <row r="960">
      <c r="A960" s="2">
        <f>(('Historical Data'!C962)-('Historical Data'!C961))/('Historical Data'!C961)</f>
        <v>-0.003931379557</v>
      </c>
      <c r="D960" s="2">
        <f>(('Historical Data'!L962)-('Historical Data'!L961))/('Historical Data'!L961)</f>
        <v>0.003236245955</v>
      </c>
      <c r="E960" s="2">
        <f>(('Historical Data'!O962)-('Historical Data'!O961))/('Historical Data'!O961)</f>
        <v>0.007028753994</v>
      </c>
    </row>
    <row r="961">
      <c r="A961" s="2">
        <f>(('Historical Data'!C963)-('Historical Data'!C962))/('Historical Data'!C962)</f>
        <v>-0.008252601363</v>
      </c>
      <c r="D961" s="2">
        <f>(('Historical Data'!L963)-('Historical Data'!L962))/('Historical Data'!L962)</f>
        <v>-0.006129032258</v>
      </c>
      <c r="E961" s="2">
        <f>(('Historical Data'!O963)-('Historical Data'!O962))/('Historical Data'!O962)</f>
        <v>-0.01491116751</v>
      </c>
    </row>
    <row r="962">
      <c r="A962" s="2">
        <f>(('Historical Data'!C964)-('Historical Data'!C963))/('Historical Data'!C963)</f>
        <v>0.007235890014</v>
      </c>
      <c r="D962" s="2">
        <f>(('Historical Data'!L964)-('Historical Data'!L963))/('Historical Data'!L963)</f>
        <v>0.0094125284</v>
      </c>
      <c r="E962" s="2">
        <f>(('Historical Data'!O964)-('Historical Data'!O963))/('Historical Data'!O963)</f>
        <v>-0.05442834138</v>
      </c>
    </row>
    <row r="963">
      <c r="A963" s="2">
        <f>(('Historical Data'!C965)-('Historical Data'!C964))/('Historical Data'!C964)</f>
        <v>-0.00161637931</v>
      </c>
      <c r="D963" s="2">
        <f>(('Historical Data'!L965)-('Historical Data'!L964))/('Historical Data'!L964)</f>
        <v>-0.0729903537</v>
      </c>
      <c r="E963" s="2">
        <f>(('Historical Data'!O965)-('Historical Data'!O964))/('Historical Data'!O964)</f>
        <v>-0.01158038147</v>
      </c>
    </row>
    <row r="964">
      <c r="A964" s="2">
        <f>(('Historical Data'!C966)-('Historical Data'!C965))/('Historical Data'!C965)</f>
        <v>-0.01475085447</v>
      </c>
      <c r="D964" s="2">
        <f>(('Historical Data'!L966)-('Historical Data'!L965))/('Historical Data'!L965)</f>
        <v>-0.02670828998</v>
      </c>
      <c r="E964" s="2">
        <f>(('Historical Data'!O966)-('Historical Data'!O965))/('Historical Data'!O965)</f>
        <v>0.01171605789</v>
      </c>
    </row>
    <row r="965">
      <c r="A965" s="2">
        <f>(('Historical Data'!C967)-('Historical Data'!C966))/('Historical Data'!C966)</f>
        <v>0.01332846449</v>
      </c>
      <c r="D965" s="2">
        <f>(('Historical Data'!L967)-('Historical Data'!L966))/('Historical Data'!L966)</f>
        <v>-0.02815395581</v>
      </c>
      <c r="E965" s="2">
        <f>(('Historical Data'!O967)-('Historical Data'!O966))/('Historical Data'!O966)</f>
        <v>-0.004427792916</v>
      </c>
    </row>
    <row r="966">
      <c r="A966" s="2">
        <f>(('Historical Data'!C968)-('Historical Data'!C967))/('Historical Data'!C967)</f>
        <v>0.005945945946</v>
      </c>
      <c r="D966" s="2">
        <f>(('Historical Data'!L968)-('Historical Data'!L967))/('Historical Data'!L967)</f>
        <v>-0.01613494683</v>
      </c>
      <c r="E966" s="2">
        <f>(('Historical Data'!O968)-('Historical Data'!O967))/('Historical Data'!O967)</f>
        <v>0.01710571331</v>
      </c>
    </row>
    <row r="967">
      <c r="A967" s="2">
        <f>(('Historical Data'!C969)-('Historical Data'!C968))/('Historical Data'!C968)</f>
        <v>0.005910800645</v>
      </c>
      <c r="D967" s="2">
        <f>(('Historical Data'!L969)-('Historical Data'!L968))/('Historical Data'!L968)</f>
        <v>-0.0048453224</v>
      </c>
      <c r="E967" s="2">
        <f>(('Historical Data'!O969)-('Historical Data'!O968))/('Historical Data'!O968)</f>
        <v>0.007736293306</v>
      </c>
    </row>
    <row r="968">
      <c r="A968" s="2">
        <f>(('Historical Data'!C970)-('Historical Data'!C969))/('Historical Data'!C969)</f>
        <v>0.03044871795</v>
      </c>
      <c r="D968" s="2">
        <f>(('Historical Data'!L970)-('Historical Data'!L969))/('Historical Data'!L969)</f>
        <v>0.0191011236</v>
      </c>
      <c r="E968" s="2">
        <f>(('Historical Data'!O970)-('Historical Data'!O969))/('Historical Data'!O969)</f>
        <v>0.006675567423</v>
      </c>
    </row>
    <row r="969">
      <c r="A969" s="2">
        <f>(('Historical Data'!C971)-('Historical Data'!C970))/('Historical Data'!C970)</f>
        <v>0.003628823224</v>
      </c>
      <c r="D969" s="2">
        <f>(('Historical Data'!L971)-('Historical Data'!L970))/('Historical Data'!L970)</f>
        <v>0.007350238883</v>
      </c>
      <c r="E969" s="2">
        <f>(('Historical Data'!O971)-('Historical Data'!O970))/('Historical Data'!O970)</f>
        <v>0.004310344828</v>
      </c>
    </row>
    <row r="970">
      <c r="A970" s="2">
        <f>(('Historical Data'!C972)-('Historical Data'!C971))/('Historical Data'!C971)</f>
        <v>-0.0003443526171</v>
      </c>
      <c r="D970" s="2">
        <f>(('Historical Data'!L972)-('Historical Data'!L971))/('Historical Data'!L971)</f>
        <v>0.0007296607078</v>
      </c>
      <c r="E970" s="2">
        <f>(('Historical Data'!O972)-('Historical Data'!O971))/('Historical Data'!O971)</f>
        <v>-0.0448993067</v>
      </c>
    </row>
    <row r="971">
      <c r="A971" s="2">
        <f>(('Historical Data'!C973)-('Historical Data'!C972))/('Historical Data'!C972)</f>
        <v>0.009817430245</v>
      </c>
      <c r="D971" s="2">
        <f>(('Historical Data'!L973)-('Historical Data'!L972))/('Historical Data'!L972)</f>
        <v>-0.001822821728</v>
      </c>
      <c r="E971" s="2">
        <f>(('Historical Data'!O973)-('Historical Data'!O972))/('Historical Data'!O972)</f>
        <v>-0.0003456619426</v>
      </c>
    </row>
    <row r="972">
      <c r="A972" s="2">
        <f>(('Historical Data'!C974)-('Historical Data'!C973))/('Historical Data'!C973)</f>
        <v>0.001364489169</v>
      </c>
      <c r="D972" s="2">
        <f>(('Historical Data'!L974)-('Historical Data'!L973))/('Historical Data'!L973)</f>
        <v>-0.004017531045</v>
      </c>
      <c r="E972" s="2">
        <f>(('Historical Data'!O974)-('Historical Data'!O973))/('Historical Data'!O973)</f>
        <v>-0.02627939142</v>
      </c>
    </row>
    <row r="973">
      <c r="A973" s="2">
        <f>(('Historical Data'!C975)-('Historical Data'!C974))/('Historical Data'!C974)</f>
        <v>0.00800545052</v>
      </c>
      <c r="D973" s="2">
        <f>(('Historical Data'!L975)-('Historical Data'!L974))/('Historical Data'!L974)</f>
        <v>-0.0267693436</v>
      </c>
      <c r="E973" s="2">
        <f>(('Historical Data'!O975)-('Historical Data'!O974))/('Historical Data'!O974)</f>
        <v>0.01455965909</v>
      </c>
    </row>
    <row r="974">
      <c r="A974" s="2">
        <f>(('Historical Data'!C976)-('Historical Data'!C975))/('Historical Data'!C975)</f>
        <v>-0.02129097668</v>
      </c>
      <c r="D974" s="2">
        <f>(('Historical Data'!L976)-('Historical Data'!L975))/('Historical Data'!L975)</f>
        <v>0.02750565185</v>
      </c>
      <c r="E974" s="2">
        <f>(('Historical Data'!O976)-('Historical Data'!O975))/('Historical Data'!O975)</f>
        <v>0.01680084004</v>
      </c>
    </row>
    <row r="975">
      <c r="A975" s="2">
        <f>(('Historical Data'!C977)-('Historical Data'!C976))/('Historical Data'!C976)</f>
        <v>-0.00794198895</v>
      </c>
      <c r="D975" s="2">
        <f>(('Historical Data'!L977)-('Historical Data'!L976))/('Historical Data'!L976)</f>
        <v>-0.01246791346</v>
      </c>
      <c r="E975" s="2">
        <f>(('Historical Data'!O977)-('Historical Data'!O976))/('Historical Data'!O976)</f>
        <v>-0.002409638554</v>
      </c>
    </row>
    <row r="976">
      <c r="A976" s="2">
        <f>(('Historical Data'!C978)-('Historical Data'!C977))/('Historical Data'!C977)</f>
        <v>-0.00261051166</v>
      </c>
      <c r="D976" s="2">
        <f>(('Historical Data'!L978)-('Historical Data'!L977))/('Historical Data'!L977)</f>
        <v>0.01373932417</v>
      </c>
      <c r="E976" s="2">
        <f>(('Historical Data'!O978)-('Historical Data'!O977))/('Historical Data'!O977)</f>
        <v>0.01518288475</v>
      </c>
    </row>
    <row r="977">
      <c r="A977" s="2">
        <f>(('Historical Data'!C979)-('Historical Data'!C978))/('Historical Data'!C978)</f>
        <v>-0.005234688536</v>
      </c>
      <c r="D977" s="2">
        <f>(('Historical Data'!L979)-('Historical Data'!L978))/('Historical Data'!L978)</f>
        <v>0.008058608059</v>
      </c>
      <c r="E977" s="2">
        <f>(('Historical Data'!O979)-('Historical Data'!O978))/('Historical Data'!O978)</f>
        <v>-0.01121685928</v>
      </c>
    </row>
    <row r="978">
      <c r="A978" s="2">
        <f>(('Historical Data'!C980)-('Historical Data'!C979))/('Historical Data'!C979)</f>
        <v>0.008594983336</v>
      </c>
      <c r="D978" s="2">
        <f>(('Historical Data'!L980)-('Historical Data'!L979))/('Historical Data'!L979)</f>
        <v>0.0261627907</v>
      </c>
      <c r="E978" s="2">
        <f>(('Historical Data'!O980)-('Historical Data'!O979))/('Historical Data'!O979)</f>
        <v>-0.0003437607425</v>
      </c>
    </row>
    <row r="979">
      <c r="A979" s="2">
        <f>(('Historical Data'!C981)-('Historical Data'!C980))/('Historical Data'!C980)</f>
        <v>0.001043478261</v>
      </c>
      <c r="D979" s="2">
        <f>(('Historical Data'!L981)-('Historical Data'!L980))/('Historical Data'!L980)</f>
        <v>-0.004249291785</v>
      </c>
      <c r="E979" s="2">
        <f>(('Historical Data'!O981)-('Historical Data'!O980))/('Historical Data'!O980)</f>
        <v>0.015130674</v>
      </c>
    </row>
    <row r="980">
      <c r="A980" s="2">
        <f>(('Historical Data'!C982)-('Historical Data'!C981))/('Historical Data'!C981)</f>
        <v>0.01719944406</v>
      </c>
      <c r="D980" s="2">
        <f>(('Historical Data'!L982)-('Historical Data'!L981))/('Historical Data'!L981)</f>
        <v>-0.01635846373</v>
      </c>
      <c r="E980" s="2">
        <f>(('Historical Data'!O982)-('Historical Data'!O981))/('Historical Data'!O981)</f>
        <v>0.006775067751</v>
      </c>
    </row>
    <row r="981">
      <c r="A981" s="2">
        <f>(('Historical Data'!C983)-('Historical Data'!C982))/('Historical Data'!C982)</f>
        <v>0.003245089667</v>
      </c>
      <c r="D981" s="2">
        <f>(('Historical Data'!L983)-('Historical Data'!L982))/('Historical Data'!L982)</f>
        <v>0.001807664497</v>
      </c>
      <c r="E981" s="2">
        <f>(('Historical Data'!O983)-('Historical Data'!O982))/('Historical Data'!O982)</f>
        <v>-0.0134589502</v>
      </c>
    </row>
    <row r="982">
      <c r="A982" s="2">
        <f>(('Historical Data'!C984)-('Historical Data'!C983))/('Historical Data'!C983)</f>
        <v>0.01447054818</v>
      </c>
      <c r="D982" s="2">
        <f>(('Historical Data'!L984)-('Historical Data'!L983))/('Historical Data'!L983)</f>
        <v>-0.007217610971</v>
      </c>
      <c r="E982" s="2">
        <f>(('Historical Data'!O984)-('Historical Data'!O983))/('Historical Data'!O983)</f>
        <v>-0.01227830832</v>
      </c>
    </row>
    <row r="983">
      <c r="A983" s="2">
        <f>(('Historical Data'!C985)-('Historical Data'!C984))/('Historical Data'!C984)</f>
        <v>-0.005034401745</v>
      </c>
      <c r="D983" s="2">
        <f>(('Historical Data'!L985)-('Historical Data'!L984))/('Historical Data'!L984)</f>
        <v>-0.01090512541</v>
      </c>
      <c r="E983" s="2">
        <f>(('Historical Data'!O985)-('Historical Data'!O984))/('Historical Data'!O984)</f>
        <v>0.005870165746</v>
      </c>
    </row>
    <row r="984">
      <c r="A984" s="2">
        <f>(('Historical Data'!C986)-('Historical Data'!C985))/('Historical Data'!C985)</f>
        <v>-0.001349300051</v>
      </c>
      <c r="D984" s="2">
        <f>(('Historical Data'!L986)-('Historical Data'!L985))/('Historical Data'!L985)</f>
        <v>0.00441014333</v>
      </c>
      <c r="E984" s="2">
        <f>(('Historical Data'!O986)-('Historical Data'!O985))/('Historical Data'!O985)</f>
        <v>0.006179196704</v>
      </c>
    </row>
    <row r="985">
      <c r="A985" s="2">
        <f>(('Historical Data'!C987)-('Historical Data'!C986))/('Historical Data'!C986)</f>
        <v>0.003715588583</v>
      </c>
      <c r="D985" s="2">
        <f>(('Historical Data'!L987)-('Historical Data'!L986))/('Historical Data'!L986)</f>
        <v>-0.02268569338</v>
      </c>
      <c r="E985" s="2">
        <f>(('Historical Data'!O987)-('Historical Data'!O986))/('Historical Data'!O986)</f>
        <v>-0.0109177755</v>
      </c>
    </row>
    <row r="986">
      <c r="A986" s="2">
        <f>(('Historical Data'!C988)-('Historical Data'!C987))/('Historical Data'!C987)</f>
        <v>0.0008413259297</v>
      </c>
      <c r="D986" s="2">
        <f>(('Historical Data'!L988)-('Historical Data'!L987))/('Historical Data'!L987)</f>
        <v>-0.004492699364</v>
      </c>
      <c r="E986" s="2">
        <f>(('Historical Data'!O988)-('Historical Data'!O987))/('Historical Data'!O987)</f>
        <v>0.01586754053</v>
      </c>
    </row>
    <row r="987">
      <c r="A987" s="2">
        <f>(('Historical Data'!C989)-('Historical Data'!C988))/('Historical Data'!C988)</f>
        <v>0.002353732347</v>
      </c>
      <c r="D987" s="2">
        <f>(('Historical Data'!L989)-('Historical Data'!L988))/('Historical Data'!L988)</f>
        <v>0.001504324934</v>
      </c>
      <c r="E987" s="2">
        <f>(('Historical Data'!O989)-('Historical Data'!O988))/('Historical Data'!O988)</f>
        <v>-0.01086587436</v>
      </c>
    </row>
    <row r="988">
      <c r="A988" s="2">
        <f>(('Historical Data'!C990)-('Historical Data'!C989))/('Historical Data'!C989)</f>
        <v>0.006709158001</v>
      </c>
      <c r="D988" s="2">
        <f>(('Historical Data'!L990)-('Historical Data'!L989))/('Historical Data'!L989)</f>
        <v>-0.00375516335</v>
      </c>
      <c r="E988" s="2">
        <f>(('Historical Data'!O990)-('Historical Data'!O989))/('Historical Data'!O989)</f>
        <v>0.0003432887058</v>
      </c>
    </row>
    <row r="989">
      <c r="A989" s="2">
        <f>(('Historical Data'!C991)-('Historical Data'!C990))/('Historical Data'!C990)</f>
        <v>-0.002165944685</v>
      </c>
      <c r="D989" s="2">
        <f>(('Historical Data'!L991)-('Historical Data'!L990))/('Historical Data'!L990)</f>
        <v>-0.004523181304</v>
      </c>
      <c r="E989" s="2">
        <f>(('Historical Data'!O991)-('Historical Data'!O990))/('Historical Data'!O990)</f>
        <v>-0.01509951956</v>
      </c>
    </row>
    <row r="990">
      <c r="A990" s="2">
        <f>(('Historical Data'!C992)-('Historical Data'!C991))/('Historical Data'!C991)</f>
        <v>-0.01569544164</v>
      </c>
      <c r="D990" s="2">
        <f>(('Historical Data'!L992)-('Historical Data'!L991))/('Historical Data'!L991)</f>
        <v>0.002271866717</v>
      </c>
      <c r="E990" s="2">
        <f>(('Historical Data'!O992)-('Historical Data'!O991))/('Historical Data'!O991)</f>
        <v>0.04843205575</v>
      </c>
    </row>
    <row r="991">
      <c r="A991" s="2">
        <f>(('Historical Data'!C993)-('Historical Data'!C992))/('Historical Data'!C992)</f>
        <v>-0.003901611535</v>
      </c>
      <c r="D991" s="2">
        <f>(('Historical Data'!L993)-('Historical Data'!L992))/('Historical Data'!L992)</f>
        <v>0.001133358519</v>
      </c>
      <c r="E991" s="2">
        <f>(('Historical Data'!O993)-('Historical Data'!O992))/('Historical Data'!O992)</f>
        <v>0.0003323363244</v>
      </c>
    </row>
    <row r="992">
      <c r="A992" s="2">
        <f>(('Historical Data'!C994)-('Historical Data'!C993))/('Historical Data'!C993)</f>
        <v>-0.002213896458</v>
      </c>
      <c r="D992" s="2">
        <f>(('Historical Data'!L994)-('Historical Data'!L993))/('Historical Data'!L993)</f>
        <v>0.01245283019</v>
      </c>
      <c r="E992" s="2">
        <f>(('Historical Data'!O994)-('Historical Data'!O993))/('Historical Data'!O993)</f>
        <v>0.007641196013</v>
      </c>
    </row>
    <row r="993">
      <c r="A993" s="2">
        <f>(('Historical Data'!C995)-('Historical Data'!C994))/('Historical Data'!C994)</f>
        <v>0.004437617341</v>
      </c>
      <c r="D993" s="2">
        <f>(('Historical Data'!L995)-('Historical Data'!L994))/('Historical Data'!L994)</f>
        <v>-0.01080879612</v>
      </c>
      <c r="E993" s="2">
        <f>(('Historical Data'!O995)-('Historical Data'!O994))/('Historical Data'!O994)</f>
        <v>-0.005934718101</v>
      </c>
    </row>
    <row r="994">
      <c r="A994" s="2">
        <f>(('Historical Data'!C996)-('Historical Data'!C995))/('Historical Data'!C995)</f>
        <v>-0.003908241291</v>
      </c>
      <c r="D994" s="2">
        <f>(('Historical Data'!L996)-('Historical Data'!L995))/('Historical Data'!L995)</f>
        <v>0.003014318011</v>
      </c>
      <c r="E994" s="2">
        <f>(('Historical Data'!O996)-('Historical Data'!O995))/('Historical Data'!O995)</f>
        <v>-0.005638474295</v>
      </c>
    </row>
    <row r="995">
      <c r="A995" s="2">
        <f>(('Historical Data'!C997)-('Historical Data'!C996))/('Historical Data'!C996)</f>
        <v>-0.00460593654</v>
      </c>
      <c r="D995" s="2">
        <f>(('Historical Data'!L997)-('Historical Data'!L996))/('Historical Data'!L996)</f>
        <v>-0.005634861007</v>
      </c>
      <c r="E995" s="2">
        <f>(('Historical Data'!O997)-('Historical Data'!O996))/('Historical Data'!O996)</f>
        <v>-0.03435623749</v>
      </c>
    </row>
    <row r="996">
      <c r="A996" s="2">
        <f>(('Historical Data'!C998)-('Historical Data'!C997))/('Historical Data'!C997)</f>
        <v>0.002913453299</v>
      </c>
      <c r="D996" s="2">
        <f>(('Historical Data'!L998)-('Historical Data'!L997))/('Historical Data'!L997)</f>
        <v>0.02417831507</v>
      </c>
      <c r="E996" s="2">
        <f>(('Historical Data'!O998)-('Historical Data'!O997))/('Historical Data'!O997)</f>
        <v>0.004490500864</v>
      </c>
    </row>
    <row r="997">
      <c r="A997" s="2">
        <f>(('Historical Data'!C999)-('Historical Data'!C998))/('Historical Data'!C998)</f>
        <v>-0.01691729323</v>
      </c>
      <c r="D997" s="2">
        <f>(('Historical Data'!L999)-('Historical Data'!L998))/('Historical Data'!L998)</f>
        <v>0.01438583549</v>
      </c>
      <c r="E997" s="2">
        <f>(('Historical Data'!O999)-('Historical Data'!O998))/('Historical Data'!O998)</f>
        <v>-0.01856946355</v>
      </c>
    </row>
    <row r="998">
      <c r="A998" s="2">
        <f>(('Historical Data'!C1000)-('Historical Data'!C999))/('Historical Data'!C999)</f>
        <v>0.001738223536</v>
      </c>
      <c r="D998" s="2">
        <f>(('Historical Data'!L1000)-('Historical Data'!L999))/('Historical Data'!L999)</f>
        <v>0.006909090909</v>
      </c>
      <c r="E998" s="2">
        <f>(('Historical Data'!O1000)-('Historical Data'!O999))/('Historical Data'!O999)</f>
        <v>-0.004555010512</v>
      </c>
    </row>
    <row r="999">
      <c r="A999" s="2">
        <f>(('Historical Data'!C1001)-('Historical Data'!C1000))/('Historical Data'!C1000)</f>
        <v>0.01544334548</v>
      </c>
      <c r="D999" s="2">
        <f>(('Historical Data'!L1001)-('Historical Data'!L1000))/('Historical Data'!L1000)</f>
        <v>0</v>
      </c>
      <c r="E999" s="2">
        <f>(('Historical Data'!O1001)-('Historical Data'!O1000))/('Historical Data'!O1000)</f>
        <v>0.006687785991</v>
      </c>
    </row>
    <row r="1000">
      <c r="A1000" s="2">
        <f>(('Historical Data'!C1002)-('Historical Data'!C1001))/('Historical Data'!C1001)</f>
        <v>0.007860560492</v>
      </c>
      <c r="D1000" s="2">
        <f>(('Historical Data'!L1002)-('Historical Data'!L1001))/('Historical Data'!L1001)</f>
        <v>-0.02094618996</v>
      </c>
      <c r="E1000" s="2">
        <f>(('Historical Data'!O1002)-('Historical Data'!O1001))/('Historical Data'!O1001)</f>
        <v>0.005244755245</v>
      </c>
    </row>
    <row r="1001">
      <c r="A1001" s="2">
        <f>(('Historical Data'!C1003)-('Historical Data'!C1002))/('Historical Data'!C1002)</f>
        <v>0.01475076297</v>
      </c>
      <c r="D1001" s="2">
        <f>(('Historical Data'!L1003)-('Historical Data'!L1002))/('Historical Data'!L1002)</f>
        <v>0.0110660273</v>
      </c>
      <c r="E1001" s="2">
        <f>(('Historical Data'!O1003)-('Historical Data'!O1002))/('Historical Data'!O1002)</f>
        <v>0.001391304348</v>
      </c>
    </row>
    <row r="1002">
      <c r="A1002" s="2">
        <f>(('Historical Data'!C1004)-('Historical Data'!C1003))/('Historical Data'!C1003)</f>
        <v>0.002172096909</v>
      </c>
      <c r="D1002" s="2">
        <f>(('Historical Data'!L1004)-('Historical Data'!L1003))/('Historical Data'!L1003)</f>
        <v>-0.009485589201</v>
      </c>
      <c r="E1002" s="2">
        <f>(('Historical Data'!O1004)-('Historical Data'!O1003))/('Historical Data'!O1003)</f>
        <v>0.002084056964</v>
      </c>
    </row>
    <row r="1003">
      <c r="A1003" s="2">
        <f>(('Historical Data'!C1005)-('Historical Data'!C1004))/('Historical Data'!C1004)</f>
        <v>-0.006168722908</v>
      </c>
      <c r="D1003" s="2">
        <f>(('Historical Data'!L1005)-('Historical Data'!L1004))/('Historical Data'!L1004)</f>
        <v>-0.001841620626</v>
      </c>
      <c r="E1003" s="2">
        <f>(('Historical Data'!O1005)-('Historical Data'!O1004))/('Historical Data'!O1004)</f>
        <v>0.003812824957</v>
      </c>
    </row>
    <row r="1004">
      <c r="A1004" s="2">
        <f>(('Historical Data'!C1006)-('Historical Data'!C1005))/('Historical Data'!C1005)</f>
        <v>-0.007045797685</v>
      </c>
      <c r="D1004" s="2">
        <f>(('Historical Data'!L1006)-('Historical Data'!L1005))/('Historical Data'!L1005)</f>
        <v>-0.00442804428</v>
      </c>
      <c r="E1004" s="2">
        <f>(('Historical Data'!O1006)-('Historical Data'!O1005))/('Historical Data'!O1005)</f>
        <v>0.004488950276</v>
      </c>
    </row>
    <row r="1005">
      <c r="A1005" s="2">
        <f>(('Historical Data'!C1007)-('Historical Data'!C1006))/('Historical Data'!C1006)</f>
        <v>0.0001689474573</v>
      </c>
      <c r="D1005" s="2">
        <f>(('Historical Data'!L1007)-('Historical Data'!L1006))/('Historical Data'!L1006)</f>
        <v>0.004818383988</v>
      </c>
      <c r="E1005" s="2">
        <f>(('Historical Data'!O1007)-('Historical Data'!O1006))/('Historical Data'!O1006)</f>
        <v>0.0161567549</v>
      </c>
    </row>
    <row r="1006">
      <c r="A1006" s="2">
        <f>(('Historical Data'!C1008)-('Historical Data'!C1007))/('Historical Data'!C1007)</f>
        <v>-0.001689189189</v>
      </c>
      <c r="D1006" s="2">
        <f>(('Historical Data'!L1008)-('Historical Data'!L1007))/('Historical Data'!L1007)</f>
        <v>0.002582073036</v>
      </c>
      <c r="E1006" s="2">
        <f>(('Historical Data'!O1008)-('Historical Data'!O1007))/('Historical Data'!O1007)</f>
        <v>0.01251691475</v>
      </c>
    </row>
    <row r="1007">
      <c r="A1007" s="2">
        <f>(('Historical Data'!C1009)-('Historical Data'!C1008))/('Historical Data'!C1008)</f>
        <v>-0.004060913706</v>
      </c>
      <c r="D1007" s="2">
        <f>(('Historical Data'!L1009)-('Historical Data'!L1008))/('Historical Data'!L1008)</f>
        <v>0.001103752759</v>
      </c>
      <c r="E1007" s="2">
        <f>(('Historical Data'!O1009)-('Historical Data'!O1008))/('Historical Data'!O1008)</f>
        <v>0.01804209823</v>
      </c>
    </row>
    <row r="1008">
      <c r="A1008" s="2">
        <f>(('Historical Data'!C1010)-('Historical Data'!C1009))/('Historical Data'!C1009)</f>
        <v>-0.001529051988</v>
      </c>
      <c r="D1008" s="2">
        <f>(('Historical Data'!L1010)-('Historical Data'!L1009))/('Historical Data'!L1009)</f>
        <v>0.006615214994</v>
      </c>
      <c r="E1008" s="2">
        <f>(('Historical Data'!O1010)-('Historical Data'!O1009))/('Historical Data'!O1009)</f>
        <v>0.01805054152</v>
      </c>
    </row>
    <row r="1009">
      <c r="A1009" s="2">
        <f>(('Historical Data'!C1011)-('Historical Data'!C1010))/('Historical Data'!C1010)</f>
        <v>0.002722477454</v>
      </c>
      <c r="D1009" s="2">
        <f>(('Historical Data'!L1011)-('Historical Data'!L1010))/('Historical Data'!L1010)</f>
        <v>0.004746257758</v>
      </c>
      <c r="E1009" s="2">
        <f>(('Historical Data'!O1011)-('Historical Data'!O1010))/('Historical Data'!O1010)</f>
        <v>0.02611218569</v>
      </c>
    </row>
    <row r="1010">
      <c r="A1010" s="2">
        <f>(('Historical Data'!C1012)-('Historical Data'!C1011))/('Historical Data'!C1011)</f>
        <v>0.00458170711</v>
      </c>
      <c r="D1010" s="2">
        <f>(('Historical Data'!L1012)-('Historical Data'!L1011))/('Historical Data'!L1011)</f>
        <v>-0.01235465116</v>
      </c>
      <c r="E1010" s="2">
        <f>(('Historical Data'!O1012)-('Historical Data'!O1011))/('Historical Data'!O1011)</f>
        <v>-0.02230600063</v>
      </c>
    </row>
    <row r="1011">
      <c r="A1011" s="2">
        <f>(('Historical Data'!C1013)-('Historical Data'!C1012))/('Historical Data'!C1012)</f>
        <v>-0.00777027027</v>
      </c>
      <c r="D1011" s="2">
        <f>(('Historical Data'!L1013)-('Historical Data'!L1012))/('Historical Data'!L1012)</f>
        <v>0.02575423105</v>
      </c>
      <c r="E1011" s="2">
        <f>(('Historical Data'!O1013)-('Historical Data'!O1012))/('Historical Data'!O1012)</f>
        <v>0.005462724936</v>
      </c>
    </row>
    <row r="1012">
      <c r="A1012" s="2">
        <f>(('Historical Data'!C1014)-('Historical Data'!C1013))/('Historical Data'!C1013)</f>
        <v>0.0003404834866</v>
      </c>
      <c r="D1012" s="2">
        <f>(('Historical Data'!L1014)-('Historical Data'!L1013))/('Historical Data'!L1013)</f>
        <v>-0.007532281205</v>
      </c>
      <c r="E1012" s="2">
        <f>(('Historical Data'!O1014)-('Historical Data'!O1013))/('Historical Data'!O1013)</f>
        <v>-0.002237136465</v>
      </c>
    </row>
    <row r="1013">
      <c r="A1013" s="2">
        <f>(('Historical Data'!C1015)-('Historical Data'!C1014))/('Historical Data'!C1014)</f>
        <v>0.009700476515</v>
      </c>
      <c r="D1013" s="2">
        <f>(('Historical Data'!L1015)-('Historical Data'!L1014))/('Historical Data'!L1014)</f>
        <v>-0.02674376581</v>
      </c>
      <c r="E1013" s="2">
        <f>(('Historical Data'!O1015)-('Historical Data'!O1014))/('Historical Data'!O1014)</f>
        <v>-0.004163997438</v>
      </c>
    </row>
    <row r="1014">
      <c r="A1014" s="2">
        <f>(('Historical Data'!C1016)-('Historical Data'!C1015))/('Historical Data'!C1015)</f>
        <v>0.01095567167</v>
      </c>
      <c r="D1014" s="2">
        <f>(('Historical Data'!L1016)-('Historical Data'!L1015))/('Historical Data'!L1015)</f>
        <v>0.0007426661716</v>
      </c>
      <c r="E1014" s="2">
        <f>(('Historical Data'!O1016)-('Historical Data'!O1015))/('Historical Data'!O1015)</f>
        <v>0.006754583467</v>
      </c>
    </row>
    <row r="1015">
      <c r="A1015" s="2">
        <f>(('Historical Data'!C1017)-('Historical Data'!C1016))/('Historical Data'!C1016)</f>
        <v>-0.002667555852</v>
      </c>
      <c r="D1015" s="2">
        <f>(('Historical Data'!L1017)-('Historical Data'!L1016))/('Historical Data'!L1016)</f>
        <v>-0.01892393321</v>
      </c>
      <c r="E1015" s="2">
        <f>(('Historical Data'!O1017)-('Historical Data'!O1016))/('Historical Data'!O1016)</f>
        <v>0.01533546326</v>
      </c>
    </row>
    <row r="1016">
      <c r="A1016" s="2">
        <f>(('Historical Data'!C1018)-('Historical Data'!C1017))/('Historical Data'!C1017)</f>
        <v>0.006853895018</v>
      </c>
      <c r="D1016" s="2">
        <f>(('Historical Data'!L1018)-('Historical Data'!L1017))/('Historical Data'!L1017)</f>
        <v>0.00567322239</v>
      </c>
      <c r="E1016" s="2">
        <f>(('Historical Data'!O1018)-('Historical Data'!O1017))/('Historical Data'!O1017)</f>
        <v>-0.002831969792</v>
      </c>
    </row>
    <row r="1017">
      <c r="A1017" s="2">
        <f>(('Historical Data'!C1019)-('Historical Data'!C1018))/('Historical Data'!C1018)</f>
        <v>0.0132824174</v>
      </c>
      <c r="D1017" s="2">
        <f>(('Historical Data'!L1019)-('Historical Data'!L1018))/('Historical Data'!L1018)</f>
        <v>0.008273787138</v>
      </c>
      <c r="E1017" s="2">
        <f>(('Historical Data'!O1019)-('Historical Data'!O1018))/('Historical Data'!O1018)</f>
        <v>-0.005364468287</v>
      </c>
    </row>
    <row r="1018">
      <c r="A1018" s="2">
        <f>(('Historical Data'!C1020)-('Historical Data'!C1019))/('Historical Data'!C1019)</f>
        <v>0.009831230542</v>
      </c>
      <c r="D1018" s="2">
        <f>(('Historical Data'!L1020)-('Historical Data'!L1019))/('Historical Data'!L1019)</f>
        <v>0.06527415144</v>
      </c>
      <c r="E1018" s="2">
        <f>(('Historical Data'!O1020)-('Historical Data'!O1019))/('Historical Data'!O1019)</f>
        <v>-0.01237309645</v>
      </c>
    </row>
    <row r="1019">
      <c r="A1019" s="2">
        <f>(('Historical Data'!C1021)-('Historical Data'!C1020))/('Historical Data'!C1020)</f>
        <v>0.009735518416</v>
      </c>
      <c r="D1019" s="2">
        <f>(('Historical Data'!L1021)-('Historical Data'!L1020))/('Historical Data'!L1020)</f>
        <v>0.002450980392</v>
      </c>
      <c r="E1019" s="2">
        <f>(('Historical Data'!O1021)-('Historical Data'!O1020))/('Historical Data'!O1020)</f>
        <v>0.01156440732</v>
      </c>
    </row>
    <row r="1020">
      <c r="A1020" s="2">
        <f>(('Historical Data'!C1022)-('Historical Data'!C1021))/('Historical Data'!C1021)</f>
        <v>0</v>
      </c>
      <c r="D1020" s="2">
        <f>(('Historical Data'!L1022)-('Historical Data'!L1021))/('Historical Data'!L1021)</f>
        <v>0.02235417394</v>
      </c>
      <c r="E1020" s="2">
        <f>(('Historical Data'!O1022)-('Historical Data'!O1021))/('Historical Data'!O1021)</f>
        <v>-0.001270244522</v>
      </c>
    </row>
    <row r="1021">
      <c r="A1021" s="2">
        <f>(('Historical Data'!C1023)-('Historical Data'!C1022))/('Historical Data'!C1022)</f>
        <v>-0.05061867267</v>
      </c>
      <c r="D1021" s="2">
        <f>(('Historical Data'!L1023)-('Historical Data'!L1022))/('Historical Data'!L1022)</f>
        <v>0.002049880424</v>
      </c>
      <c r="E1021" s="2">
        <f>(('Historical Data'!O1023)-('Historical Data'!O1022))/('Historical Data'!O1022)</f>
        <v>0</v>
      </c>
    </row>
    <row r="1022">
      <c r="A1022" s="2">
        <f>(('Historical Data'!C1024)-('Historical Data'!C1023))/('Historical Data'!C1023)</f>
        <v>0.005924170616</v>
      </c>
      <c r="D1022" s="2">
        <f>(('Historical Data'!L1024)-('Historical Data'!L1023))/('Historical Data'!L1023)</f>
        <v>0.03989089669</v>
      </c>
      <c r="E1022" s="2">
        <f>(('Historical Data'!O1024)-('Historical Data'!O1023))/('Historical Data'!O1023)</f>
        <v>-0.009220985692</v>
      </c>
    </row>
    <row r="1023">
      <c r="A1023" s="2">
        <f>(('Historical Data'!C1025)-('Historical Data'!C1024))/('Historical Data'!C1024)</f>
        <v>0.002019182231</v>
      </c>
      <c r="D1023" s="2">
        <f>(('Historical Data'!L1025)-('Historical Data'!L1024))/('Historical Data'!L1024)</f>
        <v>0.01147540984</v>
      </c>
      <c r="E1023" s="2">
        <f>(('Historical Data'!O1025)-('Historical Data'!O1024))/('Historical Data'!O1024)</f>
        <v>-0.0009627727856</v>
      </c>
    </row>
    <row r="1024">
      <c r="A1024" s="2">
        <f>(('Historical Data'!C1026)-('Historical Data'!C1025))/('Historical Data'!C1025)</f>
        <v>0.01544920235</v>
      </c>
      <c r="D1024" s="2">
        <f>(('Historical Data'!L1026)-('Historical Data'!L1025))/('Historical Data'!L1025)</f>
        <v>0.01361426256</v>
      </c>
      <c r="E1024" s="2">
        <f>(('Historical Data'!O1026)-('Historical Data'!O1025))/('Historical Data'!O1025)</f>
        <v>0.01541920977</v>
      </c>
    </row>
    <row r="1025">
      <c r="A1025" s="2">
        <f>(('Historical Data'!C1027)-('Historical Data'!C1026))/('Historical Data'!C1026)</f>
        <v>0.00214982636</v>
      </c>
      <c r="D1025" s="2">
        <f>(('Historical Data'!L1027)-('Historical Data'!L1026))/('Historical Data'!L1026)</f>
        <v>-0.01151263192</v>
      </c>
      <c r="E1025" s="2">
        <f>(('Historical Data'!O1027)-('Historical Data'!O1026))/('Historical Data'!O1026)</f>
        <v>-0.0173995571</v>
      </c>
    </row>
    <row r="1026">
      <c r="A1026" s="2">
        <f>(('Historical Data'!C1028)-('Historical Data'!C1027))/('Historical Data'!C1027)</f>
        <v>0.007260726073</v>
      </c>
      <c r="D1026" s="2">
        <f>(('Historical Data'!L1028)-('Historical Data'!L1027))/('Historical Data'!L1027)</f>
        <v>-0.008411517308</v>
      </c>
      <c r="E1026" s="2">
        <f>(('Historical Data'!O1028)-('Historical Data'!O1027))/('Historical Data'!O1027)</f>
        <v>-0.006117192531</v>
      </c>
    </row>
    <row r="1027">
      <c r="A1027" s="2">
        <f>(('Historical Data'!C1029)-('Historical Data'!C1028))/('Historical Data'!C1028)</f>
        <v>0.004914809961</v>
      </c>
      <c r="D1027" s="2">
        <f>(('Historical Data'!L1029)-('Historical Data'!L1028))/('Historical Data'!L1028)</f>
        <v>0.004567699837</v>
      </c>
      <c r="E1027" s="2">
        <f>(('Historical Data'!O1029)-('Historical Data'!O1028))/('Historical Data'!O1028)</f>
        <v>0.02494331066</v>
      </c>
    </row>
    <row r="1028">
      <c r="A1028" s="2">
        <f>(('Historical Data'!C1030)-('Historical Data'!C1029))/('Historical Data'!C1029)</f>
        <v>0.02005216824</v>
      </c>
      <c r="D1028" s="2">
        <f>(('Historical Data'!L1030)-('Historical Data'!L1029))/('Historical Data'!L1029)</f>
        <v>0.01526469633</v>
      </c>
      <c r="E1028" s="2">
        <f>(('Historical Data'!O1030)-('Historical Data'!O1029))/('Historical Data'!O1029)</f>
        <v>0.0009481668774</v>
      </c>
    </row>
    <row r="1029">
      <c r="A1029" s="2">
        <f>(('Historical Data'!C1031)-('Historical Data'!C1030))/('Historical Data'!C1030)</f>
        <v>-0.004794630014</v>
      </c>
      <c r="D1029" s="2">
        <f>(('Historical Data'!L1031)-('Historical Data'!L1030))/('Historical Data'!L1030)</f>
        <v>-0.002879078695</v>
      </c>
      <c r="E1029" s="2">
        <f>(('Historical Data'!O1031)-('Historical Data'!O1030))/('Historical Data'!O1030)</f>
        <v>0.009156930849</v>
      </c>
    </row>
    <row r="1030">
      <c r="A1030" s="2">
        <f>(('Historical Data'!C1032)-('Historical Data'!C1031))/('Historical Data'!C1031)</f>
        <v>0</v>
      </c>
      <c r="D1030" s="2">
        <f>(('Historical Data'!L1032)-('Historical Data'!L1031))/('Historical Data'!L1031)</f>
        <v>0</v>
      </c>
      <c r="E1030" s="2">
        <f>(('Historical Data'!O1032)-('Historical Data'!O1031))/('Historical Data'!O1031)</f>
        <v>0.009699624531</v>
      </c>
    </row>
    <row r="1031">
      <c r="A1031" s="2">
        <f>(('Historical Data'!C1033)-('Historical Data'!C1032))/('Historical Data'!C1032)</f>
        <v>0.008671912639</v>
      </c>
      <c r="D1031" s="2">
        <f>(('Historical Data'!L1033)-('Historical Data'!L1032))/('Historical Data'!L1032)</f>
        <v>-0.01700352903</v>
      </c>
      <c r="E1031" s="2">
        <f>(('Historical Data'!O1033)-('Historical Data'!O1032))/('Historical Data'!O1032)</f>
        <v>0.06662534862</v>
      </c>
    </row>
    <row r="1032">
      <c r="A1032" s="2">
        <f>(('Historical Data'!C1034)-('Historical Data'!C1033))/('Historical Data'!C1033)</f>
        <v>-0.006049992039</v>
      </c>
      <c r="D1032" s="2">
        <f>(('Historical Data'!L1034)-('Historical Data'!L1033))/('Historical Data'!L1033)</f>
        <v>0.004895561358</v>
      </c>
      <c r="E1032" s="2">
        <f>(('Historical Data'!O1034)-('Historical Data'!O1033))/('Historical Data'!O1033)</f>
        <v>0.003776873911</v>
      </c>
    </row>
    <row r="1033">
      <c r="A1033" s="2">
        <f>(('Historical Data'!C1035)-('Historical Data'!C1034))/('Historical Data'!C1034)</f>
        <v>0.001601794009</v>
      </c>
      <c r="D1033" s="2">
        <f>(('Historical Data'!L1035)-('Historical Data'!L1034))/('Historical Data'!L1034)</f>
        <v>0.00649561546</v>
      </c>
      <c r="E1033" s="2">
        <f>(('Historical Data'!O1035)-('Historical Data'!O1034))/('Historical Data'!O1034)</f>
        <v>0.003762662808</v>
      </c>
    </row>
    <row r="1034">
      <c r="A1034" s="2">
        <f>(('Historical Data'!C1036)-('Historical Data'!C1035))/('Historical Data'!C1035)</f>
        <v>0.02094994403</v>
      </c>
      <c r="D1034" s="2">
        <f>(('Historical Data'!L1036)-('Historical Data'!L1035))/('Historical Data'!L1035)</f>
        <v>0.02194256212</v>
      </c>
      <c r="E1034" s="2">
        <f>(('Historical Data'!O1036)-('Historical Data'!O1035))/('Historical Data'!O1035)</f>
        <v>-0.005478662053</v>
      </c>
    </row>
    <row r="1035">
      <c r="A1035" s="2">
        <f>(('Historical Data'!C1037)-('Historical Data'!C1036))/('Historical Data'!C1036)</f>
        <v>0.01613408521</v>
      </c>
      <c r="D1035" s="2">
        <f>(('Historical Data'!L1037)-('Historical Data'!L1036))/('Historical Data'!L1036)</f>
        <v>-0.01231449321</v>
      </c>
      <c r="E1035" s="2">
        <f>(('Historical Data'!O1037)-('Historical Data'!O1036))/('Historical Data'!O1036)</f>
        <v>0.01478689475</v>
      </c>
    </row>
    <row r="1036">
      <c r="A1036" s="2">
        <f>(('Historical Data'!C1038)-('Historical Data'!C1037))/('Historical Data'!C1037)</f>
        <v>-0.004316324958</v>
      </c>
      <c r="D1036" s="2">
        <f>(('Historical Data'!L1038)-('Historical Data'!L1037))/('Historical Data'!L1037)</f>
        <v>0.003836317136</v>
      </c>
      <c r="E1036" s="2">
        <f>(('Historical Data'!O1038)-('Historical Data'!O1037))/('Historical Data'!O1037)</f>
        <v>0.008857142857</v>
      </c>
    </row>
    <row r="1037">
      <c r="A1037" s="2">
        <f>(('Historical Data'!C1039)-('Historical Data'!C1038))/('Historical Data'!C1038)</f>
        <v>0.003870568199</v>
      </c>
      <c r="D1037" s="2">
        <f>(('Historical Data'!L1039)-('Historical Data'!L1038))/('Historical Data'!L1038)</f>
        <v>0</v>
      </c>
      <c r="E1037" s="2">
        <f>(('Historical Data'!O1039)-('Historical Data'!O1038))/('Historical Data'!O1038)</f>
        <v>-0.02180685358</v>
      </c>
    </row>
    <row r="1038">
      <c r="A1038" s="2">
        <f>(('Historical Data'!C1040)-('Historical Data'!C1039))/('Historical Data'!C1039)</f>
        <v>-0.002621838371</v>
      </c>
      <c r="D1038" s="2">
        <f>(('Historical Data'!L1040)-('Historical Data'!L1039))/('Historical Data'!L1039)</f>
        <v>0.01751592357</v>
      </c>
      <c r="E1038" s="2">
        <f>(('Historical Data'!O1040)-('Historical Data'!O1039))/('Historical Data'!O1039)</f>
        <v>0.003184713376</v>
      </c>
    </row>
    <row r="1039">
      <c r="A1039" s="2">
        <f>(('Historical Data'!C1041)-('Historical Data'!C1040))/('Historical Data'!C1040)</f>
        <v>-0.01066955312</v>
      </c>
      <c r="D1039" s="2">
        <f>(('Historical Data'!L1041)-('Historical Data'!L1040))/('Historical Data'!L1040)</f>
        <v>0.005007824726</v>
      </c>
      <c r="E1039" s="2">
        <f>(('Historical Data'!O1041)-('Historical Data'!O1040))/('Historical Data'!O1040)</f>
        <v>-0.02193362193</v>
      </c>
    </row>
    <row r="1040">
      <c r="A1040" s="2">
        <f>(('Historical Data'!C1042)-('Historical Data'!C1041))/('Historical Data'!C1041)</f>
        <v>-0.01156611441</v>
      </c>
      <c r="D1040" s="2">
        <f>(('Historical Data'!L1042)-('Historical Data'!L1041))/('Historical Data'!L1041)</f>
        <v>-0.0009342883837</v>
      </c>
      <c r="E1040" s="2">
        <f>(('Historical Data'!O1042)-('Historical Data'!O1041))/('Historical Data'!O1041)</f>
        <v>-0.004426084391</v>
      </c>
    </row>
    <row r="1041">
      <c r="A1041" s="2">
        <f>(('Historical Data'!C1043)-('Historical Data'!C1042))/('Historical Data'!C1042)</f>
        <v>0.01628716003</v>
      </c>
      <c r="D1041" s="2">
        <f>(('Historical Data'!L1043)-('Historical Data'!L1042))/('Historical Data'!L1042)</f>
        <v>-0.01932668329</v>
      </c>
      <c r="E1041" s="2">
        <f>(('Historical Data'!O1043)-('Historical Data'!O1042))/('Historical Data'!O1042)</f>
        <v>-0.0151155898</v>
      </c>
    </row>
    <row r="1042">
      <c r="A1042" s="2">
        <f>(('Historical Data'!C1044)-('Historical Data'!C1043))/('Historical Data'!C1043)</f>
        <v>-0.002956278201</v>
      </c>
      <c r="D1042" s="2">
        <f>(('Historical Data'!L1044)-('Historical Data'!L1043))/('Historical Data'!L1043)</f>
        <v>0.005403687222</v>
      </c>
      <c r="E1042" s="2">
        <f>(('Historical Data'!O1044)-('Historical Data'!O1043))/('Historical Data'!O1043)</f>
        <v>-0.01655130906</v>
      </c>
    </row>
    <row r="1043">
      <c r="A1043" s="2">
        <f>(('Historical Data'!C1045)-('Historical Data'!C1044))/('Historical Data'!C1044)</f>
        <v>-0.004213483146</v>
      </c>
      <c r="D1043" s="2">
        <f>(('Historical Data'!L1045)-('Historical Data'!L1044))/('Historical Data'!L1044)</f>
        <v>-0.006639266519</v>
      </c>
      <c r="E1043" s="2">
        <f>(('Historical Data'!O1045)-('Historical Data'!O1044))/('Historical Data'!O1044)</f>
        <v>0.01346389229</v>
      </c>
    </row>
    <row r="1044">
      <c r="A1044" s="2">
        <f>(('Historical Data'!C1046)-('Historical Data'!C1045))/('Historical Data'!C1045)</f>
        <v>0.004701457452</v>
      </c>
      <c r="D1044" s="2">
        <f>(('Historical Data'!L1046)-('Historical Data'!L1045))/('Historical Data'!L1045)</f>
        <v>0.04869509866</v>
      </c>
      <c r="E1044" s="2">
        <f>(('Historical Data'!O1046)-('Historical Data'!O1045))/('Historical Data'!O1045)</f>
        <v>0</v>
      </c>
    </row>
    <row r="1045">
      <c r="A1045" s="2">
        <f>(('Historical Data'!C1047)-('Historical Data'!C1046))/('Historical Data'!C1046)</f>
        <v>-0.009826860084</v>
      </c>
      <c r="D1045" s="2">
        <f>(('Historical Data'!L1047)-('Historical Data'!L1046))/('Historical Data'!L1046)</f>
        <v>0.01972685888</v>
      </c>
      <c r="E1045" s="2">
        <f>(('Historical Data'!O1047)-('Historical Data'!O1046))/('Historical Data'!O1046)</f>
        <v>-0.0395531401</v>
      </c>
    </row>
    <row r="1046">
      <c r="A1046" s="2">
        <f>(('Historical Data'!C1048)-('Historical Data'!C1047))/('Historical Data'!C1047)</f>
        <v>-0.003465658475</v>
      </c>
      <c r="D1046" s="2">
        <f>(('Historical Data'!L1048)-('Historical Data'!L1047))/('Historical Data'!L1047)</f>
        <v>0.001785714286</v>
      </c>
      <c r="E1046" s="2">
        <f>(('Historical Data'!O1048)-('Historical Data'!O1047))/('Historical Data'!O1047)</f>
        <v>-0.0116315624</v>
      </c>
    </row>
    <row r="1047">
      <c r="A1047" s="2">
        <f>(('Historical Data'!C1049)-('Historical Data'!C1048))/('Historical Data'!C1048)</f>
        <v>0.0110654442</v>
      </c>
      <c r="D1047" s="2">
        <f>(('Historical Data'!L1049)-('Historical Data'!L1048))/('Historical Data'!L1048)</f>
        <v>0.0193107546</v>
      </c>
      <c r="E1047" s="2">
        <f>(('Historical Data'!O1049)-('Historical Data'!O1048))/('Historical Data'!O1048)</f>
        <v>0.01399491094</v>
      </c>
    </row>
    <row r="1048">
      <c r="A1048" s="2">
        <f>(('Historical Data'!C1050)-('Historical Data'!C1049))/('Historical Data'!C1049)</f>
        <v>-0.008599124453</v>
      </c>
      <c r="D1048" s="2">
        <f>(('Historical Data'!L1050)-('Historical Data'!L1049))/('Historical Data'!L1049)</f>
        <v>0.04575925386</v>
      </c>
      <c r="E1048" s="2">
        <f>(('Historical Data'!O1050)-('Historical Data'!O1049))/('Historical Data'!O1049)</f>
        <v>-0.005332496863</v>
      </c>
    </row>
    <row r="1049">
      <c r="A1049" s="2">
        <f>(('Historical Data'!C1051)-('Historical Data'!C1050))/('Historical Data'!C1050)</f>
        <v>0.008358303107</v>
      </c>
      <c r="D1049" s="2">
        <f>(('Historical Data'!L1051)-('Historical Data'!L1050))/('Historical Data'!L1050)</f>
        <v>-0.0005574136009</v>
      </c>
      <c r="E1049" s="2">
        <f>(('Historical Data'!O1051)-('Historical Data'!O1050))/('Historical Data'!O1050)</f>
        <v>0.01135288553</v>
      </c>
    </row>
    <row r="1050">
      <c r="A1050" s="2">
        <f>(('Historical Data'!C1052)-('Historical Data'!C1051))/('Historical Data'!C1051)</f>
        <v>-0.0294025649</v>
      </c>
      <c r="D1050" s="2">
        <f>(('Historical Data'!L1052)-('Historical Data'!L1051))/('Historical Data'!L1051)</f>
        <v>0.01756832125</v>
      </c>
      <c r="E1050" s="2">
        <f>(('Historical Data'!O1052)-('Historical Data'!O1051))/('Historical Data'!O1051)</f>
        <v>0.004365450577</v>
      </c>
    </row>
    <row r="1051">
      <c r="A1051" s="2">
        <f>(('Historical Data'!C1053)-('Historical Data'!C1052))/('Historical Data'!C1052)</f>
        <v>-0.02239767966</v>
      </c>
      <c r="D1051" s="2">
        <f>(('Historical Data'!L1053)-('Historical Data'!L1052))/('Historical Data'!L1052)</f>
        <v>-0.008769525898</v>
      </c>
      <c r="E1051" s="2">
        <f>(('Historical Data'!O1053)-('Historical Data'!O1052))/('Historical Data'!O1052)</f>
        <v>-0.007140639553</v>
      </c>
    </row>
    <row r="1052">
      <c r="A1052" s="2">
        <f>(('Historical Data'!C1054)-('Historical Data'!C1053))/('Historical Data'!C1053)</f>
        <v>-0.003461348278</v>
      </c>
      <c r="D1052" s="2">
        <f>(('Historical Data'!L1054)-('Historical Data'!L1053))/('Historical Data'!L1053)</f>
        <v>-0.01271772187</v>
      </c>
      <c r="E1052" s="2">
        <f>(('Historical Data'!O1054)-('Historical Data'!O1053))/('Historical Data'!O1053)</f>
        <v>0.006879299562</v>
      </c>
    </row>
    <row r="1053">
      <c r="A1053" s="2">
        <f>(('Historical Data'!C1055)-('Historical Data'!C1054))/('Historical Data'!C1054)</f>
        <v>-0.01306649024</v>
      </c>
      <c r="D1053" s="2">
        <f>(('Historical Data'!L1055)-('Historical Data'!L1054))/('Historical Data'!L1054)</f>
        <v>0.02324278913</v>
      </c>
      <c r="E1053" s="2">
        <f>(('Historical Data'!O1055)-('Historical Data'!O1054))/('Historical Data'!O1054)</f>
        <v>0.005279503106</v>
      </c>
    </row>
    <row r="1054">
      <c r="A1054" s="2">
        <f>(('Historical Data'!C1056)-('Historical Data'!C1055))/('Historical Data'!C1055)</f>
        <v>0.01390983744</v>
      </c>
      <c r="D1054" s="2">
        <f>(('Historical Data'!L1056)-('Historical Data'!L1055))/('Historical Data'!L1055)</f>
        <v>-0.004652435687</v>
      </c>
      <c r="E1054" s="2">
        <f>(('Historical Data'!O1056)-('Historical Data'!O1055))/('Historical Data'!O1055)</f>
        <v>0.03151065802</v>
      </c>
    </row>
    <row r="1055">
      <c r="A1055" s="2">
        <f>(('Historical Data'!C1057)-('Historical Data'!C1056))/('Historical Data'!C1056)</f>
        <v>0.006446280992</v>
      </c>
      <c r="D1055" s="2">
        <f>(('Historical Data'!L1057)-('Historical Data'!L1056))/('Historical Data'!L1056)</f>
        <v>-0.02502062139</v>
      </c>
      <c r="E1055" s="2">
        <f>(('Historical Data'!O1057)-('Historical Data'!O1056))/('Historical Data'!O1056)</f>
        <v>0.01108116202</v>
      </c>
    </row>
    <row r="1056">
      <c r="A1056" s="2">
        <f>(('Historical Data'!C1058)-('Historical Data'!C1057))/('Historical Data'!C1057)</f>
        <v>-0.009689604204</v>
      </c>
      <c r="D1056" s="2">
        <f>(('Historical Data'!L1058)-('Historical Data'!L1057))/('Historical Data'!L1057)</f>
        <v>-0.02453468697</v>
      </c>
      <c r="E1056" s="2">
        <f>(('Historical Data'!O1058)-('Historical Data'!O1057))/('Historical Data'!O1057)</f>
        <v>0.01362559242</v>
      </c>
    </row>
    <row r="1057">
      <c r="A1057" s="2">
        <f>(('Historical Data'!C1059)-('Historical Data'!C1058))/('Historical Data'!C1058)</f>
        <v>0.0135986733</v>
      </c>
      <c r="D1057" s="2">
        <f>(('Historical Data'!L1059)-('Historical Data'!L1058))/('Historical Data'!L1058)</f>
        <v>-0.02833188783</v>
      </c>
      <c r="E1057" s="2">
        <f>(('Historical Data'!O1059)-('Historical Data'!O1058))/('Historical Data'!O1058)</f>
        <v>0.01139684395</v>
      </c>
    </row>
    <row r="1058">
      <c r="A1058" s="2">
        <f>(('Historical Data'!C1060)-('Historical Data'!C1059))/('Historical Data'!C1059)</f>
        <v>-0.008180628272</v>
      </c>
      <c r="D1058" s="2">
        <f>(('Historical Data'!L1060)-('Historical Data'!L1059))/('Historical Data'!L1059)</f>
        <v>0.01457899435</v>
      </c>
      <c r="E1058" s="2">
        <f>(('Historical Data'!O1060)-('Historical Data'!O1059))/('Historical Data'!O1059)</f>
        <v>0.004045073678</v>
      </c>
    </row>
    <row r="1059">
      <c r="A1059" s="2">
        <f>(('Historical Data'!C1061)-('Historical Data'!C1060))/('Historical Data'!C1060)</f>
        <v>-0.005278785879</v>
      </c>
      <c r="D1059" s="2">
        <f>(('Historical Data'!L1061)-('Historical Data'!L1060))/('Historical Data'!L1060)</f>
        <v>0.001759530792</v>
      </c>
      <c r="E1059" s="2">
        <f>(('Historical Data'!O1061)-('Historical Data'!O1060))/('Historical Data'!O1060)</f>
        <v>-0.005755395683</v>
      </c>
    </row>
    <row r="1060">
      <c r="A1060" s="2">
        <f>(('Historical Data'!C1062)-('Historical Data'!C1061))/('Historical Data'!C1061)</f>
        <v>0.01111111111</v>
      </c>
      <c r="D1060" s="2">
        <f>(('Historical Data'!L1062)-('Historical Data'!L1061))/('Historical Data'!L1061)</f>
        <v>0.0181498829</v>
      </c>
      <c r="E1060" s="2">
        <f>(('Historical Data'!O1062)-('Historical Data'!O1061))/('Historical Data'!O1061)</f>
        <v>-0.01273516643</v>
      </c>
    </row>
    <row r="1061">
      <c r="A1061" s="2">
        <f>(('Historical Data'!C1063)-('Historical Data'!C1062))/('Historical Data'!C1062)</f>
        <v>0.0003280301788</v>
      </c>
      <c r="D1061" s="2">
        <f>(('Historical Data'!L1063)-('Historical Data'!L1062))/('Historical Data'!L1062)</f>
        <v>0.003737780334</v>
      </c>
      <c r="E1061" s="2">
        <f>(('Historical Data'!O1063)-('Historical Data'!O1062))/('Historical Data'!O1062)</f>
        <v>0.005277044855</v>
      </c>
    </row>
    <row r="1062">
      <c r="A1062" s="2">
        <f>(('Historical Data'!C1064)-('Historical Data'!C1063))/('Historical Data'!C1063)</f>
        <v>0.01328086572</v>
      </c>
      <c r="D1062" s="2">
        <f>(('Historical Data'!L1064)-('Historical Data'!L1063))/('Historical Data'!L1063)</f>
        <v>0.004869664852</v>
      </c>
      <c r="E1062" s="2">
        <f>(('Historical Data'!O1064)-('Historical Data'!O1063))/('Historical Data'!O1063)</f>
        <v>0.003791192768</v>
      </c>
    </row>
    <row r="1063">
      <c r="A1063" s="2">
        <f>(('Historical Data'!C1065)-('Historical Data'!C1064))/('Historical Data'!C1064)</f>
        <v>-0.006472491909</v>
      </c>
      <c r="D1063" s="2">
        <f>(('Historical Data'!L1065)-('Historical Data'!L1064))/('Historical Data'!L1064)</f>
        <v>0.00598631699</v>
      </c>
      <c r="E1063" s="2">
        <f>(('Historical Data'!O1065)-('Historical Data'!O1064))/('Historical Data'!O1064)</f>
        <v>-0.0002905287623</v>
      </c>
    </row>
    <row r="1064">
      <c r="A1064" s="2">
        <f>(('Historical Data'!C1066)-('Historical Data'!C1065))/('Historical Data'!C1065)</f>
        <v>-0.008794788274</v>
      </c>
      <c r="D1064" s="2">
        <f>(('Historical Data'!L1066)-('Historical Data'!L1065))/('Historical Data'!L1065)</f>
        <v>0.01360158685</v>
      </c>
      <c r="E1064" s="2">
        <f>(('Historical Data'!O1066)-('Historical Data'!O1065))/('Historical Data'!O1065)</f>
        <v>-0.01598372566</v>
      </c>
    </row>
    <row r="1065">
      <c r="A1065" s="2">
        <f>(('Historical Data'!C1067)-('Historical Data'!C1066))/('Historical Data'!C1066)</f>
        <v>0.01396648045</v>
      </c>
      <c r="D1065" s="2">
        <f>(('Historical Data'!L1067)-('Historical Data'!L1066))/('Historical Data'!L1066)</f>
        <v>-0.01341906626</v>
      </c>
      <c r="E1065" s="2">
        <f>(('Historical Data'!O1067)-('Historical Data'!O1066))/('Historical Data'!O1066)</f>
        <v>-0.00206733609</v>
      </c>
    </row>
    <row r="1066">
      <c r="A1066" s="2">
        <f>(('Historical Data'!C1068)-('Historical Data'!C1067))/('Historical Data'!C1067)</f>
        <v>0.001458434614</v>
      </c>
      <c r="D1066" s="2">
        <f>(('Historical Data'!L1068)-('Historical Data'!L1067))/('Historical Data'!L1067)</f>
        <v>0.02521960895</v>
      </c>
      <c r="E1066" s="2">
        <f>(('Historical Data'!O1068)-('Historical Data'!O1067))/('Historical Data'!O1067)</f>
        <v>0.000591891092</v>
      </c>
    </row>
    <row r="1067">
      <c r="A1067" s="2">
        <f>(('Historical Data'!C1069)-('Historical Data'!C1068))/('Historical Data'!C1068)</f>
        <v>0.0003236245955</v>
      </c>
      <c r="D1067" s="2">
        <f>(('Historical Data'!L1069)-('Historical Data'!L1068))/('Historical Data'!L1068)</f>
        <v>0.01409618574</v>
      </c>
      <c r="E1067" s="2">
        <f>(('Historical Data'!O1069)-('Historical Data'!O1068))/('Historical Data'!O1068)</f>
        <v>0</v>
      </c>
    </row>
    <row r="1068">
      <c r="A1068" s="2">
        <f>(('Historical Data'!C1070)-('Historical Data'!C1069))/('Historical Data'!C1069)</f>
        <v>-0.07295373665</v>
      </c>
      <c r="D1068" s="2">
        <f>(('Historical Data'!L1070)-('Historical Data'!L1069))/('Historical Data'!L1069)</f>
        <v>-0.0002725538294</v>
      </c>
      <c r="E1068" s="2">
        <f>(('Historical Data'!O1070)-('Historical Data'!O1069))/('Historical Data'!O1069)</f>
        <v>-0.07305530908</v>
      </c>
    </row>
    <row r="1069">
      <c r="A1069" s="2">
        <f>(('Historical Data'!C1071)-('Historical Data'!C1070))/('Historical Data'!C1070)</f>
        <v>-0.04833362415</v>
      </c>
      <c r="D1069" s="2">
        <f>(('Historical Data'!L1071)-('Historical Data'!L1070))/('Historical Data'!L1070)</f>
        <v>0.008724100327</v>
      </c>
      <c r="E1069" s="2">
        <f>(('Historical Data'!O1071)-('Historical Data'!O1070))/('Historical Data'!O1070)</f>
        <v>-0.09444798979</v>
      </c>
    </row>
    <row r="1070">
      <c r="A1070" s="2">
        <f>(('Historical Data'!C1072)-('Historical Data'!C1071))/('Historical Data'!C1071)</f>
        <v>-0.002383571691</v>
      </c>
      <c r="D1070" s="2">
        <f>(('Historical Data'!L1072)-('Historical Data'!L1071))/('Historical Data'!L1071)</f>
        <v>-0.008108108108</v>
      </c>
      <c r="E1070" s="2">
        <f>(('Historical Data'!O1072)-('Historical Data'!O1071))/('Historical Data'!O1071)</f>
        <v>-0.04263565891</v>
      </c>
    </row>
    <row r="1071">
      <c r="A1071" s="2">
        <f>(('Historical Data'!C1073)-('Historical Data'!C1072))/('Historical Data'!C1072)</f>
        <v>-0.02242234883</v>
      </c>
      <c r="D1071" s="2">
        <f>(('Historical Data'!L1073)-('Historical Data'!L1072))/('Historical Data'!L1072)</f>
        <v>-0.01798365123</v>
      </c>
      <c r="E1071" s="2">
        <f>(('Historical Data'!O1073)-('Historical Data'!O1072))/('Historical Data'!O1072)</f>
        <v>-0.03901361796</v>
      </c>
    </row>
    <row r="1072">
      <c r="A1072" s="2">
        <f>(('Historical Data'!C1074)-('Historical Data'!C1073))/('Historical Data'!C1073)</f>
        <v>0.09287460049</v>
      </c>
      <c r="D1072" s="2">
        <f>(('Historical Data'!L1074)-('Historical Data'!L1073))/('Historical Data'!L1073)</f>
        <v>0.007214206437</v>
      </c>
      <c r="E1072" s="2">
        <f>(('Historical Data'!O1074)-('Historical Data'!O1073))/('Historical Data'!O1073)</f>
        <v>0.06855610877</v>
      </c>
    </row>
    <row r="1073">
      <c r="A1073" s="2">
        <f>(('Historical Data'!C1075)-('Historical Data'!C1074))/('Historical Data'!C1074)</f>
        <v>-0.02649234474</v>
      </c>
      <c r="D1073" s="2">
        <f>(('Historical Data'!L1075)-('Historical Data'!L1074))/('Historical Data'!L1074)</f>
        <v>-0.001928374656</v>
      </c>
      <c r="E1073" s="2">
        <f>(('Historical Data'!O1075)-('Historical Data'!O1074))/('Historical Data'!O1074)</f>
        <v>-0.05985663082</v>
      </c>
    </row>
    <row r="1074">
      <c r="A1074" s="2">
        <f>(('Historical Data'!C1076)-('Historical Data'!C1075))/('Historical Data'!C1075)</f>
        <v>0.01307651529</v>
      </c>
      <c r="D1074" s="2">
        <f>(('Historical Data'!L1076)-('Historical Data'!L1075))/('Historical Data'!L1075)</f>
        <v>-0.03808998068</v>
      </c>
      <c r="E1074" s="2">
        <f>(('Historical Data'!O1076)-('Historical Data'!O1075))/('Historical Data'!O1075)</f>
        <v>0.01372474266</v>
      </c>
    </row>
    <row r="1075">
      <c r="A1075" s="2">
        <f>(('Historical Data'!C1077)-('Historical Data'!C1076))/('Historical Data'!C1076)</f>
        <v>0.001395429967</v>
      </c>
      <c r="D1075" s="2">
        <f>(('Historical Data'!L1077)-('Historical Data'!L1076))/('Historical Data'!L1076)</f>
        <v>-0.06743185079</v>
      </c>
      <c r="E1075" s="2">
        <f>(('Historical Data'!O1077)-('Historical Data'!O1076))/('Historical Data'!O1076)</f>
        <v>0.01203459947</v>
      </c>
    </row>
    <row r="1076">
      <c r="A1076" s="2">
        <f>(('Historical Data'!C1078)-('Historical Data'!C1077))/('Historical Data'!C1077)</f>
        <v>-0.003657899321</v>
      </c>
      <c r="D1076" s="2">
        <f>(('Historical Data'!L1078)-('Historical Data'!L1077))/('Historical Data'!L1077)</f>
        <v>-0.01507692308</v>
      </c>
      <c r="E1076" s="2">
        <f>(('Historical Data'!O1078)-('Historical Data'!O1077))/('Historical Data'!O1077)</f>
        <v>0.01114827202</v>
      </c>
    </row>
    <row r="1077">
      <c r="A1077" s="2">
        <f>(('Historical Data'!C1079)-('Historical Data'!C1078))/('Historical Data'!C1078)</f>
        <v>-0.02517482517</v>
      </c>
      <c r="D1077" s="2">
        <f>(('Historical Data'!L1079)-('Historical Data'!L1078))/('Historical Data'!L1078)</f>
        <v>0.03592627304</v>
      </c>
      <c r="E1077" s="2">
        <f>(('Historical Data'!O1079)-('Historical Data'!O1078))/('Historical Data'!O1078)</f>
        <v>0.01653803749</v>
      </c>
    </row>
    <row r="1078">
      <c r="A1078" s="2">
        <f>(('Historical Data'!C1080)-('Historical Data'!C1079))/('Historical Data'!C1079)</f>
        <v>0</v>
      </c>
      <c r="D1078" s="2">
        <f>(('Historical Data'!L1080)-('Historical Data'!L1079))/('Historical Data'!L1079)</f>
        <v>-0.02895054282</v>
      </c>
      <c r="E1078" s="2">
        <f>(('Historical Data'!O1080)-('Historical Data'!O1079))/('Historical Data'!O1079)</f>
        <v>0.02386117137</v>
      </c>
    </row>
    <row r="1079">
      <c r="A1079" s="2">
        <f>(('Historical Data'!C1081)-('Historical Data'!C1080))/('Historical Data'!C1080)</f>
        <v>-0.02492826399</v>
      </c>
      <c r="D1079" s="2">
        <f>(('Historical Data'!L1081)-('Historical Data'!L1080))/('Historical Data'!L1080)</f>
        <v>0.0301242236</v>
      </c>
      <c r="E1079" s="2">
        <f>(('Historical Data'!O1081)-('Historical Data'!O1080))/('Historical Data'!O1080)</f>
        <v>-0.008474576271</v>
      </c>
    </row>
    <row r="1080">
      <c r="A1080" s="2">
        <f>(('Historical Data'!C1082)-('Historical Data'!C1081))/('Historical Data'!C1081)</f>
        <v>0.01232297223</v>
      </c>
      <c r="D1080" s="2">
        <f>(('Historical Data'!L1082)-('Historical Data'!L1081))/('Historical Data'!L1081)</f>
        <v>0.006331022008</v>
      </c>
      <c r="E1080" s="2">
        <f>(('Historical Data'!O1082)-('Historical Data'!O1081))/('Historical Data'!O1081)</f>
        <v>0.02813390313</v>
      </c>
    </row>
    <row r="1081">
      <c r="A1081" s="2">
        <f>(('Historical Data'!C1083)-('Historical Data'!C1082))/('Historical Data'!C1082)</f>
        <v>0.01071947674</v>
      </c>
      <c r="D1081" s="2">
        <f>(('Historical Data'!L1083)-('Historical Data'!L1082))/('Historical Data'!L1082)</f>
        <v>0.02965847813</v>
      </c>
      <c r="E1081" s="2">
        <f>(('Historical Data'!O1083)-('Historical Data'!O1082))/('Historical Data'!O1082)</f>
        <v>-0.009352268791</v>
      </c>
    </row>
    <row r="1082">
      <c r="A1082" s="2">
        <f>(('Historical Data'!C1084)-('Historical Data'!C1083))/('Historical Data'!C1083)</f>
        <v>0.0118641021</v>
      </c>
      <c r="D1082" s="2">
        <f>(('Historical Data'!L1084)-('Historical Data'!L1083))/('Historical Data'!L1083)</f>
        <v>0.02996799534</v>
      </c>
      <c r="E1082" s="2">
        <f>(('Historical Data'!O1084)-('Historical Data'!O1083))/('Historical Data'!O1083)</f>
        <v>0.01398601399</v>
      </c>
    </row>
    <row r="1083">
      <c r="A1083" s="2">
        <f>(('Historical Data'!C1085)-('Historical Data'!C1084))/('Historical Data'!C1084)</f>
        <v>0.00746136081</v>
      </c>
      <c r="D1083" s="2">
        <f>(('Historical Data'!L1085)-('Historical Data'!L1084))/('Historical Data'!L1084)</f>
        <v>-0.0002824858757</v>
      </c>
      <c r="E1083" s="2">
        <f>(('Historical Data'!O1085)-('Historical Data'!O1084))/('Historical Data'!O1084)</f>
        <v>0.006551724138</v>
      </c>
    </row>
    <row r="1084">
      <c r="A1084" s="2">
        <f>(('Historical Data'!C1086)-('Historical Data'!C1085))/('Historical Data'!C1085)</f>
        <v>0.002292364662</v>
      </c>
      <c r="D1084" s="2">
        <f>(('Historical Data'!L1086)-('Historical Data'!L1085))/('Historical Data'!L1085)</f>
        <v>-0.00649901102</v>
      </c>
      <c r="E1084" s="2">
        <f>(('Historical Data'!O1086)-('Historical Data'!O1085))/('Historical Data'!O1085)</f>
        <v>-0.002055498458</v>
      </c>
    </row>
    <row r="1085">
      <c r="A1085" s="2">
        <f>(('Historical Data'!C1087)-('Historical Data'!C1086))/('Historical Data'!C1086)</f>
        <v>0.008796622097</v>
      </c>
      <c r="D1085" s="2">
        <f>(('Historical Data'!L1087)-('Historical Data'!L1086))/('Historical Data'!L1086)</f>
        <v>0.01365187713</v>
      </c>
      <c r="E1085" s="2">
        <f>(('Historical Data'!O1087)-('Historical Data'!O1086))/('Historical Data'!O1086)</f>
        <v>-0.03638860281</v>
      </c>
    </row>
    <row r="1086">
      <c r="A1086" s="2">
        <f>(('Historical Data'!C1088)-('Historical Data'!C1087))/('Historical Data'!C1087)</f>
        <v>0.006801534705</v>
      </c>
      <c r="D1086" s="2">
        <f>(('Historical Data'!L1088)-('Historical Data'!L1087))/('Historical Data'!L1087)</f>
        <v>0.03170594837</v>
      </c>
      <c r="E1086" s="2">
        <f>(('Historical Data'!O1088)-('Historical Data'!O1087))/('Historical Data'!O1087)</f>
        <v>-0.02173138582</v>
      </c>
    </row>
    <row r="1087">
      <c r="A1087" s="2">
        <f>(('Historical Data'!C1089)-('Historical Data'!C1088))/('Historical Data'!C1088)</f>
        <v>0.00675558635</v>
      </c>
      <c r="D1087" s="2">
        <f>(('Historical Data'!L1089)-('Historical Data'!L1088))/('Historical Data'!L1088)</f>
        <v>-0.01196627686</v>
      </c>
      <c r="E1087" s="2">
        <f>(('Historical Data'!O1089)-('Historical Data'!O1088))/('Historical Data'!O1088)</f>
        <v>0.01529497451</v>
      </c>
    </row>
    <row r="1088">
      <c r="A1088" s="2">
        <f>(('Historical Data'!C1090)-('Historical Data'!C1089))/('Historical Data'!C1089)</f>
        <v>0.02081899518</v>
      </c>
      <c r="D1088" s="2">
        <f>(('Historical Data'!L1090)-('Historical Data'!L1089))/('Historical Data'!L1089)</f>
        <v>0.004679328379</v>
      </c>
      <c r="E1088" s="2">
        <f>(('Historical Data'!O1090)-('Historical Data'!O1089))/('Historical Data'!O1089)</f>
        <v>0.008608321377</v>
      </c>
    </row>
    <row r="1089">
      <c r="A1089" s="2">
        <f>(('Historical Data'!C1091)-('Historical Data'!C1090))/('Historical Data'!C1090)</f>
        <v>-0.0001685487949</v>
      </c>
      <c r="D1089" s="2">
        <f>(('Historical Data'!L1091)-('Historical Data'!L1090))/('Historical Data'!L1090)</f>
        <v>-0.001369863014</v>
      </c>
      <c r="E1089" s="2">
        <f>(('Historical Data'!O1091)-('Historical Data'!O1090))/('Historical Data'!O1090)</f>
        <v>0.03769559033</v>
      </c>
    </row>
    <row r="1090">
      <c r="A1090" s="2">
        <f>(('Historical Data'!C1092)-('Historical Data'!C1091))/('Historical Data'!C1091)</f>
        <v>-0.001685772084</v>
      </c>
      <c r="D1090" s="2">
        <f>(('Historical Data'!L1092)-('Historical Data'!L1091))/('Historical Data'!L1091)</f>
        <v>0.003840877915</v>
      </c>
      <c r="E1090" s="2">
        <f>(('Historical Data'!O1092)-('Historical Data'!O1091))/('Historical Data'!O1091)</f>
        <v>-0.02673063742</v>
      </c>
    </row>
    <row r="1091">
      <c r="A1091" s="2">
        <f>(('Historical Data'!C1093)-('Historical Data'!C1092))/('Historical Data'!C1092)</f>
        <v>0.005910165485</v>
      </c>
      <c r="D1091" s="2">
        <f>(('Historical Data'!L1093)-('Historical Data'!L1092))/('Historical Data'!L1092)</f>
        <v>0.001366493577</v>
      </c>
      <c r="E1091" s="2">
        <f>(('Historical Data'!O1093)-('Historical Data'!O1092))/('Historical Data'!O1092)</f>
        <v>-0.009507042254</v>
      </c>
    </row>
    <row r="1092">
      <c r="A1092" s="2">
        <f>(('Historical Data'!C1094)-('Historical Data'!C1093))/('Historical Data'!C1093)</f>
        <v>0.002350176263</v>
      </c>
      <c r="D1092" s="2">
        <f>(('Historical Data'!L1094)-('Historical Data'!L1093))/('Historical Data'!L1093)</f>
        <v>-0.02647379913</v>
      </c>
      <c r="E1092" s="2">
        <f>(('Historical Data'!O1094)-('Historical Data'!O1093))/('Historical Data'!O1093)</f>
        <v>0.01635264842</v>
      </c>
    </row>
    <row r="1093">
      <c r="A1093" s="2">
        <f>(('Historical Data'!C1095)-('Historical Data'!C1094))/('Historical Data'!C1094)</f>
        <v>0.001004856808</v>
      </c>
      <c r="D1093" s="2">
        <f>(('Historical Data'!L1095)-('Historical Data'!L1094))/('Historical Data'!L1094)</f>
        <v>-0.01065320998</v>
      </c>
      <c r="E1093" s="2">
        <f>(('Historical Data'!O1095)-('Historical Data'!O1094))/('Historical Data'!O1094)</f>
        <v>0.04127317244</v>
      </c>
    </row>
    <row r="1094">
      <c r="A1094" s="2">
        <f>(('Historical Data'!C1096)-('Historical Data'!C1095))/('Historical Data'!C1095)</f>
        <v>0.03178852267</v>
      </c>
      <c r="D1094" s="2">
        <f>(('Historical Data'!L1096)-('Historical Data'!L1095))/('Historical Data'!L1095)</f>
        <v>0.01473505242</v>
      </c>
      <c r="E1094" s="2">
        <f>(('Historical Data'!O1096)-('Historical Data'!O1095))/('Historical Data'!O1095)</f>
        <v>0.01410816258</v>
      </c>
    </row>
    <row r="1095">
      <c r="A1095" s="2">
        <f>(('Historical Data'!C1097)-('Historical Data'!C1096))/('Historical Data'!C1096)</f>
        <v>0.001783687368</v>
      </c>
      <c r="D1095" s="2">
        <f>(('Historical Data'!L1097)-('Historical Data'!L1096))/('Historical Data'!L1096)</f>
        <v>0.008656799777</v>
      </c>
      <c r="E1095" s="2">
        <f>(('Historical Data'!O1097)-('Historical Data'!O1096))/('Historical Data'!O1096)</f>
        <v>0.01225571381</v>
      </c>
    </row>
    <row r="1096">
      <c r="A1096" s="2">
        <f>(('Historical Data'!C1098)-('Historical Data'!C1097))/('Historical Data'!C1097)</f>
        <v>-0.007931369375</v>
      </c>
      <c r="D1096" s="2">
        <f>(('Historical Data'!L1098)-('Historical Data'!L1097))/('Historical Data'!L1097)</f>
        <v>0.00553709856</v>
      </c>
      <c r="E1096" s="2">
        <f>(('Historical Data'!O1098)-('Historical Data'!O1097))/('Historical Data'!O1097)</f>
        <v>-0.006544502618</v>
      </c>
    </row>
    <row r="1097">
      <c r="A1097" s="2">
        <f>(('Historical Data'!C1099)-('Historical Data'!C1098))/('Historical Data'!C1098)</f>
        <v>0.04845814978</v>
      </c>
      <c r="D1097" s="2">
        <f>(('Historical Data'!L1099)-('Historical Data'!L1098))/('Historical Data'!L1098)</f>
        <v>0.005231277533</v>
      </c>
      <c r="E1097" s="2">
        <f>(('Historical Data'!O1099)-('Historical Data'!O1098))/('Historical Data'!O1098)</f>
        <v>-0.008234519104</v>
      </c>
    </row>
    <row r="1098">
      <c r="A1098" s="2">
        <f>(('Historical Data'!C1100)-('Historical Data'!C1099))/('Historical Data'!C1099)</f>
        <v>-0.009959539371</v>
      </c>
      <c r="D1098" s="2">
        <f>(('Historical Data'!L1100)-('Historical Data'!L1099))/('Historical Data'!L1099)</f>
        <v>0.0002738975623</v>
      </c>
      <c r="E1098" s="2">
        <f>(('Historical Data'!O1100)-('Historical Data'!O1099))/('Historical Data'!O1099)</f>
        <v>-0.01162404517</v>
      </c>
    </row>
    <row r="1099">
      <c r="A1099" s="2">
        <f>(('Historical Data'!C1101)-('Historical Data'!C1100))/('Historical Data'!C1100)</f>
        <v>0.004715498271</v>
      </c>
      <c r="D1099" s="2">
        <f>(('Historical Data'!L1101)-('Historical Data'!L1100))/('Historical Data'!L1100)</f>
        <v>0.004928806134</v>
      </c>
      <c r="E1099" s="2">
        <f>(('Historical Data'!O1101)-('Historical Data'!O1100))/('Historical Data'!O1100)</f>
        <v>-0.01209677419</v>
      </c>
    </row>
    <row r="1100">
      <c r="A1100" s="2">
        <f>(('Historical Data'!C1102)-('Historical Data'!C1101))/('Historical Data'!C1101)</f>
        <v>-0.007822277847</v>
      </c>
      <c r="D1100" s="2">
        <f>(('Historical Data'!L1102)-('Historical Data'!L1101))/('Historical Data'!L1101)</f>
        <v>0.02098092643</v>
      </c>
      <c r="E1100" s="2">
        <f>(('Historical Data'!O1102)-('Historical Data'!O1101))/('Historical Data'!O1101)</f>
        <v>-0.006802721088</v>
      </c>
    </row>
    <row r="1101">
      <c r="A1101" s="2">
        <f>(('Historical Data'!C1103)-('Historical Data'!C1102))/('Historical Data'!C1102)</f>
        <v>-0.003468937244</v>
      </c>
      <c r="D1101" s="2">
        <f>(('Historical Data'!L1103)-('Historical Data'!L1102))/('Historical Data'!L1102)</f>
        <v>-0.002135041366</v>
      </c>
      <c r="E1101" s="2">
        <f>(('Historical Data'!O1103)-('Historical Data'!O1102))/('Historical Data'!O1102)</f>
        <v>-0.01095890411</v>
      </c>
    </row>
    <row r="1102">
      <c r="A1102" s="2">
        <f>(('Historical Data'!C1104)-('Historical Data'!C1103))/('Historical Data'!C1103)</f>
        <v>0.00253164557</v>
      </c>
      <c r="D1102" s="2">
        <f>(('Historical Data'!L1104)-('Historical Data'!L1103))/('Historical Data'!L1103)</f>
        <v>0.002941963092</v>
      </c>
      <c r="E1102" s="2">
        <f>(('Historical Data'!O1104)-('Historical Data'!O1103))/('Historical Data'!O1103)</f>
        <v>0.002077562327</v>
      </c>
    </row>
    <row r="1103">
      <c r="A1103" s="2">
        <f>(('Historical Data'!C1105)-('Historical Data'!C1104))/('Historical Data'!C1104)</f>
        <v>-0.003945707071</v>
      </c>
      <c r="D1103" s="2">
        <f>(('Historical Data'!L1105)-('Historical Data'!L1104))/('Historical Data'!L1104)</f>
        <v>0.0112</v>
      </c>
      <c r="E1103" s="2">
        <f>(('Historical Data'!O1105)-('Historical Data'!O1104))/('Historical Data'!O1104)</f>
        <v>0.005183137526</v>
      </c>
    </row>
    <row r="1104">
      <c r="A1104" s="2">
        <f>(('Historical Data'!C1106)-('Historical Data'!C1105))/('Historical Data'!C1105)</f>
        <v>0.01014102361</v>
      </c>
      <c r="D1104" s="2">
        <f>(('Historical Data'!L1106)-('Historical Data'!L1105))/('Historical Data'!L1105)</f>
        <v>0.02874472574</v>
      </c>
      <c r="E1104" s="2">
        <f>(('Historical Data'!O1106)-('Historical Data'!O1105))/('Historical Data'!O1105)</f>
        <v>0.002062564455</v>
      </c>
    </row>
    <row r="1105">
      <c r="A1105" s="2">
        <f>(('Historical Data'!C1107)-('Historical Data'!C1106))/('Historical Data'!C1106)</f>
        <v>-0.006431372549</v>
      </c>
      <c r="D1105" s="2">
        <f>(('Historical Data'!L1107)-('Historical Data'!L1106))/('Historical Data'!L1106)</f>
        <v>-0.0005126890541</v>
      </c>
      <c r="E1105" s="2">
        <f>(('Historical Data'!O1107)-('Historical Data'!O1106))/('Historical Data'!O1106)</f>
        <v>-0.007204116638</v>
      </c>
    </row>
    <row r="1106">
      <c r="A1106" s="2">
        <f>(('Historical Data'!C1108)-('Historical Data'!C1107))/('Historical Data'!C1107)</f>
        <v>-0.004578465425</v>
      </c>
      <c r="D1106" s="2">
        <f>(('Historical Data'!L1108)-('Historical Data'!L1107))/('Historical Data'!L1107)</f>
        <v>0.006411900487</v>
      </c>
      <c r="E1106" s="2">
        <f>(('Historical Data'!O1108)-('Historical Data'!O1107))/('Historical Data'!O1107)</f>
        <v>0.00794747754</v>
      </c>
    </row>
    <row r="1107">
      <c r="A1107" s="2">
        <f>(('Historical Data'!C1109)-('Historical Data'!C1108))/('Historical Data'!C1108)</f>
        <v>-0.0001586042823</v>
      </c>
      <c r="D1107" s="2">
        <f>(('Historical Data'!L1109)-('Historical Data'!L1108))/('Historical Data'!L1108)</f>
        <v>-0.008409785933</v>
      </c>
      <c r="E1107" s="2">
        <f>(('Historical Data'!O1109)-('Historical Data'!O1108))/('Historical Data'!O1108)</f>
        <v>-0.002399725746</v>
      </c>
    </row>
    <row r="1108">
      <c r="A1108" s="2">
        <f>(('Historical Data'!C1110)-('Historical Data'!C1109))/('Historical Data'!C1109)</f>
        <v>0.01284898477</v>
      </c>
      <c r="D1108" s="2">
        <f>(('Historical Data'!L1110)-('Historical Data'!L1109))/('Historical Data'!L1109)</f>
        <v>0.008481110254</v>
      </c>
      <c r="E1108" s="2">
        <f>(('Historical Data'!O1110)-('Historical Data'!O1109))/('Historical Data'!O1109)</f>
        <v>0.01649484536</v>
      </c>
    </row>
    <row r="1109">
      <c r="A1109" s="2">
        <f>(('Historical Data'!C1111)-('Historical Data'!C1110))/('Historical Data'!C1110)</f>
        <v>0.007987470634</v>
      </c>
      <c r="D1109" s="2">
        <f>(('Historical Data'!L1111)-('Historical Data'!L1110))/('Historical Data'!L1110)</f>
        <v>-0.02370030581</v>
      </c>
      <c r="E1109" s="2">
        <f>(('Historical Data'!O1111)-('Historical Data'!O1110))/('Historical Data'!O1110)</f>
        <v>-0.000676132522</v>
      </c>
    </row>
    <row r="1110">
      <c r="A1110" s="2">
        <f>(('Historical Data'!C1112)-('Historical Data'!C1111))/('Historical Data'!C1111)</f>
        <v>0.0004661280298</v>
      </c>
      <c r="D1110" s="2">
        <f>(('Historical Data'!L1112)-('Historical Data'!L1111))/('Historical Data'!L1111)</f>
        <v>0.007830853563</v>
      </c>
      <c r="E1110" s="2">
        <f>(('Historical Data'!O1112)-('Historical Data'!O1111))/('Historical Data'!O1111)</f>
        <v>-0.02165087957</v>
      </c>
    </row>
    <row r="1111">
      <c r="A1111" s="2">
        <f>(('Historical Data'!C1113)-('Historical Data'!C1112))/('Historical Data'!C1112)</f>
        <v>0.003571983227</v>
      </c>
      <c r="D1111" s="2">
        <f>(('Historical Data'!L1113)-('Historical Data'!L1112))/('Historical Data'!L1112)</f>
        <v>-0.000259000259</v>
      </c>
      <c r="E1111" s="2">
        <f>(('Historical Data'!O1113)-('Historical Data'!O1112))/('Historical Data'!O1112)</f>
        <v>0.004495159059</v>
      </c>
    </row>
    <row r="1112">
      <c r="A1112" s="2">
        <f>(('Historical Data'!C1114)-('Historical Data'!C1113))/('Historical Data'!C1113)</f>
        <v>0.02228412256</v>
      </c>
      <c r="D1112" s="2">
        <f>(('Historical Data'!L1114)-('Historical Data'!L1113))/('Historical Data'!L1113)</f>
        <v>0.007772020725</v>
      </c>
      <c r="E1112" s="2">
        <f>(('Historical Data'!O1114)-('Historical Data'!O1113))/('Historical Data'!O1113)</f>
        <v>0.0082616179</v>
      </c>
    </row>
    <row r="1113">
      <c r="A1113" s="2">
        <f>(('Historical Data'!C1115)-('Historical Data'!C1114))/('Historical Data'!C1114)</f>
        <v>-0.002422040569</v>
      </c>
      <c r="D1113" s="2">
        <f>(('Historical Data'!L1115)-('Historical Data'!L1114))/('Historical Data'!L1114)</f>
        <v>-0.009768637532</v>
      </c>
      <c r="E1113" s="2">
        <f>(('Historical Data'!O1115)-('Historical Data'!O1114))/('Historical Data'!O1114)</f>
        <v>0.005804028679</v>
      </c>
    </row>
    <row r="1114">
      <c r="A1114" s="2">
        <f>(('Historical Data'!C1116)-('Historical Data'!C1115))/('Historical Data'!C1115)</f>
        <v>-0.01138088012</v>
      </c>
      <c r="D1114" s="2">
        <f>(('Historical Data'!L1116)-('Historical Data'!L1115))/('Historical Data'!L1115)</f>
        <v>-0.005970924195</v>
      </c>
      <c r="E1114" s="2">
        <f>(('Historical Data'!O1116)-('Historical Data'!O1115))/('Historical Data'!O1115)</f>
        <v>0.0261371351</v>
      </c>
    </row>
    <row r="1115">
      <c r="A1115" s="2">
        <f>(('Historical Data'!C1117)-('Historical Data'!C1116))/('Historical Data'!C1116)</f>
        <v>-0.0147352264</v>
      </c>
      <c r="D1115" s="2">
        <f>(('Historical Data'!L1117)-('Historical Data'!L1116))/('Historical Data'!L1116)</f>
        <v>0.001305823975</v>
      </c>
      <c r="E1115" s="2">
        <f>(('Historical Data'!O1117)-('Historical Data'!O1116))/('Historical Data'!O1116)</f>
        <v>0.01918623884</v>
      </c>
    </row>
    <row r="1116">
      <c r="A1116" s="2">
        <f>(('Historical Data'!C1118)-('Historical Data'!C1117))/('Historical Data'!C1117)</f>
        <v>0.01417666303</v>
      </c>
      <c r="D1116" s="2">
        <f>(('Historical Data'!L1118)-('Historical Data'!L1117))/('Historical Data'!L1117)</f>
        <v>0.003129890454</v>
      </c>
      <c r="E1116" s="2">
        <f>(('Historical Data'!O1118)-('Historical Data'!O1117))/('Historical Data'!O1117)</f>
        <v>0.003570269393</v>
      </c>
    </row>
    <row r="1117">
      <c r="A1117" s="2">
        <f>(('Historical Data'!C1119)-('Historical Data'!C1118))/('Historical Data'!C1118)</f>
        <v>-0.01551459293</v>
      </c>
      <c r="D1117" s="2">
        <f>(('Historical Data'!L1119)-('Historical Data'!L1118))/('Historical Data'!L1118)</f>
        <v>0.0007800312012</v>
      </c>
      <c r="E1117" s="2">
        <f>(('Historical Data'!O1119)-('Historical Data'!O1118))/('Historical Data'!O1118)</f>
        <v>0.02587322122</v>
      </c>
    </row>
    <row r="1118">
      <c r="A1118" s="2">
        <f>(('Historical Data'!C1120)-('Historical Data'!C1119))/('Historical Data'!C1119)</f>
        <v>0.02215634264</v>
      </c>
      <c r="D1118" s="2">
        <f>(('Historical Data'!L1120)-('Historical Data'!L1119))/('Historical Data'!L1119)</f>
        <v>-0.01688750325</v>
      </c>
      <c r="E1118" s="2">
        <f>(('Historical Data'!O1120)-('Historical Data'!O1119))/('Historical Data'!O1119)</f>
        <v>-0.01765447667</v>
      </c>
    </row>
    <row r="1119">
      <c r="A1119" s="2">
        <f>(('Historical Data'!C1121)-('Historical Data'!C1120))/('Historical Data'!C1120)</f>
        <v>-0.002747672111</v>
      </c>
      <c r="D1119" s="2">
        <f>(('Historical Data'!L1121)-('Historical Data'!L1120))/('Historical Data'!L1120)</f>
        <v>0.005021141649</v>
      </c>
      <c r="E1119" s="2">
        <f>(('Historical Data'!O1121)-('Historical Data'!O1120))/('Historical Data'!O1120)</f>
        <v>0.013478819</v>
      </c>
    </row>
    <row r="1120">
      <c r="A1120" s="2">
        <f>(('Historical Data'!C1122)-('Historical Data'!C1121))/('Historical Data'!C1121)</f>
        <v>0.007806520741</v>
      </c>
      <c r="D1120" s="2">
        <f>(('Historical Data'!L1122)-('Historical Data'!L1121))/('Historical Data'!L1121)</f>
        <v>0.009992111491</v>
      </c>
      <c r="E1120" s="2">
        <f>(('Historical Data'!O1122)-('Historical Data'!O1121))/('Historical Data'!O1121)</f>
        <v>-0.0139328689</v>
      </c>
    </row>
    <row r="1121">
      <c r="A1121" s="2">
        <f>(('Historical Data'!C1123)-('Historical Data'!C1122))/('Historical Data'!C1122)</f>
        <v>0.007290400972</v>
      </c>
      <c r="D1121" s="2">
        <f>(('Historical Data'!L1123)-('Historical Data'!L1122))/('Historical Data'!L1122)</f>
        <v>-0.00416558188</v>
      </c>
      <c r="E1121" s="2">
        <f>(('Historical Data'!O1123)-('Historical Data'!O1122))/('Historical Data'!O1122)</f>
        <v>0.003532434168</v>
      </c>
    </row>
    <row r="1122">
      <c r="A1122" s="2">
        <f>(('Historical Data'!C1124)-('Historical Data'!C1123))/('Historical Data'!C1123)</f>
        <v>0.01598311218</v>
      </c>
      <c r="D1122" s="2">
        <f>(('Historical Data'!L1124)-('Historical Data'!L1123))/('Historical Data'!L1123)</f>
        <v>0.00862745098</v>
      </c>
      <c r="E1122" s="2">
        <f>(('Historical Data'!O1124)-('Historical Data'!O1123))/('Historical Data'!O1123)</f>
        <v>-0.02976</v>
      </c>
    </row>
    <row r="1123">
      <c r="A1123" s="2">
        <f>(('Historical Data'!C1125)-('Historical Data'!C1124))/('Historical Data'!C1124)</f>
        <v>0.007569011576</v>
      </c>
      <c r="D1123" s="2">
        <f>(('Historical Data'!L1125)-('Historical Data'!L1124))/('Historical Data'!L1124)</f>
        <v>-0.01840331778</v>
      </c>
      <c r="E1123" s="2">
        <f>(('Historical Data'!O1125)-('Historical Data'!O1124))/('Historical Data'!O1124)</f>
        <v>-0.01616094987</v>
      </c>
    </row>
    <row r="1124">
      <c r="A1124" s="2">
        <f>(('Historical Data'!C1126)-('Historical Data'!C1125))/('Historical Data'!C1125)</f>
        <v>0.004418912947</v>
      </c>
      <c r="D1124" s="2">
        <f>(('Historical Data'!L1126)-('Historical Data'!L1125))/('Historical Data'!L1125)</f>
        <v>0.01135463428</v>
      </c>
      <c r="E1124" s="2">
        <f>(('Historical Data'!O1126)-('Historical Data'!O1125))/('Historical Data'!O1125)</f>
        <v>0.01642641636</v>
      </c>
    </row>
    <row r="1125">
      <c r="A1125" s="2">
        <f>(('Historical Data'!C1127)-('Historical Data'!C1126))/('Historical Data'!C1126)</f>
        <v>0.01114532923</v>
      </c>
      <c r="D1125" s="2">
        <f>(('Historical Data'!L1127)-('Historical Data'!L1126))/('Historical Data'!L1126)</f>
        <v>-0.01462140992</v>
      </c>
      <c r="E1125" s="2">
        <f>(('Historical Data'!O1127)-('Historical Data'!O1126))/('Historical Data'!O1126)</f>
        <v>-0.0009894459103</v>
      </c>
    </row>
    <row r="1126">
      <c r="A1126" s="2">
        <f>(('Historical Data'!C1128)-('Historical Data'!C1127))/('Historical Data'!C1127)</f>
        <v>-0.00435097897</v>
      </c>
      <c r="D1126" s="2">
        <f>(('Historical Data'!L1128)-('Historical Data'!L1127))/('Historical Data'!L1127)</f>
        <v>0.001059883413</v>
      </c>
      <c r="E1126" s="2">
        <f>(('Historical Data'!O1128)-('Historical Data'!O1127))/('Historical Data'!O1127)</f>
        <v>0.001650709805</v>
      </c>
    </row>
    <row r="1127">
      <c r="A1127" s="2">
        <f>(('Historical Data'!C1129)-('Historical Data'!C1128))/('Historical Data'!C1128)</f>
        <v>0.01063364894</v>
      </c>
      <c r="D1127" s="2">
        <f>(('Historical Data'!L1129)-('Historical Data'!L1128))/('Historical Data'!L1128)</f>
        <v>-0.008999470619</v>
      </c>
      <c r="E1127" s="2">
        <f>(('Historical Data'!O1129)-('Historical Data'!O1128))/('Historical Data'!O1128)</f>
        <v>-0.01351351351</v>
      </c>
    </row>
    <row r="1128">
      <c r="A1128" s="2">
        <f>(('Historical Data'!C1130)-('Historical Data'!C1129))/('Historical Data'!C1129)</f>
        <v>-0.004035745172</v>
      </c>
      <c r="D1128" s="2">
        <f>(('Historical Data'!L1130)-('Historical Data'!L1129))/('Historical Data'!L1129)</f>
        <v>0.02377136752</v>
      </c>
      <c r="E1128" s="2">
        <f>(('Historical Data'!O1130)-('Historical Data'!O1129))/('Historical Data'!O1129)</f>
        <v>0.01904443702</v>
      </c>
    </row>
    <row r="1129">
      <c r="A1129" s="2">
        <f>(('Historical Data'!C1131)-('Historical Data'!C1130))/('Historical Data'!C1130)</f>
        <v>-0.007380607815</v>
      </c>
      <c r="D1129" s="2">
        <f>(('Historical Data'!L1131)-('Historical Data'!L1130))/('Historical Data'!L1130)</f>
        <v>-0.008348552048</v>
      </c>
      <c r="E1129" s="2">
        <f>(('Historical Data'!O1131)-('Historical Data'!O1130))/('Historical Data'!O1130)</f>
        <v>0.0262295082</v>
      </c>
    </row>
    <row r="1130">
      <c r="A1130" s="2">
        <f>(('Historical Data'!C1132)-('Historical Data'!C1131))/('Historical Data'!C1131)</f>
        <v>0.0113719201</v>
      </c>
      <c r="D1130" s="2">
        <f>(('Historical Data'!L1132)-('Historical Data'!L1131))/('Historical Data'!L1131)</f>
        <v>-0.003420152591</v>
      </c>
      <c r="E1130" s="2">
        <f>(('Historical Data'!O1132)-('Historical Data'!O1131))/('Historical Data'!O1131)</f>
        <v>-0.01182108626</v>
      </c>
    </row>
    <row r="1131">
      <c r="A1131" s="2">
        <f>(('Historical Data'!C1133)-('Historical Data'!C1132))/('Historical Data'!C1132)</f>
        <v>-0.006342799481</v>
      </c>
      <c r="D1131" s="2">
        <f>(('Historical Data'!L1133)-('Historical Data'!L1132))/('Historical Data'!L1132)</f>
        <v>0.01135163675</v>
      </c>
      <c r="E1131" s="2">
        <f>(('Historical Data'!O1133)-('Historical Data'!O1132))/('Historical Data'!O1132)</f>
        <v>-0.02198512771</v>
      </c>
    </row>
    <row r="1132">
      <c r="A1132" s="2">
        <f>(('Historical Data'!C1134)-('Historical Data'!C1133))/('Historical Data'!C1133)</f>
        <v>-0.004932540258</v>
      </c>
      <c r="D1132" s="2">
        <f>(('Historical Data'!L1134)-('Historical Data'!L1133))/('Historical Data'!L1133)</f>
        <v>0.001044113808</v>
      </c>
      <c r="E1132" s="2">
        <f>(('Historical Data'!O1134)-('Historical Data'!O1133))/('Historical Data'!O1133)</f>
        <v>0.03371900826</v>
      </c>
    </row>
    <row r="1133">
      <c r="A1133" s="2">
        <f>(('Historical Data'!C1135)-('Historical Data'!C1134))/('Historical Data'!C1134)</f>
        <v>0.00991398163</v>
      </c>
      <c r="D1133" s="2">
        <f>(('Historical Data'!L1135)-('Historical Data'!L1134))/('Historical Data'!L1134)</f>
        <v>-0.00443285528</v>
      </c>
      <c r="E1133" s="2">
        <f>(('Historical Data'!O1135)-('Historical Data'!O1134))/('Historical Data'!O1134)</f>
        <v>0</v>
      </c>
    </row>
    <row r="1134">
      <c r="A1134" s="2">
        <f>(('Historical Data'!C1136)-('Historical Data'!C1135))/('Historical Data'!C1135)</f>
        <v>-0.007362494586</v>
      </c>
      <c r="D1134" s="2">
        <f>(('Historical Data'!L1136)-('Historical Data'!L1135))/('Historical Data'!L1135)</f>
        <v>-0.03693033002</v>
      </c>
      <c r="E1134" s="2">
        <f>(('Historical Data'!O1136)-('Historical Data'!O1135))/('Historical Data'!O1135)</f>
        <v>0.007994883275</v>
      </c>
    </row>
    <row r="1135">
      <c r="A1135" s="2">
        <f>(('Historical Data'!C1137)-('Historical Data'!C1136))/('Historical Data'!C1136)</f>
        <v>-0.01178010471</v>
      </c>
      <c r="D1135" s="2">
        <f>(('Historical Data'!L1137)-('Historical Data'!L1136))/('Historical Data'!L1136)</f>
        <v>0.031819418</v>
      </c>
      <c r="E1135" s="2">
        <f>(('Historical Data'!O1137)-('Historical Data'!O1136))/('Historical Data'!O1136)</f>
        <v>0.03553299492</v>
      </c>
    </row>
    <row r="1136">
      <c r="A1136" s="2">
        <f>(('Historical Data'!C1138)-('Historical Data'!C1137))/('Historical Data'!C1137)</f>
        <v>-0.00191317145</v>
      </c>
      <c r="D1136" s="2">
        <f>(('Historical Data'!L1138)-('Historical Data'!L1137))/('Historical Data'!L1137)</f>
        <v>-0.006852925672</v>
      </c>
      <c r="E1136" s="2">
        <f>(('Historical Data'!O1138)-('Historical Data'!O1137))/('Historical Data'!O1137)</f>
        <v>-0.01654411765</v>
      </c>
    </row>
    <row r="1137">
      <c r="A1137" s="2">
        <f>(('Historical Data'!C1139)-('Historical Data'!C1138))/('Historical Data'!C1138)</f>
        <v>-0.009436744323</v>
      </c>
      <c r="D1137" s="2">
        <f>(('Historical Data'!L1139)-('Historical Data'!L1138))/('Historical Data'!L1138)</f>
        <v>0.004246284501</v>
      </c>
      <c r="E1137" s="2">
        <f>(('Historical Data'!O1139)-('Historical Data'!O1138))/('Historical Data'!O1138)</f>
        <v>-0.007476635514</v>
      </c>
    </row>
    <row r="1138">
      <c r="A1138" s="2">
        <f>(('Historical Data'!C1140)-('Historical Data'!C1139))/('Historical Data'!C1139)</f>
        <v>0.002828222685</v>
      </c>
      <c r="D1138" s="2">
        <f>(('Historical Data'!L1140)-('Historical Data'!L1139))/('Historical Data'!L1139)</f>
        <v>-0.0002642706131</v>
      </c>
      <c r="E1138" s="2">
        <f>(('Historical Data'!O1140)-('Historical Data'!O1139))/('Historical Data'!O1139)</f>
        <v>0.001883239171</v>
      </c>
    </row>
    <row r="1139">
      <c r="A1139" s="2">
        <f>(('Historical Data'!C1141)-('Historical Data'!C1140))/('Historical Data'!C1140)</f>
        <v>0.01380436396</v>
      </c>
      <c r="D1139" s="2">
        <f>(('Historical Data'!L1141)-('Historical Data'!L1140))/('Historical Data'!L1140)</f>
        <v>-0.001321702353</v>
      </c>
      <c r="E1139" s="2">
        <f>(('Historical Data'!O1141)-('Historical Data'!O1140))/('Historical Data'!O1140)</f>
        <v>0.005325814536</v>
      </c>
    </row>
    <row r="1140">
      <c r="A1140" s="2">
        <f>(('Historical Data'!C1142)-('Historical Data'!C1141))/('Historical Data'!C1141)</f>
        <v>-0.003660322108</v>
      </c>
      <c r="D1140" s="2">
        <f>(('Historical Data'!L1142)-('Historical Data'!L1141))/('Historical Data'!L1141)</f>
        <v>0.006352567496</v>
      </c>
      <c r="E1140" s="2">
        <f>(('Historical Data'!O1142)-('Historical Data'!O1141))/('Historical Data'!O1141)</f>
        <v>-0.003116235587</v>
      </c>
    </row>
    <row r="1141">
      <c r="A1141" s="2">
        <f>(('Historical Data'!C1143)-('Historical Data'!C1142))/('Historical Data'!C1142)</f>
        <v>0.004261572373</v>
      </c>
      <c r="D1141" s="2">
        <f>(('Historical Data'!L1143)-('Historical Data'!L1142))/('Historical Data'!L1142)</f>
        <v>-0.004734350342</v>
      </c>
      <c r="E1141" s="2">
        <f>(('Historical Data'!O1143)-('Historical Data'!O1142))/('Historical Data'!O1142)</f>
        <v>0.007502344483</v>
      </c>
    </row>
    <row r="1142">
      <c r="A1142" s="2">
        <f>(('Historical Data'!C1144)-('Historical Data'!C1143))/('Historical Data'!C1143)</f>
        <v>-0.002633889377</v>
      </c>
      <c r="D1142" s="2">
        <f>(('Historical Data'!L1144)-('Historical Data'!L1143))/('Historical Data'!L1143)</f>
        <v>0.01083509514</v>
      </c>
      <c r="E1142" s="2">
        <f>(('Historical Data'!O1144)-('Historical Data'!O1143))/('Historical Data'!O1143)</f>
        <v>0.00899782811</v>
      </c>
    </row>
    <row r="1143">
      <c r="A1143" s="2">
        <f>(('Historical Data'!C1145)-('Historical Data'!C1144))/('Historical Data'!C1144)</f>
        <v>0.006748826291</v>
      </c>
      <c r="D1143" s="2">
        <f>(('Historical Data'!L1145)-('Historical Data'!L1144))/('Historical Data'!L1144)</f>
        <v>-0.00339869281</v>
      </c>
      <c r="E1143" s="2">
        <f>(('Historical Data'!O1145)-('Historical Data'!O1144))/('Historical Data'!O1144)</f>
        <v>0.005842558426</v>
      </c>
    </row>
    <row r="1144">
      <c r="A1144" s="2">
        <f>(('Historical Data'!C1146)-('Historical Data'!C1145))/('Historical Data'!C1145)</f>
        <v>-0.004809093559</v>
      </c>
      <c r="D1144" s="2">
        <f>(('Historical Data'!L1146)-('Historical Data'!L1145))/('Historical Data'!L1145)</f>
        <v>0.002098635887</v>
      </c>
      <c r="E1144" s="2">
        <f>(('Historical Data'!O1146)-('Historical Data'!O1145))/('Historical Data'!O1145)</f>
        <v>-0.01773158056</v>
      </c>
    </row>
    <row r="1145">
      <c r="A1145" s="2">
        <f>(('Historical Data'!C1147)-('Historical Data'!C1146))/('Historical Data'!C1146)</f>
        <v>0.005857372968</v>
      </c>
      <c r="D1145" s="2">
        <f>(('Historical Data'!L1147)-('Historical Data'!L1146))/('Historical Data'!L1146)</f>
        <v>0.02356020942</v>
      </c>
      <c r="E1145" s="2">
        <f>(('Historical Data'!O1147)-('Historical Data'!O1146))/('Historical Data'!O1146)</f>
        <v>0.002178649237</v>
      </c>
    </row>
    <row r="1146">
      <c r="A1146" s="2">
        <f>(('Historical Data'!C1148)-('Historical Data'!C1147))/('Historical Data'!C1147)</f>
        <v>-0.01120978308</v>
      </c>
      <c r="D1146" s="2">
        <f>(('Historical Data'!L1148)-('Historical Data'!L1147))/('Historical Data'!L1147)</f>
        <v>-0.005115089514</v>
      </c>
      <c r="E1146" s="2">
        <f>(('Historical Data'!O1148)-('Historical Data'!O1147))/('Historical Data'!O1147)</f>
        <v>0.01459627329</v>
      </c>
    </row>
    <row r="1147">
      <c r="A1147" s="2">
        <f>(('Historical Data'!C1149)-('Historical Data'!C1148))/('Historical Data'!C1148)</f>
        <v>0.0005889281508</v>
      </c>
      <c r="D1147" s="2">
        <f>(('Historical Data'!L1149)-('Historical Data'!L1148))/('Historical Data'!L1148)</f>
        <v>0.01311053985</v>
      </c>
      <c r="E1147" s="2">
        <f>(('Historical Data'!O1149)-('Historical Data'!O1148))/('Historical Data'!O1148)</f>
        <v>0.00887664524</v>
      </c>
    </row>
    <row r="1148">
      <c r="A1148" s="2">
        <f>(('Historical Data'!C1150)-('Historical Data'!C1149))/('Historical Data'!C1149)</f>
        <v>0.004708652148</v>
      </c>
      <c r="D1148" s="2">
        <f>(('Historical Data'!L1150)-('Historical Data'!L1149))/('Historical Data'!L1149)</f>
        <v>-0.01167216443</v>
      </c>
      <c r="E1148" s="2">
        <f>(('Historical Data'!O1150)-('Historical Data'!O1149))/('Historical Data'!O1149)</f>
        <v>-0.02154126214</v>
      </c>
    </row>
    <row r="1149">
      <c r="A1149" s="2">
        <f>(('Historical Data'!C1151)-('Historical Data'!C1150))/('Historical Data'!C1150)</f>
        <v>-0.002929115407</v>
      </c>
      <c r="D1149" s="2">
        <f>(('Historical Data'!L1151)-('Historical Data'!L1150))/('Historical Data'!L1150)</f>
        <v>-0.003337612323</v>
      </c>
      <c r="E1149" s="2">
        <f>(('Historical Data'!O1151)-('Historical Data'!O1150))/('Historical Data'!O1150)</f>
        <v>-0.003100775194</v>
      </c>
    </row>
    <row r="1150">
      <c r="A1150" s="2">
        <f>(('Historical Data'!C1152)-('Historical Data'!C1151))/('Historical Data'!C1151)</f>
        <v>-0.0142479436</v>
      </c>
      <c r="D1150" s="2">
        <f>(('Historical Data'!L1152)-('Historical Data'!L1151))/('Historical Data'!L1151)</f>
        <v>0.005151983514</v>
      </c>
      <c r="E1150" s="2">
        <f>(('Historical Data'!O1152)-('Historical Data'!O1151))/('Historical Data'!O1151)</f>
        <v>-0.01244167963</v>
      </c>
    </row>
    <row r="1151">
      <c r="A1151" s="2">
        <f>(('Historical Data'!C1153)-('Historical Data'!C1152))/('Historical Data'!C1152)</f>
        <v>0.02056325436</v>
      </c>
      <c r="D1151" s="2">
        <f>(('Historical Data'!L1153)-('Historical Data'!L1152))/('Historical Data'!L1152)</f>
        <v>0.01281394157</v>
      </c>
      <c r="E1151" s="2">
        <f>(('Historical Data'!O1153)-('Historical Data'!O1152))/('Historical Data'!O1152)</f>
        <v>0.02330708661</v>
      </c>
    </row>
    <row r="1152">
      <c r="A1152" s="2">
        <f>(('Historical Data'!C1154)-('Historical Data'!C1153))/('Historical Data'!C1153)</f>
        <v>-0.01416265148</v>
      </c>
      <c r="D1152" s="2">
        <f>(('Historical Data'!L1154)-('Historical Data'!L1153))/('Historical Data'!L1153)</f>
        <v>-0.01012145749</v>
      </c>
      <c r="E1152" s="2">
        <f>(('Historical Data'!O1154)-('Historical Data'!O1153))/('Historical Data'!O1153)</f>
        <v>0.03416435826</v>
      </c>
    </row>
    <row r="1153">
      <c r="A1153" s="2">
        <f>(('Historical Data'!C1155)-('Historical Data'!C1154))/('Historical Data'!C1154)</f>
        <v>0.02502962085</v>
      </c>
      <c r="D1153" s="2">
        <f>(('Historical Data'!L1155)-('Historical Data'!L1154))/('Historical Data'!L1154)</f>
        <v>0.01252556237</v>
      </c>
      <c r="E1153" s="2">
        <f>(('Historical Data'!O1155)-('Historical Data'!O1154))/('Historical Data'!O1154)</f>
        <v>0.008333333333</v>
      </c>
    </row>
    <row r="1154">
      <c r="A1154" s="2">
        <f>(('Historical Data'!C1156)-('Historical Data'!C1155))/('Historical Data'!C1155)</f>
        <v>0.009969657564</v>
      </c>
      <c r="D1154" s="2">
        <f>(('Historical Data'!L1156)-('Historical Data'!L1155))/('Historical Data'!L1155)</f>
        <v>-0.00656399899</v>
      </c>
      <c r="E1154" s="2">
        <f>(('Historical Data'!O1156)-('Historical Data'!O1155))/('Historical Data'!O1155)</f>
        <v>0.009149940968</v>
      </c>
    </row>
    <row r="1155">
      <c r="A1155" s="2">
        <f>(('Historical Data'!C1157)-('Historical Data'!C1156))/('Historical Data'!C1156)</f>
        <v>0.02703862661</v>
      </c>
      <c r="D1155" s="2">
        <f>(('Historical Data'!L1157)-('Historical Data'!L1156))/('Historical Data'!L1156)</f>
        <v>-0.01143583227</v>
      </c>
      <c r="E1155" s="2">
        <f>(('Historical Data'!O1157)-('Historical Data'!O1156))/('Historical Data'!O1156)</f>
        <v>-0.001462415911</v>
      </c>
    </row>
    <row r="1156">
      <c r="A1156" s="2">
        <f>(('Historical Data'!C1158)-('Historical Data'!C1157))/('Historical Data'!C1157)</f>
        <v>-0.01560105864</v>
      </c>
      <c r="D1156" s="2">
        <f>(('Historical Data'!L1158)-('Historical Data'!L1157))/('Historical Data'!L1157)</f>
        <v>-0.0264781491</v>
      </c>
      <c r="E1156" s="2">
        <f>(('Historical Data'!O1158)-('Historical Data'!O1157))/('Historical Data'!O1157)</f>
        <v>-0.005565319274</v>
      </c>
    </row>
    <row r="1157">
      <c r="A1157" s="2">
        <f>(('Historical Data'!C1159)-('Historical Data'!C1158))/('Historical Data'!C1158)</f>
        <v>0.01004669591</v>
      </c>
      <c r="D1157" s="2">
        <f>(('Historical Data'!L1159)-('Historical Data'!L1158))/('Historical Data'!L1158)</f>
        <v>0.09004489041</v>
      </c>
      <c r="E1157" s="2">
        <f>(('Historical Data'!O1159)-('Historical Data'!O1158))/('Historical Data'!O1158)</f>
        <v>0.00353460972</v>
      </c>
    </row>
    <row r="1158">
      <c r="A1158" s="2">
        <f>(('Historical Data'!C1160)-('Historical Data'!C1159))/('Historical Data'!C1159)</f>
        <v>-0.01372933595</v>
      </c>
      <c r="D1158" s="2">
        <f>(('Historical Data'!L1160)-('Historical Data'!L1159))/('Historical Data'!L1159)</f>
        <v>-0.02180232558</v>
      </c>
      <c r="E1158" s="2">
        <f>(('Historical Data'!O1160)-('Historical Data'!O1159))/('Historical Data'!O1159)</f>
        <v>0.007044320517</v>
      </c>
    </row>
    <row r="1159">
      <c r="A1159" s="2">
        <f>(('Historical Data'!C1161)-('Historical Data'!C1160))/('Historical Data'!C1160)</f>
        <v>-0.015625</v>
      </c>
      <c r="D1159" s="2">
        <f>(('Historical Data'!L1161)-('Historical Data'!L1160))/('Historical Data'!L1160)</f>
        <v>0.002476473502</v>
      </c>
      <c r="E1159" s="2">
        <f>(('Historical Data'!O1161)-('Historical Data'!O1160))/('Historical Data'!O1160)</f>
        <v>0.009618187117</v>
      </c>
    </row>
    <row r="1160">
      <c r="A1160" s="2">
        <f>(('Historical Data'!C1162)-('Historical Data'!C1161))/('Historical Data'!C1161)</f>
        <v>-0.04473304473</v>
      </c>
      <c r="D1160" s="2">
        <f>(('Historical Data'!L1162)-('Historical Data'!L1161))/('Historical Data'!L1161)</f>
        <v>-0.005928853755</v>
      </c>
      <c r="E1160" s="2">
        <f>(('Historical Data'!O1162)-('Historical Data'!O1161))/('Historical Data'!O1161)</f>
        <v>-0.008949191686</v>
      </c>
    </row>
    <row r="1161">
      <c r="A1161" s="2">
        <f>(('Historical Data'!C1163)-('Historical Data'!C1162))/('Historical Data'!C1162)</f>
        <v>0.01132930514</v>
      </c>
      <c r="D1161" s="2">
        <f>(('Historical Data'!L1163)-('Historical Data'!L1162))/('Historical Data'!L1162)</f>
        <v>0.005715705765</v>
      </c>
      <c r="E1161" s="2">
        <f>(('Historical Data'!O1163)-('Historical Data'!O1162))/('Historical Data'!O1162)</f>
        <v>-0.008156131663</v>
      </c>
    </row>
    <row r="1162">
      <c r="A1162" s="2">
        <f>(('Historical Data'!C1164)-('Historical Data'!C1163))/('Historical Data'!C1163)</f>
        <v>-0.00283793876</v>
      </c>
      <c r="D1162" s="2">
        <f>(('Historical Data'!L1164)-('Historical Data'!L1163))/('Historical Data'!L1163)</f>
        <v>0.01853224611</v>
      </c>
      <c r="E1162" s="2">
        <f>(('Historical Data'!O1164)-('Historical Data'!O1163))/('Historical Data'!O1163)</f>
        <v>-0.006754772394</v>
      </c>
    </row>
    <row r="1163">
      <c r="A1163" s="2">
        <f>(('Historical Data'!C1165)-('Historical Data'!C1164))/('Historical Data'!C1164)</f>
        <v>0.005242660276</v>
      </c>
      <c r="D1163" s="2">
        <f>(('Historical Data'!L1165)-('Historical Data'!L1164))/('Historical Data'!L1164)</f>
        <v>0.007278020378</v>
      </c>
      <c r="E1163" s="2">
        <f>(('Historical Data'!O1165)-('Historical Data'!O1164))/('Historical Data'!O1164)</f>
        <v>0.001774098167</v>
      </c>
    </row>
    <row r="1164">
      <c r="A1164" s="2">
        <f>(('Historical Data'!C1166)-('Historical Data'!C1165))/('Historical Data'!C1165)</f>
        <v>-0.001341081806</v>
      </c>
      <c r="D1164" s="2">
        <f>(('Historical Data'!L1166)-('Historical Data'!L1165))/('Historical Data'!L1165)</f>
        <v>0.004816955684</v>
      </c>
      <c r="E1164" s="2">
        <f>(('Historical Data'!O1166)-('Historical Data'!O1165))/('Historical Data'!O1165)</f>
        <v>0.005017709563</v>
      </c>
    </row>
    <row r="1165">
      <c r="A1165" s="2">
        <f>(('Historical Data'!C1167)-('Historical Data'!C1166))/('Historical Data'!C1166)</f>
        <v>0.004476275739</v>
      </c>
      <c r="D1165" s="2">
        <f>(('Historical Data'!L1167)-('Historical Data'!L1166))/('Historical Data'!L1166)</f>
        <v>0.001677852349</v>
      </c>
      <c r="E1165" s="2">
        <f>(('Historical Data'!O1167)-('Historical Data'!O1166))/('Historical Data'!O1166)</f>
        <v>0.02026431718</v>
      </c>
    </row>
    <row r="1166">
      <c r="A1166" s="2">
        <f>(('Historical Data'!C1168)-('Historical Data'!C1167))/('Historical Data'!C1167)</f>
        <v>-0.002673796791</v>
      </c>
      <c r="D1166" s="2">
        <f>(('Historical Data'!L1168)-('Historical Data'!L1167))/('Historical Data'!L1167)</f>
        <v>-0.009571667863</v>
      </c>
      <c r="E1166" s="2">
        <f>(('Historical Data'!O1168)-('Historical Data'!O1167))/('Historical Data'!O1167)</f>
        <v>0.006620610248</v>
      </c>
    </row>
    <row r="1167">
      <c r="A1167" s="2">
        <f>(('Historical Data'!C1169)-('Historical Data'!C1168))/('Historical Data'!C1168)</f>
        <v>0.01861781352</v>
      </c>
      <c r="D1167" s="2">
        <f>(('Historical Data'!L1169)-('Historical Data'!L1168))/('Historical Data'!L1168)</f>
        <v>0.002416042522</v>
      </c>
      <c r="E1167" s="2">
        <f>(('Historical Data'!O1169)-('Historical Data'!O1168))/('Historical Data'!O1168)</f>
        <v>-0.008578781813</v>
      </c>
    </row>
    <row r="1168">
      <c r="A1168" s="2">
        <f>(('Historical Data'!C1170)-('Historical Data'!C1169))/('Historical Data'!C1169)</f>
        <v>0.0007311010382</v>
      </c>
      <c r="D1168" s="2">
        <f>(('Historical Data'!L1170)-('Historical Data'!L1169))/('Historical Data'!L1169)</f>
        <v>-0.001205109665</v>
      </c>
      <c r="E1168" s="2">
        <f>(('Historical Data'!O1170)-('Historical Data'!O1169))/('Historical Data'!O1169)</f>
        <v>0.006345543698</v>
      </c>
    </row>
    <row r="1169">
      <c r="A1169" s="2">
        <f>(('Historical Data'!C1171)-('Historical Data'!C1170))/('Historical Data'!C1170)</f>
        <v>0.01446522501</v>
      </c>
      <c r="D1169" s="2">
        <f>(('Historical Data'!L1171)-('Historical Data'!L1170))/('Historical Data'!L1170)</f>
        <v>0.006998069498</v>
      </c>
      <c r="E1169" s="2">
        <f>(('Historical Data'!O1171)-('Historical Data'!O1170))/('Historical Data'!O1170)</f>
        <v>0.01318429349</v>
      </c>
    </row>
    <row r="1170">
      <c r="A1170" s="2">
        <f>(('Historical Data'!C1172)-('Historical Data'!C1171))/('Historical Data'!C1171)</f>
        <v>-0.00489701858</v>
      </c>
      <c r="D1170" s="2">
        <f>(('Historical Data'!L1172)-('Historical Data'!L1171))/('Historical Data'!L1171)</f>
        <v>0.002875629044</v>
      </c>
      <c r="E1170" s="2">
        <f>(('Historical Data'!O1172)-('Historical Data'!O1171))/('Historical Data'!O1171)</f>
        <v>-0.003394625177</v>
      </c>
    </row>
    <row r="1171">
      <c r="A1171" s="2">
        <f>(('Historical Data'!C1173)-('Historical Data'!C1172))/('Historical Data'!C1172)</f>
        <v>-0.01867129831</v>
      </c>
      <c r="D1171" s="2">
        <f>(('Historical Data'!L1173)-('Historical Data'!L1172))/('Historical Data'!L1172)</f>
        <v>0.004778972521</v>
      </c>
      <c r="E1171" s="2">
        <f>(('Historical Data'!O1173)-('Historical Data'!O1172))/('Historical Data'!O1172)</f>
        <v>0</v>
      </c>
    </row>
    <row r="1172">
      <c r="A1172" s="2">
        <f>(('Historical Data'!C1174)-('Historical Data'!C1173))/('Historical Data'!C1173)</f>
        <v>-0.00191740413</v>
      </c>
      <c r="D1172" s="2">
        <f>(('Historical Data'!L1174)-('Historical Data'!L1173))/('Historical Data'!L1173)</f>
        <v>-0.01260404281</v>
      </c>
      <c r="E1172" s="2">
        <f>(('Historical Data'!O1174)-('Historical Data'!O1173))/('Historical Data'!O1173)</f>
        <v>-0.02185637241</v>
      </c>
    </row>
    <row r="1173">
      <c r="A1173" s="2">
        <f>(('Historical Data'!C1175)-('Historical Data'!C1174))/('Historical Data'!C1174)</f>
        <v>0.004728831092</v>
      </c>
      <c r="D1173" s="2">
        <f>(('Historical Data'!L1175)-('Historical Data'!L1174))/('Historical Data'!L1174)</f>
        <v>-0.005057803468</v>
      </c>
      <c r="E1173" s="2">
        <f>(('Historical Data'!O1175)-('Historical Data'!O1174))/('Historical Data'!O1174)</f>
        <v>-0.004643064423</v>
      </c>
    </row>
    <row r="1174">
      <c r="A1174" s="2">
        <f>(('Historical Data'!C1176)-('Historical Data'!C1175))/('Historical Data'!C1175)</f>
        <v>-0.01603176938</v>
      </c>
      <c r="D1174" s="2">
        <f>(('Historical Data'!L1176)-('Historical Data'!L1175))/('Historical Data'!L1175)</f>
        <v>-0.0038731542</v>
      </c>
      <c r="E1174" s="2">
        <f>(('Historical Data'!O1176)-('Historical Data'!O1175))/('Historical Data'!O1175)</f>
        <v>-0.01078717201</v>
      </c>
    </row>
    <row r="1175">
      <c r="A1175" s="2">
        <f>(('Historical Data'!C1177)-('Historical Data'!C1176))/('Historical Data'!C1176)</f>
        <v>-0.0002989536622</v>
      </c>
      <c r="D1175" s="2">
        <f>(('Historical Data'!L1177)-('Historical Data'!L1176))/('Historical Data'!L1176)</f>
        <v>-0.03377885784</v>
      </c>
      <c r="E1175" s="2">
        <f>(('Historical Data'!O1177)-('Historical Data'!O1176))/('Historical Data'!O1176)</f>
        <v>-0.0005894488653</v>
      </c>
    </row>
    <row r="1176">
      <c r="A1176" s="2">
        <f>(('Historical Data'!C1178)-('Historical Data'!C1177))/('Historical Data'!C1177)</f>
        <v>0.006877990431</v>
      </c>
      <c r="D1176" s="2">
        <f>(('Historical Data'!L1178)-('Historical Data'!L1177))/('Historical Data'!L1177)</f>
        <v>0.006790744467</v>
      </c>
      <c r="E1176" s="2">
        <f>(('Historical Data'!O1178)-('Historical Data'!O1177))/('Historical Data'!O1177)</f>
        <v>0.005308168682</v>
      </c>
    </row>
    <row r="1177">
      <c r="A1177" s="2">
        <f>(('Historical Data'!C1179)-('Historical Data'!C1178))/('Historical Data'!C1178)</f>
        <v>0.01173151173</v>
      </c>
      <c r="D1177" s="2">
        <f>(('Historical Data'!L1179)-('Historical Data'!L1178))/('Historical Data'!L1178)</f>
        <v>-0.01948538596</v>
      </c>
      <c r="E1177" s="2">
        <f>(('Historical Data'!O1179)-('Historical Data'!O1178))/('Historical Data'!O1178)</f>
        <v>0.01965385744</v>
      </c>
    </row>
    <row r="1178">
      <c r="A1178" s="2">
        <f>(('Historical Data'!C1180)-('Historical Data'!C1179))/('Historical Data'!C1179)</f>
        <v>-0.006458241597</v>
      </c>
      <c r="D1178" s="2">
        <f>(('Historical Data'!L1180)-('Historical Data'!L1179))/('Historical Data'!L1179)</f>
        <v>0.003821656051</v>
      </c>
      <c r="E1178" s="2">
        <f>(('Historical Data'!O1180)-('Historical Data'!O1179))/('Historical Data'!O1179)</f>
        <v>-0.0083429229</v>
      </c>
    </row>
    <row r="1179">
      <c r="A1179" s="2">
        <f>(('Historical Data'!C1181)-('Historical Data'!C1180))/('Historical Data'!C1180)</f>
        <v>-0.01713694785</v>
      </c>
      <c r="D1179" s="2">
        <f>(('Historical Data'!L1181)-('Historical Data'!L1180))/('Historical Data'!L1180)</f>
        <v>0.02131979695</v>
      </c>
      <c r="E1179" s="2">
        <f>(('Historical Data'!O1181)-('Historical Data'!O1180))/('Historical Data'!O1180)</f>
        <v>-0.0168262257</v>
      </c>
    </row>
    <row r="1180">
      <c r="A1180" s="2">
        <f>(('Historical Data'!C1182)-('Historical Data'!C1181))/('Historical Data'!C1181)</f>
        <v>0.007365098452</v>
      </c>
      <c r="D1180" s="2">
        <f>(('Historical Data'!L1182)-('Historical Data'!L1181))/('Historical Data'!L1181)</f>
        <v>-0.01391650099</v>
      </c>
      <c r="E1180" s="2">
        <f>(('Historical Data'!O1182)-('Historical Data'!O1181))/('Historical Data'!O1181)</f>
        <v>0.009442313367</v>
      </c>
    </row>
    <row r="1181">
      <c r="A1181" s="2">
        <f>(('Historical Data'!C1183)-('Historical Data'!C1182))/('Historical Data'!C1182)</f>
        <v>-0.001342882722</v>
      </c>
      <c r="D1181" s="2">
        <f>(('Historical Data'!L1183)-('Historical Data'!L1182))/('Historical Data'!L1182)</f>
        <v>0.009576612903</v>
      </c>
      <c r="E1181" s="2">
        <f>(('Historical Data'!O1183)-('Historical Data'!O1182))/('Historical Data'!O1182)</f>
        <v>0.006430868167</v>
      </c>
    </row>
    <row r="1182">
      <c r="A1182" s="2">
        <f>(('Historical Data'!C1184)-('Historical Data'!C1183))/('Historical Data'!C1183)</f>
        <v>0.01180337666</v>
      </c>
      <c r="D1182" s="2">
        <f>(('Historical Data'!L1184)-('Historical Data'!L1183))/('Historical Data'!L1183)</f>
        <v>0.018222666</v>
      </c>
      <c r="E1182" s="2">
        <f>(('Historical Data'!O1184)-('Historical Data'!O1183))/('Historical Data'!O1183)</f>
        <v>-0.003775776939</v>
      </c>
    </row>
    <row r="1183">
      <c r="A1183" s="2">
        <f>(('Historical Data'!C1185)-('Historical Data'!C1184))/('Historical Data'!C1184)</f>
        <v>0.0141760189</v>
      </c>
      <c r="D1183" s="2">
        <f>(('Historical Data'!L1185)-('Historical Data'!L1184))/('Historical Data'!L1184)</f>
        <v>0.000490316254</v>
      </c>
      <c r="E1183" s="2">
        <f>(('Historical Data'!O1185)-('Historical Data'!O1184))/('Historical Data'!O1184)</f>
        <v>0.007580174927</v>
      </c>
    </row>
    <row r="1184">
      <c r="A1184" s="2">
        <f>(('Historical Data'!C1186)-('Historical Data'!C1185))/('Historical Data'!C1185)</f>
        <v>-0.006843331392</v>
      </c>
      <c r="D1184" s="2">
        <f>(('Historical Data'!L1186)-('Historical Data'!L1185))/('Historical Data'!L1185)</f>
        <v>0.006861063465</v>
      </c>
      <c r="E1184" s="2">
        <f>(('Historical Data'!O1186)-('Historical Data'!O1185))/('Historical Data'!O1185)</f>
        <v>-0.01273148148</v>
      </c>
    </row>
    <row r="1185">
      <c r="A1185" s="2">
        <f>(('Historical Data'!C1187)-('Historical Data'!C1186))/('Historical Data'!C1186)</f>
        <v>-0.006743879197</v>
      </c>
      <c r="D1185" s="2">
        <f>(('Historical Data'!L1187)-('Historical Data'!L1186))/('Historical Data'!L1186)</f>
        <v>0.005110732538</v>
      </c>
      <c r="E1185" s="2">
        <f>(('Historical Data'!O1187)-('Historical Data'!O1186))/('Historical Data'!O1186)</f>
        <v>0.007327080891</v>
      </c>
    </row>
    <row r="1186">
      <c r="A1186" s="2">
        <f>(('Historical Data'!C1188)-('Historical Data'!C1187))/('Historical Data'!C1187)</f>
        <v>-0.003099630996</v>
      </c>
      <c r="D1186" s="2">
        <f>(('Historical Data'!L1188)-('Historical Data'!L1187))/('Historical Data'!L1187)</f>
        <v>0.02251815981</v>
      </c>
      <c r="E1186" s="2">
        <f>(('Historical Data'!O1188)-('Historical Data'!O1187))/('Historical Data'!O1187)</f>
        <v>0.01076520221</v>
      </c>
    </row>
    <row r="1187">
      <c r="A1187" s="2">
        <f>(('Historical Data'!C1189)-('Historical Data'!C1188))/('Historical Data'!C1188)</f>
        <v>-0.00325732899</v>
      </c>
      <c r="D1187" s="2">
        <f>(('Historical Data'!L1189)-('Historical Data'!L1188))/('Historical Data'!L1188)</f>
        <v>-0.01799668482</v>
      </c>
      <c r="E1187" s="2">
        <f>(('Historical Data'!O1189)-('Historical Data'!O1188))/('Historical Data'!O1188)</f>
        <v>0.01352907311</v>
      </c>
    </row>
    <row r="1188">
      <c r="A1188" s="2">
        <f>(('Historical Data'!C1190)-('Historical Data'!C1189))/('Historical Data'!C1189)</f>
        <v>0.007872846108</v>
      </c>
      <c r="D1188" s="2">
        <f>(('Historical Data'!L1190)-('Historical Data'!L1189))/('Historical Data'!L1189)</f>
        <v>0.00217024355</v>
      </c>
      <c r="E1188" s="2">
        <f>(('Historical Data'!O1190)-('Historical Data'!O1189))/('Historical Data'!O1189)</f>
        <v>0.001420051122</v>
      </c>
    </row>
    <row r="1189">
      <c r="A1189" s="2">
        <f>(('Historical Data'!C1191)-('Historical Data'!C1190))/('Historical Data'!C1190)</f>
        <v>-0.009285187915</v>
      </c>
      <c r="D1189" s="2">
        <f>(('Historical Data'!L1191)-('Historical Data'!L1190))/('Historical Data'!L1190)</f>
        <v>0.008180943215</v>
      </c>
      <c r="E1189" s="2">
        <f>(('Historical Data'!O1191)-('Historical Data'!O1190))/('Historical Data'!O1190)</f>
        <v>0.01219512195</v>
      </c>
    </row>
    <row r="1190">
      <c r="A1190" s="2">
        <f>(('Historical Data'!C1192)-('Historical Data'!C1191))/('Historical Data'!C1191)</f>
        <v>0.007438262422</v>
      </c>
      <c r="D1190" s="2">
        <f>(('Historical Data'!L1192)-('Historical Data'!L1191))/('Historical Data'!L1191)</f>
        <v>-0.01980906921</v>
      </c>
      <c r="E1190" s="2">
        <f>(('Historical Data'!O1192)-('Historical Data'!O1191))/('Historical Data'!O1191)</f>
        <v>-0.02633790978</v>
      </c>
    </row>
    <row r="1191">
      <c r="A1191" s="2">
        <f>(('Historical Data'!C1193)-('Historical Data'!C1192))/('Historical Data'!C1192)</f>
        <v>0.01033668045</v>
      </c>
      <c r="D1191" s="2">
        <f>(('Historical Data'!L1193)-('Historical Data'!L1192))/('Historical Data'!L1192)</f>
        <v>-0.00194789384</v>
      </c>
      <c r="E1191" s="2">
        <f>(('Historical Data'!O1193)-('Historical Data'!O1192))/('Historical Data'!O1192)</f>
        <v>-0.008345323741</v>
      </c>
    </row>
    <row r="1192">
      <c r="A1192" s="2">
        <f>(('Historical Data'!C1194)-('Historical Data'!C1193))/('Historical Data'!C1193)</f>
        <v>0.004823151125</v>
      </c>
      <c r="D1192" s="2">
        <f>(('Historical Data'!L1194)-('Historical Data'!L1193))/('Historical Data'!L1193)</f>
        <v>0.00121980971</v>
      </c>
      <c r="E1192" s="2">
        <f>(('Historical Data'!O1194)-('Historical Data'!O1193))/('Historical Data'!O1193)</f>
        <v>0</v>
      </c>
    </row>
    <row r="1193">
      <c r="A1193" s="2">
        <f>(('Historical Data'!C1195)-('Historical Data'!C1194))/('Historical Data'!C1194)</f>
        <v>-0.0064</v>
      </c>
      <c r="D1193" s="2">
        <f>(('Historical Data'!L1195)-('Historical Data'!L1194))/('Historical Data'!L1194)</f>
        <v>0.003411306043</v>
      </c>
      <c r="E1193" s="2">
        <f>(('Historical Data'!O1195)-('Historical Data'!O1194))/('Historical Data'!O1194)</f>
        <v>-0.01741149158</v>
      </c>
    </row>
    <row r="1194">
      <c r="A1194" s="2">
        <f>(('Historical Data'!C1196)-('Historical Data'!C1195))/('Historical Data'!C1195)</f>
        <v>-0.005709266579</v>
      </c>
      <c r="D1194" s="2">
        <f>(('Historical Data'!L1196)-('Historical Data'!L1195))/('Historical Data'!L1195)</f>
        <v>-0.01189898009</v>
      </c>
      <c r="E1194" s="2">
        <f>(('Historical Data'!O1196)-('Historical Data'!O1195))/('Historical Data'!O1195)</f>
        <v>0.008860011813</v>
      </c>
    </row>
    <row r="1195">
      <c r="A1195" s="2">
        <f>(('Historical Data'!C1197)-('Historical Data'!C1196))/('Historical Data'!C1196)</f>
        <v>0.01457597173</v>
      </c>
      <c r="D1195" s="2">
        <f>(('Historical Data'!L1197)-('Historical Data'!L1196))/('Historical Data'!L1196)</f>
        <v>0.01990661096</v>
      </c>
      <c r="E1195" s="2">
        <f>(('Historical Data'!O1197)-('Historical Data'!O1196))/('Historical Data'!O1196)</f>
        <v>0.01961358314</v>
      </c>
    </row>
    <row r="1196">
      <c r="A1196" s="2">
        <f>(('Historical Data'!C1198)-('Historical Data'!C1197))/('Historical Data'!C1197)</f>
        <v>0.001160934552</v>
      </c>
      <c r="D1196" s="2">
        <f>(('Historical Data'!L1198)-('Historical Data'!L1197))/('Historical Data'!L1197)</f>
        <v>-0.002409638554</v>
      </c>
      <c r="E1196" s="2">
        <f>(('Historical Data'!O1198)-('Historical Data'!O1197))/('Historical Data'!O1197)</f>
        <v>0.004019523399</v>
      </c>
    </row>
    <row r="1197">
      <c r="A1197" s="2">
        <f>(('Historical Data'!C1199)-('Historical Data'!C1198))/('Historical Data'!C1198)</f>
        <v>0.0194231048</v>
      </c>
      <c r="D1197" s="2">
        <f>(('Historical Data'!L1199)-('Historical Data'!L1198))/('Historical Data'!L1198)</f>
        <v>0.01231884058</v>
      </c>
      <c r="E1197" s="2">
        <f>(('Historical Data'!O1199)-('Historical Data'!O1198))/('Historical Data'!O1198)</f>
        <v>-0.01286817272</v>
      </c>
    </row>
    <row r="1198">
      <c r="A1198" s="2">
        <f>(('Historical Data'!C1200)-('Historical Data'!C1199))/('Historical Data'!C1199)</f>
        <v>-0.005260912839</v>
      </c>
      <c r="D1198" s="2">
        <f>(('Historical Data'!L1200)-('Historical Data'!L1199))/('Historical Data'!L1199)</f>
        <v>-0.004772130756</v>
      </c>
      <c r="E1198" s="2">
        <f>(('Historical Data'!O1200)-('Historical Data'!O1199))/('Historical Data'!O1199)</f>
        <v>-0.006662804171</v>
      </c>
    </row>
    <row r="1199">
      <c r="A1199" s="2">
        <f>(('Historical Data'!C1201)-('Historical Data'!C1200))/('Historical Data'!C1200)</f>
        <v>-0.02887364208</v>
      </c>
      <c r="D1199" s="2">
        <f>(('Historical Data'!L1201)-('Historical Data'!L1200))/('Historical Data'!L1200)</f>
        <v>0.004075761208</v>
      </c>
      <c r="E1199" s="2">
        <f>(('Historical Data'!O1201)-('Historical Data'!O1200))/('Historical Data'!O1200)</f>
        <v>-0.02333041703</v>
      </c>
    </row>
    <row r="1200">
      <c r="A1200" s="2">
        <f>(('Historical Data'!C1202)-('Historical Data'!C1201))/('Historical Data'!C1201)</f>
        <v>-0.007065057404</v>
      </c>
      <c r="D1200" s="2">
        <f>(('Historical Data'!L1202)-('Historical Data'!L1201))/('Historical Data'!L1201)</f>
        <v>0.007163323782</v>
      </c>
      <c r="E1200" s="2">
        <f>(('Historical Data'!O1202)-('Historical Data'!O1201))/('Historical Data'!O1201)</f>
        <v>0.006270528516</v>
      </c>
    </row>
    <row r="1201">
      <c r="A1201" s="2">
        <f>(('Historical Data'!C1203)-('Historical Data'!C1202))/('Historical Data'!C1202)</f>
        <v>0.017788319</v>
      </c>
      <c r="D1201" s="2">
        <f>(('Historical Data'!L1203)-('Historical Data'!L1202))/('Historical Data'!L1202)</f>
        <v>-0.0002370791844</v>
      </c>
      <c r="E1201" s="2">
        <f>(('Historical Data'!O1203)-('Historical Data'!O1202))/('Historical Data'!O1202)</f>
        <v>-0.0175074184</v>
      </c>
    </row>
    <row r="1202">
      <c r="A1202" s="2">
        <f>(('Historical Data'!C1204)-('Historical Data'!C1203))/('Historical Data'!C1203)</f>
        <v>0.01252548791</v>
      </c>
      <c r="D1202" s="2">
        <f>(('Historical Data'!L1204)-('Historical Data'!L1203))/('Historical Data'!L1203)</f>
        <v>-0.01233104102</v>
      </c>
      <c r="E1202" s="2">
        <f>(('Historical Data'!O1204)-('Historical Data'!O1203))/('Historical Data'!O1203)</f>
        <v>0.00694654183</v>
      </c>
    </row>
    <row r="1203">
      <c r="A1203" s="2">
        <f>(('Historical Data'!C1205)-('Historical Data'!C1204))/('Historical Data'!C1204)</f>
        <v>-0.006185270426</v>
      </c>
      <c r="D1203" s="2">
        <f>(('Historical Data'!L1205)-('Historical Data'!L1204))/('Historical Data'!L1204)</f>
        <v>0.03697478992</v>
      </c>
      <c r="E1203" s="2">
        <f>(('Historical Data'!O1205)-('Historical Data'!O1204))/('Historical Data'!O1204)</f>
        <v>-0.01679664067</v>
      </c>
    </row>
    <row r="1204">
      <c r="A1204" s="2">
        <f>(('Historical Data'!C1206)-('Historical Data'!C1205))/('Historical Data'!C1205)</f>
        <v>0.01505282964</v>
      </c>
      <c r="D1204" s="2">
        <f>(('Historical Data'!L1206)-('Historical Data'!L1205))/('Historical Data'!L1205)</f>
        <v>-0.03334105117</v>
      </c>
      <c r="E1204" s="2">
        <f>(('Historical Data'!O1206)-('Historical Data'!O1205))/('Historical Data'!O1205)</f>
        <v>0.01067724222</v>
      </c>
    </row>
    <row r="1205">
      <c r="A1205" s="2">
        <f>(('Historical Data'!C1207)-('Historical Data'!C1206))/('Historical Data'!C1206)</f>
        <v>0.007414801084</v>
      </c>
      <c r="D1205" s="2">
        <f>(('Historical Data'!L1207)-('Historical Data'!L1206))/('Historical Data'!L1206)</f>
        <v>-0.007185628743</v>
      </c>
      <c r="E1205" s="2">
        <f>(('Historical Data'!O1207)-('Historical Data'!O1206))/('Historical Data'!O1206)</f>
        <v>0.002716571084</v>
      </c>
    </row>
    <row r="1206">
      <c r="A1206" s="2">
        <f>(('Historical Data'!C1208)-('Historical Data'!C1207))/('Historical Data'!C1207)</f>
        <v>0.0009907997169</v>
      </c>
      <c r="D1206" s="2">
        <f>(('Historical Data'!L1208)-('Historical Data'!L1207))/('Historical Data'!L1207)</f>
        <v>0.009408926417</v>
      </c>
      <c r="E1206" s="2">
        <f>(('Historical Data'!O1208)-('Historical Data'!O1207))/('Historical Data'!O1207)</f>
        <v>-0.001806140879</v>
      </c>
    </row>
    <row r="1207">
      <c r="A1207" s="2">
        <f>(('Historical Data'!C1209)-('Historical Data'!C1208))/('Historical Data'!C1208)</f>
        <v>-0.0008484162896</v>
      </c>
      <c r="D1207" s="2">
        <f>(('Historical Data'!L1209)-('Historical Data'!L1208))/('Historical Data'!L1208)</f>
        <v>0.005975143403</v>
      </c>
      <c r="E1207" s="2">
        <f>(('Historical Data'!O1209)-('Historical Data'!O1208))/('Historical Data'!O1208)</f>
        <v>0.03498190591</v>
      </c>
    </row>
    <row r="1208">
      <c r="A1208" s="2">
        <f>(('Historical Data'!C1210)-('Historical Data'!C1209))/('Historical Data'!C1209)</f>
        <v>-0.005519388622</v>
      </c>
      <c r="D1208" s="2">
        <f>(('Historical Data'!L1210)-('Historical Data'!L1209))/('Historical Data'!L1209)</f>
        <v>0.008077928249</v>
      </c>
      <c r="E1208" s="2">
        <f>(('Historical Data'!O1210)-('Historical Data'!O1209))/('Historical Data'!O1209)</f>
        <v>0.01981351981</v>
      </c>
    </row>
    <row r="1209">
      <c r="A1209" s="2">
        <f>(('Historical Data'!C1211)-('Historical Data'!C1210))/('Historical Data'!C1210)</f>
        <v>0.005123096627</v>
      </c>
      <c r="D1209" s="2">
        <f>(('Historical Data'!L1211)-('Historical Data'!L1210))/('Historical Data'!L1210)</f>
        <v>-0.004477963705</v>
      </c>
      <c r="E1209" s="2">
        <f>(('Historical Data'!O1211)-('Historical Data'!O1210))/('Historical Data'!O1210)</f>
        <v>-0.01314285714</v>
      </c>
    </row>
    <row r="1210">
      <c r="A1210" s="2">
        <f>(('Historical Data'!C1212)-('Historical Data'!C1211))/('Historical Data'!C1211)</f>
        <v>0.01076030016</v>
      </c>
      <c r="D1210" s="2">
        <f>(('Historical Data'!L1212)-('Historical Data'!L1211))/('Historical Data'!L1211)</f>
        <v>-0.02414772727</v>
      </c>
      <c r="E1210" s="2">
        <f>(('Historical Data'!O1212)-('Historical Data'!O1211))/('Historical Data'!O1211)</f>
        <v>0.006658946149</v>
      </c>
    </row>
    <row r="1211">
      <c r="A1211" s="2">
        <f>(('Historical Data'!C1213)-('Historical Data'!C1212))/('Historical Data'!C1212)</f>
        <v>0.01722930382</v>
      </c>
      <c r="D1211" s="2">
        <f>(('Historical Data'!L1213)-('Historical Data'!L1212))/('Historical Data'!L1212)</f>
        <v>0.00679281902</v>
      </c>
      <c r="E1211" s="2">
        <f>(('Historical Data'!O1213)-('Historical Data'!O1212))/('Historical Data'!O1212)</f>
        <v>-0.008915731953</v>
      </c>
    </row>
    <row r="1212">
      <c r="A1212" s="2">
        <f>(('Historical Data'!C1214)-('Historical Data'!C1213))/('Historical Data'!C1213)</f>
        <v>-0.01776370146</v>
      </c>
      <c r="D1212" s="2">
        <f>(('Historical Data'!L1214)-('Historical Data'!L1213))/('Historical Data'!L1213)</f>
        <v>0.004096385542</v>
      </c>
      <c r="E1212" s="2">
        <f>(('Historical Data'!O1214)-('Historical Data'!O1213))/('Historical Data'!O1213)</f>
        <v>0.02147417295</v>
      </c>
    </row>
    <row r="1213">
      <c r="A1213" s="2">
        <f>(('Historical Data'!C1215)-('Historical Data'!C1214))/('Historical Data'!C1214)</f>
        <v>0.02215056778</v>
      </c>
      <c r="D1213" s="2">
        <f>(('Historical Data'!L1215)-('Historical Data'!L1214))/('Historical Data'!L1214)</f>
        <v>0.01367890569</v>
      </c>
      <c r="E1213" s="2">
        <f>(('Historical Data'!O1215)-('Historical Data'!O1214))/('Historical Data'!O1214)</f>
        <v>-0.01221590909</v>
      </c>
    </row>
    <row r="1214">
      <c r="A1214" s="2">
        <f>(('Historical Data'!C1216)-('Historical Data'!C1215))/('Historical Data'!C1215)</f>
        <v>0.002743107941</v>
      </c>
      <c r="D1214" s="2">
        <f>(('Historical Data'!L1216)-('Historical Data'!L1215))/('Historical Data'!L1215)</f>
        <v>0.01160037879</v>
      </c>
      <c r="E1214" s="2">
        <f>(('Historical Data'!O1216)-('Historical Data'!O1215))/('Historical Data'!O1215)</f>
        <v>0.01035375324</v>
      </c>
    </row>
    <row r="1215">
      <c r="A1215" s="2">
        <f>(('Historical Data'!C1217)-('Historical Data'!C1216))/('Historical Data'!C1216)</f>
        <v>0.01832854603</v>
      </c>
      <c r="D1215" s="2">
        <f>(('Historical Data'!L1217)-('Historical Data'!L1216))/('Historical Data'!L1216)</f>
        <v>0.004680552305</v>
      </c>
      <c r="E1215" s="2">
        <f>(('Historical Data'!O1217)-('Historical Data'!O1216))/('Historical Data'!O1216)</f>
        <v>-0.007401081697</v>
      </c>
    </row>
    <row r="1216">
      <c r="A1216" s="2">
        <f>(('Historical Data'!C1218)-('Historical Data'!C1217))/('Historical Data'!C1217)</f>
        <v>-0.02860980524</v>
      </c>
      <c r="D1216" s="2">
        <f>(('Historical Data'!L1218)-('Historical Data'!L1217))/('Historical Data'!L1217)</f>
        <v>0.02306079665</v>
      </c>
      <c r="E1216" s="2">
        <f>(('Historical Data'!O1218)-('Historical Data'!O1217))/('Historical Data'!O1217)</f>
        <v>0.007169486665</v>
      </c>
    </row>
    <row r="1217">
      <c r="A1217" s="2">
        <f>(('Historical Data'!C1219)-('Historical Data'!C1218))/('Historical Data'!C1218)</f>
        <v>-0.003042035398</v>
      </c>
      <c r="D1217" s="2">
        <f>(('Historical Data'!L1219)-('Historical Data'!L1218))/('Historical Data'!L1218)</f>
        <v>0.0002276867031</v>
      </c>
      <c r="E1217" s="2">
        <f>(('Historical Data'!O1219)-('Historical Data'!O1218))/('Historical Data'!O1218)</f>
        <v>0.0159453303</v>
      </c>
    </row>
    <row r="1218">
      <c r="A1218" s="2">
        <f>(('Historical Data'!C1220)-('Historical Data'!C1219))/('Historical Data'!C1219)</f>
        <v>-0.01470180305</v>
      </c>
      <c r="D1218" s="2">
        <f>(('Historical Data'!L1220)-('Historical Data'!L1219))/('Historical Data'!L1219)</f>
        <v>0.008194855452</v>
      </c>
      <c r="E1218" s="2">
        <f>(('Historical Data'!O1220)-('Historical Data'!O1219))/('Historical Data'!O1219)</f>
        <v>0.003923766816</v>
      </c>
    </row>
    <row r="1219">
      <c r="A1219" s="2">
        <f>(('Historical Data'!C1221)-('Historical Data'!C1220))/('Historical Data'!C1220)</f>
        <v>0.0004222972973</v>
      </c>
      <c r="D1219" s="2">
        <f>(('Historical Data'!L1221)-('Historical Data'!L1220))/('Historical Data'!L1220)</f>
        <v>0.002709415218</v>
      </c>
      <c r="E1219" s="2">
        <f>(('Historical Data'!O1221)-('Historical Data'!O1220))/('Historical Data'!O1220)</f>
        <v>0.0212171971</v>
      </c>
    </row>
    <row r="1220">
      <c r="A1220" s="2">
        <f>(('Historical Data'!C1222)-('Historical Data'!C1221))/('Historical Data'!C1221)</f>
        <v>0.01435204728</v>
      </c>
      <c r="D1220" s="2">
        <f>(('Historical Data'!L1222)-('Historical Data'!L1221))/('Historical Data'!L1221)</f>
        <v>0.002927268633</v>
      </c>
      <c r="E1220" s="2">
        <f>(('Historical Data'!O1222)-('Historical Data'!O1221))/('Historical Data'!O1221)</f>
        <v>0.01476216512</v>
      </c>
    </row>
    <row r="1221">
      <c r="A1221" s="2">
        <f>(('Historical Data'!C1223)-('Historical Data'!C1222))/('Historical Data'!C1222)</f>
        <v>-0.005271188792</v>
      </c>
      <c r="D1221" s="2">
        <f>(('Historical Data'!L1223)-('Historical Data'!L1222))/('Historical Data'!L1222)</f>
        <v>0.003592276605</v>
      </c>
      <c r="E1221" s="2">
        <f>(('Historical Data'!O1223)-('Historical Data'!O1222))/('Historical Data'!O1222)</f>
        <v>0.00619612069</v>
      </c>
    </row>
    <row r="1222">
      <c r="A1222" s="2">
        <f>(('Historical Data'!C1224)-('Historical Data'!C1223))/('Historical Data'!C1223)</f>
        <v>0.03137637707</v>
      </c>
      <c r="D1222" s="2">
        <f>(('Historical Data'!L1224)-('Historical Data'!L1223))/('Historical Data'!L1223)</f>
        <v>-0.005592841163</v>
      </c>
      <c r="E1222" s="2">
        <f>(('Historical Data'!O1224)-('Historical Data'!O1223))/('Historical Data'!O1223)</f>
        <v>-0.01311914324</v>
      </c>
    </row>
    <row r="1223">
      <c r="A1223" s="2">
        <f>(('Historical Data'!C1225)-('Historical Data'!C1224))/('Historical Data'!C1224)</f>
        <v>0.04624121147</v>
      </c>
      <c r="D1223" s="2">
        <f>(('Historical Data'!L1225)-('Historical Data'!L1224))/('Historical Data'!L1224)</f>
        <v>0.007424071991</v>
      </c>
      <c r="E1223" s="2">
        <f>(('Historical Data'!O1225)-('Historical Data'!O1224))/('Historical Data'!O1224)</f>
        <v>-0.01003798155</v>
      </c>
    </row>
    <row r="1224">
      <c r="A1224" s="2">
        <f>(('Historical Data'!C1226)-('Historical Data'!C1225))/('Historical Data'!C1225)</f>
        <v>0.008012406307</v>
      </c>
      <c r="D1224" s="2">
        <f>(('Historical Data'!L1226)-('Historical Data'!L1225))/('Historical Data'!L1225)</f>
        <v>0.01764180438</v>
      </c>
      <c r="E1224" s="2">
        <f>(('Historical Data'!O1226)-('Historical Data'!O1225))/('Historical Data'!O1225)</f>
        <v>0.001096190737</v>
      </c>
    </row>
    <row r="1225">
      <c r="A1225" s="2">
        <f>(('Historical Data'!C1227)-('Historical Data'!C1226))/('Historical Data'!C1226)</f>
        <v>-0.002820512821</v>
      </c>
      <c r="D1225" s="2">
        <f>(('Historical Data'!L1227)-('Historical Data'!L1226))/('Historical Data'!L1226)</f>
        <v>-0.005924950625</v>
      </c>
      <c r="E1225" s="2">
        <f>(('Historical Data'!O1227)-('Historical Data'!O1226))/('Historical Data'!O1226)</f>
        <v>-0.0008212428141</v>
      </c>
    </row>
    <row r="1226">
      <c r="A1226" s="2">
        <f>(('Historical Data'!C1228)-('Historical Data'!C1227))/('Historical Data'!C1227)</f>
        <v>-0.005271277963</v>
      </c>
      <c r="D1226" s="2">
        <f>(('Historical Data'!L1228)-('Historical Data'!L1227))/('Historical Data'!L1227)</f>
        <v>0.02560706402</v>
      </c>
      <c r="E1226" s="2">
        <f>(('Historical Data'!O1228)-('Historical Data'!O1227))/('Historical Data'!O1227)</f>
        <v>0.005205479452</v>
      </c>
    </row>
    <row r="1227">
      <c r="A1227" s="2">
        <f>(('Historical Data'!C1229)-('Historical Data'!C1228))/('Historical Data'!C1228)</f>
        <v>0.01318340442</v>
      </c>
      <c r="D1227" s="2">
        <f>(('Historical Data'!L1229)-('Historical Data'!L1228))/('Historical Data'!L1228)</f>
        <v>0.01829530779</v>
      </c>
      <c r="E1227" s="2">
        <f>(('Historical Data'!O1229)-('Historical Data'!O1228))/('Historical Data'!O1228)</f>
        <v>-0.02016898337</v>
      </c>
    </row>
    <row r="1228">
      <c r="A1228" s="2">
        <f>(('Historical Data'!C1230)-('Historical Data'!C1229))/('Historical Data'!C1229)</f>
        <v>-0.03763235107</v>
      </c>
      <c r="D1228" s="2">
        <f>(('Historical Data'!L1230)-('Historical Data'!L1229))/('Historical Data'!L1229)</f>
        <v>0.005707038681</v>
      </c>
      <c r="E1228" s="2">
        <f>(('Historical Data'!O1230)-('Historical Data'!O1229))/('Historical Data'!O1229)</f>
        <v>-0.006397774687</v>
      </c>
    </row>
    <row r="1229">
      <c r="A1229" s="2">
        <f>(('Historical Data'!C1231)-('Historical Data'!C1230))/('Historical Data'!C1230)</f>
        <v>0.008748674443</v>
      </c>
      <c r="D1229" s="2">
        <f>(('Historical Data'!L1231)-('Historical Data'!L1230))/('Historical Data'!L1230)</f>
        <v>-0.01092896175</v>
      </c>
      <c r="E1229" s="2">
        <f>(('Historical Data'!O1231)-('Historical Data'!O1230))/('Historical Data'!O1230)</f>
        <v>0.007278835386</v>
      </c>
    </row>
    <row r="1230">
      <c r="A1230" s="2">
        <f>(('Historical Data'!C1232)-('Historical Data'!C1231))/('Historical Data'!C1231)</f>
        <v>0.001839684625</v>
      </c>
      <c r="D1230" s="2">
        <f>(('Historical Data'!L1232)-('Historical Data'!L1231))/('Historical Data'!L1231)</f>
        <v>-0.02783680408</v>
      </c>
      <c r="E1230" s="2">
        <f>(('Historical Data'!O1232)-('Historical Data'!O1231))/('Historical Data'!O1231)</f>
        <v>-0.001945525292</v>
      </c>
    </row>
    <row r="1231">
      <c r="A1231" s="2">
        <f>(('Historical Data'!C1233)-('Historical Data'!C1232))/('Historical Data'!C1232)</f>
        <v>0.001049317943</v>
      </c>
      <c r="D1231" s="2">
        <f>(('Historical Data'!L1233)-('Historical Data'!L1232))/('Historical Data'!L1232)</f>
        <v>-0.007213114754</v>
      </c>
      <c r="E1231" s="2">
        <f>(('Historical Data'!O1233)-('Historical Data'!O1232))/('Historical Data'!O1232)</f>
        <v>-0.006126427179</v>
      </c>
    </row>
    <row r="1232">
      <c r="A1232" s="2">
        <f>(('Historical Data'!C1234)-('Historical Data'!C1233))/('Historical Data'!C1233)</f>
        <v>-0.003275681342</v>
      </c>
      <c r="D1232" s="2">
        <f>(('Historical Data'!L1234)-('Historical Data'!L1233))/('Historical Data'!L1233)</f>
        <v>-0.01937472479</v>
      </c>
      <c r="E1232" s="2">
        <f>(('Historical Data'!O1234)-('Historical Data'!O1233))/('Historical Data'!O1233)</f>
        <v>0.006724572709</v>
      </c>
    </row>
    <row r="1233">
      <c r="A1233" s="2">
        <f>(('Historical Data'!C1235)-('Historical Data'!C1234))/('Historical Data'!C1234)</f>
        <v>0.01143683449</v>
      </c>
      <c r="D1233" s="2">
        <f>(('Historical Data'!L1235)-('Historical Data'!L1234))/('Historical Data'!L1234)</f>
        <v>-0.01638976201</v>
      </c>
      <c r="E1233" s="2">
        <f>(('Historical Data'!O1235)-('Historical Data'!O1234))/('Historical Data'!O1234)</f>
        <v>0.00473142221</v>
      </c>
    </row>
    <row r="1234">
      <c r="A1234" s="2">
        <f>(('Historical Data'!C1236)-('Historical Data'!C1235))/('Historical Data'!C1235)</f>
        <v>-0.01169742657</v>
      </c>
      <c r="D1234" s="2">
        <f>(('Historical Data'!L1236)-('Historical Data'!L1235))/('Historical Data'!L1235)</f>
        <v>-0.002282583885</v>
      </c>
      <c r="E1234" s="2">
        <f>(('Historical Data'!O1236)-('Historical Data'!O1235))/('Historical Data'!O1235)</f>
        <v>0.01135734072</v>
      </c>
    </row>
    <row r="1235">
      <c r="A1235" s="2">
        <f>(('Historical Data'!C1237)-('Historical Data'!C1236))/('Historical Data'!C1236)</f>
        <v>0.01091530773</v>
      </c>
      <c r="D1235" s="2">
        <f>(('Historical Data'!L1237)-('Historical Data'!L1236))/('Historical Data'!L1236)</f>
        <v>-0.003431708991</v>
      </c>
      <c r="E1235" s="2">
        <f>(('Historical Data'!O1237)-('Historical Data'!O1236))/('Historical Data'!O1236)</f>
        <v>-0.004108463435</v>
      </c>
    </row>
    <row r="1236">
      <c r="A1236" s="2">
        <f>(('Historical Data'!C1238)-('Historical Data'!C1237))/('Historical Data'!C1237)</f>
        <v>0.01144789905</v>
      </c>
      <c r="D1236" s="2">
        <f>(('Historical Data'!L1238)-('Historical Data'!L1237))/('Historical Data'!L1237)</f>
        <v>0.002984389348</v>
      </c>
      <c r="E1236" s="2">
        <f>(('Historical Data'!O1238)-('Historical Data'!O1237))/('Historical Data'!O1237)</f>
        <v>0.02420242024</v>
      </c>
    </row>
    <row r="1237">
      <c r="A1237" s="2">
        <f>(('Historical Data'!C1239)-('Historical Data'!C1238))/('Historical Data'!C1238)</f>
        <v>0.0001286173633</v>
      </c>
      <c r="D1237" s="2">
        <f>(('Historical Data'!L1239)-('Historical Data'!L1238))/('Historical Data'!L1238)</f>
        <v>0.03776607919</v>
      </c>
      <c r="E1237" s="2">
        <f>(('Historical Data'!O1239)-('Historical Data'!O1238))/('Historical Data'!O1238)</f>
        <v>-0.000268528464</v>
      </c>
    </row>
    <row r="1238">
      <c r="A1238" s="2">
        <f>(('Historical Data'!C1240)-('Historical Data'!C1239))/('Historical Data'!C1239)</f>
        <v>0.002700617284</v>
      </c>
      <c r="D1238" s="2">
        <f>(('Historical Data'!L1240)-('Historical Data'!L1239))/('Historical Data'!L1239)</f>
        <v>0.0344067049</v>
      </c>
      <c r="E1238" s="2">
        <f>(('Historical Data'!O1240)-('Historical Data'!O1239))/('Historical Data'!O1239)</f>
        <v>-0.03760408273</v>
      </c>
    </row>
    <row r="1239">
      <c r="A1239" s="2">
        <f>(('Historical Data'!C1241)-('Historical Data'!C1240))/('Historical Data'!C1240)</f>
        <v>0.01141464666</v>
      </c>
      <c r="D1239" s="2">
        <f>(('Historical Data'!L1241)-('Historical Data'!L1240))/('Historical Data'!L1240)</f>
        <v>0.02985074627</v>
      </c>
      <c r="E1239" s="2">
        <f>(('Historical Data'!O1241)-('Historical Data'!O1240))/('Historical Data'!O1240)</f>
        <v>-0.001395478649</v>
      </c>
    </row>
    <row r="1240">
      <c r="A1240" s="2">
        <f>(('Historical Data'!C1242)-('Historical Data'!C1241))/('Historical Data'!C1241)</f>
        <v>0.008242454984</v>
      </c>
      <c r="D1240" s="2">
        <f>(('Historical Data'!L1242)-('Historical Data'!L1241))/('Historical Data'!L1241)</f>
        <v>-0.004761904762</v>
      </c>
      <c r="E1240" s="2">
        <f>(('Historical Data'!O1242)-('Historical Data'!O1241))/('Historical Data'!O1241)</f>
        <v>-0.006428172163</v>
      </c>
    </row>
    <row r="1241">
      <c r="A1241" s="2">
        <f>(('Historical Data'!C1243)-('Historical Data'!C1242))/('Historical Data'!C1242)</f>
        <v>0.009307005408</v>
      </c>
      <c r="D1241" s="2">
        <f>(('Historical Data'!L1243)-('Historical Data'!L1242))/('Historical Data'!L1242)</f>
        <v>-0.006656958602</v>
      </c>
      <c r="E1241" s="2">
        <f>(('Historical Data'!O1243)-('Historical Data'!O1242))/('Historical Data'!O1242)</f>
        <v>0.009282700422</v>
      </c>
    </row>
    <row r="1242">
      <c r="A1242" s="2">
        <f>(('Historical Data'!C1244)-('Historical Data'!C1243))/('Historical Data'!C1243)</f>
        <v>-0.01221183801</v>
      </c>
      <c r="D1242" s="2">
        <f>(('Historical Data'!L1244)-('Historical Data'!L1243))/('Historical Data'!L1243)</f>
        <v>0.01947643979</v>
      </c>
      <c r="E1242" s="2">
        <f>(('Historical Data'!O1244)-('Historical Data'!O1243))/('Historical Data'!O1243)</f>
        <v>-0.009754738016</v>
      </c>
    </row>
    <row r="1243">
      <c r="A1243" s="2">
        <f>(('Historical Data'!C1245)-('Historical Data'!C1244))/('Historical Data'!C1244)</f>
        <v>-0.01854421597</v>
      </c>
      <c r="D1243" s="2">
        <f>(('Historical Data'!L1245)-('Historical Data'!L1244))/('Historical Data'!L1244)</f>
        <v>-0.01437962202</v>
      </c>
      <c r="E1243" s="2">
        <f>(('Historical Data'!O1245)-('Historical Data'!O1244))/('Historical Data'!O1244)</f>
        <v>-0.007599211934</v>
      </c>
    </row>
    <row r="1244">
      <c r="A1244" s="2">
        <f>(('Historical Data'!C1246)-('Historical Data'!C1245))/('Historical Data'!C1245)</f>
        <v>0.005784061697</v>
      </c>
      <c r="D1244" s="2">
        <f>(('Historical Data'!L1246)-('Historical Data'!L1245))/('Historical Data'!L1245)</f>
        <v>0.01042100875</v>
      </c>
      <c r="E1244" s="2">
        <f>(('Historical Data'!O1246)-('Historical Data'!O1245))/('Historical Data'!O1245)</f>
        <v>-0.0002836074872</v>
      </c>
    </row>
    <row r="1245">
      <c r="A1245" s="2">
        <f>(('Historical Data'!C1247)-('Historical Data'!C1246))/('Historical Data'!C1246)</f>
        <v>-0.008945686901</v>
      </c>
      <c r="D1245" s="2">
        <f>(('Historical Data'!L1247)-('Historical Data'!L1246))/('Historical Data'!L1246)</f>
        <v>-0.01237623762</v>
      </c>
      <c r="E1245" s="2">
        <f>(('Historical Data'!O1247)-('Historical Data'!O1246))/('Historical Data'!O1246)</f>
        <v>-0.04226950355</v>
      </c>
    </row>
    <row r="1246">
      <c r="A1246" s="2">
        <f>(('Historical Data'!C1248)-('Historical Data'!C1247))/('Historical Data'!C1247)</f>
        <v>-0.01998710509</v>
      </c>
      <c r="D1246" s="2">
        <f>(('Historical Data'!L1248)-('Historical Data'!L1247))/('Historical Data'!L1247)</f>
        <v>-0.000626566416</v>
      </c>
      <c r="E1246" s="2">
        <f>(('Historical Data'!O1248)-('Historical Data'!O1247))/('Historical Data'!O1247)</f>
        <v>0.02103080569</v>
      </c>
    </row>
    <row r="1247">
      <c r="A1247" s="2">
        <f>(('Historical Data'!C1249)-('Historical Data'!C1248))/('Historical Data'!C1248)</f>
        <v>0.0125</v>
      </c>
      <c r="D1247" s="2">
        <f>(('Historical Data'!L1249)-('Historical Data'!L1248))/('Historical Data'!L1248)</f>
        <v>-0.0144200627</v>
      </c>
      <c r="E1247" s="2">
        <f>(('Historical Data'!O1249)-('Historical Data'!O1248))/('Historical Data'!O1248)</f>
        <v>-0.03365245141</v>
      </c>
    </row>
    <row r="1248">
      <c r="A1248" s="2">
        <f>(('Historical Data'!C1250)-('Historical Data'!C1249))/('Historical Data'!C1249)</f>
        <v>0.01910331384</v>
      </c>
      <c r="D1248" s="2">
        <f>(('Historical Data'!L1250)-('Historical Data'!L1249))/('Historical Data'!L1249)</f>
        <v>0.005513146735</v>
      </c>
      <c r="E1248" s="2">
        <f>(('Historical Data'!O1250)-('Historical Data'!O1249))/('Historical Data'!O1249)</f>
        <v>0.01891323927</v>
      </c>
    </row>
    <row r="1249">
      <c r="A1249" s="2">
        <f>(('Historical Data'!C1251)-('Historical Data'!C1250))/('Historical Data'!C1250)</f>
        <v>-0.003953073196</v>
      </c>
      <c r="D1249" s="2">
        <f>(('Historical Data'!L1251)-('Historical Data'!L1250))/('Historical Data'!L1250)</f>
        <v>0.001897933361</v>
      </c>
      <c r="E1249" s="2">
        <f>(('Historical Data'!O1251)-('Historical Data'!O1250))/('Historical Data'!O1250)</f>
        <v>0.005892751915</v>
      </c>
    </row>
    <row r="1250">
      <c r="A1250" s="2">
        <f>(('Historical Data'!C1252)-('Historical Data'!C1251))/('Historical Data'!C1251)</f>
        <v>-0.001152221226</v>
      </c>
      <c r="D1250" s="2">
        <f>(('Historical Data'!L1252)-('Historical Data'!L1251))/('Historical Data'!L1251)</f>
        <v>-0.01368133025</v>
      </c>
      <c r="E1250" s="2">
        <f>(('Historical Data'!O1252)-('Historical Data'!O1251))/('Historical Data'!O1251)</f>
        <v>0.01288810779</v>
      </c>
    </row>
    <row r="1251">
      <c r="A1251" s="2">
        <f>(('Historical Data'!C1253)-('Historical Data'!C1252))/('Historical Data'!C1252)</f>
        <v>0</v>
      </c>
      <c r="D1251" s="2">
        <f>(('Historical Data'!L1253)-('Historical Data'!L1252))/('Historical Data'!L1252)</f>
        <v>0.01515151515</v>
      </c>
      <c r="E1251" s="2">
        <f>(('Historical Data'!O1253)-('Historical Data'!O1252))/('Historical Data'!O1252)</f>
        <v>-0.007807981492</v>
      </c>
    </row>
    <row r="1252">
      <c r="A1252" s="2">
        <f>(('Historical Data'!C1254)-('Historical Data'!C1253))/('Historical Data'!C1253)</f>
        <v>0.001794411689</v>
      </c>
      <c r="D1252" s="2">
        <f>(('Historical Data'!L1254)-('Historical Data'!L1253))/('Historical Data'!L1253)</f>
        <v>-0.001261299138</v>
      </c>
      <c r="E1252" s="2">
        <f>(('Historical Data'!O1254)-('Historical Data'!O1253))/('Historical Data'!O1253)</f>
        <v>-0.001165840863</v>
      </c>
    </row>
    <row r="1253">
      <c r="A1253" s="2">
        <f>(('Historical Data'!C1255)-('Historical Data'!C1254))/('Historical Data'!C1254)</f>
        <v>-0.004733879222</v>
      </c>
      <c r="D1253" s="2">
        <f>(('Historical Data'!L1255)-('Historical Data'!L1254))/('Historical Data'!L1254)</f>
        <v>0.009682172174</v>
      </c>
      <c r="E1253" s="2">
        <f>(('Historical Data'!O1255)-('Historical Data'!O1254))/('Historical Data'!O1254)</f>
        <v>0.005252407353</v>
      </c>
    </row>
    <row r="1254">
      <c r="A1254" s="2">
        <f>(('Historical Data'!C1256)-('Historical Data'!C1255))/('Historical Data'!C1255)</f>
        <v>-0.004884946651</v>
      </c>
      <c r="D1254" s="2">
        <f>(('Historical Data'!L1256)-('Historical Data'!L1255))/('Historical Data'!L1255)</f>
        <v>0.004169272462</v>
      </c>
      <c r="E1254" s="2">
        <f>(('Historical Data'!O1256)-('Historical Data'!O1255))/('Historical Data'!O1255)</f>
        <v>0.008708272859</v>
      </c>
    </row>
    <row r="1255">
      <c r="A1255" s="2">
        <f>(('Historical Data'!C1257)-('Historical Data'!C1256))/('Historical Data'!C1256)</f>
        <v>-0.004908926495</v>
      </c>
      <c r="D1255" s="2">
        <f>(('Historical Data'!L1257)-('Historical Data'!L1256))/('Historical Data'!L1256)</f>
        <v>0.01121029687</v>
      </c>
      <c r="E1255" s="2">
        <f>(('Historical Data'!O1257)-('Historical Data'!O1256))/('Historical Data'!O1256)</f>
        <v>-0.0005755395683</v>
      </c>
    </row>
    <row r="1256">
      <c r="A1256" s="2">
        <f>(('Historical Data'!C1258)-('Historical Data'!C1257))/('Historical Data'!C1257)</f>
        <v>-0.01285213553</v>
      </c>
      <c r="D1256" s="2">
        <f>(('Historical Data'!L1258)-('Historical Data'!L1257))/('Historical Data'!L1257)</f>
        <v>-0.003490043112</v>
      </c>
      <c r="E1256" s="2">
        <f>(('Historical Data'!O1258)-('Historical Data'!O1257))/('Historical Data'!O1257)</f>
        <v>0.03167290527</v>
      </c>
    </row>
    <row r="1257">
      <c r="A1257" s="2">
        <f>(('Historical Data'!C1259)-('Historical Data'!C1258))/('Historical Data'!C1258)</f>
        <v>-0.006049447659</v>
      </c>
      <c r="D1257" s="2">
        <f>(('Historical Data'!L1259)-('Historical Data'!L1258))/('Historical Data'!L1258)</f>
        <v>0.004532344458</v>
      </c>
      <c r="E1257" s="2">
        <f>(('Historical Data'!O1259)-('Historical Data'!O1258))/('Historical Data'!O1258)</f>
        <v>0.008093776165</v>
      </c>
    </row>
    <row r="1258">
      <c r="A1258" s="2">
        <f>(('Historical Data'!C1260)-('Historical Data'!C1259))/('Historical Data'!C1259)</f>
        <v>-0.004630854723</v>
      </c>
      <c r="D1258" s="2">
        <f>(('Historical Data'!L1260)-('Historical Data'!L1259))/('Historical Data'!L1259)</f>
        <v>-0.005332239541</v>
      </c>
      <c r="E1258" s="2">
        <f>(('Historical Data'!O1260)-('Historical Data'!O1259))/('Historical Data'!O1259)</f>
        <v>-0.04872646733</v>
      </c>
    </row>
    <row r="1259">
      <c r="A1259" s="2">
        <f>(('Historical Data'!C1261)-('Historical Data'!C1260))/('Historical Data'!C1260)</f>
        <v>-0.006779210421</v>
      </c>
      <c r="D1259" s="2">
        <f>(('Historical Data'!L1261)-('Historical Data'!L1260))/('Historical Data'!L1260)</f>
        <v>0.002680412371</v>
      </c>
      <c r="E1259" s="2">
        <f>(('Historical Data'!O1261)-('Historical Data'!O1260))/('Historical Data'!O1260)</f>
        <v>-0.0200814901</v>
      </c>
    </row>
    <row r="1260">
      <c r="A1260" s="2">
        <f>(('Historical Data'!C1262)-('Historical Data'!C1261))/('Historical Data'!C1261)</f>
        <v>-0.01017130621</v>
      </c>
      <c r="D1260" s="2">
        <f>(('Historical Data'!L1262)-('Historical Data'!L1261))/('Historical Data'!L1261)</f>
        <v>0.01110425663</v>
      </c>
      <c r="E1260" s="2">
        <f>(('Historical Data'!O1262)-('Historical Data'!O1261))/('Historical Data'!O1261)</f>
        <v>0.01366201366</v>
      </c>
    </row>
    <row r="1261">
      <c r="A1261" s="2">
        <f>(('Historical Data'!C1263)-('Historical Data'!C1262))/('Historical Data'!C1262)</f>
        <v>-0.001081665765</v>
      </c>
      <c r="D1261" s="2">
        <f>(('Historical Data'!L1263)-('Historical Data'!L1262))/('Historical Data'!L1262)</f>
        <v>-0.001016880212</v>
      </c>
      <c r="E1261" s="2">
        <f>(('Historical Data'!O1263)-('Historical Data'!O1262))/('Historical Data'!O1262)</f>
        <v>0.004687957808</v>
      </c>
    </row>
    <row r="1262">
      <c r="A1262" s="2">
        <f>(('Historical Data'!C1264)-('Historical Data'!C1263))/('Historical Data'!C1263)</f>
        <v>0.001759610179</v>
      </c>
      <c r="D1262" s="2">
        <f>(('Historical Data'!L1264)-('Historical Data'!L1263))/('Historical Data'!L1263)</f>
        <v>0.01017915309</v>
      </c>
      <c r="E1262" s="2">
        <f>(('Historical Data'!O1264)-('Historical Data'!O1263))/('Historical Data'!O1263)</f>
        <v>0.003499562555</v>
      </c>
    </row>
    <row r="1263">
      <c r="A1263" s="2">
        <f>(('Historical Data'!C1265)-('Historical Data'!C1264))/('Historical Data'!C1264)</f>
        <v>0.01972706391</v>
      </c>
      <c r="D1263" s="2">
        <f>(('Historical Data'!L1265)-('Historical Data'!L1264))/('Historical Data'!L1264)</f>
        <v>0.007255139057</v>
      </c>
      <c r="E1263" s="2">
        <f>(('Historical Data'!O1265)-('Historical Data'!O1264))/('Historical Data'!O1264)</f>
        <v>0.02760825341</v>
      </c>
    </row>
    <row r="1264">
      <c r="A1264" s="2">
        <f>(('Historical Data'!C1266)-('Historical Data'!C1265))/('Historical Data'!C1265)</f>
        <v>-0.01404531602</v>
      </c>
      <c r="D1264" s="2">
        <f>(('Historical Data'!L1266)-('Historical Data'!L1265))/('Historical Data'!L1265)</f>
        <v>0.003401360544</v>
      </c>
      <c r="E1264" s="2">
        <f>(('Historical Data'!O1266)-('Historical Data'!O1265))/('Historical Data'!O1265)</f>
        <v>0.01300904977</v>
      </c>
    </row>
    <row r="1265">
      <c r="A1265" s="2">
        <f>(('Historical Data'!C1267)-('Historical Data'!C1266))/('Historical Data'!C1266)</f>
        <v>0.01128880527</v>
      </c>
      <c r="D1265" s="2">
        <f>(('Historical Data'!L1267)-('Historical Data'!L1266))/('Historical Data'!L1266)</f>
        <v>-0.01395812562</v>
      </c>
      <c r="E1265" s="2">
        <f>(('Historical Data'!O1267)-('Historical Data'!O1266))/('Historical Data'!O1266)</f>
        <v>-0.01870463428</v>
      </c>
    </row>
    <row r="1266">
      <c r="A1266" s="2">
        <f>(('Historical Data'!C1268)-('Historical Data'!C1267))/('Historical Data'!C1267)</f>
        <v>-0.0007973421927</v>
      </c>
      <c r="D1266" s="2">
        <f>(('Historical Data'!L1268)-('Historical Data'!L1267))/('Historical Data'!L1267)</f>
        <v>0.01162790698</v>
      </c>
      <c r="E1266" s="2">
        <f>(('Historical Data'!O1268)-('Historical Data'!O1267))/('Historical Data'!O1267)</f>
        <v>0.006543385491</v>
      </c>
    </row>
    <row r="1267">
      <c r="A1267" s="2">
        <f>(('Historical Data'!C1269)-('Historical Data'!C1268))/('Historical Data'!C1268)</f>
        <v>-0.02447133927</v>
      </c>
      <c r="D1267" s="2">
        <f>(('Historical Data'!L1269)-('Historical Data'!L1268))/('Historical Data'!L1268)</f>
        <v>0.002498750625</v>
      </c>
      <c r="E1267" s="2">
        <f>(('Historical Data'!O1269)-('Historical Data'!O1268))/('Historical Data'!O1268)</f>
        <v>-0.006500847937</v>
      </c>
    </row>
    <row r="1268">
      <c r="A1268" s="2">
        <f>(('Historical Data'!C1270)-('Historical Data'!C1269))/('Historical Data'!C1269)</f>
        <v>0.004635310157</v>
      </c>
      <c r="D1268" s="2">
        <f>(('Historical Data'!L1270)-('Historical Data'!L1269))/('Historical Data'!L1269)</f>
        <v>0.006979062812</v>
      </c>
      <c r="E1268" s="2">
        <f>(('Historical Data'!O1270)-('Historical Data'!O1269))/('Historical Data'!O1269)</f>
        <v>0.02190611664</v>
      </c>
    </row>
    <row r="1269">
      <c r="A1269" s="2">
        <f>(('Historical Data'!C1271)-('Historical Data'!C1270))/('Historical Data'!C1270)</f>
        <v>0.00868503189</v>
      </c>
      <c r="D1269" s="2">
        <f>(('Historical Data'!L1271)-('Historical Data'!L1270))/('Historical Data'!L1270)</f>
        <v>0.003465346535</v>
      </c>
      <c r="E1269" s="2">
        <f>(('Historical Data'!O1271)-('Historical Data'!O1270))/('Historical Data'!O1270)</f>
        <v>-0.01364142539</v>
      </c>
    </row>
    <row r="1270">
      <c r="A1270" s="2">
        <f>(('Historical Data'!C1272)-('Historical Data'!C1271))/('Historical Data'!C1271)</f>
        <v>0.003497914705</v>
      </c>
      <c r="D1270" s="2">
        <f>(('Historical Data'!L1272)-('Historical Data'!L1271))/('Historical Data'!L1271)</f>
        <v>-0.003453379378</v>
      </c>
      <c r="E1270" s="2">
        <f>(('Historical Data'!O1272)-('Historical Data'!O1271))/('Historical Data'!O1271)</f>
        <v>0.0310471352</v>
      </c>
    </row>
    <row r="1271">
      <c r="A1271" s="2">
        <f>(('Historical Data'!C1273)-('Historical Data'!C1272))/('Historical Data'!C1272)</f>
        <v>0.03244402735</v>
      </c>
      <c r="D1271" s="2">
        <f>(('Historical Data'!L1273)-('Historical Data'!L1272))/('Historical Data'!L1272)</f>
        <v>0.01188118812</v>
      </c>
      <c r="E1271" s="2">
        <f>(('Historical Data'!O1273)-('Historical Data'!O1272))/('Historical Data'!O1272)</f>
        <v>0.006296194908</v>
      </c>
    </row>
    <row r="1272">
      <c r="A1272" s="2">
        <f>(('Historical Data'!C1274)-('Historical Data'!C1273))/('Historical Data'!C1273)</f>
        <v>0.02168549539</v>
      </c>
      <c r="D1272" s="2">
        <f>(('Historical Data'!L1274)-('Historical Data'!L1273))/('Historical Data'!L1273)</f>
        <v>-0.0009784735812</v>
      </c>
      <c r="E1272" s="2">
        <f>(('Historical Data'!O1274)-('Historical Data'!O1273))/('Historical Data'!O1273)</f>
        <v>0.02339499456</v>
      </c>
    </row>
    <row r="1273">
      <c r="A1273" s="2">
        <f>(('Historical Data'!C1275)-('Historical Data'!C1274))/('Historical Data'!C1274)</f>
        <v>0.003558718861</v>
      </c>
      <c r="D1273" s="2">
        <f>(('Historical Data'!L1275)-('Historical Data'!L1274))/('Historical Data'!L1274)</f>
        <v>0.001958863859</v>
      </c>
      <c r="E1273" s="2">
        <f>(('Historical Data'!O1275)-('Historical Data'!O1274))/('Historical Data'!O1274)</f>
        <v>0.002126528442</v>
      </c>
    </row>
    <row r="1274">
      <c r="A1274" s="2">
        <f>(('Historical Data'!C1276)-('Historical Data'!C1275))/('Historical Data'!C1275)</f>
        <v>-0.006712259372</v>
      </c>
      <c r="D1274" s="2">
        <f>(('Historical Data'!L1276)-('Historical Data'!L1275))/('Historical Data'!L1275)</f>
        <v>0.0009775171065</v>
      </c>
      <c r="E1274" s="2">
        <f>(('Historical Data'!O1276)-('Historical Data'!O1275))/('Historical Data'!O1275)</f>
        <v>0.009018567639</v>
      </c>
    </row>
    <row r="1275">
      <c r="A1275" s="2">
        <f>(('Historical Data'!C1277)-('Historical Data'!C1276))/('Historical Data'!C1276)</f>
        <v>-0.001402524544</v>
      </c>
      <c r="D1275" s="2">
        <f>(('Historical Data'!L1277)-('Historical Data'!L1276))/('Historical Data'!L1276)</f>
        <v>-0.009765625</v>
      </c>
      <c r="E1275" s="2">
        <f>(('Historical Data'!O1277)-('Historical Data'!O1276))/('Historical Data'!O1276)</f>
        <v>-0.004206098843</v>
      </c>
    </row>
    <row r="1276">
      <c r="A1276" s="2">
        <f>(('Historical Data'!C1278)-('Historical Data'!C1277))/('Historical Data'!C1277)</f>
        <v>0.02962206333</v>
      </c>
      <c r="D1276" s="2">
        <f>(('Historical Data'!L1278)-('Historical Data'!L1277))/('Historical Data'!L1277)</f>
        <v>0.004930966469</v>
      </c>
      <c r="E1276" s="2">
        <f>(('Historical Data'!O1278)-('Historical Data'!O1277))/('Historical Data'!O1277)</f>
        <v>-0.004751847941</v>
      </c>
    </row>
    <row r="1277">
      <c r="A1277" s="2">
        <f>(('Historical Data'!C1279)-('Historical Data'!C1278))/('Historical Data'!C1278)</f>
        <v>0.03062996032</v>
      </c>
      <c r="D1277" s="2">
        <f>(('Historical Data'!L1279)-('Historical Data'!L1278))/('Historical Data'!L1278)</f>
        <v>-0.002453385672</v>
      </c>
      <c r="E1277" s="2">
        <f>(('Historical Data'!O1279)-('Historical Data'!O1278))/('Historical Data'!O1278)</f>
        <v>0.02970822281</v>
      </c>
    </row>
    <row r="1278">
      <c r="A1278" s="2">
        <f>(('Historical Data'!C1280)-('Historical Data'!C1279))/('Historical Data'!C1279)</f>
        <v>-0.02346288052</v>
      </c>
      <c r="D1278" s="2">
        <f>(('Historical Data'!L1280)-('Historical Data'!L1279))/('Historical Data'!L1279)</f>
        <v>0.01328086572</v>
      </c>
      <c r="E1278" s="2">
        <f>(('Historical Data'!O1280)-('Historical Data'!O1279))/('Historical Data'!O1279)</f>
        <v>0.009788768676</v>
      </c>
    </row>
    <row r="1279">
      <c r="A1279" s="2">
        <f>(('Historical Data'!C1281)-('Historical Data'!C1280))/('Historical Data'!C1280)</f>
        <v>0.01478560867</v>
      </c>
      <c r="D1279" s="2">
        <f>(('Historical Data'!L1281)-('Historical Data'!L1280))/('Historical Data'!L1280)</f>
        <v>0.02184466019</v>
      </c>
      <c r="E1279" s="2">
        <f>(('Historical Data'!O1281)-('Historical Data'!O1280))/('Historical Data'!O1280)</f>
        <v>-0.0262755102</v>
      </c>
    </row>
    <row r="1280">
      <c r="A1280" s="2">
        <f>(('Historical Data'!C1282)-('Historical Data'!C1281))/('Historical Data'!C1281)</f>
        <v>0.02986886838</v>
      </c>
      <c r="D1280" s="2">
        <f>(('Historical Data'!L1282)-('Historical Data'!L1281))/('Historical Data'!L1281)</f>
        <v>-0.007125890736</v>
      </c>
      <c r="E1280" s="2">
        <f>(('Historical Data'!O1282)-('Historical Data'!O1281))/('Historical Data'!O1281)</f>
        <v>0.02200681163</v>
      </c>
    </row>
    <row r="1281">
      <c r="A1281" s="2">
        <f>(('Historical Data'!C1283)-('Historical Data'!C1282))/('Historical Data'!C1282)</f>
        <v>0.0231077576</v>
      </c>
      <c r="D1281" s="2">
        <f>(('Historical Data'!L1283)-('Historical Data'!L1282))/('Historical Data'!L1282)</f>
        <v>0.009090909091</v>
      </c>
      <c r="E1281" s="2">
        <f>(('Historical Data'!O1283)-('Historical Data'!O1282))/('Historical Data'!O1282)</f>
        <v>0.005383235068</v>
      </c>
    </row>
    <row r="1282">
      <c r="A1282" s="2">
        <f>(('Historical Data'!C1284)-('Historical Data'!C1283))/('Historical Data'!C1283)</f>
        <v>-0.005646462319</v>
      </c>
      <c r="D1282" s="2">
        <f>(('Historical Data'!L1284)-('Historical Data'!L1283))/('Historical Data'!L1283)</f>
        <v>0.03319108582</v>
      </c>
      <c r="E1282" s="2">
        <f>(('Historical Data'!O1284)-('Historical Data'!O1283))/('Historical Data'!O1283)</f>
        <v>-0.05736868944</v>
      </c>
    </row>
    <row r="1283">
      <c r="A1283" s="2">
        <f>(('Historical Data'!C1285)-('Historical Data'!C1284))/('Historical Data'!C1284)</f>
        <v>-0.008691621277</v>
      </c>
      <c r="D1283" s="2">
        <f>(('Historical Data'!L1285)-('Historical Data'!L1284))/('Historical Data'!L1284)</f>
        <v>0.02294630564</v>
      </c>
      <c r="E1283" s="2">
        <f>(('Historical Data'!O1285)-('Historical Data'!O1284))/('Historical Data'!O1284)</f>
        <v>0.04273735461</v>
      </c>
    </row>
    <row r="1284">
      <c r="A1284" s="2">
        <f>(('Historical Data'!C1286)-('Historical Data'!C1285))/('Historical Data'!C1285)</f>
        <v>-0.1232172083</v>
      </c>
      <c r="D1284" s="2">
        <f>(('Historical Data'!L1286)-('Historical Data'!L1285))/('Historical Data'!L1285)</f>
        <v>0.01031852849</v>
      </c>
      <c r="E1284" s="2">
        <f>(('Historical Data'!O1286)-('Historical Data'!O1285))/('Historical Data'!O1285)</f>
        <v>-0.03527885863</v>
      </c>
    </row>
    <row r="1285">
      <c r="A1285" s="2">
        <f>(('Historical Data'!C1287)-('Historical Data'!C1286))/('Historical Data'!C1286)</f>
        <v>0.02466666667</v>
      </c>
      <c r="D1285" s="2">
        <f>(('Historical Data'!L1287)-('Historical Data'!L1286))/('Historical Data'!L1286)</f>
        <v>-0.004884547069</v>
      </c>
      <c r="E1285" s="2">
        <f>(('Historical Data'!O1287)-('Historical Data'!O1286))/('Historical Data'!O1286)</f>
        <v>0.01263780586</v>
      </c>
    </row>
    <row r="1286">
      <c r="A1286" s="2">
        <f>(('Historical Data'!C1288)-('Historical Data'!C1287))/('Historical Data'!C1287)</f>
        <v>0</v>
      </c>
      <c r="D1286" s="2">
        <f>(('Historical Data'!L1288)-('Historical Data'!L1287))/('Historical Data'!L1287)</f>
        <v>-0.05577867024</v>
      </c>
      <c r="E1286" s="2">
        <f>(('Historical Data'!O1288)-('Historical Data'!O1287))/('Historical Data'!O1287)</f>
        <v>-0.002655337228</v>
      </c>
    </row>
    <row r="1287">
      <c r="A1287" s="2">
        <f>(('Historical Data'!C1289)-('Historical Data'!C1288))/('Historical Data'!C1288)</f>
        <v>0.01730644112</v>
      </c>
      <c r="D1287" s="2">
        <f>(('Historical Data'!L1289)-('Historical Data'!L1288))/('Historical Data'!L1288)</f>
        <v>0.008979206049</v>
      </c>
      <c r="E1287" s="2">
        <f>(('Historical Data'!O1289)-('Historical Data'!O1288))/('Historical Data'!O1288)</f>
        <v>0.02582534611</v>
      </c>
    </row>
    <row r="1288">
      <c r="A1288" s="2">
        <f>(('Historical Data'!C1290)-('Historical Data'!C1289))/('Historical Data'!C1289)</f>
        <v>0.004860578153</v>
      </c>
      <c r="D1288" s="2">
        <f>(('Historical Data'!L1290)-('Historical Data'!L1289))/('Historical Data'!L1289)</f>
        <v>-0.01405152225</v>
      </c>
      <c r="E1288" s="2">
        <f>(('Historical Data'!O1290)-('Historical Data'!O1289))/('Historical Data'!O1289)</f>
        <v>0.01245782507</v>
      </c>
    </row>
    <row r="1289">
      <c r="A1289" s="2">
        <f>(('Historical Data'!C1291)-('Historical Data'!C1290))/('Historical Data'!C1290)</f>
        <v>0.008146639511</v>
      </c>
      <c r="D1289" s="2">
        <f>(('Historical Data'!L1291)-('Historical Data'!L1290))/('Historical Data'!L1290)</f>
        <v>-0.02327790974</v>
      </c>
      <c r="E1289" s="2">
        <f>(('Historical Data'!O1291)-('Historical Data'!O1290))/('Historical Data'!O1290)</f>
        <v>-0.02127659574</v>
      </c>
    </row>
    <row r="1290">
      <c r="A1290" s="2">
        <f>(('Historical Data'!C1292)-('Historical Data'!C1291))/('Historical Data'!C1291)</f>
        <v>-0.01843434343</v>
      </c>
      <c r="D1290" s="2">
        <f>(('Historical Data'!L1292)-('Historical Data'!L1291))/('Historical Data'!L1291)</f>
        <v>0.002431906615</v>
      </c>
      <c r="E1290" s="2">
        <f>(('Historical Data'!O1292)-('Historical Data'!O1291))/('Historical Data'!O1291)</f>
        <v>0.006024096386</v>
      </c>
    </row>
    <row r="1291">
      <c r="A1291" s="2">
        <f>(('Historical Data'!C1293)-('Historical Data'!C1292))/('Historical Data'!C1292)</f>
        <v>0.005145356316</v>
      </c>
      <c r="D1291" s="2">
        <f>(('Historical Data'!L1293)-('Historical Data'!L1292))/('Historical Data'!L1292)</f>
        <v>-0.006307617661</v>
      </c>
      <c r="E1291" s="2">
        <f>(('Historical Data'!O1293)-('Historical Data'!O1292))/('Historical Data'!O1292)</f>
        <v>-0.002863837542</v>
      </c>
    </row>
    <row r="1292">
      <c r="A1292" s="2">
        <f>(('Historical Data'!C1294)-('Historical Data'!C1293))/('Historical Data'!C1293)</f>
        <v>0.01254159201</v>
      </c>
      <c r="D1292" s="2">
        <f>(('Historical Data'!L1294)-('Historical Data'!L1293))/('Historical Data'!L1293)</f>
        <v>-0.01953125</v>
      </c>
      <c r="E1292" s="2">
        <f>(('Historical Data'!O1294)-('Historical Data'!O1293))/('Historical Data'!O1293)</f>
        <v>-0.005483028721</v>
      </c>
    </row>
    <row r="1293">
      <c r="A1293" s="2">
        <f>(('Historical Data'!C1295)-('Historical Data'!C1294))/('Historical Data'!C1294)</f>
        <v>-0.01289180991</v>
      </c>
      <c r="D1293" s="2">
        <f>(('Historical Data'!L1295)-('Historical Data'!L1294))/('Historical Data'!L1294)</f>
        <v>0.009960159363</v>
      </c>
      <c r="E1293" s="2">
        <f>(('Historical Data'!O1295)-('Historical Data'!O1294))/('Historical Data'!O1294)</f>
        <v>-0.002625360987</v>
      </c>
    </row>
    <row r="1294">
      <c r="A1294" s="2">
        <f>(('Historical Data'!C1296)-('Historical Data'!C1295))/('Historical Data'!C1295)</f>
        <v>0.01741357234</v>
      </c>
      <c r="D1294" s="2">
        <f>(('Historical Data'!L1296)-('Historical Data'!L1295))/('Historical Data'!L1295)</f>
        <v>0.01331360947</v>
      </c>
      <c r="E1294" s="2">
        <f>(('Historical Data'!O1296)-('Historical Data'!O1295))/('Historical Data'!O1295)</f>
        <v>0.02290076336</v>
      </c>
    </row>
    <row r="1295">
      <c r="A1295" s="2">
        <f>(('Historical Data'!C1297)-('Historical Data'!C1296))/('Historical Data'!C1296)</f>
        <v>-0.0005033979361</v>
      </c>
      <c r="D1295" s="2">
        <f>(('Historical Data'!L1297)-('Historical Data'!L1296))/('Historical Data'!L1296)</f>
        <v>0.01800486618</v>
      </c>
      <c r="E1295" s="2">
        <f>(('Historical Data'!O1297)-('Historical Data'!O1296))/('Historical Data'!O1296)</f>
        <v>0.01569737519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8" max="18" width="17.63"/>
    <col customWidth="1" min="19" max="19" width="16.63"/>
    <col customWidth="1" min="20" max="20" width="15.0"/>
  </cols>
  <sheetData>
    <row r="1" ht="22.5" customHeight="1">
      <c r="A1" s="1" t="s">
        <v>21</v>
      </c>
      <c r="B1" s="1" t="s">
        <v>22</v>
      </c>
      <c r="C1" s="1" t="s">
        <v>23</v>
      </c>
      <c r="Q1" s="5" t="s">
        <v>24</v>
      </c>
      <c r="R1" s="5" t="s">
        <v>25</v>
      </c>
      <c r="S1" s="5" t="s">
        <v>26</v>
      </c>
      <c r="T1" s="6" t="s">
        <v>27</v>
      </c>
      <c r="U1" s="7" t="s">
        <v>28</v>
      </c>
      <c r="V1" s="7" t="s">
        <v>29</v>
      </c>
      <c r="W1" s="7" t="s">
        <v>30</v>
      </c>
      <c r="X1" s="7" t="s">
        <v>31</v>
      </c>
      <c r="Y1" s="7" t="s">
        <v>32</v>
      </c>
      <c r="Z1" s="7" t="s">
        <v>33</v>
      </c>
    </row>
    <row r="2" ht="22.5" customHeight="1">
      <c r="A2" s="1" t="s">
        <v>15</v>
      </c>
      <c r="B2" s="8">
        <v>0.0</v>
      </c>
      <c r="C2" s="2">
        <f>Maths!K2*252</f>
        <v>0.1425962285</v>
      </c>
      <c r="H2" s="4">
        <v>2.1485421488150774E-4</v>
      </c>
      <c r="I2" s="2">
        <v>8.369139441235859E-5</v>
      </c>
      <c r="J2" s="2">
        <v>5.0080622534120094E-5</v>
      </c>
      <c r="K2" s="2">
        <v>5.7581698129085635E-6</v>
      </c>
      <c r="L2" s="2">
        <v>6.281887739166877E-5</v>
      </c>
      <c r="M2" s="2">
        <v>5.29667981111736E-5</v>
      </c>
      <c r="Q2" s="9" t="s">
        <v>34</v>
      </c>
      <c r="R2" s="10">
        <v>0.4252677519471365</v>
      </c>
      <c r="S2" s="10">
        <v>0.01672140566840591</v>
      </c>
      <c r="T2" s="10">
        <v>23.040392631289173</v>
      </c>
      <c r="U2" s="11">
        <v>0.24043387153512658</v>
      </c>
      <c r="V2" s="11">
        <v>0.09532551029995959</v>
      </c>
      <c r="W2" s="11">
        <v>0.08560106856931442</v>
      </c>
      <c r="X2" s="11">
        <v>0.37675841797232834</v>
      </c>
      <c r="Y2" s="11">
        <v>0.1832802645482316</v>
      </c>
      <c r="Z2" s="11">
        <v>0.018600867075039378</v>
      </c>
    </row>
    <row r="3" ht="22.5" customHeight="1">
      <c r="A3" s="1" t="s">
        <v>35</v>
      </c>
      <c r="B3" s="8">
        <v>0.0</v>
      </c>
      <c r="C3" s="2">
        <f>Maths!K3*252</f>
        <v>1.494159887</v>
      </c>
      <c r="H3" s="2">
        <v>8.369139441235859E-5</v>
      </c>
      <c r="I3" s="4">
        <v>0.010369547908383778</v>
      </c>
      <c r="J3" s="2">
        <v>-1.7798515767050686E-5</v>
      </c>
      <c r="K3" s="2">
        <v>1.1331886900568822E-4</v>
      </c>
      <c r="L3" s="2">
        <v>9.489847381607904E-5</v>
      </c>
      <c r="M3" s="2">
        <v>-7.10077649840051E-5</v>
      </c>
      <c r="Q3" s="9" t="s">
        <v>36</v>
      </c>
      <c r="R3" s="10">
        <v>0.36695830653321204</v>
      </c>
      <c r="S3" s="10">
        <v>0.014201717065710774</v>
      </c>
      <c r="T3" s="10">
        <v>23.02244897714756</v>
      </c>
      <c r="U3" s="11">
        <v>0.16837927575477607</v>
      </c>
      <c r="V3" s="11">
        <v>0.08497362207823467</v>
      </c>
      <c r="W3" s="11">
        <v>0.06223080036691761</v>
      </c>
      <c r="X3" s="11">
        <v>0.3543141792503596</v>
      </c>
      <c r="Y3" s="11">
        <v>0.15886706742370316</v>
      </c>
      <c r="Z3" s="11">
        <v>0.17123505512600895</v>
      </c>
    </row>
    <row r="4" ht="22.5" customHeight="1">
      <c r="A4" s="1" t="s">
        <v>17</v>
      </c>
      <c r="B4" s="8">
        <v>0.0</v>
      </c>
      <c r="C4" s="2">
        <f>Maths!K4*252</f>
        <v>1.426712959</v>
      </c>
      <c r="H4" s="2">
        <v>5.0080622534120094E-5</v>
      </c>
      <c r="I4" s="2">
        <v>-1.7798515767050686E-5</v>
      </c>
      <c r="J4" s="4">
        <v>0.01155409003165204</v>
      </c>
      <c r="K4" s="2">
        <v>7.55462745044219E-5</v>
      </c>
      <c r="L4" s="2">
        <v>1.4521380285626142E-4</v>
      </c>
      <c r="M4" s="2">
        <v>1.7000328850127213E-5</v>
      </c>
      <c r="Q4" s="9" t="s">
        <v>37</v>
      </c>
      <c r="R4" s="10">
        <v>0.36506309283028543</v>
      </c>
      <c r="S4" s="10">
        <v>0.014133519930285362</v>
      </c>
      <c r="T4" s="10">
        <v>22.999443481431612</v>
      </c>
      <c r="U4" s="11">
        <v>0.16243244414370414</v>
      </c>
      <c r="V4" s="11">
        <v>0.07719419581500492</v>
      </c>
      <c r="W4" s="11">
        <v>0.0715903560118876</v>
      </c>
      <c r="X4" s="11">
        <v>0.33830827021473586</v>
      </c>
      <c r="Y4" s="11">
        <v>0.15713970781668032</v>
      </c>
      <c r="Z4" s="11">
        <v>0.19333502599798708</v>
      </c>
    </row>
    <row r="5" ht="22.5" customHeight="1">
      <c r="A5" s="1" t="s">
        <v>18</v>
      </c>
      <c r="B5" s="8">
        <v>0.0</v>
      </c>
      <c r="C5" s="2">
        <f>Maths!K5*252</f>
        <v>0.250326197</v>
      </c>
      <c r="H5" s="2">
        <v>5.7581698129085635E-6</v>
      </c>
      <c r="I5" s="2">
        <v>1.1331886900568822E-4</v>
      </c>
      <c r="J5" s="2">
        <v>7.55462745044219E-5</v>
      </c>
      <c r="K5" s="4">
        <v>2.8654107458906677E-4</v>
      </c>
      <c r="L5" s="2">
        <v>1.7390007279318107E-5</v>
      </c>
      <c r="M5" s="2">
        <v>8.421259369604507E-6</v>
      </c>
      <c r="Q5" s="9" t="s">
        <v>38</v>
      </c>
      <c r="R5" s="10">
        <v>0.4308118093825894</v>
      </c>
      <c r="S5" s="10">
        <v>0.017001659581026403</v>
      </c>
      <c r="T5" s="10">
        <v>22.986685947925316</v>
      </c>
      <c r="U5" s="11">
        <v>0.21165866968733685</v>
      </c>
      <c r="V5" s="11">
        <v>0.09668026084176012</v>
      </c>
      <c r="W5" s="11">
        <v>0.0953452356848124</v>
      </c>
      <c r="X5" s="11">
        <v>0.3723908797274639</v>
      </c>
      <c r="Y5" s="11">
        <v>0.11586878128011723</v>
      </c>
      <c r="Z5" s="11">
        <v>0.10805617277850955</v>
      </c>
    </row>
    <row r="6" ht="22.5" customHeight="1">
      <c r="A6" s="1" t="s">
        <v>4</v>
      </c>
      <c r="B6" s="8">
        <v>0.0</v>
      </c>
      <c r="C6" s="2">
        <f>Maths!K6*252</f>
        <v>0.1682174518</v>
      </c>
      <c r="H6" s="2">
        <v>6.281887739166877E-5</v>
      </c>
      <c r="I6" s="2">
        <v>9.489847381607904E-5</v>
      </c>
      <c r="J6" s="2">
        <v>1.4521380285626142E-4</v>
      </c>
      <c r="K6" s="2">
        <v>1.7390007279318107E-5</v>
      </c>
      <c r="L6" s="4">
        <v>3.461849900683671E-4</v>
      </c>
      <c r="M6" s="2">
        <v>1.235021669742431E-5</v>
      </c>
      <c r="Q6" s="9" t="s">
        <v>39</v>
      </c>
      <c r="R6" s="10">
        <v>0.4204587635958054</v>
      </c>
      <c r="S6" s="10">
        <v>0.016586558118753012</v>
      </c>
      <c r="T6" s="10">
        <v>22.93777653397862</v>
      </c>
      <c r="U6" s="11">
        <v>0.064465265933244</v>
      </c>
      <c r="V6" s="11">
        <v>0.09376031790529091</v>
      </c>
      <c r="W6" s="11">
        <v>0.08070438343319924</v>
      </c>
      <c r="X6" s="11">
        <v>0.5041275820949235</v>
      </c>
      <c r="Y6" s="11">
        <v>0.12229345299842267</v>
      </c>
      <c r="Z6" s="11">
        <v>0.13464899763491964</v>
      </c>
    </row>
    <row r="7" ht="22.5" customHeight="1">
      <c r="A7" s="1" t="s">
        <v>19</v>
      </c>
      <c r="B7" s="8">
        <v>0.0</v>
      </c>
      <c r="C7" s="2">
        <f>Maths!K7*252</f>
        <v>0.06879465006</v>
      </c>
      <c r="H7" s="2">
        <v>5.29667981111736E-5</v>
      </c>
      <c r="I7" s="2">
        <v>-7.10077649840051E-5</v>
      </c>
      <c r="J7" s="2">
        <v>1.7000328850127213E-5</v>
      </c>
      <c r="K7" s="2">
        <v>8.421259369604507E-6</v>
      </c>
      <c r="L7" s="2">
        <v>1.235021669742431E-5</v>
      </c>
      <c r="M7" s="4">
        <v>1.151103005530561E-4</v>
      </c>
      <c r="Q7" s="9" t="s">
        <v>40</v>
      </c>
      <c r="R7" s="10">
        <v>0.37164148215511134</v>
      </c>
      <c r="S7" s="10">
        <v>0.014464023183417449</v>
      </c>
      <c r="T7" s="10">
        <v>22.928716163517212</v>
      </c>
      <c r="U7" s="11">
        <v>0.15589670514680726</v>
      </c>
      <c r="V7" s="11">
        <v>0.08716506315800408</v>
      </c>
      <c r="W7" s="11">
        <v>0.07059886231691612</v>
      </c>
      <c r="X7" s="11">
        <v>0.32782442581309057</v>
      </c>
      <c r="Y7" s="11">
        <v>0.1178944389941489</v>
      </c>
      <c r="Z7" s="11">
        <v>0.2406205045710331</v>
      </c>
    </row>
    <row r="8" ht="22.5" customHeight="1">
      <c r="A8" s="1" t="s">
        <v>41</v>
      </c>
      <c r="B8" s="8">
        <f>SUM(B2:B7)</f>
        <v>0</v>
      </c>
      <c r="Q8" s="9" t="s">
        <v>42</v>
      </c>
      <c r="R8" s="10">
        <v>0.4092721426875131</v>
      </c>
      <c r="S8" s="10">
        <v>0.016153038332462257</v>
      </c>
      <c r="T8" s="10">
        <v>22.86084729616461</v>
      </c>
      <c r="U8" s="11">
        <v>0.21288523005086807</v>
      </c>
      <c r="V8" s="11">
        <v>0.08232239254272784</v>
      </c>
      <c r="W8" s="11">
        <v>0.0891075280519971</v>
      </c>
      <c r="X8" s="11">
        <v>0.35317700659783396</v>
      </c>
      <c r="Y8" s="11">
        <v>0.2244277726768678</v>
      </c>
      <c r="Z8" s="11">
        <v>0.0380800700797052</v>
      </c>
    </row>
    <row r="9" ht="22.5" customHeight="1">
      <c r="A9" s="1"/>
      <c r="Q9" s="9" t="s">
        <v>43</v>
      </c>
      <c r="R9" s="10">
        <v>0.4253779067403512</v>
      </c>
      <c r="S9" s="10">
        <v>0.016880101994818722</v>
      </c>
      <c r="T9" s="10">
        <v>22.83030676346869</v>
      </c>
      <c r="U9" s="11">
        <v>0.15308344504746382</v>
      </c>
      <c r="V9" s="11">
        <v>0.1020448029318565</v>
      </c>
      <c r="W9" s="11">
        <v>0.09098622901895331</v>
      </c>
      <c r="X9" s="11">
        <v>0.3153748955985387</v>
      </c>
      <c r="Y9" s="11">
        <v>0.19142473237497684</v>
      </c>
      <c r="Z9" s="11">
        <v>0.14708589502821084</v>
      </c>
    </row>
    <row r="10" ht="22.5" customHeight="1">
      <c r="A10" s="1" t="s">
        <v>44</v>
      </c>
      <c r="C10" s="2">
        <f>SUMPRODUCT(B2:B7,C2:C7)</f>
        <v>0</v>
      </c>
      <c r="Q10" s="9" t="s">
        <v>45</v>
      </c>
      <c r="R10" s="10">
        <v>0.33215719247113323</v>
      </c>
      <c r="S10" s="10">
        <v>0.012809411688083042</v>
      </c>
      <c r="T10" s="10">
        <v>22.808010202602464</v>
      </c>
      <c r="U10" s="11">
        <v>0.2518469866985098</v>
      </c>
      <c r="V10" s="11">
        <v>0.0705781784914531</v>
      </c>
      <c r="W10" s="11">
        <v>0.05203138257418422</v>
      </c>
      <c r="X10" s="11">
        <v>0.34403754677551635</v>
      </c>
      <c r="Y10" s="11">
        <v>0.11132375958035633</v>
      </c>
      <c r="Z10" s="11">
        <v>0.17018214587998015</v>
      </c>
    </row>
    <row r="11" ht="22.5" customHeight="1">
      <c r="A11" s="1" t="s">
        <v>46</v>
      </c>
      <c r="C11" s="2">
        <f t="array" ref="C11">MMULT(TRANSPOSE(B2:B7),MMULT(Maths!P2:U7,B2:B7))</f>
        <v>0</v>
      </c>
      <c r="Q11" s="9" t="s">
        <v>47</v>
      </c>
      <c r="R11" s="10">
        <v>0.4393154177674731</v>
      </c>
      <c r="S11" s="10">
        <v>0.017521721464745107</v>
      </c>
      <c r="T11" s="10">
        <v>22.789736646078005</v>
      </c>
      <c r="U11" s="11">
        <v>0.07615659126182776</v>
      </c>
      <c r="V11" s="11">
        <v>0.08581922638197277</v>
      </c>
      <c r="W11" s="11">
        <v>0.09574385404811418</v>
      </c>
      <c r="X11" s="11">
        <v>0.4952312482986583</v>
      </c>
      <c r="Y11" s="11">
        <v>0.22795698552002813</v>
      </c>
      <c r="Z11" s="11">
        <v>0.019092094489398824</v>
      </c>
    </row>
    <row r="12" ht="22.5" customHeight="1">
      <c r="A12" s="1" t="s">
        <v>48</v>
      </c>
      <c r="C12" s="2">
        <f>SQRT(C11)</f>
        <v>0</v>
      </c>
      <c r="Q12" s="9" t="s">
        <v>49</v>
      </c>
      <c r="R12" s="10">
        <v>0.41323688646229473</v>
      </c>
      <c r="S12" s="10">
        <v>0.01637839978768345</v>
      </c>
      <c r="T12" s="10">
        <v>22.788360969364582</v>
      </c>
      <c r="U12" s="11">
        <v>0.24548759502320053</v>
      </c>
      <c r="V12" s="11">
        <v>0.0890711782816453</v>
      </c>
      <c r="W12" s="11">
        <v>0.09476882077628469</v>
      </c>
      <c r="X12" s="11">
        <v>0.36920700492867453</v>
      </c>
      <c r="Y12" s="11">
        <v>0.03676086004758831</v>
      </c>
      <c r="Z12" s="11">
        <v>0.16470454094260664</v>
      </c>
    </row>
    <row r="13" ht="22.5" customHeight="1">
      <c r="A13" s="1" t="s">
        <v>27</v>
      </c>
      <c r="C13" s="2" t="str">
        <f>(C10-0.04)/C12</f>
        <v>#DIV/0!</v>
      </c>
      <c r="Q13" s="9" t="s">
        <v>50</v>
      </c>
      <c r="R13" s="10">
        <v>0.41084566309815695</v>
      </c>
      <c r="S13" s="10">
        <v>0.016277164156757243</v>
      </c>
      <c r="T13" s="10">
        <v>22.783186280283687</v>
      </c>
      <c r="U13" s="11">
        <v>0.07652521724901203</v>
      </c>
      <c r="V13" s="11">
        <v>0.09609689343559444</v>
      </c>
      <c r="W13" s="11">
        <v>0.08976102230435126</v>
      </c>
      <c r="X13" s="11">
        <v>0.374128167047349</v>
      </c>
      <c r="Y13" s="11">
        <v>0.09681842855142768</v>
      </c>
      <c r="Z13" s="11">
        <v>0.2666702714122655</v>
      </c>
    </row>
    <row r="14" ht="22.5" customHeight="1">
      <c r="A14" s="1" t="s">
        <v>51</v>
      </c>
      <c r="Q14" s="9" t="s">
        <v>52</v>
      </c>
      <c r="R14" s="10">
        <v>0.3717813705558369</v>
      </c>
      <c r="S14" s="10">
        <v>0.014571293463643232</v>
      </c>
      <c r="T14" s="10">
        <v>22.769520865368822</v>
      </c>
      <c r="U14" s="11">
        <v>0.07838956376221691</v>
      </c>
      <c r="V14" s="11">
        <v>0.09242637994950605</v>
      </c>
      <c r="W14" s="11">
        <v>0.05407607168638065</v>
      </c>
      <c r="X14" s="11">
        <v>0.4074186072390922</v>
      </c>
      <c r="Y14" s="11">
        <v>0.18174784728718257</v>
      </c>
      <c r="Z14" s="11">
        <v>0.18594153007562167</v>
      </c>
    </row>
    <row r="15" ht="22.5" customHeight="1">
      <c r="Q15" s="9" t="s">
        <v>53</v>
      </c>
      <c r="R15" s="10">
        <v>0.4093034608953091</v>
      </c>
      <c r="S15" s="10">
        <v>0.01622150509850614</v>
      </c>
      <c r="T15" s="10">
        <v>22.7662882483894</v>
      </c>
      <c r="U15" s="11">
        <v>0.06008713892115482</v>
      </c>
      <c r="V15" s="11">
        <v>0.0955452500780337</v>
      </c>
      <c r="W15" s="11">
        <v>0.08975170179493917</v>
      </c>
      <c r="X15" s="11">
        <v>0.35974306210373846</v>
      </c>
      <c r="Y15" s="11">
        <v>0.1278098508352864</v>
      </c>
      <c r="Z15" s="11">
        <v>0.26706299626684743</v>
      </c>
    </row>
    <row r="16" ht="22.5" customHeight="1">
      <c r="Q16" s="9" t="s">
        <v>54</v>
      </c>
      <c r="R16" s="10">
        <v>0.3503305223512827</v>
      </c>
      <c r="S16" s="10">
        <v>0.013633077032552364</v>
      </c>
      <c r="T16" s="10">
        <v>22.763057936978672</v>
      </c>
      <c r="U16" s="11">
        <v>0.13156416403874022</v>
      </c>
      <c r="V16" s="11">
        <v>0.06667123453142329</v>
      </c>
      <c r="W16" s="11">
        <v>0.07019266035037183</v>
      </c>
      <c r="X16" s="11">
        <v>0.4115288803918043</v>
      </c>
      <c r="Y16" s="11">
        <v>0.06813322808616273</v>
      </c>
      <c r="Z16" s="11">
        <v>0.25190983260149763</v>
      </c>
    </row>
    <row r="17" ht="22.5" customHeight="1">
      <c r="Q17" s="9" t="s">
        <v>55</v>
      </c>
      <c r="R17" s="10">
        <v>0.399716704456372</v>
      </c>
      <c r="S17" s="10">
        <v>0.0158031725903727</v>
      </c>
      <c r="T17" s="10">
        <v>22.762309428646727</v>
      </c>
      <c r="U17" s="11">
        <v>0.22416824710105357</v>
      </c>
      <c r="V17" s="11">
        <v>0.08597301162680558</v>
      </c>
      <c r="W17" s="11">
        <v>0.092185026377223</v>
      </c>
      <c r="X17" s="11">
        <v>0.306338015934436</v>
      </c>
      <c r="Y17" s="11">
        <v>0.11109516755650897</v>
      </c>
      <c r="Z17" s="11">
        <v>0.18024053140397295</v>
      </c>
    </row>
    <row r="18" ht="22.5" customHeight="1">
      <c r="Q18" s="9" t="s">
        <v>56</v>
      </c>
      <c r="R18" s="10">
        <v>0.470760400658998</v>
      </c>
      <c r="S18" s="10">
        <v>0.018939585669892314</v>
      </c>
      <c r="T18" s="10">
        <v>22.74391890968158</v>
      </c>
      <c r="U18" s="11">
        <v>0.16362528437947765</v>
      </c>
      <c r="V18" s="11">
        <v>0.1166065473874612</v>
      </c>
      <c r="W18" s="11">
        <v>0.10594828321502635</v>
      </c>
      <c r="X18" s="11">
        <v>0.42158229077494036</v>
      </c>
      <c r="Y18" s="11">
        <v>0.03302490255496547</v>
      </c>
      <c r="Z18" s="11">
        <v>0.15921269168812896</v>
      </c>
    </row>
    <row r="19" ht="22.5" customHeight="1">
      <c r="Q19" s="9" t="s">
        <v>57</v>
      </c>
      <c r="R19" s="10">
        <v>0.37131685618579363</v>
      </c>
      <c r="S19" s="10">
        <v>0.01457206160263228</v>
      </c>
      <c r="T19" s="10">
        <v>22.73644356032265</v>
      </c>
      <c r="U19" s="11">
        <v>0.23073605655768664</v>
      </c>
      <c r="V19" s="11">
        <v>0.0902678314340781</v>
      </c>
      <c r="W19" s="11">
        <v>0.05823168848325383</v>
      </c>
      <c r="X19" s="11">
        <v>0.3117606861329052</v>
      </c>
      <c r="Y19" s="11">
        <v>0.2128346424530187</v>
      </c>
      <c r="Z19" s="11">
        <v>0.09616909493905748</v>
      </c>
    </row>
    <row r="20" ht="22.5" customHeight="1">
      <c r="Q20" s="9" t="s">
        <v>58</v>
      </c>
      <c r="R20" s="10">
        <v>0.46290460896531593</v>
      </c>
      <c r="S20" s="10">
        <v>0.018611993620398712</v>
      </c>
      <c r="T20" s="10">
        <v>22.72215527206141</v>
      </c>
      <c r="U20" s="11">
        <v>0.12934550428716393</v>
      </c>
      <c r="V20" s="11">
        <v>0.12364780626142068</v>
      </c>
      <c r="W20" s="11">
        <v>0.08436039428249047</v>
      </c>
      <c r="X20" s="11">
        <v>0.3806750832144739</v>
      </c>
      <c r="Y20" s="11">
        <v>0.2480488457245565</v>
      </c>
      <c r="Z20" s="11">
        <v>0.03392236622989443</v>
      </c>
    </row>
    <row r="21" ht="22.5" customHeight="1">
      <c r="Q21" s="9" t="s">
        <v>59</v>
      </c>
      <c r="R21" s="10">
        <v>0.46804635617927415</v>
      </c>
      <c r="S21" s="10">
        <v>0.018845567379481124</v>
      </c>
      <c r="T21" s="10">
        <v>22.713370606465634</v>
      </c>
      <c r="U21" s="11">
        <v>0.15158467083609584</v>
      </c>
      <c r="V21" s="11">
        <v>0.10793574676631851</v>
      </c>
      <c r="W21" s="11">
        <v>0.10755753465292402</v>
      </c>
      <c r="X21" s="11">
        <v>0.4816216197064445</v>
      </c>
      <c r="Y21" s="11">
        <v>0.007370479042537644</v>
      </c>
      <c r="Z21" s="11">
        <v>0.14392994899567946</v>
      </c>
    </row>
    <row r="22" ht="22.5" customHeight="1">
      <c r="Q22" s="9" t="s">
        <v>60</v>
      </c>
      <c r="R22" s="10">
        <v>0.39822989132238235</v>
      </c>
      <c r="S22" s="10">
        <v>0.015785896098241357</v>
      </c>
      <c r="T22" s="10">
        <v>22.693034915027177</v>
      </c>
      <c r="U22" s="11">
        <v>0.08778329325462493</v>
      </c>
      <c r="V22" s="11">
        <v>0.07707747187458108</v>
      </c>
      <c r="W22" s="11">
        <v>0.0800649472985013</v>
      </c>
      <c r="X22" s="11">
        <v>0.41953159948977764</v>
      </c>
      <c r="Y22" s="11">
        <v>0.28377060545949806</v>
      </c>
      <c r="Z22" s="11">
        <v>0.05177208262301687</v>
      </c>
    </row>
    <row r="23" ht="22.5" customHeight="1">
      <c r="Q23" s="9" t="s">
        <v>61</v>
      </c>
      <c r="R23" s="10">
        <v>0.40062276952061016</v>
      </c>
      <c r="S23" s="10">
        <v>0.015891810279187412</v>
      </c>
      <c r="T23" s="10">
        <v>22.692365638979282</v>
      </c>
      <c r="U23" s="11">
        <v>0.09485549843897179</v>
      </c>
      <c r="V23" s="11">
        <v>0.09069392308153401</v>
      </c>
      <c r="W23" s="11">
        <v>0.07368878500018711</v>
      </c>
      <c r="X23" s="11">
        <v>0.36413162866608195</v>
      </c>
      <c r="Y23" s="11">
        <v>0.2956156953245588</v>
      </c>
      <c r="Z23" s="11">
        <v>0.08101446948866631</v>
      </c>
    </row>
    <row r="24" ht="22.5" customHeight="1">
      <c r="Q24" s="9" t="s">
        <v>62</v>
      </c>
      <c r="R24" s="10">
        <v>0.39637686368355</v>
      </c>
      <c r="S24" s="10">
        <v>0.01570629584696061</v>
      </c>
      <c r="T24" s="10">
        <v>22.690064363744554</v>
      </c>
      <c r="U24" s="11">
        <v>0.19365835825525973</v>
      </c>
      <c r="V24" s="11">
        <v>0.10499122793757865</v>
      </c>
      <c r="W24" s="11">
        <v>0.06331073648969618</v>
      </c>
      <c r="X24" s="11">
        <v>0.31208627259621335</v>
      </c>
      <c r="Y24" s="11">
        <v>0.21136763609719833</v>
      </c>
      <c r="Z24" s="11">
        <v>0.11458576862405373</v>
      </c>
    </row>
    <row r="25" ht="22.5" customHeight="1">
      <c r="Q25" s="9" t="s">
        <v>63</v>
      </c>
      <c r="R25" s="10">
        <v>0.47575800740793284</v>
      </c>
      <c r="S25" s="10">
        <v>0.019214071074009704</v>
      </c>
      <c r="T25" s="10">
        <v>22.67910874949191</v>
      </c>
      <c r="U25" s="11">
        <v>0.05402117718518578</v>
      </c>
      <c r="V25" s="11">
        <v>0.12122530396997258</v>
      </c>
      <c r="W25" s="11">
        <v>0.09270486716756318</v>
      </c>
      <c r="X25" s="11">
        <v>0.546115605662294</v>
      </c>
      <c r="Y25" s="11">
        <v>0.05193303618267594</v>
      </c>
      <c r="Z25" s="11">
        <v>0.13400000983230853</v>
      </c>
    </row>
    <row r="26" ht="22.5" customHeight="1">
      <c r="Q26" s="9" t="s">
        <v>64</v>
      </c>
      <c r="R26" s="10">
        <v>0.38194348937984157</v>
      </c>
      <c r="S26" s="10">
        <v>0.015077598074626043</v>
      </c>
      <c r="T26" s="10">
        <v>22.678909975408835</v>
      </c>
      <c r="U26" s="11">
        <v>0.19879841317946625</v>
      </c>
      <c r="V26" s="11">
        <v>0.09536721956455374</v>
      </c>
      <c r="W26" s="11">
        <v>0.06670969127970566</v>
      </c>
      <c r="X26" s="11">
        <v>0.27684939724869617</v>
      </c>
      <c r="Y26" s="11">
        <v>0.21826856869715813</v>
      </c>
      <c r="Z26" s="11">
        <v>0.14400671003041995</v>
      </c>
    </row>
    <row r="27" ht="22.5" customHeight="1">
      <c r="Q27" s="9" t="s">
        <v>65</v>
      </c>
      <c r="R27" s="10">
        <v>0.3485280743345273</v>
      </c>
      <c r="S27" s="10">
        <v>0.013611003716689716</v>
      </c>
      <c r="T27" s="10">
        <v>22.66754757815637</v>
      </c>
      <c r="U27" s="11">
        <v>0.1577684094901142</v>
      </c>
      <c r="V27" s="11">
        <v>0.07206262142594583</v>
      </c>
      <c r="W27" s="11">
        <v>0.07249452579319003</v>
      </c>
      <c r="X27" s="11">
        <v>0.27576594374549335</v>
      </c>
      <c r="Y27" s="11">
        <v>0.1697040181902497</v>
      </c>
      <c r="Z27" s="11">
        <v>0.2522044813550068</v>
      </c>
    </row>
    <row r="28" ht="22.5" customHeight="1">
      <c r="Q28" s="9" t="s">
        <v>66</v>
      </c>
      <c r="R28" s="10">
        <v>0.3643165086404418</v>
      </c>
      <c r="S28" s="10">
        <v>0.014311710103343143</v>
      </c>
      <c r="T28" s="10">
        <v>22.660919365931196</v>
      </c>
      <c r="U28" s="11">
        <v>0.23477325414830327</v>
      </c>
      <c r="V28" s="11">
        <v>0.07239550914770336</v>
      </c>
      <c r="W28" s="11">
        <v>0.08035382638383479</v>
      </c>
      <c r="X28" s="11">
        <v>0.27608893090274705</v>
      </c>
      <c r="Y28" s="11">
        <v>0.15863963589338737</v>
      </c>
      <c r="Z28" s="11">
        <v>0.17774884352402417</v>
      </c>
    </row>
    <row r="29" ht="22.5" customHeight="1">
      <c r="Q29" s="9" t="s">
        <v>67</v>
      </c>
      <c r="R29" s="10">
        <v>0.5265612683318652</v>
      </c>
      <c r="S29" s="10">
        <v>0.021471725568032778</v>
      </c>
      <c r="T29" s="10">
        <v>22.660557335748567</v>
      </c>
      <c r="U29" s="11">
        <v>0.06691500946125864</v>
      </c>
      <c r="V29" s="11">
        <v>0.13101234494444178</v>
      </c>
      <c r="W29" s="11">
        <v>0.1196153848610471</v>
      </c>
      <c r="X29" s="11">
        <v>0.45255910175621944</v>
      </c>
      <c r="Y29" s="11">
        <v>0.21630921241559944</v>
      </c>
      <c r="Z29" s="11">
        <v>0.013588946561433665</v>
      </c>
    </row>
    <row r="30" ht="22.5" customHeight="1">
      <c r="Q30" s="9" t="s">
        <v>68</v>
      </c>
      <c r="R30" s="10">
        <v>0.45496910157554404</v>
      </c>
      <c r="S30" s="10">
        <v>0.01831505175461899</v>
      </c>
      <c r="T30" s="10">
        <v>22.657271578328483</v>
      </c>
      <c r="U30" s="11">
        <v>0.030478998098582812</v>
      </c>
      <c r="V30" s="11">
        <v>0.12027865009875191</v>
      </c>
      <c r="W30" s="11">
        <v>0.07910851874377918</v>
      </c>
      <c r="X30" s="11">
        <v>0.5262671552410175</v>
      </c>
      <c r="Y30" s="11">
        <v>0.0958235920276822</v>
      </c>
      <c r="Z30" s="11">
        <v>0.14804308579018643</v>
      </c>
    </row>
    <row r="31" ht="22.5" customHeight="1">
      <c r="Q31" s="9" t="s">
        <v>69</v>
      </c>
      <c r="R31" s="10">
        <v>0.37206308536935373</v>
      </c>
      <c r="S31" s="10">
        <v>0.014657003773028894</v>
      </c>
      <c r="T31" s="10">
        <v>22.65559117753658</v>
      </c>
      <c r="U31" s="11">
        <v>0.24426132228364603</v>
      </c>
      <c r="V31" s="11">
        <v>0.0870034512856187</v>
      </c>
      <c r="W31" s="11">
        <v>0.07583910816401933</v>
      </c>
      <c r="X31" s="11">
        <v>0.26289764321261666</v>
      </c>
      <c r="Y31" s="11">
        <v>0.10583427232550917</v>
      </c>
      <c r="Z31" s="11">
        <v>0.2241642027285901</v>
      </c>
    </row>
    <row r="32" ht="22.5" customHeight="1">
      <c r="Q32" s="9" t="s">
        <v>70</v>
      </c>
      <c r="R32" s="10">
        <v>0.38060455046739267</v>
      </c>
      <c r="S32" s="10">
        <v>0.015035133590545513</v>
      </c>
      <c r="T32" s="10">
        <v>22.653909153263115</v>
      </c>
      <c r="U32" s="11">
        <v>0.2251285895922968</v>
      </c>
      <c r="V32" s="11">
        <v>0.09169745889472279</v>
      </c>
      <c r="W32" s="11">
        <v>0.052115816013928465</v>
      </c>
      <c r="X32" s="11">
        <v>0.4929542675930051</v>
      </c>
      <c r="Y32" s="11">
        <v>0.04261510798075317</v>
      </c>
      <c r="Z32" s="11">
        <v>0.09548875992529357</v>
      </c>
    </row>
    <row r="33" ht="22.5" customHeight="1">
      <c r="Q33" s="9" t="s">
        <v>71</v>
      </c>
      <c r="R33" s="10">
        <v>0.3584025925891114</v>
      </c>
      <c r="S33" s="10">
        <v>0.014057335433820187</v>
      </c>
      <c r="T33" s="10">
        <v>22.65028063733008</v>
      </c>
      <c r="U33" s="11">
        <v>0.13277241984355498</v>
      </c>
      <c r="V33" s="11">
        <v>0.07776530528265593</v>
      </c>
      <c r="W33" s="11">
        <v>0.07459251893640981</v>
      </c>
      <c r="X33" s="11">
        <v>0.34275633910686654</v>
      </c>
      <c r="Y33" s="11">
        <v>0.054851903930201985</v>
      </c>
      <c r="Z33" s="11">
        <v>0.3172615129003108</v>
      </c>
    </row>
    <row r="34" ht="22.5" customHeight="1">
      <c r="Q34" s="9" t="s">
        <v>72</v>
      </c>
      <c r="R34" s="10">
        <v>0.4459356112162075</v>
      </c>
      <c r="S34" s="10">
        <v>0.017925319841623336</v>
      </c>
      <c r="T34" s="10">
        <v>22.645934064373467</v>
      </c>
      <c r="U34" s="11">
        <v>0.1683440386931272</v>
      </c>
      <c r="V34" s="11">
        <v>0.09561699282491053</v>
      </c>
      <c r="W34" s="11">
        <v>0.10655307838478925</v>
      </c>
      <c r="X34" s="11">
        <v>0.3312871937838715</v>
      </c>
      <c r="Y34" s="11">
        <v>0.2373531482398886</v>
      </c>
      <c r="Z34" s="11">
        <v>0.060845548073412914</v>
      </c>
    </row>
    <row r="35" ht="22.5" customHeight="1">
      <c r="Q35" s="9" t="s">
        <v>73</v>
      </c>
      <c r="R35" s="10">
        <v>0.45461808685471494</v>
      </c>
      <c r="S35" s="10">
        <v>0.0183108689934728</v>
      </c>
      <c r="T35" s="10">
        <v>22.643277443714556</v>
      </c>
      <c r="U35" s="11">
        <v>0.24100591875774785</v>
      </c>
      <c r="V35" s="11">
        <v>0.10406598679594063</v>
      </c>
      <c r="W35" s="11">
        <v>0.11120924405926806</v>
      </c>
      <c r="X35" s="11">
        <v>0.3241748459649264</v>
      </c>
      <c r="Y35" s="11">
        <v>0.09900897592394521</v>
      </c>
      <c r="Z35" s="11">
        <v>0.1205350284981719</v>
      </c>
    </row>
    <row r="36" ht="22.5" customHeight="1">
      <c r="Q36" s="9" t="s">
        <v>74</v>
      </c>
      <c r="R36" s="10">
        <v>0.37644390607555245</v>
      </c>
      <c r="S36" s="10">
        <v>0.01486071150743589</v>
      </c>
      <c r="T36" s="10">
        <v>22.63982487697209</v>
      </c>
      <c r="U36" s="11">
        <v>0.05325899410236936</v>
      </c>
      <c r="V36" s="11">
        <v>0.09185624486526311</v>
      </c>
      <c r="W36" s="11">
        <v>0.0695139461991832</v>
      </c>
      <c r="X36" s="11">
        <v>0.30743138326090486</v>
      </c>
      <c r="Y36" s="11">
        <v>0.2271833496860807</v>
      </c>
      <c r="Z36" s="11">
        <v>0.2507560818861988</v>
      </c>
    </row>
    <row r="37" ht="22.5" customHeight="1">
      <c r="Q37" s="9" t="s">
        <v>75</v>
      </c>
      <c r="R37" s="10">
        <v>0.37851521829089374</v>
      </c>
      <c r="S37" s="10">
        <v>0.01495432469228531</v>
      </c>
      <c r="T37" s="10">
        <v>22.63661016170982</v>
      </c>
      <c r="U37" s="11">
        <v>0.1003863864202052</v>
      </c>
      <c r="V37" s="11">
        <v>0.06781130286340166</v>
      </c>
      <c r="W37" s="11">
        <v>0.0727545362025192</v>
      </c>
      <c r="X37" s="11">
        <v>0.44044389733446837</v>
      </c>
      <c r="Y37" s="11">
        <v>0.2706304937864496</v>
      </c>
      <c r="Z37" s="11">
        <v>0.04797338339295585</v>
      </c>
    </row>
    <row r="38" ht="22.5" customHeight="1">
      <c r="Q38" s="9" t="s">
        <v>76</v>
      </c>
      <c r="R38" s="10">
        <v>0.33990410238642677</v>
      </c>
      <c r="S38" s="10">
        <v>0.013256521459092003</v>
      </c>
      <c r="T38" s="10">
        <v>22.623137096099757</v>
      </c>
      <c r="U38" s="11">
        <v>0.25690780363451754</v>
      </c>
      <c r="V38" s="11">
        <v>0.07082354744681445</v>
      </c>
      <c r="W38" s="11">
        <v>0.061585590337010054</v>
      </c>
      <c r="X38" s="11">
        <v>0.2706388921942586</v>
      </c>
      <c r="Y38" s="11">
        <v>0.18549196638369417</v>
      </c>
      <c r="Z38" s="11">
        <v>0.15455220000370504</v>
      </c>
    </row>
    <row r="39" ht="22.5" customHeight="1">
      <c r="Q39" s="9" t="s">
        <v>77</v>
      </c>
      <c r="R39" s="10">
        <v>0.32083766901968463</v>
      </c>
      <c r="S39" s="10">
        <v>0.012417094876271526</v>
      </c>
      <c r="T39" s="10">
        <v>22.617018861340263</v>
      </c>
      <c r="U39" s="11">
        <v>0.19810785903214864</v>
      </c>
      <c r="V39" s="11">
        <v>0.05529615911903046</v>
      </c>
      <c r="W39" s="11">
        <v>0.05652600544660862</v>
      </c>
      <c r="X39" s="11">
        <v>0.341642036426779</v>
      </c>
      <c r="Y39" s="11">
        <v>0.1994373312640263</v>
      </c>
      <c r="Z39" s="11">
        <v>0.14899060871140699</v>
      </c>
    </row>
    <row r="40" ht="22.5" customHeight="1">
      <c r="Q40" s="9" t="s">
        <v>78</v>
      </c>
      <c r="R40" s="10">
        <v>0.429341646778547</v>
      </c>
      <c r="S40" s="10">
        <v>0.01723039075673498</v>
      </c>
      <c r="T40" s="10">
        <v>22.596216898120087</v>
      </c>
      <c r="U40" s="11">
        <v>0.3495201480941982</v>
      </c>
      <c r="V40" s="11">
        <v>0.11428939727461955</v>
      </c>
      <c r="W40" s="11">
        <v>0.07541717773507348</v>
      </c>
      <c r="X40" s="11">
        <v>0.3796471301523617</v>
      </c>
      <c r="Y40" s="11">
        <v>0.005224425446471746</v>
      </c>
      <c r="Z40" s="11">
        <v>0.07590172129727522</v>
      </c>
    </row>
    <row r="41" ht="22.5" customHeight="1">
      <c r="Q41" s="9" t="s">
        <v>79</v>
      </c>
      <c r="R41" s="10">
        <v>0.368013794478215</v>
      </c>
      <c r="S41" s="10">
        <v>0.014517109701689576</v>
      </c>
      <c r="T41" s="10">
        <v>22.594979387669643</v>
      </c>
      <c r="U41" s="11">
        <v>0.2122984310186844</v>
      </c>
      <c r="V41" s="11">
        <v>0.09452849020127273</v>
      </c>
      <c r="W41" s="11">
        <v>0.05371810574859395</v>
      </c>
      <c r="X41" s="11">
        <v>0.3021432719146659</v>
      </c>
      <c r="Y41" s="11">
        <v>0.2114225919304735</v>
      </c>
      <c r="Z41" s="11">
        <v>0.1258891091863094</v>
      </c>
    </row>
    <row r="42" ht="22.5" customHeight="1">
      <c r="Q42" s="9" t="s">
        <v>80</v>
      </c>
      <c r="R42" s="10">
        <v>0.36121533576866965</v>
      </c>
      <c r="S42" s="10">
        <v>0.014219208986008593</v>
      </c>
      <c r="T42" s="10">
        <v>22.590239448955206</v>
      </c>
      <c r="U42" s="11">
        <v>0.05882652618367346</v>
      </c>
      <c r="V42" s="11">
        <v>0.08622047978428132</v>
      </c>
      <c r="W42" s="11">
        <v>0.0702434070698855</v>
      </c>
      <c r="X42" s="11">
        <v>0.2924495457228516</v>
      </c>
      <c r="Y42" s="11">
        <v>0.16806902821599648</v>
      </c>
      <c r="Z42" s="11">
        <v>0.32419101302331155</v>
      </c>
    </row>
    <row r="43" ht="22.5" customHeight="1">
      <c r="Q43" s="9" t="s">
        <v>81</v>
      </c>
      <c r="R43" s="10">
        <v>0.4076796053750595</v>
      </c>
      <c r="S43" s="10">
        <v>0.01628211043485954</v>
      </c>
      <c r="T43" s="10">
        <v>22.581814983140504</v>
      </c>
      <c r="U43" s="11">
        <v>0.2896451578831181</v>
      </c>
      <c r="V43" s="11">
        <v>0.11115330068192217</v>
      </c>
      <c r="W43" s="11">
        <v>0.0669229756292392</v>
      </c>
      <c r="X43" s="11">
        <v>0.3646558831543525</v>
      </c>
      <c r="Y43" s="11">
        <v>0.02013777766906846</v>
      </c>
      <c r="Z43" s="11">
        <v>0.1474849049822995</v>
      </c>
    </row>
    <row r="44" ht="22.5" customHeight="1">
      <c r="Q44" s="9" t="s">
        <v>82</v>
      </c>
      <c r="R44" s="10">
        <v>0.4970746988759006</v>
      </c>
      <c r="S44" s="10">
        <v>0.020245364613667848</v>
      </c>
      <c r="T44" s="10">
        <v>22.576758067736897</v>
      </c>
      <c r="U44" s="11">
        <v>0.16466647796490147</v>
      </c>
      <c r="V44" s="11">
        <v>0.13915193857815342</v>
      </c>
      <c r="W44" s="11">
        <v>0.09691526335813296</v>
      </c>
      <c r="X44" s="11">
        <v>0.3519369298179847</v>
      </c>
      <c r="Y44" s="11">
        <v>0.22423831100469752</v>
      </c>
      <c r="Z44" s="11">
        <v>0.023091079276129956</v>
      </c>
    </row>
    <row r="45" ht="22.5" customHeight="1">
      <c r="Q45" s="9" t="s">
        <v>83</v>
      </c>
      <c r="R45" s="10">
        <v>0.33554222824963637</v>
      </c>
      <c r="S45" s="10">
        <v>0.013091043599602179</v>
      </c>
      <c r="T45" s="10">
        <v>22.575910468942105</v>
      </c>
      <c r="U45" s="11">
        <v>0.23323885954043921</v>
      </c>
      <c r="V45" s="11">
        <v>0.06200060686249174</v>
      </c>
      <c r="W45" s="11">
        <v>0.06683236759977082</v>
      </c>
      <c r="X45" s="11">
        <v>0.37128118735918186</v>
      </c>
      <c r="Y45" s="11">
        <v>0.03025994638907019</v>
      </c>
      <c r="Z45" s="11">
        <v>0.23638703224904611</v>
      </c>
    </row>
    <row r="46" ht="22.5" customHeight="1">
      <c r="Q46" s="9" t="s">
        <v>84</v>
      </c>
      <c r="R46" s="10">
        <v>0.429763941334014</v>
      </c>
      <c r="S46" s="10">
        <v>0.017276448091943005</v>
      </c>
      <c r="T46" s="10">
        <v>22.56042094183603</v>
      </c>
      <c r="U46" s="11">
        <v>0.2728898397399098</v>
      </c>
      <c r="V46" s="11">
        <v>0.09848922146131654</v>
      </c>
      <c r="W46" s="11">
        <v>0.10302629901013563</v>
      </c>
      <c r="X46" s="11">
        <v>0.29272033558628274</v>
      </c>
      <c r="Y46" s="11">
        <v>0.0745020730560413</v>
      </c>
      <c r="Z46" s="11">
        <v>0.15837223114631394</v>
      </c>
    </row>
    <row r="47" ht="22.5" customHeight="1">
      <c r="Q47" s="9" t="s">
        <v>85</v>
      </c>
      <c r="R47" s="10">
        <v>0.4103196724781723</v>
      </c>
      <c r="S47" s="10">
        <v>0.016414908553441694</v>
      </c>
      <c r="T47" s="10">
        <v>22.55995951927054</v>
      </c>
      <c r="U47" s="11">
        <v>0.1594925351809686</v>
      </c>
      <c r="V47" s="11">
        <v>0.10680791815375269</v>
      </c>
      <c r="W47" s="11">
        <v>0.07305970560799968</v>
      </c>
      <c r="X47" s="11">
        <v>0.28688355547865385</v>
      </c>
      <c r="Y47" s="11">
        <v>0.2637865768450266</v>
      </c>
      <c r="Z47" s="11">
        <v>0.10996970873359857</v>
      </c>
    </row>
    <row r="48" ht="22.5" customHeight="1">
      <c r="Q48" s="9" t="s">
        <v>86</v>
      </c>
      <c r="R48" s="10">
        <v>0.4823027848698564</v>
      </c>
      <c r="S48" s="10">
        <v>0.019610915957458255</v>
      </c>
      <c r="T48" s="10">
        <v>22.553907519125524</v>
      </c>
      <c r="U48" s="11">
        <v>0.19412806597568902</v>
      </c>
      <c r="V48" s="11">
        <v>0.13091775956742555</v>
      </c>
      <c r="W48" s="11">
        <v>0.1066716520035877</v>
      </c>
      <c r="X48" s="11">
        <v>0.3208994600138592</v>
      </c>
      <c r="Y48" s="11">
        <v>0.0952577166787064</v>
      </c>
      <c r="Z48" s="11">
        <v>0.15212534576073225</v>
      </c>
    </row>
    <row r="49" ht="22.5" customHeight="1">
      <c r="Q49" s="9" t="s">
        <v>87</v>
      </c>
      <c r="R49" s="10">
        <v>0.3980871401251717</v>
      </c>
      <c r="S49" s="10">
        <v>0.015879666333722352</v>
      </c>
      <c r="T49" s="10">
        <v>22.55004183335586</v>
      </c>
      <c r="U49" s="11">
        <v>0.16027695724749375</v>
      </c>
      <c r="V49" s="11">
        <v>0.09095106754318562</v>
      </c>
      <c r="W49" s="11">
        <v>0.07400876678566093</v>
      </c>
      <c r="X49" s="11">
        <v>0.312368128025606</v>
      </c>
      <c r="Y49" s="11">
        <v>0.30800559084704016</v>
      </c>
      <c r="Z49" s="11">
        <v>0.054389489551013616</v>
      </c>
    </row>
    <row r="50" ht="22.5" customHeight="1">
      <c r="Q50" s="9" t="s">
        <v>88</v>
      </c>
      <c r="R50" s="10">
        <v>0.40044110348346673</v>
      </c>
      <c r="S50" s="10">
        <v>0.01598796053666842</v>
      </c>
      <c r="T50" s="10">
        <v>22.54453297259487</v>
      </c>
      <c r="U50" s="11">
        <v>0.19392809009943449</v>
      </c>
      <c r="V50" s="11">
        <v>0.10773384367066222</v>
      </c>
      <c r="W50" s="11">
        <v>0.07505710516333396</v>
      </c>
      <c r="X50" s="11">
        <v>0.2524097787582034</v>
      </c>
      <c r="Y50" s="11">
        <v>0.16125499876258848</v>
      </c>
      <c r="Z50" s="11">
        <v>0.20961618354577755</v>
      </c>
    </row>
    <row r="51" ht="22.5" customHeight="1">
      <c r="Q51" s="9" t="s">
        <v>89</v>
      </c>
      <c r="R51" s="10">
        <v>0.3943524129304415</v>
      </c>
      <c r="S51" s="10">
        <v>0.015718456074970702</v>
      </c>
      <c r="T51" s="10">
        <v>22.5437162047165</v>
      </c>
      <c r="U51" s="11">
        <v>0.20257907578191092</v>
      </c>
      <c r="V51" s="11">
        <v>0.11011697309390815</v>
      </c>
      <c r="W51" s="11">
        <v>0.05930079997426609</v>
      </c>
      <c r="X51" s="11">
        <v>0.3025964435483205</v>
      </c>
      <c r="Y51" s="11">
        <v>0.1829938311045199</v>
      </c>
      <c r="Z51" s="11">
        <v>0.14241287649707435</v>
      </c>
    </row>
    <row r="52" ht="22.5" customHeight="1">
      <c r="Q52" s="9" t="s">
        <v>90</v>
      </c>
      <c r="R52" s="10">
        <v>0.400373730189511</v>
      </c>
      <c r="S52" s="10">
        <v>0.015988973719609945</v>
      </c>
      <c r="T52" s="10">
        <v>22.538890644840112</v>
      </c>
      <c r="U52" s="11">
        <v>0.2755689132233125</v>
      </c>
      <c r="V52" s="11">
        <v>0.10908998701549327</v>
      </c>
      <c r="W52" s="11">
        <v>0.06992730321954621</v>
      </c>
      <c r="X52" s="11">
        <v>0.31390722128736903</v>
      </c>
      <c r="Y52" s="11">
        <v>0.0383106824950226</v>
      </c>
      <c r="Z52" s="11">
        <v>0.19319589275925655</v>
      </c>
    </row>
    <row r="53" ht="22.5" customHeight="1">
      <c r="Q53" s="9" t="s">
        <v>91</v>
      </c>
      <c r="R53" s="10">
        <v>0.4367416219581176</v>
      </c>
      <c r="S53" s="10">
        <v>0.017602744776835974</v>
      </c>
      <c r="T53" s="10">
        <v>22.538622640271583</v>
      </c>
      <c r="U53" s="11">
        <v>0.09676567419223696</v>
      </c>
      <c r="V53" s="11">
        <v>0.09070005422646235</v>
      </c>
      <c r="W53" s="11">
        <v>0.11096153485649739</v>
      </c>
      <c r="X53" s="11">
        <v>0.3431063570427986</v>
      </c>
      <c r="Y53" s="11">
        <v>0.18671250757983474</v>
      </c>
      <c r="Z53" s="11">
        <v>0.17175387210217</v>
      </c>
    </row>
    <row r="54" ht="22.5" customHeight="1">
      <c r="Q54" s="9" t="s">
        <v>92</v>
      </c>
      <c r="R54" s="10">
        <v>0.4603188092709816</v>
      </c>
      <c r="S54" s="10">
        <v>0.01864922730108754</v>
      </c>
      <c r="T54" s="10">
        <v>22.53813535998194</v>
      </c>
      <c r="U54" s="11">
        <v>0.17320427849892733</v>
      </c>
      <c r="V54" s="11">
        <v>0.10855188108355336</v>
      </c>
      <c r="W54" s="11">
        <v>0.1053732054979399</v>
      </c>
      <c r="X54" s="11">
        <v>0.30032233328981783</v>
      </c>
      <c r="Y54" s="11">
        <v>0.26562467742402557</v>
      </c>
      <c r="Z54" s="11">
        <v>0.04692362420573598</v>
      </c>
    </row>
    <row r="55" ht="22.5" customHeight="1">
      <c r="Q55" s="9" t="s">
        <v>93</v>
      </c>
      <c r="R55" s="10">
        <v>0.49355516455337506</v>
      </c>
      <c r="S55" s="10">
        <v>0.020128757841696904</v>
      </c>
      <c r="T55" s="10">
        <v>22.53269516779776</v>
      </c>
      <c r="U55" s="11">
        <v>0.17594404005289574</v>
      </c>
      <c r="V55" s="11">
        <v>0.1389298285365761</v>
      </c>
      <c r="W55" s="11">
        <v>0.10434620529432188</v>
      </c>
      <c r="X55" s="11">
        <v>0.326828396705642</v>
      </c>
      <c r="Y55" s="11">
        <v>0.12800415384148295</v>
      </c>
      <c r="Z55" s="11">
        <v>0.12594737556908145</v>
      </c>
    </row>
    <row r="56" ht="22.5" customHeight="1">
      <c r="Q56" s="9" t="s">
        <v>94</v>
      </c>
      <c r="R56" s="10">
        <v>0.43540938551304414</v>
      </c>
      <c r="S56" s="10">
        <v>0.01754853373657945</v>
      </c>
      <c r="T56" s="10">
        <v>22.532331843134216</v>
      </c>
      <c r="U56" s="11">
        <v>0.21482590311357835</v>
      </c>
      <c r="V56" s="11">
        <v>0.11118045807045573</v>
      </c>
      <c r="W56" s="11">
        <v>0.09744826585052542</v>
      </c>
      <c r="X56" s="11">
        <v>0.26089733530050235</v>
      </c>
      <c r="Y56" s="11">
        <v>0.12672750435675129</v>
      </c>
      <c r="Z56" s="11">
        <v>0.1889205333081869</v>
      </c>
    </row>
    <row r="57" ht="22.5" customHeight="1">
      <c r="Q57" s="9" t="s">
        <v>95</v>
      </c>
      <c r="R57" s="10">
        <v>0.5301644868130282</v>
      </c>
      <c r="S57" s="10">
        <v>0.0217545292567699</v>
      </c>
      <c r="T57" s="10">
        <v>22.53160622450571</v>
      </c>
      <c r="U57" s="11">
        <v>0.24680760176371982</v>
      </c>
      <c r="V57" s="11">
        <v>0.15207485003954602</v>
      </c>
      <c r="W57" s="11">
        <v>0.10839173398928013</v>
      </c>
      <c r="X57" s="11">
        <v>0.39451025317448085</v>
      </c>
      <c r="Y57" s="11">
        <v>0.07633726623424603</v>
      </c>
      <c r="Z57" s="11">
        <v>0.021878294798727202</v>
      </c>
    </row>
    <row r="58" ht="22.5" customHeight="1">
      <c r="Q58" s="9" t="s">
        <v>96</v>
      </c>
      <c r="R58" s="10">
        <v>0.41599658950630397</v>
      </c>
      <c r="S58" s="10">
        <v>0.01668796566264772</v>
      </c>
      <c r="T58" s="10">
        <v>22.5310021069787</v>
      </c>
      <c r="U58" s="11">
        <v>0.059702813177417734</v>
      </c>
      <c r="V58" s="11">
        <v>0.08928442138936067</v>
      </c>
      <c r="W58" s="11">
        <v>0.10251257181524295</v>
      </c>
      <c r="X58" s="11">
        <v>0.3620608988445298</v>
      </c>
      <c r="Y58" s="11">
        <v>0.10665253614703596</v>
      </c>
      <c r="Z58" s="11">
        <v>0.27978675862641283</v>
      </c>
    </row>
    <row r="59" ht="22.5" customHeight="1">
      <c r="Q59" s="9" t="s">
        <v>97</v>
      </c>
      <c r="R59" s="10">
        <v>0.5231437724100182</v>
      </c>
      <c r="S59" s="10">
        <v>0.02144681081325601</v>
      </c>
      <c r="T59" s="10">
        <v>22.527534588564233</v>
      </c>
      <c r="U59" s="11">
        <v>0.07751195929739417</v>
      </c>
      <c r="V59" s="11">
        <v>0.11923279818328907</v>
      </c>
      <c r="W59" s="11">
        <v>0.12185563429809122</v>
      </c>
      <c r="X59" s="11">
        <v>0.6093671906663647</v>
      </c>
      <c r="Y59" s="11">
        <v>0.026039963927728442</v>
      </c>
      <c r="Z59" s="11">
        <v>0.0459924536271324</v>
      </c>
    </row>
    <row r="60" ht="22.5" customHeight="1">
      <c r="Q60" s="9" t="s">
        <v>98</v>
      </c>
      <c r="R60" s="10">
        <v>0.483269323212646</v>
      </c>
      <c r="S60" s="10">
        <v>0.019678458599255166</v>
      </c>
      <c r="T60" s="10">
        <v>22.525612002427053</v>
      </c>
      <c r="U60" s="11">
        <v>0.27769651228882125</v>
      </c>
      <c r="V60" s="11">
        <v>0.11286229249719995</v>
      </c>
      <c r="W60" s="11">
        <v>0.12097313226913102</v>
      </c>
      <c r="X60" s="11">
        <v>0.322209868721947</v>
      </c>
      <c r="Y60" s="11">
        <v>0.10407428355023161</v>
      </c>
      <c r="Z60" s="11">
        <v>0.06218391067266912</v>
      </c>
    </row>
    <row r="61" ht="22.5" customHeight="1">
      <c r="Q61" s="9" t="s">
        <v>99</v>
      </c>
      <c r="R61" s="10">
        <v>0.44002116706838523</v>
      </c>
      <c r="S61" s="10">
        <v>0.01776480886663792</v>
      </c>
      <c r="T61" s="10">
        <v>22.517617277584097</v>
      </c>
      <c r="U61" s="11">
        <v>0.18939802829352595</v>
      </c>
      <c r="V61" s="11">
        <v>0.12132981588245878</v>
      </c>
      <c r="W61" s="11">
        <v>0.09064095037478181</v>
      </c>
      <c r="X61" s="11">
        <v>0.2812124089314764</v>
      </c>
      <c r="Y61" s="11">
        <v>0.10236497050767193</v>
      </c>
      <c r="Z61" s="11">
        <v>0.21505382601008505</v>
      </c>
    </row>
    <row r="62" ht="22.5" customHeight="1">
      <c r="Q62" s="9" t="s">
        <v>100</v>
      </c>
      <c r="R62" s="10">
        <v>0.3193598098469958</v>
      </c>
      <c r="S62" s="10">
        <v>0.012406635417678615</v>
      </c>
      <c r="T62" s="10">
        <v>22.516967771046694</v>
      </c>
      <c r="U62" s="11">
        <v>0.22991452765334167</v>
      </c>
      <c r="V62" s="11">
        <v>0.050123375629840795</v>
      </c>
      <c r="W62" s="11">
        <v>0.052323051528771584</v>
      </c>
      <c r="X62" s="11">
        <v>0.43164258538260075</v>
      </c>
      <c r="Y62" s="11">
        <v>0.12819807392131896</v>
      </c>
      <c r="Z62" s="11">
        <v>0.1077983858841264</v>
      </c>
    </row>
    <row r="63" ht="22.5" customHeight="1">
      <c r="Q63" s="9" t="s">
        <v>101</v>
      </c>
      <c r="R63" s="10">
        <v>0.522331348251574</v>
      </c>
      <c r="S63" s="10">
        <v>0.01812488363022466</v>
      </c>
      <c r="T63" s="10">
        <v>22.507924781529855</v>
      </c>
      <c r="U63" s="11">
        <v>0.19140657748491682</v>
      </c>
      <c r="V63" s="11">
        <v>0.10946294252691624</v>
      </c>
      <c r="W63" s="11">
        <v>0.10540255010191928</v>
      </c>
      <c r="X63" s="11">
        <v>0.26467640380218577</v>
      </c>
      <c r="Y63" s="11">
        <v>0.17936446083875926</v>
      </c>
      <c r="Z63" s="11">
        <v>0.1496870652453026</v>
      </c>
    </row>
    <row r="64" ht="22.5" customHeight="1">
      <c r="Q64" s="9" t="s">
        <v>102</v>
      </c>
      <c r="R64" s="10">
        <v>0.47150323677002137</v>
      </c>
      <c r="S64" s="10">
        <v>0.019176710927841577</v>
      </c>
      <c r="T64" s="10">
        <v>22.501420519592145</v>
      </c>
      <c r="U64" s="11">
        <v>0.039680968133933604</v>
      </c>
      <c r="V64" s="11">
        <v>0.11979920954098787</v>
      </c>
      <c r="W64" s="11">
        <v>0.10761632084080058</v>
      </c>
      <c r="X64" s="11">
        <v>0.33144900585354886</v>
      </c>
      <c r="Y64" s="11">
        <v>0.22851716503887448</v>
      </c>
      <c r="Z64" s="11">
        <v>0.17293733059185473</v>
      </c>
    </row>
    <row r="65" ht="22.5" customHeight="1">
      <c r="Q65" s="9" t="s">
        <v>103</v>
      </c>
      <c r="R65" s="10">
        <v>0.35044820546689415</v>
      </c>
      <c r="S65" s="10">
        <v>0.013798027381440753</v>
      </c>
      <c r="T65" s="10">
        <v>22.499462922103433</v>
      </c>
      <c r="U65" s="11">
        <v>0.262801464121924</v>
      </c>
      <c r="V65" s="11">
        <v>0.0793829960073195</v>
      </c>
      <c r="W65" s="11">
        <v>0.06836878459110458</v>
      </c>
      <c r="X65" s="11">
        <v>0.2919882107495131</v>
      </c>
      <c r="Y65" s="11">
        <v>0.03283284770241482</v>
      </c>
      <c r="Z65" s="11">
        <v>0.2646256968277241</v>
      </c>
    </row>
    <row r="66" ht="22.5" customHeight="1">
      <c r="Q66" s="9" t="s">
        <v>104</v>
      </c>
      <c r="R66" s="10">
        <v>0.3291590621987772</v>
      </c>
      <c r="S66" s="10">
        <v>0.01285723347241949</v>
      </c>
      <c r="T66" s="10">
        <v>22.48999077593657</v>
      </c>
      <c r="U66" s="11">
        <v>0.2122455678463667</v>
      </c>
      <c r="V66" s="11">
        <v>0.0741946928083731</v>
      </c>
      <c r="W66" s="11">
        <v>0.0574932298094176</v>
      </c>
      <c r="X66" s="11">
        <v>0.24615776889190064</v>
      </c>
      <c r="Y66" s="11">
        <v>0.16283295266454956</v>
      </c>
      <c r="Z66" s="11">
        <v>0.24707578797939245</v>
      </c>
    </row>
    <row r="67" ht="22.5" customHeight="1">
      <c r="Q67" s="9" t="s">
        <v>105</v>
      </c>
      <c r="R67" s="10">
        <v>0.522331348251574</v>
      </c>
      <c r="S67" s="10">
        <v>0.016942071775199973</v>
      </c>
      <c r="T67" s="10">
        <v>22.48517887340749</v>
      </c>
      <c r="U67" s="11">
        <v>0.14222980148206077</v>
      </c>
      <c r="V67" s="11">
        <v>0.10355854074677757</v>
      </c>
      <c r="W67" s="11">
        <v>0.0962416169745553</v>
      </c>
      <c r="X67" s="11">
        <v>0.25243236712230743</v>
      </c>
      <c r="Y67" s="11">
        <v>0.1763443025309167</v>
      </c>
      <c r="Z67" s="11">
        <v>0.22919337114338237</v>
      </c>
    </row>
    <row r="68" ht="22.5" customHeight="1">
      <c r="Q68" s="9" t="s">
        <v>106</v>
      </c>
      <c r="R68" s="10">
        <v>0.522331348251574</v>
      </c>
      <c r="S68" s="10">
        <v>0.019664455571005785</v>
      </c>
      <c r="T68" s="10">
        <v>22.482385486979258</v>
      </c>
      <c r="U68" s="11">
        <v>0.11073842317645848</v>
      </c>
      <c r="V68" s="11">
        <v>0.12256725610093083</v>
      </c>
      <c r="W68" s="11">
        <v>0.10933559976176156</v>
      </c>
      <c r="X68" s="11">
        <v>0.3099757522017343</v>
      </c>
      <c r="Y68" s="11">
        <v>0.25843421289091306</v>
      </c>
      <c r="Z68" s="11">
        <v>0.08894875586820165</v>
      </c>
    </row>
    <row r="69" ht="22.5" customHeight="1">
      <c r="Q69" s="9" t="s">
        <v>107</v>
      </c>
      <c r="R69" s="10">
        <v>0.37923446607254296</v>
      </c>
      <c r="S69" s="10">
        <v>0.015090631508705382</v>
      </c>
      <c r="T69" s="10">
        <v>22.4798058236892</v>
      </c>
      <c r="U69" s="11">
        <v>0.2044271474316609</v>
      </c>
      <c r="V69" s="11">
        <v>0.09436700470960031</v>
      </c>
      <c r="W69" s="11">
        <v>0.07029758931220347</v>
      </c>
      <c r="X69" s="11">
        <v>0.23612623217603457</v>
      </c>
      <c r="Y69" s="11">
        <v>0.22653332700130968</v>
      </c>
      <c r="Z69" s="11">
        <v>0.16824869936919104</v>
      </c>
    </row>
    <row r="70" ht="22.5" customHeight="1">
      <c r="Q70" s="9" t="s">
        <v>108</v>
      </c>
      <c r="R70" s="10">
        <v>0.4735819494395007</v>
      </c>
      <c r="S70" s="10">
        <v>0.019296607274852936</v>
      </c>
      <c r="T70" s="10">
        <v>22.46933584042717</v>
      </c>
      <c r="U70" s="11">
        <v>0.17502148798571293</v>
      </c>
      <c r="V70" s="11">
        <v>0.12512967126747884</v>
      </c>
      <c r="W70" s="11">
        <v>0.10913767866441061</v>
      </c>
      <c r="X70" s="11">
        <v>0.28198195159008826</v>
      </c>
      <c r="Y70" s="11">
        <v>0.14208291882024648</v>
      </c>
      <c r="Z70" s="11">
        <v>0.16664629167206288</v>
      </c>
    </row>
    <row r="71" ht="22.5" customHeight="1">
      <c r="Q71" s="9" t="s">
        <v>109</v>
      </c>
      <c r="R71" s="10">
        <v>0.522331348251574</v>
      </c>
      <c r="S71" s="10">
        <v>0.012531414267779368</v>
      </c>
      <c r="T71" s="10">
        <v>22.464363742609734</v>
      </c>
      <c r="U71" s="11">
        <v>0.307618177860433</v>
      </c>
      <c r="V71" s="11">
        <v>0.07005124661461527</v>
      </c>
      <c r="W71" s="11">
        <v>0.04510824224898936</v>
      </c>
      <c r="X71" s="11">
        <v>0.3263282482387463</v>
      </c>
      <c r="Y71" s="11">
        <v>0.09728251024666033</v>
      </c>
      <c r="Z71" s="11">
        <v>0.15361157479055568</v>
      </c>
    </row>
    <row r="72" ht="22.5" customHeight="1">
      <c r="Q72" s="9" t="s">
        <v>110</v>
      </c>
      <c r="R72" s="10">
        <v>0.3586299139560887</v>
      </c>
      <c r="S72" s="10">
        <v>0.014185861860776791</v>
      </c>
      <c r="T72" s="10">
        <v>22.461089575183635</v>
      </c>
      <c r="U72" s="11">
        <v>0.2405368068698348</v>
      </c>
      <c r="V72" s="11">
        <v>0.08817159440657417</v>
      </c>
      <c r="W72" s="11">
        <v>0.04812069695737615</v>
      </c>
      <c r="X72" s="11">
        <v>0.31798817543791824</v>
      </c>
      <c r="Y72" s="11">
        <v>0.23473168241490017</v>
      </c>
      <c r="Z72" s="11">
        <v>0.07045104391339647</v>
      </c>
    </row>
    <row r="73" ht="22.5" customHeight="1">
      <c r="Q73" s="9" t="s">
        <v>111</v>
      </c>
      <c r="R73" s="10">
        <v>0.46560306271006774</v>
      </c>
      <c r="S73" s="10">
        <v>0.01895228401118383</v>
      </c>
      <c r="T73" s="10">
        <v>22.456557872334407</v>
      </c>
      <c r="U73" s="11">
        <v>0.16002579714857013</v>
      </c>
      <c r="V73" s="11">
        <v>0.10970344421615058</v>
      </c>
      <c r="W73" s="11">
        <v>0.11847992589424296</v>
      </c>
      <c r="X73" s="11">
        <v>0.33178852044207185</v>
      </c>
      <c r="Y73" s="11">
        <v>0.07558262675341915</v>
      </c>
      <c r="Z73" s="11">
        <v>0.20441968554554532</v>
      </c>
    </row>
    <row r="74" ht="22.5" customHeight="1">
      <c r="Q74" s="9" t="s">
        <v>112</v>
      </c>
      <c r="R74" s="10">
        <v>0.3524584186480488</v>
      </c>
      <c r="S74" s="10">
        <v>0.013915426499001184</v>
      </c>
      <c r="T74" s="10">
        <v>22.45410291021093</v>
      </c>
      <c r="U74" s="11">
        <v>0.2813530473654271</v>
      </c>
      <c r="V74" s="11">
        <v>0.05377724399507271</v>
      </c>
      <c r="W74" s="11">
        <v>0.07971389948012748</v>
      </c>
      <c r="X74" s="11">
        <v>0.3390804408399579</v>
      </c>
      <c r="Y74" s="11">
        <v>0.16543986553249576</v>
      </c>
      <c r="Z74" s="11">
        <v>0.08063550278691892</v>
      </c>
    </row>
    <row r="75" ht="22.5" customHeight="1">
      <c r="Q75" s="9" t="s">
        <v>113</v>
      </c>
      <c r="R75" s="10">
        <v>0.3378646127724975</v>
      </c>
      <c r="S75" s="10">
        <v>0.013265841080654312</v>
      </c>
      <c r="T75" s="10">
        <v>22.453503774206673</v>
      </c>
      <c r="U75" s="11">
        <v>0.2636803909507699</v>
      </c>
      <c r="V75" s="11">
        <v>0.07122306219594697</v>
      </c>
      <c r="W75" s="11">
        <v>0.04422438267412577</v>
      </c>
      <c r="X75" s="11">
        <v>0.3627133624334139</v>
      </c>
      <c r="Y75" s="11">
        <v>0.2232288737089075</v>
      </c>
      <c r="Z75" s="11">
        <v>0.0349299280368359</v>
      </c>
    </row>
    <row r="76" ht="22.5" customHeight="1">
      <c r="Q76" s="9" t="s">
        <v>114</v>
      </c>
      <c r="R76" s="10">
        <v>0.4693064252472073</v>
      </c>
      <c r="S76" s="10">
        <v>0.01912107997550948</v>
      </c>
      <c r="T76" s="10">
        <v>22.45199673852462</v>
      </c>
      <c r="U76" s="11">
        <v>0.1649545166402977</v>
      </c>
      <c r="V76" s="11">
        <v>0.12697011713042416</v>
      </c>
      <c r="W76" s="11">
        <v>0.10236830783535832</v>
      </c>
      <c r="X76" s="11">
        <v>0.2700913421589651</v>
      </c>
      <c r="Y76" s="11">
        <v>0.1943335077485679</v>
      </c>
      <c r="Z76" s="11">
        <v>0.14128220848638687</v>
      </c>
    </row>
    <row r="77" ht="22.5" customHeight="1">
      <c r="Q77" s="9" t="s">
        <v>115</v>
      </c>
      <c r="R77" s="10">
        <v>0.36679343199664616</v>
      </c>
      <c r="S77" s="10">
        <v>0.014557659437945254</v>
      </c>
      <c r="T77" s="10">
        <v>22.44821246091546</v>
      </c>
      <c r="U77" s="11">
        <v>0.3635612112066825</v>
      </c>
      <c r="V77" s="11">
        <v>0.09242056245950976</v>
      </c>
      <c r="W77" s="11">
        <v>0.056299372167606686</v>
      </c>
      <c r="X77" s="11">
        <v>0.31276173720402306</v>
      </c>
      <c r="Y77" s="11">
        <v>0.062443056079561444</v>
      </c>
      <c r="Z77" s="11">
        <v>0.11251406088261649</v>
      </c>
    </row>
    <row r="78" ht="22.5" customHeight="1">
      <c r="Q78" s="9" t="s">
        <v>116</v>
      </c>
      <c r="R78" s="10">
        <v>0.49529815264083177</v>
      </c>
      <c r="S78" s="10">
        <v>0.02028322646225359</v>
      </c>
      <c r="T78" s="10">
        <v>22.447028015396192</v>
      </c>
      <c r="U78" s="11">
        <v>0.19997722932568587</v>
      </c>
      <c r="V78" s="11">
        <v>0.12504479278370306</v>
      </c>
      <c r="W78" s="11">
        <v>0.11379775777594756</v>
      </c>
      <c r="X78" s="11">
        <v>0.29655650008502354</v>
      </c>
      <c r="Y78" s="11">
        <v>0.25293943937425795</v>
      </c>
      <c r="Z78" s="11">
        <v>0.011684280655382073</v>
      </c>
    </row>
    <row r="79" ht="22.5" customHeight="1">
      <c r="Q79" s="9" t="s">
        <v>117</v>
      </c>
      <c r="R79" s="10">
        <v>0.4016863156847291</v>
      </c>
      <c r="S79" s="10">
        <v>0.016114137163574863</v>
      </c>
      <c r="T79" s="10">
        <v>22.445279695291507</v>
      </c>
      <c r="U79" s="11">
        <v>0.13648800733620642</v>
      </c>
      <c r="V79" s="11">
        <v>0.11164528277458088</v>
      </c>
      <c r="W79" s="11">
        <v>0.0626175234172339</v>
      </c>
      <c r="X79" s="11">
        <v>0.29838796519469296</v>
      </c>
      <c r="Y79" s="11">
        <v>0.24629179117098562</v>
      </c>
      <c r="Z79" s="11">
        <v>0.14456943010630013</v>
      </c>
    </row>
    <row r="80" ht="22.5" customHeight="1">
      <c r="Q80" s="9" t="s">
        <v>118</v>
      </c>
      <c r="R80" s="10">
        <v>0.3344171277181096</v>
      </c>
      <c r="S80" s="10">
        <v>0.013117345467244258</v>
      </c>
      <c r="T80" s="10">
        <v>22.444871064294833</v>
      </c>
      <c r="U80" s="11">
        <v>0.11606554088658017</v>
      </c>
      <c r="V80" s="11">
        <v>0.07495014373547067</v>
      </c>
      <c r="W80" s="11">
        <v>0.047748211173565494</v>
      </c>
      <c r="X80" s="11">
        <v>0.32834067173150305</v>
      </c>
      <c r="Y80" s="11">
        <v>0.2593265075782285</v>
      </c>
      <c r="Z80" s="11">
        <v>0.1735689248946523</v>
      </c>
    </row>
    <row r="81" ht="22.5" customHeight="1">
      <c r="Q81" s="9" t="s">
        <v>119</v>
      </c>
      <c r="R81" s="10">
        <v>0.37033751437520707</v>
      </c>
      <c r="S81" s="10">
        <v>0.014724959022376997</v>
      </c>
      <c r="T81" s="10">
        <v>22.43384948462029</v>
      </c>
      <c r="U81" s="11">
        <v>0.21998368481916672</v>
      </c>
      <c r="V81" s="11">
        <v>0.07425697730698709</v>
      </c>
      <c r="W81" s="11">
        <v>0.08573630357902133</v>
      </c>
      <c r="X81" s="11">
        <v>0.24486029346760932</v>
      </c>
      <c r="Y81" s="11">
        <v>0.18699576521546027</v>
      </c>
      <c r="Z81" s="11">
        <v>0.18816697561175516</v>
      </c>
    </row>
    <row r="82" ht="22.5" customHeight="1">
      <c r="Q82" s="9" t="s">
        <v>120</v>
      </c>
      <c r="R82" s="10">
        <v>0.3697450091816047</v>
      </c>
      <c r="S82" s="10">
        <v>0.014700786531120077</v>
      </c>
      <c r="T82" s="10">
        <v>22.430433125708472</v>
      </c>
      <c r="U82" s="11">
        <v>0.20587838562882793</v>
      </c>
      <c r="V82" s="11">
        <v>0.08672978980380282</v>
      </c>
      <c r="W82" s="11">
        <v>0.07970518281751976</v>
      </c>
      <c r="X82" s="11">
        <v>0.27190966472751327</v>
      </c>
      <c r="Y82" s="11">
        <v>0.04567637116594622</v>
      </c>
      <c r="Z82" s="11">
        <v>0.31010060585639</v>
      </c>
    </row>
    <row r="83" ht="22.5" customHeight="1">
      <c r="Q83" s="9" t="s">
        <v>121</v>
      </c>
      <c r="R83" s="10">
        <v>0.32936500702011634</v>
      </c>
      <c r="S83" s="10">
        <v>0.012902300381245442</v>
      </c>
      <c r="T83" s="10">
        <v>22.427396547109712</v>
      </c>
      <c r="U83" s="11">
        <v>0.2870166976730829</v>
      </c>
      <c r="V83" s="11">
        <v>0.06851822540015033</v>
      </c>
      <c r="W83" s="11">
        <v>0.06279588381762649</v>
      </c>
      <c r="X83" s="11">
        <v>0.26965137219128016</v>
      </c>
      <c r="Y83" s="11">
        <v>0.07546220639415753</v>
      </c>
      <c r="Z83" s="11">
        <v>0.23655561452370247</v>
      </c>
    </row>
    <row r="84" ht="22.5" customHeight="1">
      <c r="Q84" s="9" t="s">
        <v>122</v>
      </c>
      <c r="R84" s="10">
        <v>0.40129792886103377</v>
      </c>
      <c r="S84" s="10">
        <v>0.016112543797274868</v>
      </c>
      <c r="T84" s="10">
        <v>22.423394679748863</v>
      </c>
      <c r="U84" s="11">
        <v>0.22452867600910834</v>
      </c>
      <c r="V84" s="11">
        <v>0.0825128399912941</v>
      </c>
      <c r="W84" s="11">
        <v>0.09525922346526085</v>
      </c>
      <c r="X84" s="11">
        <v>0.2555356107459868</v>
      </c>
      <c r="Y84" s="11">
        <v>0.22710842646421864</v>
      </c>
      <c r="Z84" s="11">
        <v>0.11505522332413126</v>
      </c>
    </row>
    <row r="85" ht="22.5" customHeight="1">
      <c r="Q85" s="9" t="s">
        <v>123</v>
      </c>
      <c r="R85" s="10">
        <v>0.38292804473813785</v>
      </c>
      <c r="S85" s="10">
        <v>0.015299642309263053</v>
      </c>
      <c r="T85" s="10">
        <v>22.414121703388755</v>
      </c>
      <c r="U85" s="11">
        <v>0.3178470553965063</v>
      </c>
      <c r="V85" s="11">
        <v>0.07281349408925593</v>
      </c>
      <c r="W85" s="11">
        <v>0.0821573799151922</v>
      </c>
      <c r="X85" s="11">
        <v>0.28441561490463235</v>
      </c>
      <c r="Y85" s="11">
        <v>0.23834110187050098</v>
      </c>
      <c r="Z85" s="11">
        <v>0.004425353823912314</v>
      </c>
    </row>
    <row r="86" ht="22.5" customHeight="1">
      <c r="Q86" s="9" t="s">
        <v>124</v>
      </c>
      <c r="R86" s="10">
        <v>0.4271953046183445</v>
      </c>
      <c r="S86" s="10">
        <v>0.01728753822860882</v>
      </c>
      <c r="T86" s="10">
        <v>22.397365055574095</v>
      </c>
      <c r="U86" s="11">
        <v>0.28158536443424204</v>
      </c>
      <c r="V86" s="11">
        <v>0.10552531704553915</v>
      </c>
      <c r="W86" s="11">
        <v>0.09428417637034166</v>
      </c>
      <c r="X86" s="11">
        <v>0.22606507359707478</v>
      </c>
      <c r="Y86" s="11">
        <v>0.18244245307147267</v>
      </c>
      <c r="Z86" s="11">
        <v>0.11009761548132978</v>
      </c>
    </row>
    <row r="87" ht="22.5" customHeight="1">
      <c r="Q87" s="9" t="s">
        <v>125</v>
      </c>
      <c r="R87" s="10">
        <v>0.3578086492484909</v>
      </c>
      <c r="S87" s="10">
        <v>0.014191082049193194</v>
      </c>
      <c r="T87" s="10">
        <v>22.394955377385003</v>
      </c>
      <c r="U87" s="11">
        <v>0.08999262809787352</v>
      </c>
      <c r="V87" s="11">
        <v>0.08369108557570638</v>
      </c>
      <c r="W87" s="11">
        <v>0.0690022044749123</v>
      </c>
      <c r="X87" s="11">
        <v>0.24832635950007972</v>
      </c>
      <c r="Y87" s="11">
        <v>0.24444706614483958</v>
      </c>
      <c r="Z87" s="11">
        <v>0.26454065620658834</v>
      </c>
    </row>
    <row r="88" ht="22.5" customHeight="1">
      <c r="Q88" s="9" t="s">
        <v>126</v>
      </c>
      <c r="R88" s="10">
        <v>0.4679882219652545</v>
      </c>
      <c r="S88" s="10">
        <v>0.01911439701996338</v>
      </c>
      <c r="T88" s="10">
        <v>22.390882721451106</v>
      </c>
      <c r="U88" s="11">
        <v>0.18929221400717394</v>
      </c>
      <c r="V88" s="11">
        <v>0.14283013438877776</v>
      </c>
      <c r="W88" s="11">
        <v>0.06877524955335142</v>
      </c>
      <c r="X88" s="11">
        <v>0.4115245413616076</v>
      </c>
      <c r="Y88" s="11">
        <v>0.13621163366513767</v>
      </c>
      <c r="Z88" s="11">
        <v>0.05136622702395164</v>
      </c>
    </row>
    <row r="89" ht="22.5" customHeight="1">
      <c r="Q89" s="9" t="s">
        <v>127</v>
      </c>
      <c r="R89" s="10">
        <v>0.4960216696490975</v>
      </c>
      <c r="S89" s="10">
        <v>0.020369995102638164</v>
      </c>
      <c r="T89" s="10">
        <v>22.386930745507993</v>
      </c>
      <c r="U89" s="11">
        <v>0.01318106661566913</v>
      </c>
      <c r="V89" s="11">
        <v>0.14418236612587512</v>
      </c>
      <c r="W89" s="11">
        <v>0.07953515570266927</v>
      </c>
      <c r="X89" s="11">
        <v>0.5035288282337314</v>
      </c>
      <c r="Y89" s="11">
        <v>0.21456941491913392</v>
      </c>
      <c r="Z89" s="11">
        <v>0.04500316840292116</v>
      </c>
    </row>
    <row r="90" ht="22.5" customHeight="1">
      <c r="Q90" s="9" t="s">
        <v>128</v>
      </c>
      <c r="R90" s="10">
        <v>0.4116781497332401</v>
      </c>
      <c r="S90" s="10">
        <v>0.01660721228441132</v>
      </c>
      <c r="T90" s="10">
        <v>22.38052620560062</v>
      </c>
      <c r="U90" s="11">
        <v>0.16434758581383138</v>
      </c>
      <c r="V90" s="11">
        <v>0.11915771491626356</v>
      </c>
      <c r="W90" s="11">
        <v>0.07266492787797277</v>
      </c>
      <c r="X90" s="11">
        <v>0.25971702244086414</v>
      </c>
      <c r="Y90" s="11">
        <v>0.15178867225811593</v>
      </c>
      <c r="Z90" s="11">
        <v>0.23232407669295224</v>
      </c>
    </row>
    <row r="91" ht="22.5" customHeight="1">
      <c r="Q91" s="9" t="s">
        <v>129</v>
      </c>
      <c r="R91" s="10">
        <v>0.522331348251574</v>
      </c>
      <c r="S91" s="10">
        <v>0.018963507568197153</v>
      </c>
      <c r="T91" s="10">
        <v>22.37849226983017</v>
      </c>
      <c r="U91" s="11">
        <v>0.07356961093941405</v>
      </c>
      <c r="V91" s="11">
        <v>0.12506852660793766</v>
      </c>
      <c r="W91" s="11">
        <v>0.09632952142660951</v>
      </c>
      <c r="X91" s="11">
        <v>0.293271428558463</v>
      </c>
      <c r="Y91" s="11">
        <v>0.2799814187586623</v>
      </c>
      <c r="Z91" s="11">
        <v>0.1317794937089134</v>
      </c>
    </row>
    <row r="92" ht="22.5" customHeight="1">
      <c r="Q92" s="9" t="s">
        <v>130</v>
      </c>
      <c r="R92" s="10">
        <v>0.4245535433436689</v>
      </c>
      <c r="S92" s="10">
        <v>0.017184907730326986</v>
      </c>
      <c r="T92" s="10">
        <v>22.377399365667227</v>
      </c>
      <c r="U92" s="11">
        <v>0.18645493505590294</v>
      </c>
      <c r="V92" s="11">
        <v>0.10848831636767865</v>
      </c>
      <c r="W92" s="11">
        <v>0.08565693973128122</v>
      </c>
      <c r="X92" s="11">
        <v>0.24198736993581296</v>
      </c>
      <c r="Y92" s="11">
        <v>0.27276722452401025</v>
      </c>
      <c r="Z92" s="11">
        <v>0.10464521438531398</v>
      </c>
    </row>
    <row r="93" ht="22.5" customHeight="1">
      <c r="Q93" s="9" t="s">
        <v>131</v>
      </c>
      <c r="R93" s="10">
        <v>0.4240294334457389</v>
      </c>
      <c r="S93" s="10">
        <v>0.017164176332388193</v>
      </c>
      <c r="T93" s="10">
        <v>22.373892344667247</v>
      </c>
      <c r="U93" s="11">
        <v>0.34438137680931113</v>
      </c>
      <c r="V93" s="11">
        <v>0.11999390158371842</v>
      </c>
      <c r="W93" s="11">
        <v>0.07063500060148406</v>
      </c>
      <c r="X93" s="11">
        <v>0.2817499813960569</v>
      </c>
      <c r="Y93" s="11">
        <v>0.11788732077724197</v>
      </c>
      <c r="Z93" s="11">
        <v>0.06535241883218737</v>
      </c>
    </row>
    <row r="94" ht="22.5" customHeight="1">
      <c r="Q94" s="9" t="s">
        <v>132</v>
      </c>
      <c r="R94" s="10">
        <v>0.3248470406119653</v>
      </c>
      <c r="S94" s="10">
        <v>0.01273359411892981</v>
      </c>
      <c r="T94" s="10">
        <v>22.369728291285067</v>
      </c>
      <c r="U94" s="11">
        <v>0.24360567405651248</v>
      </c>
      <c r="V94" s="11">
        <v>0.07926011392320281</v>
      </c>
      <c r="W94" s="11">
        <v>0.03882639885337581</v>
      </c>
      <c r="X94" s="11">
        <v>0.3522349453880281</v>
      </c>
      <c r="Y94" s="11">
        <v>0.08483430068622035</v>
      </c>
      <c r="Z94" s="11">
        <v>0.20123856709266055</v>
      </c>
    </row>
    <row r="95" ht="22.5" customHeight="1">
      <c r="Q95" s="9" t="s">
        <v>133</v>
      </c>
      <c r="R95" s="10">
        <v>0.4408799459036966</v>
      </c>
      <c r="S95" s="10">
        <v>0.01792147763083241</v>
      </c>
      <c r="T95" s="10">
        <v>22.368688238854595</v>
      </c>
      <c r="U95" s="11">
        <v>0.2430601909179687</v>
      </c>
      <c r="V95" s="11">
        <v>0.1177141792474107</v>
      </c>
      <c r="W95" s="11">
        <v>0.0977943734738025</v>
      </c>
      <c r="X95" s="11">
        <v>0.25493967150173746</v>
      </c>
      <c r="Y95" s="11">
        <v>0.0732730099153017</v>
      </c>
      <c r="Z95" s="11">
        <v>0.213218574943779</v>
      </c>
    </row>
    <row r="96" ht="22.5" customHeight="1">
      <c r="Q96" s="9" t="s">
        <v>134</v>
      </c>
      <c r="R96" s="10">
        <v>0.36756763567521167</v>
      </c>
      <c r="S96" s="10">
        <v>0.014644042696762956</v>
      </c>
      <c r="T96" s="10">
        <v>22.36866160924401</v>
      </c>
      <c r="U96" s="11">
        <v>0.1923429776834132</v>
      </c>
      <c r="V96" s="11">
        <v>0.09477731740252122</v>
      </c>
      <c r="W96" s="11">
        <v>0.06226043164492414</v>
      </c>
      <c r="X96" s="11">
        <v>0.2327143705165777</v>
      </c>
      <c r="Y96" s="11">
        <v>0.2282765793023759</v>
      </c>
      <c r="Z96" s="11">
        <v>0.1896283234501878</v>
      </c>
    </row>
    <row r="97" ht="22.5" customHeight="1">
      <c r="Q97" s="9" t="s">
        <v>135</v>
      </c>
      <c r="R97" s="10">
        <v>0.5884413513150354</v>
      </c>
      <c r="S97" s="10">
        <v>0.02452227264922161</v>
      </c>
      <c r="T97" s="10">
        <v>22.365029504410312</v>
      </c>
      <c r="U97" s="11">
        <v>0.022504477961851226</v>
      </c>
      <c r="V97" s="11">
        <v>0.15768892314097138</v>
      </c>
      <c r="W97" s="11">
        <v>0.128376548315305</v>
      </c>
      <c r="X97" s="11">
        <v>0.6262552209015958</v>
      </c>
      <c r="Y97" s="11">
        <v>0.05241837372221523</v>
      </c>
      <c r="Z97" s="11">
        <v>0.012756455958061422</v>
      </c>
    </row>
    <row r="98" ht="22.5" customHeight="1">
      <c r="Q98" s="9" t="s">
        <v>136</v>
      </c>
      <c r="R98" s="10">
        <v>0.4146036471283202</v>
      </c>
      <c r="S98" s="10">
        <v>0.016752226460227466</v>
      </c>
      <c r="T98" s="10">
        <v>22.36142449588362</v>
      </c>
      <c r="U98" s="11">
        <v>0.200935229483102</v>
      </c>
      <c r="V98" s="11">
        <v>0.11833876178281413</v>
      </c>
      <c r="W98" s="11">
        <v>0.07659565045484781</v>
      </c>
      <c r="X98" s="11">
        <v>0.24282226438821636</v>
      </c>
      <c r="Y98" s="11">
        <v>0.14295679761322502</v>
      </c>
      <c r="Z98" s="11">
        <v>0.2183512962777946</v>
      </c>
    </row>
    <row r="99" ht="22.5" customHeight="1">
      <c r="Q99" s="9" t="s">
        <v>137</v>
      </c>
      <c r="R99" s="10">
        <v>0.4640552807840731</v>
      </c>
      <c r="S99" s="10">
        <v>0.018964064922114627</v>
      </c>
      <c r="T99" s="10">
        <v>22.360990775219722</v>
      </c>
      <c r="U99" s="11">
        <v>0.28039045177656924</v>
      </c>
      <c r="V99" s="11">
        <v>0.1027845845011764</v>
      </c>
      <c r="W99" s="11">
        <v>0.1208595553956085</v>
      </c>
      <c r="X99" s="11">
        <v>0.28661587105128944</v>
      </c>
      <c r="Y99" s="11">
        <v>0.11983743623527825</v>
      </c>
      <c r="Z99" s="11">
        <v>0.08951210104007805</v>
      </c>
    </row>
    <row r="100" ht="22.5" customHeight="1">
      <c r="Q100" s="9" t="s">
        <v>138</v>
      </c>
      <c r="R100" s="10">
        <v>0.42685983501601377</v>
      </c>
      <c r="S100" s="10">
        <v>0.017302730569866462</v>
      </c>
      <c r="T100" s="10">
        <v>22.35831121879392</v>
      </c>
      <c r="U100" s="11">
        <v>0.22096150506995624</v>
      </c>
      <c r="V100" s="11">
        <v>0.1072473790613175</v>
      </c>
      <c r="W100" s="11">
        <v>0.08795666268217328</v>
      </c>
      <c r="X100" s="11">
        <v>0.23589634450523222</v>
      </c>
      <c r="Y100" s="11">
        <v>0.2678520402194762</v>
      </c>
      <c r="Z100" s="11">
        <v>0.08008606846184463</v>
      </c>
    </row>
    <row r="101" ht="22.5" customHeight="1">
      <c r="Q101" s="9" t="s">
        <v>139</v>
      </c>
      <c r="R101" s="10">
        <v>0.49705511881424186</v>
      </c>
      <c r="S101" s="10">
        <v>0.02045180886605416</v>
      </c>
      <c r="T101" s="10">
        <v>22.34790681878806</v>
      </c>
      <c r="U101" s="11">
        <v>0.155449938659166</v>
      </c>
      <c r="V101" s="11">
        <v>0.14511176414287666</v>
      </c>
      <c r="W101" s="11">
        <v>0.1051751939480953</v>
      </c>
      <c r="X101" s="11">
        <v>0.304191478145805</v>
      </c>
      <c r="Y101" s="11">
        <v>0.1198023245703096</v>
      </c>
      <c r="Z101" s="11">
        <v>0.17026930053374748</v>
      </c>
    </row>
    <row r="102" ht="22.5" customHeight="1">
      <c r="Q102" s="9" t="s">
        <v>140</v>
      </c>
      <c r="R102" s="10">
        <v>0.37183493633965825</v>
      </c>
      <c r="S102" s="10">
        <v>0.014851053711799058</v>
      </c>
      <c r="T102" s="10">
        <v>22.344201480869856</v>
      </c>
      <c r="U102" s="11">
        <v>0.28556926754425865</v>
      </c>
      <c r="V102" s="11">
        <v>0.07955802170980886</v>
      </c>
      <c r="W102" s="11">
        <v>0.07850969454863015</v>
      </c>
      <c r="X102" s="11">
        <v>0.2241803954263869</v>
      </c>
      <c r="Y102" s="11">
        <v>0.2138344438358074</v>
      </c>
      <c r="Z102" s="11">
        <v>0.11834817693510791</v>
      </c>
    </row>
    <row r="103" ht="22.5" customHeight="1">
      <c r="Q103" s="9" t="s">
        <v>141</v>
      </c>
      <c r="R103" s="10">
        <v>0.5420241056490761</v>
      </c>
      <c r="S103" s="10">
        <v>0.022468281232978254</v>
      </c>
      <c r="T103" s="10">
        <v>22.343680873649582</v>
      </c>
      <c r="U103" s="11">
        <v>0.26554560526280724</v>
      </c>
      <c r="V103" s="11">
        <v>0.1633312354810245</v>
      </c>
      <c r="W103" s="11">
        <v>0.10551338675020003</v>
      </c>
      <c r="X103" s="11">
        <v>0.4033358670685964</v>
      </c>
      <c r="Y103" s="11">
        <v>0.043534903285530384</v>
      </c>
      <c r="Z103" s="11">
        <v>0.018739002151841516</v>
      </c>
    </row>
    <row r="104" ht="22.5" customHeight="1">
      <c r="Q104" s="9" t="s">
        <v>142</v>
      </c>
      <c r="R104" s="10">
        <v>0.5542114412654858</v>
      </c>
      <c r="S104" s="10">
        <v>0.023014614648050824</v>
      </c>
      <c r="T104" s="10">
        <v>22.34282212103151</v>
      </c>
      <c r="U104" s="11">
        <v>0.18458651875656198</v>
      </c>
      <c r="V104" s="11">
        <v>0.13301448125008902</v>
      </c>
      <c r="W104" s="11">
        <v>0.1472932796565376</v>
      </c>
      <c r="X104" s="11">
        <v>0.41850175093527686</v>
      </c>
      <c r="Y104" s="11">
        <v>0.06252374337764618</v>
      </c>
      <c r="Z104" s="11">
        <v>0.05408022602388826</v>
      </c>
    </row>
    <row r="105" ht="22.5" customHeight="1">
      <c r="Q105" s="9" t="s">
        <v>143</v>
      </c>
      <c r="R105" s="10">
        <v>0.4717577739184356</v>
      </c>
      <c r="S105" s="10">
        <v>0.019332770197349004</v>
      </c>
      <c r="T105" s="10">
        <v>22.332949158917753</v>
      </c>
      <c r="U105" s="11">
        <v>0.36050409227986563</v>
      </c>
      <c r="V105" s="11">
        <v>0.1389816261845534</v>
      </c>
      <c r="W105" s="11">
        <v>0.08223406677397144</v>
      </c>
      <c r="X105" s="11">
        <v>0.3328275344195643</v>
      </c>
      <c r="Y105" s="11">
        <v>0.06207763336481167</v>
      </c>
      <c r="Z105" s="11">
        <v>0.023375046977233686</v>
      </c>
    </row>
    <row r="106" ht="22.5" customHeight="1">
      <c r="Q106" s="9" t="s">
        <v>144</v>
      </c>
      <c r="R106" s="10">
        <v>0.36428152759776433</v>
      </c>
      <c r="S106" s="10">
        <v>0.014525083056634662</v>
      </c>
      <c r="T106" s="10">
        <v>22.325622947101937</v>
      </c>
      <c r="U106" s="11">
        <v>0.1473085051709072</v>
      </c>
      <c r="V106" s="11">
        <v>0.07660396659570588</v>
      </c>
      <c r="W106" s="11">
        <v>0.06902124647646204</v>
      </c>
      <c r="X106" s="11">
        <v>0.27904261435053</v>
      </c>
      <c r="Y106" s="11">
        <v>0.3122663422138954</v>
      </c>
      <c r="Z106" s="11">
        <v>0.11575732519249954</v>
      </c>
    </row>
    <row r="107" ht="22.5" customHeight="1">
      <c r="Q107" s="9" t="s">
        <v>145</v>
      </c>
      <c r="R107" s="10">
        <v>0.4081826217891901</v>
      </c>
      <c r="S107" s="10">
        <v>0.016492079988446345</v>
      </c>
      <c r="T107" s="10">
        <v>22.324814216710283</v>
      </c>
      <c r="U107" s="11">
        <v>0.03441347196094838</v>
      </c>
      <c r="V107" s="11">
        <v>0.09146887704106092</v>
      </c>
      <c r="W107" s="11">
        <v>0.09272196050363647</v>
      </c>
      <c r="X107" s="11">
        <v>0.28659778811513364</v>
      </c>
      <c r="Y107" s="11">
        <v>0.2870192499041802</v>
      </c>
      <c r="Z107" s="11">
        <v>0.20777865247504038</v>
      </c>
    </row>
    <row r="108" ht="22.5" customHeight="1">
      <c r="Q108" s="9" t="s">
        <v>146</v>
      </c>
      <c r="R108" s="10">
        <v>0.3586701704679903</v>
      </c>
      <c r="S108" s="10">
        <v>0.014275698058408387</v>
      </c>
      <c r="T108" s="10">
        <v>22.322563083371854</v>
      </c>
      <c r="U108" s="11">
        <v>0.3065321023474223</v>
      </c>
      <c r="V108" s="11">
        <v>0.08501492452598247</v>
      </c>
      <c r="W108" s="11">
        <v>0.07074667319382448</v>
      </c>
      <c r="X108" s="11">
        <v>0.2271734714727512</v>
      </c>
      <c r="Y108" s="11">
        <v>0.08819199135367563</v>
      </c>
      <c r="Z108" s="11">
        <v>0.22234083710634395</v>
      </c>
    </row>
    <row r="109" ht="22.5" customHeight="1">
      <c r="Q109" s="9" t="s">
        <v>147</v>
      </c>
      <c r="R109" s="10">
        <v>0.3748497441827102</v>
      </c>
      <c r="S109" s="10">
        <v>0.015001296583849417</v>
      </c>
      <c r="T109" s="10">
        <v>22.32138684220227</v>
      </c>
      <c r="U109" s="11">
        <v>0.1443904117590534</v>
      </c>
      <c r="V109" s="11">
        <v>0.07569431511331116</v>
      </c>
      <c r="W109" s="11">
        <v>0.09254296083197712</v>
      </c>
      <c r="X109" s="11">
        <v>0.25506822881859204</v>
      </c>
      <c r="Y109" s="11">
        <v>0.15628303719969627</v>
      </c>
      <c r="Z109" s="11">
        <v>0.27602104627736995</v>
      </c>
    </row>
    <row r="110" ht="22.5" customHeight="1">
      <c r="Q110" s="9" t="s">
        <v>148</v>
      </c>
      <c r="R110" s="10">
        <v>0.522331348251574</v>
      </c>
      <c r="S110" s="10">
        <v>0.016095771532662763</v>
      </c>
      <c r="T110" s="10">
        <v>22.32125852777812</v>
      </c>
      <c r="U110" s="11">
        <v>0.1982807420035789</v>
      </c>
      <c r="V110" s="11">
        <v>0.08388832282876066</v>
      </c>
      <c r="W110" s="11">
        <v>0.10087570955361205</v>
      </c>
      <c r="X110" s="11">
        <v>0.24740954893824918</v>
      </c>
      <c r="Y110" s="11">
        <v>0.14468195770709738</v>
      </c>
      <c r="Z110" s="11">
        <v>0.22486371896870178</v>
      </c>
    </row>
    <row r="111" ht="22.5" customHeight="1">
      <c r="Q111" s="9" t="s">
        <v>149</v>
      </c>
      <c r="R111" s="10">
        <v>0.44494981814059115</v>
      </c>
      <c r="S111" s="10">
        <v>0.018141956979279283</v>
      </c>
      <c r="T111" s="10">
        <v>22.32117618860534</v>
      </c>
      <c r="U111" s="11">
        <v>0.03864303192369954</v>
      </c>
      <c r="V111" s="11">
        <v>0.1273099904153193</v>
      </c>
      <c r="W111" s="11">
        <v>0.0876654848748777</v>
      </c>
      <c r="X111" s="11">
        <v>0.28747191156544105</v>
      </c>
      <c r="Y111" s="11">
        <v>0.207318930505551</v>
      </c>
      <c r="Z111" s="11">
        <v>0.25159065071511144</v>
      </c>
    </row>
    <row r="112" ht="22.5" customHeight="1">
      <c r="Q112" s="9" t="s">
        <v>150</v>
      </c>
      <c r="R112" s="10">
        <v>0.3872334923777806</v>
      </c>
      <c r="S112" s="10">
        <v>0.015557502851889423</v>
      </c>
      <c r="T112" s="10">
        <v>22.319359069608648</v>
      </c>
      <c r="U112" s="11">
        <v>0.16531536441597972</v>
      </c>
      <c r="V112" s="11">
        <v>0.10866388021022208</v>
      </c>
      <c r="W112" s="11">
        <v>0.06760471574548185</v>
      </c>
      <c r="X112" s="11">
        <v>0.2326982314433288</v>
      </c>
      <c r="Y112" s="11">
        <v>0.17409325266034312</v>
      </c>
      <c r="Z112" s="11">
        <v>0.25162455552464447</v>
      </c>
    </row>
    <row r="113" ht="22.5" customHeight="1">
      <c r="Q113" s="9" t="s">
        <v>151</v>
      </c>
      <c r="R113" s="10">
        <v>0.5503154964090952</v>
      </c>
      <c r="S113" s="10">
        <v>0.022866388253800454</v>
      </c>
      <c r="T113" s="10">
        <v>22.31727593990622</v>
      </c>
      <c r="U113" s="11">
        <v>0.2767995717073384</v>
      </c>
      <c r="V113" s="11">
        <v>0.14625331025616115</v>
      </c>
      <c r="W113" s="11">
        <v>0.13450234678055467</v>
      </c>
      <c r="X113" s="11">
        <v>0.3221670197786628</v>
      </c>
      <c r="Y113" s="11">
        <v>0.11568312192436374</v>
      </c>
      <c r="Z113" s="11">
        <v>0.004594629552919272</v>
      </c>
    </row>
    <row r="114" ht="22.5" customHeight="1">
      <c r="Q114" s="9" t="s">
        <v>152</v>
      </c>
      <c r="R114" s="10">
        <v>0.32166827406821313</v>
      </c>
      <c r="S114" s="10">
        <v>0.012621088765140172</v>
      </c>
      <c r="T114" s="10">
        <v>22.317272250409125</v>
      </c>
      <c r="U114" s="11">
        <v>0.2968770487889076</v>
      </c>
      <c r="V114" s="11">
        <v>0.054009166689921194</v>
      </c>
      <c r="W114" s="11">
        <v>0.06687745062896981</v>
      </c>
      <c r="X114" s="11">
        <v>0.30597087690401736</v>
      </c>
      <c r="Y114" s="11">
        <v>0.07667616636526649</v>
      </c>
      <c r="Z114" s="11">
        <v>0.1995892906229175</v>
      </c>
    </row>
    <row r="115" ht="22.5" customHeight="1">
      <c r="Q115" s="9" t="s">
        <v>153</v>
      </c>
      <c r="R115" s="10">
        <v>0.37370191645008005</v>
      </c>
      <c r="S115" s="10">
        <v>0.014953030623232834</v>
      </c>
      <c r="T115" s="10">
        <v>22.3166744493655</v>
      </c>
      <c r="U115" s="11">
        <v>0.20758396297794193</v>
      </c>
      <c r="V115" s="11">
        <v>0.08220754871484393</v>
      </c>
      <c r="W115" s="11">
        <v>0.07451332419015465</v>
      </c>
      <c r="X115" s="11">
        <v>0.2379443026138667</v>
      </c>
      <c r="Y115" s="11">
        <v>0.2819680710651789</v>
      </c>
      <c r="Z115" s="11">
        <v>0.11578279043801405</v>
      </c>
    </row>
    <row r="116" ht="22.5" customHeight="1">
      <c r="Q116" s="9" t="s">
        <v>154</v>
      </c>
      <c r="R116" s="10">
        <v>0.5224197160150512</v>
      </c>
      <c r="S116" s="10">
        <v>0.02161965981565382</v>
      </c>
      <c r="T116" s="10">
        <v>22.31393648783284</v>
      </c>
      <c r="U116" s="11">
        <v>0.16761856191555732</v>
      </c>
      <c r="V116" s="11">
        <v>0.15535193532440897</v>
      </c>
      <c r="W116" s="11">
        <v>0.10758746811839878</v>
      </c>
      <c r="X116" s="11">
        <v>0.31612082553158616</v>
      </c>
      <c r="Y116" s="11">
        <v>0.1643527230078699</v>
      </c>
      <c r="Z116" s="11">
        <v>0.08896848610217867</v>
      </c>
    </row>
    <row r="117" ht="22.5" customHeight="1">
      <c r="Q117" s="9" t="s">
        <v>155</v>
      </c>
      <c r="R117" s="10">
        <v>0.40268994586225676</v>
      </c>
      <c r="S117" s="10">
        <v>0.0162541081107062</v>
      </c>
      <c r="T117" s="10">
        <v>22.313740218287425</v>
      </c>
      <c r="U117" s="11">
        <v>0.18066555288104066</v>
      </c>
      <c r="V117" s="11">
        <v>0.10069258738772474</v>
      </c>
      <c r="W117" s="11">
        <v>0.0856341346661536</v>
      </c>
      <c r="X117" s="11">
        <v>0.21014471787657538</v>
      </c>
      <c r="Y117" s="11">
        <v>0.2273736379778869</v>
      </c>
      <c r="Z117" s="11">
        <v>0.1954893692106187</v>
      </c>
    </row>
    <row r="118" ht="22.5" customHeight="1">
      <c r="Q118" s="9" t="s">
        <v>156</v>
      </c>
      <c r="R118" s="10">
        <v>0.45159989948815893</v>
      </c>
      <c r="S118" s="10">
        <v>0.018451914987956338</v>
      </c>
      <c r="T118" s="10">
        <v>22.30662236178805</v>
      </c>
      <c r="U118" s="11">
        <v>0.11686506175812904</v>
      </c>
      <c r="V118" s="11">
        <v>0.1206014757962291</v>
      </c>
      <c r="W118" s="11">
        <v>0.10488877029988763</v>
      </c>
      <c r="X118" s="11">
        <v>0.29768159251573667</v>
      </c>
      <c r="Y118" s="11">
        <v>0.058440223274385764</v>
      </c>
      <c r="Z118" s="11">
        <v>0.30152287635563185</v>
      </c>
    </row>
    <row r="119" ht="22.5" customHeight="1">
      <c r="Q119" s="9" t="s">
        <v>157</v>
      </c>
      <c r="R119" s="10">
        <v>0.4009588373734961</v>
      </c>
      <c r="S119" s="10">
        <v>0.016183500931627313</v>
      </c>
      <c r="T119" s="10">
        <v>22.304125596710445</v>
      </c>
      <c r="U119" s="11">
        <v>0.2376435188660865</v>
      </c>
      <c r="V119" s="11">
        <v>0.11049203905174805</v>
      </c>
      <c r="W119" s="11">
        <v>0.07821433155938327</v>
      </c>
      <c r="X119" s="11">
        <v>0.23201191091751705</v>
      </c>
      <c r="Y119" s="11">
        <v>0.08859190268243883</v>
      </c>
      <c r="Z119" s="11">
        <v>0.25304629692282615</v>
      </c>
    </row>
    <row r="120" ht="22.5" customHeight="1">
      <c r="Q120" s="9" t="s">
        <v>158</v>
      </c>
      <c r="R120" s="10">
        <v>0.3391633254038057</v>
      </c>
      <c r="S120" s="10">
        <v>0.013413931042297956</v>
      </c>
      <c r="T120" s="10">
        <v>22.302435017778034</v>
      </c>
      <c r="U120" s="11">
        <v>0.19605508338410235</v>
      </c>
      <c r="V120" s="11">
        <v>0.05664102939565298</v>
      </c>
      <c r="W120" s="11">
        <v>0.08109850647064949</v>
      </c>
      <c r="X120" s="11">
        <v>0.2931822057792499</v>
      </c>
      <c r="Y120" s="11">
        <v>0.11886991864049011</v>
      </c>
      <c r="Z120" s="11">
        <v>0.2541532563298551</v>
      </c>
    </row>
    <row r="121" ht="22.5" customHeight="1">
      <c r="Q121" s="9" t="s">
        <v>159</v>
      </c>
      <c r="R121" s="10">
        <v>0.3431981873308476</v>
      </c>
      <c r="S121" s="10">
        <v>0.013595188494707068</v>
      </c>
      <c r="T121" s="10">
        <v>22.301874479260803</v>
      </c>
      <c r="U121" s="11">
        <v>0.0014471779178892514</v>
      </c>
      <c r="V121" s="11">
        <v>0.08581942047550316</v>
      </c>
      <c r="W121" s="11">
        <v>0.05484685236535633</v>
      </c>
      <c r="X121" s="11">
        <v>0.36328655356688405</v>
      </c>
      <c r="Y121" s="11">
        <v>0.11614236785268225</v>
      </c>
      <c r="Z121" s="11">
        <v>0.378457627821685</v>
      </c>
    </row>
    <row r="122" ht="22.5" customHeight="1">
      <c r="Q122" s="9" t="s">
        <v>160</v>
      </c>
      <c r="R122" s="10">
        <v>0.41186283762953785</v>
      </c>
      <c r="S122" s="10">
        <v>0.01667641859716269</v>
      </c>
      <c r="T122" s="10">
        <v>22.298722922007144</v>
      </c>
      <c r="U122" s="11">
        <v>0.29796728168504527</v>
      </c>
      <c r="V122" s="11">
        <v>0.11699082271305127</v>
      </c>
      <c r="W122" s="11">
        <v>0.06734414524665651</v>
      </c>
      <c r="X122" s="11">
        <v>0.25207036266735894</v>
      </c>
      <c r="Y122" s="11">
        <v>0.17215879206828114</v>
      </c>
      <c r="Z122" s="11">
        <v>0.09346859561960687</v>
      </c>
    </row>
    <row r="123" ht="22.5" customHeight="1">
      <c r="Q123" s="9" t="s">
        <v>161</v>
      </c>
      <c r="R123" s="10">
        <v>0.3574895515335961</v>
      </c>
      <c r="S123" s="10">
        <v>0.014240311382076647</v>
      </c>
      <c r="T123" s="10">
        <v>22.295127052713156</v>
      </c>
      <c r="U123" s="11">
        <v>0.27133623479622865</v>
      </c>
      <c r="V123" s="11">
        <v>0.0863875501629315</v>
      </c>
      <c r="W123" s="11">
        <v>0.07099863130027545</v>
      </c>
      <c r="X123" s="11">
        <v>0.2175963648273437</v>
      </c>
      <c r="Y123" s="11">
        <v>0.09680980559923563</v>
      </c>
      <c r="Z123" s="11">
        <v>0.256871413313985</v>
      </c>
    </row>
    <row r="124" ht="22.5" customHeight="1">
      <c r="Q124" s="9" t="s">
        <v>162</v>
      </c>
      <c r="R124" s="10">
        <v>0.3846023947352403</v>
      </c>
      <c r="S124" s="10">
        <v>0.015458522451413458</v>
      </c>
      <c r="T124" s="10">
        <v>22.29206548157075</v>
      </c>
      <c r="U124" s="11">
        <v>0.2399731607652535</v>
      </c>
      <c r="V124" s="11">
        <v>0.08618142574039463</v>
      </c>
      <c r="W124" s="11">
        <v>0.0837887566657709</v>
      </c>
      <c r="X124" s="11">
        <v>0.2113382607380518</v>
      </c>
      <c r="Y124" s="11">
        <v>0.23248681162136955</v>
      </c>
      <c r="Z124" s="11">
        <v>0.14623158446915963</v>
      </c>
    </row>
    <row r="125" ht="22.5" customHeight="1">
      <c r="Q125" s="9" t="s">
        <v>163</v>
      </c>
      <c r="R125" s="10">
        <v>0.44169339670428925</v>
      </c>
      <c r="S125" s="10">
        <v>0.018019708010378405</v>
      </c>
      <c r="T125" s="10">
        <v>22.291892658467884</v>
      </c>
      <c r="U125" s="11">
        <v>0.17550918260333417</v>
      </c>
      <c r="V125" s="11">
        <v>0.08978928590214334</v>
      </c>
      <c r="W125" s="11">
        <v>0.11351278370527737</v>
      </c>
      <c r="X125" s="11">
        <v>0.28800140013459335</v>
      </c>
      <c r="Y125" s="11">
        <v>0.2568921592534823</v>
      </c>
      <c r="Z125" s="11">
        <v>0.07629518840116932</v>
      </c>
    </row>
    <row r="126" ht="22.5" customHeight="1">
      <c r="Q126" s="9" t="s">
        <v>164</v>
      </c>
      <c r="R126" s="10">
        <v>0.4287193257219278</v>
      </c>
      <c r="S126" s="10">
        <v>0.017438663753999724</v>
      </c>
      <c r="T126" s="10">
        <v>22.29066006463777</v>
      </c>
      <c r="U126" s="11">
        <v>0.08216404067811074</v>
      </c>
      <c r="V126" s="11">
        <v>0.1103086789786053</v>
      </c>
      <c r="W126" s="11">
        <v>0.09237005263628235</v>
      </c>
      <c r="X126" s="11">
        <v>0.24489043918876358</v>
      </c>
      <c r="Y126" s="11">
        <v>0.2689962167086318</v>
      </c>
      <c r="Z126" s="11">
        <v>0.20127057180960634</v>
      </c>
    </row>
    <row r="127" ht="22.5" customHeight="1">
      <c r="Q127" s="9" t="s">
        <v>165</v>
      </c>
      <c r="R127" s="10">
        <v>0.3814730920380473</v>
      </c>
      <c r="S127" s="10">
        <v>0.01532187593027088</v>
      </c>
      <c r="T127" s="10">
        <v>22.286637327705492</v>
      </c>
      <c r="U127" s="11">
        <v>0.28186726203554435</v>
      </c>
      <c r="V127" s="11">
        <v>0.10710164168567021</v>
      </c>
      <c r="W127" s="11">
        <v>0.06233383276211604</v>
      </c>
      <c r="X127" s="11">
        <v>0.2649458848904051</v>
      </c>
      <c r="Y127" s="11">
        <v>0.065145490287329</v>
      </c>
      <c r="Z127" s="11">
        <v>0.21860588833893524</v>
      </c>
    </row>
    <row r="128" ht="22.5" customHeight="1">
      <c r="Q128" s="9" t="s">
        <v>166</v>
      </c>
      <c r="R128" s="10">
        <v>0.3394155671070035</v>
      </c>
      <c r="S128" s="10">
        <v>0.013434965085064613</v>
      </c>
      <c r="T128" s="10">
        <v>22.286292908930438</v>
      </c>
      <c r="U128" s="11">
        <v>0.29343603272051705</v>
      </c>
      <c r="V128" s="11">
        <v>0.07126169680396612</v>
      </c>
      <c r="W128" s="11">
        <v>0.06942780851761597</v>
      </c>
      <c r="X128" s="11">
        <v>0.22405093117779717</v>
      </c>
      <c r="Y128" s="11">
        <v>0.12513552881148363</v>
      </c>
      <c r="Z128" s="11">
        <v>0.21668800196862004</v>
      </c>
    </row>
    <row r="129" ht="22.5" customHeight="1">
      <c r="Q129" s="9" t="s">
        <v>167</v>
      </c>
      <c r="R129" s="10">
        <v>0.3652615227121531</v>
      </c>
      <c r="S129" s="10">
        <v>0.014599811826674781</v>
      </c>
      <c r="T129" s="10">
        <v>22.27847362511068</v>
      </c>
      <c r="U129" s="11">
        <v>0.14308462319530257</v>
      </c>
      <c r="V129" s="11">
        <v>0.07438491318636303</v>
      </c>
      <c r="W129" s="11">
        <v>0.08187809488639834</v>
      </c>
      <c r="X129" s="11">
        <v>0.23872836580355578</v>
      </c>
      <c r="Y129" s="11">
        <v>0.255080706800825</v>
      </c>
      <c r="Z129" s="11">
        <v>0.20684329612755528</v>
      </c>
    </row>
    <row r="130" ht="22.5" customHeight="1">
      <c r="Q130" s="9" t="s">
        <v>168</v>
      </c>
      <c r="R130" s="10">
        <v>0.32489372447548337</v>
      </c>
      <c r="S130" s="10">
        <v>0.012793495806235367</v>
      </c>
      <c r="T130" s="10">
        <v>22.268637813335605</v>
      </c>
      <c r="U130" s="11">
        <v>0.3080149891242853</v>
      </c>
      <c r="V130" s="11">
        <v>0.045688098078545875</v>
      </c>
      <c r="W130" s="11">
        <v>0.06809501607686953</v>
      </c>
      <c r="X130" s="11">
        <v>0.35309027334456394</v>
      </c>
      <c r="Y130" s="11">
        <v>0.1174817296148473</v>
      </c>
      <c r="Z130" s="11">
        <v>0.10762989376088793</v>
      </c>
    </row>
    <row r="131" ht="22.5" customHeight="1">
      <c r="Q131" s="9" t="s">
        <v>169</v>
      </c>
      <c r="R131" s="10">
        <v>0.44409195666906215</v>
      </c>
      <c r="S131" s="10">
        <v>0.01815189705621136</v>
      </c>
      <c r="T131" s="10">
        <v>22.261692836715753</v>
      </c>
      <c r="U131" s="11">
        <v>0.19551413708862547</v>
      </c>
      <c r="V131" s="11">
        <v>0.11936400683317232</v>
      </c>
      <c r="W131" s="11">
        <v>0.09623921614592562</v>
      </c>
      <c r="X131" s="11">
        <v>0.21544494608730094</v>
      </c>
      <c r="Y131" s="11">
        <v>0.2105724288873076</v>
      </c>
      <c r="Z131" s="11">
        <v>0.16286526495766804</v>
      </c>
    </row>
    <row r="132" ht="22.5" customHeight="1">
      <c r="Q132" s="9" t="s">
        <v>170</v>
      </c>
      <c r="R132" s="10">
        <v>0.46279726533500565</v>
      </c>
      <c r="S132" s="10">
        <v>0.01899277622559206</v>
      </c>
      <c r="T132" s="10">
        <v>22.26095123288517</v>
      </c>
      <c r="U132" s="11">
        <v>0.23747661908499978</v>
      </c>
      <c r="V132" s="11">
        <v>0.12366669769021273</v>
      </c>
      <c r="W132" s="11">
        <v>0.09997110160112499</v>
      </c>
      <c r="X132" s="11">
        <v>0.22625151463864648</v>
      </c>
      <c r="Y132" s="11">
        <v>0.23517620743739787</v>
      </c>
      <c r="Z132" s="11">
        <v>0.07745785954761802</v>
      </c>
    </row>
    <row r="133" ht="22.5" customHeight="1">
      <c r="Q133" s="9" t="s">
        <v>171</v>
      </c>
      <c r="R133" s="10">
        <v>0.4295831860538465</v>
      </c>
      <c r="S133" s="10">
        <v>0.01750270118296391</v>
      </c>
      <c r="T133" s="10">
        <v>22.258460678803317</v>
      </c>
      <c r="U133" s="11">
        <v>0.14398670965295204</v>
      </c>
      <c r="V133" s="11">
        <v>0.10693408156012328</v>
      </c>
      <c r="W133" s="11">
        <v>0.09864428802431613</v>
      </c>
      <c r="X133" s="11">
        <v>0.2204229693822942</v>
      </c>
      <c r="Y133" s="11">
        <v>0.23915398951769234</v>
      </c>
      <c r="Z133" s="11">
        <v>0.19085796186262194</v>
      </c>
    </row>
    <row r="134" ht="22.5" customHeight="1">
      <c r="Q134" s="9" t="s">
        <v>172</v>
      </c>
      <c r="R134" s="10">
        <v>0.3477717718660646</v>
      </c>
      <c r="S134" s="10">
        <v>0.01383173443974932</v>
      </c>
      <c r="T134" s="10">
        <v>22.251133667054596</v>
      </c>
      <c r="U134" s="11">
        <v>0.22011890802025708</v>
      </c>
      <c r="V134" s="11">
        <v>0.08018774639117598</v>
      </c>
      <c r="W134" s="11">
        <v>0.06747234260335835</v>
      </c>
      <c r="X134" s="11">
        <v>0.20177257622578648</v>
      </c>
      <c r="Y134" s="11">
        <v>0.203023403371444</v>
      </c>
      <c r="Z134" s="11">
        <v>0.22742502338797818</v>
      </c>
    </row>
    <row r="135" ht="22.5" customHeight="1">
      <c r="Q135" s="9" t="s">
        <v>173</v>
      </c>
      <c r="R135" s="10">
        <v>0.4782185906652842</v>
      </c>
      <c r="S135" s="10">
        <v>0.019697773421072026</v>
      </c>
      <c r="T135" s="10">
        <v>22.247112975545374</v>
      </c>
      <c r="U135" s="11">
        <v>0.026500407211747096</v>
      </c>
      <c r="V135" s="11">
        <v>0.12955921022008615</v>
      </c>
      <c r="W135" s="11">
        <v>0.11286773201228695</v>
      </c>
      <c r="X135" s="11">
        <v>0.3257666983389836</v>
      </c>
      <c r="Y135" s="11">
        <v>0.10457240913171265</v>
      </c>
      <c r="Z135" s="11">
        <v>0.3007335430851836</v>
      </c>
    </row>
    <row r="136" ht="22.5" customHeight="1">
      <c r="Q136" s="9" t="s">
        <v>174</v>
      </c>
      <c r="R136" s="10">
        <v>0.3530481303493163</v>
      </c>
      <c r="S136" s="10">
        <v>0.014072643729310193</v>
      </c>
      <c r="T136" s="10">
        <v>22.24515424186477</v>
      </c>
      <c r="U136" s="11">
        <v>0.27479099519539685</v>
      </c>
      <c r="V136" s="11">
        <v>0.09478047803223913</v>
      </c>
      <c r="W136" s="11">
        <v>0.05519218912154</v>
      </c>
      <c r="X136" s="11">
        <v>0.26433459837937046</v>
      </c>
      <c r="Y136" s="11">
        <v>0.05979634273309348</v>
      </c>
      <c r="Z136" s="11">
        <v>0.25110539653836006</v>
      </c>
    </row>
    <row r="137" ht="22.5" customHeight="1">
      <c r="Q137" s="9" t="s">
        <v>175</v>
      </c>
      <c r="R137" s="10">
        <v>0.4737948674418541</v>
      </c>
      <c r="S137" s="10">
        <v>0.019500809133292624</v>
      </c>
      <c r="T137" s="10">
        <v>22.244967605024183</v>
      </c>
      <c r="U137" s="11">
        <v>0.23910581111223894</v>
      </c>
      <c r="V137" s="11">
        <v>0.1400170840369987</v>
      </c>
      <c r="W137" s="11">
        <v>0.08521252881337565</v>
      </c>
      <c r="X137" s="11">
        <v>0.27224108017045145</v>
      </c>
      <c r="Y137" s="11">
        <v>0.2277782272698091</v>
      </c>
      <c r="Z137" s="11">
        <v>0.03564526859712626</v>
      </c>
    </row>
    <row r="138" ht="22.5" customHeight="1">
      <c r="Q138" s="9" t="s">
        <v>176</v>
      </c>
      <c r="R138" s="10">
        <v>0.4742731989189915</v>
      </c>
      <c r="S138" s="10">
        <v>0.019523334254003984</v>
      </c>
      <c r="T138" s="10">
        <v>22.243802890888254</v>
      </c>
      <c r="U138" s="11">
        <v>0.25165294063528043</v>
      </c>
      <c r="V138" s="11">
        <v>0.10705793941561777</v>
      </c>
      <c r="W138" s="11">
        <v>0.12289874434709094</v>
      </c>
      <c r="X138" s="11">
        <v>0.2596228578020819</v>
      </c>
      <c r="Y138" s="11">
        <v>0.20411118000764827</v>
      </c>
      <c r="Z138" s="11">
        <v>0.05465633779228069</v>
      </c>
    </row>
    <row r="139" ht="22.5" customHeight="1">
      <c r="Q139" s="9" t="s">
        <v>177</v>
      </c>
      <c r="R139" s="10">
        <v>0.37326627318342837</v>
      </c>
      <c r="S139" s="10">
        <v>0.014983172288733203</v>
      </c>
      <c r="T139" s="10">
        <v>22.24270446613181</v>
      </c>
      <c r="U139" s="11">
        <v>0.16413056985752666</v>
      </c>
      <c r="V139" s="11">
        <v>0.10166482171020258</v>
      </c>
      <c r="W139" s="11">
        <v>0.059986619868454064</v>
      </c>
      <c r="X139" s="11">
        <v>0.2334299686356017</v>
      </c>
      <c r="Y139" s="11">
        <v>0.23754302040816538</v>
      </c>
      <c r="Z139" s="11">
        <v>0.20324499952004949</v>
      </c>
    </row>
    <row r="140" ht="22.5" customHeight="1">
      <c r="Q140" s="9" t="s">
        <v>178</v>
      </c>
      <c r="R140" s="10">
        <v>0.45889341667357547</v>
      </c>
      <c r="S140" s="10">
        <v>0.018836028385832464</v>
      </c>
      <c r="T140" s="10">
        <v>22.238945922838308</v>
      </c>
      <c r="U140" s="11">
        <v>0.05158077903687954</v>
      </c>
      <c r="V140" s="11">
        <v>0.12327860317052189</v>
      </c>
      <c r="W140" s="11">
        <v>0.10095140821588493</v>
      </c>
      <c r="X140" s="11">
        <v>0.26147307398094227</v>
      </c>
      <c r="Y140" s="11">
        <v>0.26176702658450607</v>
      </c>
      <c r="Z140" s="11">
        <v>0.20094910901126528</v>
      </c>
    </row>
    <row r="141" ht="22.5" customHeight="1">
      <c r="Q141" s="9" t="s">
        <v>179</v>
      </c>
      <c r="R141" s="10">
        <v>0.34824820524767475</v>
      </c>
      <c r="S141" s="10">
        <v>0.013860795087815556</v>
      </c>
      <c r="T141" s="10">
        <v>22.238854502556123</v>
      </c>
      <c r="U141" s="11">
        <v>0.22019828602815952</v>
      </c>
      <c r="V141" s="11">
        <v>0.09040060813168813</v>
      </c>
      <c r="W141" s="11">
        <v>0.0559277656269255</v>
      </c>
      <c r="X141" s="11">
        <v>0.32112800740287667</v>
      </c>
      <c r="Y141" s="11">
        <v>0.0010911886242894258</v>
      </c>
      <c r="Z141" s="11">
        <v>0.3112541441860606</v>
      </c>
    </row>
    <row r="142" ht="22.5" customHeight="1">
      <c r="Q142" s="9" t="s">
        <v>180</v>
      </c>
      <c r="R142" s="10">
        <v>0.3905969390611569</v>
      </c>
      <c r="S142" s="10">
        <v>0.015765527029202434</v>
      </c>
      <c r="T142" s="10">
        <v>22.238199738692362</v>
      </c>
      <c r="U142" s="11">
        <v>0.30083005185480693</v>
      </c>
      <c r="V142" s="11">
        <v>0.09607593037056719</v>
      </c>
      <c r="W142" s="11">
        <v>0.08522080509924929</v>
      </c>
      <c r="X142" s="11">
        <v>0.24272479240583644</v>
      </c>
      <c r="Y142" s="11">
        <v>0.028888408472486672</v>
      </c>
      <c r="Z142" s="11">
        <v>0.24626001179705354</v>
      </c>
    </row>
    <row r="143" ht="22.5" customHeight="1">
      <c r="Q143" s="9" t="s">
        <v>181</v>
      </c>
      <c r="R143" s="10">
        <v>0.5103683285927842</v>
      </c>
      <c r="S143" s="10">
        <v>0.021153707298426253</v>
      </c>
      <c r="T143" s="10">
        <v>22.2357396723447</v>
      </c>
      <c r="U143" s="11">
        <v>0.28655562510165367</v>
      </c>
      <c r="V143" s="11">
        <v>0.13385310361588085</v>
      </c>
      <c r="W143" s="11">
        <v>0.12537467703486938</v>
      </c>
      <c r="X143" s="11">
        <v>0.2654081300469662</v>
      </c>
      <c r="Y143" s="11">
        <v>0.1127240666856509</v>
      </c>
      <c r="Z143" s="11">
        <v>0.07608439751497899</v>
      </c>
    </row>
    <row r="144" ht="22.5" customHeight="1">
      <c r="Q144" s="9" t="s">
        <v>182</v>
      </c>
      <c r="R144" s="10">
        <v>0.403809781355873</v>
      </c>
      <c r="S144" s="10">
        <v>0.016364146210096155</v>
      </c>
      <c r="T144" s="10">
        <v>22.23212727905193</v>
      </c>
      <c r="U144" s="11">
        <v>0.17608435406504275</v>
      </c>
      <c r="V144" s="11">
        <v>0.08776456171051364</v>
      </c>
      <c r="W144" s="11">
        <v>0.08964503705908788</v>
      </c>
      <c r="X144" s="11">
        <v>0.24502694182939935</v>
      </c>
      <c r="Y144" s="11">
        <v>0.3089081710220021</v>
      </c>
      <c r="Z144" s="11">
        <v>0.09257093431395441</v>
      </c>
    </row>
    <row r="145" ht="22.5" customHeight="1">
      <c r="Q145" s="9" t="s">
        <v>183</v>
      </c>
      <c r="R145" s="10">
        <v>0.4466405274679924</v>
      </c>
      <c r="S145" s="10">
        <v>0.01829196184338732</v>
      </c>
      <c r="T145" s="10">
        <v>22.23055847970708</v>
      </c>
      <c r="U145" s="11">
        <v>0.14202870880513113</v>
      </c>
      <c r="V145" s="11">
        <v>0.12520554124797262</v>
      </c>
      <c r="W145" s="11">
        <v>0.08273692886704655</v>
      </c>
      <c r="X145" s="11">
        <v>0.2598756966749674</v>
      </c>
      <c r="Y145" s="11">
        <v>0.2954521528829484</v>
      </c>
      <c r="Z145" s="11">
        <v>0.09470097152193391</v>
      </c>
    </row>
    <row r="146" ht="22.5" customHeight="1">
      <c r="Q146" s="9" t="s">
        <v>184</v>
      </c>
      <c r="R146" s="10">
        <v>0.39775986844265127</v>
      </c>
      <c r="S146" s="10">
        <v>0.01609942682572379</v>
      </c>
      <c r="T146" s="10">
        <v>22.221900960537287</v>
      </c>
      <c r="U146" s="11">
        <v>0.13934338239115088</v>
      </c>
      <c r="V146" s="11">
        <v>0.08602527861949692</v>
      </c>
      <c r="W146" s="11">
        <v>0.0987133391890679</v>
      </c>
      <c r="X146" s="11">
        <v>0.22947860668142603</v>
      </c>
      <c r="Y146" s="11">
        <v>0.20479968140898908</v>
      </c>
      <c r="Z146" s="11">
        <v>0.24163971170986917</v>
      </c>
    </row>
    <row r="147" ht="22.5" customHeight="1">
      <c r="Q147" s="9" t="s">
        <v>185</v>
      </c>
      <c r="R147" s="10">
        <v>0.4380660835326524</v>
      </c>
      <c r="S147" s="10">
        <v>0.017913839968289172</v>
      </c>
      <c r="T147" s="10">
        <v>22.221147684544654</v>
      </c>
      <c r="U147" s="11">
        <v>0.23020703692119235</v>
      </c>
      <c r="V147" s="11">
        <v>0.12189658765103005</v>
      </c>
      <c r="W147" s="11">
        <v>0.08857699391333665</v>
      </c>
      <c r="X147" s="11">
        <v>0.21006392636141508</v>
      </c>
      <c r="Y147" s="11">
        <v>0.20237893749515878</v>
      </c>
      <c r="Z147" s="11">
        <v>0.14687651765786702</v>
      </c>
    </row>
    <row r="148" ht="22.5" customHeight="1">
      <c r="Q148" s="9" t="s">
        <v>186</v>
      </c>
      <c r="R148" s="10">
        <v>0.3363756352273001</v>
      </c>
      <c r="S148" s="10">
        <v>0.01333860470154079</v>
      </c>
      <c r="T148" s="10">
        <v>22.21938814882674</v>
      </c>
      <c r="U148" s="11">
        <v>0.0567499279030736</v>
      </c>
      <c r="V148" s="11">
        <v>0.08251597870992296</v>
      </c>
      <c r="W148" s="11">
        <v>0.046976760335855655</v>
      </c>
      <c r="X148" s="11">
        <v>0.3077506592588423</v>
      </c>
      <c r="Y148" s="11">
        <v>0.2627192830561059</v>
      </c>
      <c r="Z148" s="11">
        <v>0.2432873907361996</v>
      </c>
    </row>
    <row r="149" ht="22.5" customHeight="1">
      <c r="Q149" s="9" t="s">
        <v>187</v>
      </c>
      <c r="R149" s="10">
        <v>0.5084485063074884</v>
      </c>
      <c r="S149" s="10">
        <v>0.021084176384911214</v>
      </c>
      <c r="T149" s="10">
        <v>22.2180130613369</v>
      </c>
      <c r="U149" s="11">
        <v>0.22641737606319798</v>
      </c>
      <c r="V149" s="11">
        <v>0.13944858782352257</v>
      </c>
      <c r="W149" s="11">
        <v>0.12152759247796616</v>
      </c>
      <c r="X149" s="11">
        <v>0.32200928914911214</v>
      </c>
      <c r="Y149" s="11">
        <v>0.007033998716129467</v>
      </c>
      <c r="Z149" s="11">
        <v>0.18356315577007165</v>
      </c>
    </row>
    <row r="150" ht="22.5" customHeight="1">
      <c r="Q150" s="9" t="s">
        <v>188</v>
      </c>
      <c r="R150" s="10">
        <v>0.5388724874416186</v>
      </c>
      <c r="S150" s="10">
        <v>0.02245518053309869</v>
      </c>
      <c r="T150" s="10">
        <v>22.216365025713603</v>
      </c>
      <c r="U150" s="11">
        <v>0.14500592103175144</v>
      </c>
      <c r="V150" s="11">
        <v>0.16270681693764977</v>
      </c>
      <c r="W150" s="11">
        <v>0.11495445715123719</v>
      </c>
      <c r="X150" s="11">
        <v>0.33329155022247214</v>
      </c>
      <c r="Y150" s="11">
        <v>0.10920873222442015</v>
      </c>
      <c r="Z150" s="11">
        <v>0.13483252243246938</v>
      </c>
    </row>
    <row r="151" ht="22.5" customHeight="1">
      <c r="Q151" s="9" t="s">
        <v>189</v>
      </c>
      <c r="R151" s="10">
        <v>0.32552989559846796</v>
      </c>
      <c r="S151" s="10">
        <v>0.012853422532987465</v>
      </c>
      <c r="T151" s="10">
        <v>22.214308668813636</v>
      </c>
      <c r="U151" s="11">
        <v>0.1322683152938786</v>
      </c>
      <c r="V151" s="11">
        <v>0.08013319329039464</v>
      </c>
      <c r="W151" s="11">
        <v>0.04021523850144071</v>
      </c>
      <c r="X151" s="11">
        <v>0.3012881852590699</v>
      </c>
      <c r="Y151" s="11">
        <v>0.23588399908565272</v>
      </c>
      <c r="Z151" s="11">
        <v>0.2102110685695635</v>
      </c>
    </row>
    <row r="152" ht="22.5" customHeight="1">
      <c r="Q152" s="9" t="s">
        <v>190</v>
      </c>
      <c r="R152" s="10">
        <v>0.4532460352102748</v>
      </c>
      <c r="S152" s="10">
        <v>0.01860390577997467</v>
      </c>
      <c r="T152" s="10">
        <v>22.212864335998454</v>
      </c>
      <c r="U152" s="11">
        <v>0.2505164411259915</v>
      </c>
      <c r="V152" s="11">
        <v>0.10608562285934389</v>
      </c>
      <c r="W152" s="11">
        <v>0.1118351726627516</v>
      </c>
      <c r="X152" s="11">
        <v>0.22541129626703046</v>
      </c>
      <c r="Y152" s="11">
        <v>0.2209737324428477</v>
      </c>
      <c r="Z152" s="11">
        <v>0.08517773464203479</v>
      </c>
    </row>
    <row r="153" ht="22.5" customHeight="1">
      <c r="Q153" s="9" t="s">
        <v>191</v>
      </c>
      <c r="R153" s="10">
        <v>0.3877148792946141</v>
      </c>
      <c r="S153" s="10">
        <v>0.01565393311735956</v>
      </c>
      <c r="T153" s="10">
        <v>22.21262073165579</v>
      </c>
      <c r="U153" s="11">
        <v>0.2538303218474343</v>
      </c>
      <c r="V153" s="11">
        <v>0.09214711352670994</v>
      </c>
      <c r="W153" s="11">
        <v>0.08004037594219472</v>
      </c>
      <c r="X153" s="11">
        <v>0.19894589724502273</v>
      </c>
      <c r="Y153" s="11">
        <v>0.24180177686908325</v>
      </c>
      <c r="Z153" s="11">
        <v>0.13323451456955518</v>
      </c>
    </row>
    <row r="154" ht="22.5" customHeight="1">
      <c r="Q154" s="9" t="s">
        <v>192</v>
      </c>
      <c r="R154" s="10">
        <v>0.3494129719211466</v>
      </c>
      <c r="S154" s="10">
        <v>0.01393046617380066</v>
      </c>
      <c r="T154" s="10">
        <v>22.211243188908245</v>
      </c>
      <c r="U154" s="11">
        <v>0.25220176178551396</v>
      </c>
      <c r="V154" s="11">
        <v>0.09342531312564366</v>
      </c>
      <c r="W154" s="11">
        <v>0.03540727846493005</v>
      </c>
      <c r="X154" s="11">
        <v>0.38438109207672355</v>
      </c>
      <c r="Y154" s="11">
        <v>0.11046514539321588</v>
      </c>
      <c r="Z154" s="11">
        <v>0.12411940915397303</v>
      </c>
    </row>
    <row r="155" ht="22.5" customHeight="1">
      <c r="Q155" s="9" t="s">
        <v>193</v>
      </c>
      <c r="R155" s="10">
        <v>0.42670570902004806</v>
      </c>
      <c r="S155" s="10">
        <v>0.01741170415274185</v>
      </c>
      <c r="T155" s="10">
        <v>22.20952674291522</v>
      </c>
      <c r="U155" s="11">
        <v>0.23853958337670753</v>
      </c>
      <c r="V155" s="11">
        <v>0.1048375958930517</v>
      </c>
      <c r="W155" s="11">
        <v>0.10412673357407869</v>
      </c>
      <c r="X155" s="11">
        <v>0.239407214626638</v>
      </c>
      <c r="Y155" s="11">
        <v>0.06053979980426529</v>
      </c>
      <c r="Z155" s="11">
        <v>0.25254907272525884</v>
      </c>
    </row>
    <row r="156" ht="22.5" customHeight="1">
      <c r="Q156" s="9" t="s">
        <v>194</v>
      </c>
      <c r="R156" s="10">
        <v>0.45103836235983563</v>
      </c>
      <c r="S156" s="10">
        <v>0.018510210962882676</v>
      </c>
      <c r="T156" s="10">
        <v>22.206033371746233</v>
      </c>
      <c r="U156" s="11">
        <v>0.15832895728959356</v>
      </c>
      <c r="V156" s="11">
        <v>0.1412176482225462</v>
      </c>
      <c r="W156" s="11">
        <v>0.0666566338637637</v>
      </c>
      <c r="X156" s="11">
        <v>0.3370790612169358</v>
      </c>
      <c r="Y156" s="11">
        <v>0.1766929867956954</v>
      </c>
      <c r="Z156" s="11">
        <v>0.12002471261146533</v>
      </c>
    </row>
    <row r="157" ht="22.5" customHeight="1">
      <c r="Q157" s="9" t="s">
        <v>195</v>
      </c>
      <c r="R157" s="10">
        <v>0.5408903337795935</v>
      </c>
      <c r="S157" s="10">
        <v>0.02255697721044618</v>
      </c>
      <c r="T157" s="10">
        <v>22.20556101584525</v>
      </c>
      <c r="U157" s="11">
        <v>0.13119667208427782</v>
      </c>
      <c r="V157" s="11">
        <v>0.13267527982256377</v>
      </c>
      <c r="W157" s="11">
        <v>0.14572866660884717</v>
      </c>
      <c r="X157" s="11">
        <v>0.34933472929792014</v>
      </c>
      <c r="Y157" s="11">
        <v>0.12069195459999182</v>
      </c>
      <c r="Z157" s="11">
        <v>0.12037269758639925</v>
      </c>
    </row>
    <row r="158" ht="22.5" customHeight="1">
      <c r="Q158" s="9" t="s">
        <v>196</v>
      </c>
      <c r="R158" s="10">
        <v>0.4510597956999205</v>
      </c>
      <c r="S158" s="10">
        <v>0.018513403521700788</v>
      </c>
      <c r="T158" s="10">
        <v>22.203361754530444</v>
      </c>
      <c r="U158" s="11">
        <v>0.2080643918367524</v>
      </c>
      <c r="V158" s="11">
        <v>0.12954228304879642</v>
      </c>
      <c r="W158" s="11">
        <v>0.09469936811571915</v>
      </c>
      <c r="X158" s="11">
        <v>0.22696771535031518</v>
      </c>
      <c r="Y158" s="11">
        <v>0.12541179350882664</v>
      </c>
      <c r="Z158" s="11">
        <v>0.21531444813959028</v>
      </c>
    </row>
    <row r="159" ht="22.5" customHeight="1">
      <c r="Q159" s="9" t="s">
        <v>197</v>
      </c>
      <c r="R159" s="10">
        <v>0.5172743000544366</v>
      </c>
      <c r="S159" s="10">
        <v>0.021503873845911656</v>
      </c>
      <c r="T159" s="10">
        <v>22.194805618485184</v>
      </c>
      <c r="U159" s="11">
        <v>0.16524058030261465</v>
      </c>
      <c r="V159" s="11">
        <v>0.1298819299997067</v>
      </c>
      <c r="W159" s="11">
        <v>0.12837313280887352</v>
      </c>
      <c r="X159" s="11">
        <v>0.2765962084418168</v>
      </c>
      <c r="Y159" s="11">
        <v>0.267788484906915</v>
      </c>
      <c r="Z159" s="11">
        <v>0.03211966354007333</v>
      </c>
    </row>
    <row r="160" ht="22.5" customHeight="1">
      <c r="Q160" s="9" t="s">
        <v>198</v>
      </c>
      <c r="R160" s="10">
        <v>0.522331348251574</v>
      </c>
      <c r="S160" s="10">
        <v>0.018905606535648743</v>
      </c>
      <c r="T160" s="10">
        <v>22.19397516655823</v>
      </c>
      <c r="U160" s="11">
        <v>0.23872020352794684</v>
      </c>
      <c r="V160" s="11">
        <v>0.11296963140660277</v>
      </c>
      <c r="W160" s="11">
        <v>0.11683711149245164</v>
      </c>
      <c r="X160" s="11">
        <v>0.24144070467745954</v>
      </c>
      <c r="Y160" s="11">
        <v>0.09726784023049119</v>
      </c>
      <c r="Z160" s="11">
        <v>0.19276450866504807</v>
      </c>
    </row>
    <row r="161" ht="22.5" customHeight="1">
      <c r="Q161" s="9" t="s">
        <v>199</v>
      </c>
      <c r="R161" s="10">
        <v>0.4836994732794752</v>
      </c>
      <c r="S161" s="10">
        <v>0.01999554277680272</v>
      </c>
      <c r="T161" s="10">
        <v>22.18991893504491</v>
      </c>
      <c r="U161" s="11">
        <v>0.2667997484847529</v>
      </c>
      <c r="V161" s="11">
        <v>0.13592454448533434</v>
      </c>
      <c r="W161" s="11">
        <v>0.10885758953195199</v>
      </c>
      <c r="X161" s="11">
        <v>0.2393491895438423</v>
      </c>
      <c r="Y161" s="11">
        <v>0.10262552878051032</v>
      </c>
      <c r="Z161" s="11">
        <v>0.14644339917360819</v>
      </c>
    </row>
    <row r="162" ht="22.5" customHeight="1">
      <c r="Q162" s="9" t="s">
        <v>200</v>
      </c>
      <c r="R162" s="10">
        <v>0.5490456085029426</v>
      </c>
      <c r="S162" s="10">
        <v>0.02294258838483101</v>
      </c>
      <c r="T162" s="10">
        <v>22.187802002301932</v>
      </c>
      <c r="U162" s="11">
        <v>0.19251051451693932</v>
      </c>
      <c r="V162" s="11">
        <v>0.14355651104332248</v>
      </c>
      <c r="W162" s="11">
        <v>0.14230991731947903</v>
      </c>
      <c r="X162" s="11">
        <v>0.31654992039416</v>
      </c>
      <c r="Y162" s="11">
        <v>0.10776078597430894</v>
      </c>
      <c r="Z162" s="11">
        <v>0.09731235075179036</v>
      </c>
    </row>
    <row r="163" ht="22.5" customHeight="1">
      <c r="Q163" s="9" t="s">
        <v>201</v>
      </c>
      <c r="R163" s="10">
        <v>0.48647322951942185</v>
      </c>
      <c r="S163" s="10">
        <v>0.020123216929350964</v>
      </c>
      <c r="T163" s="10">
        <v>22.186970954341444</v>
      </c>
      <c r="U163" s="11">
        <v>0.2730671874597127</v>
      </c>
      <c r="V163" s="11">
        <v>0.11956005450115259</v>
      </c>
      <c r="W163" s="11">
        <v>0.12577859923941723</v>
      </c>
      <c r="X163" s="11">
        <v>0.25789368447207717</v>
      </c>
      <c r="Y163" s="11">
        <v>0.09551272133309102</v>
      </c>
      <c r="Z163" s="11">
        <v>0.12818775299454924</v>
      </c>
    </row>
    <row r="164" ht="22.5" customHeight="1">
      <c r="Q164" s="9" t="s">
        <v>202</v>
      </c>
      <c r="R164" s="10">
        <v>0.5264158407596321</v>
      </c>
      <c r="S164" s="10">
        <v>0.021924168185554854</v>
      </c>
      <c r="T164" s="10">
        <v>22.186284863483042</v>
      </c>
      <c r="U164" s="11">
        <v>0.34124234682208193</v>
      </c>
      <c r="V164" s="11">
        <v>0.13450167013494932</v>
      </c>
      <c r="W164" s="11">
        <v>0.13333807605422188</v>
      </c>
      <c r="X164" s="11">
        <v>0.28718689463157937</v>
      </c>
      <c r="Y164" s="11">
        <v>0.07570965474299045</v>
      </c>
      <c r="Z164" s="11">
        <v>0.02802135761417713</v>
      </c>
    </row>
    <row r="165" ht="22.5" customHeight="1">
      <c r="Q165" s="9" t="s">
        <v>203</v>
      </c>
      <c r="R165" s="10">
        <v>0.3958914105871802</v>
      </c>
      <c r="S165" s="10">
        <v>0.01604243124250627</v>
      </c>
      <c r="T165" s="10">
        <v>22.184381232952077</v>
      </c>
      <c r="U165" s="11">
        <v>0.25241277377431126</v>
      </c>
      <c r="V165" s="11">
        <v>0.11618820839664044</v>
      </c>
      <c r="W165" s="11">
        <v>0.05969473363021315</v>
      </c>
      <c r="X165" s="11">
        <v>0.2483080095017952</v>
      </c>
      <c r="Y165" s="11">
        <v>0.16818433121572304</v>
      </c>
      <c r="Z165" s="11">
        <v>0.1552119434813168</v>
      </c>
    </row>
    <row r="166" ht="22.5" customHeight="1">
      <c r="Q166" s="9" t="s">
        <v>204</v>
      </c>
      <c r="R166" s="10">
        <v>0.522331348251574</v>
      </c>
      <c r="S166" s="10">
        <v>0.0124702995749674</v>
      </c>
      <c r="T166" s="10">
        <v>22.180453502149273</v>
      </c>
      <c r="U166" s="11">
        <v>0.2452525394112378</v>
      </c>
      <c r="V166" s="11">
        <v>0.07815155092702383</v>
      </c>
      <c r="W166" s="11">
        <v>0.03824046703629918</v>
      </c>
      <c r="X166" s="11">
        <v>0.33036328160554584</v>
      </c>
      <c r="Y166" s="11">
        <v>0.06446140533535405</v>
      </c>
      <c r="Z166" s="11">
        <v>0.24353075568453922</v>
      </c>
    </row>
    <row r="167" ht="22.5" customHeight="1">
      <c r="Q167" s="9" t="s">
        <v>205</v>
      </c>
      <c r="R167" s="10">
        <v>0.4461148661846423</v>
      </c>
      <c r="S167" s="10">
        <v>0.01831320003314659</v>
      </c>
      <c r="T167" s="10">
        <v>22.176073294103766</v>
      </c>
      <c r="U167" s="11">
        <v>0.18988401141501046</v>
      </c>
      <c r="V167" s="11">
        <v>0.09992575936298678</v>
      </c>
      <c r="W167" s="11">
        <v>0.11973313462164122</v>
      </c>
      <c r="X167" s="11">
        <v>0.28920392060369615</v>
      </c>
      <c r="Y167" s="11">
        <v>0.058219259965183255</v>
      </c>
      <c r="Z167" s="11">
        <v>0.2430339140314821</v>
      </c>
    </row>
    <row r="168" ht="22.5" customHeight="1">
      <c r="Q168" s="9" t="s">
        <v>206</v>
      </c>
      <c r="R168" s="10">
        <v>0.31533689611144256</v>
      </c>
      <c r="S168" s="10">
        <v>0.01241655713778477</v>
      </c>
      <c r="T168" s="10">
        <v>22.174979187553216</v>
      </c>
      <c r="U168" s="11">
        <v>0.30572270084537595</v>
      </c>
      <c r="V168" s="11">
        <v>0.05780764114220256</v>
      </c>
      <c r="W168" s="11">
        <v>0.05753297746154626</v>
      </c>
      <c r="X168" s="11">
        <v>0.2522190451617664</v>
      </c>
      <c r="Y168" s="11">
        <v>0.1777422167753428</v>
      </c>
      <c r="Z168" s="11">
        <v>0.148975418613766</v>
      </c>
    </row>
    <row r="169" ht="22.5" customHeight="1">
      <c r="Q169" s="9" t="s">
        <v>207</v>
      </c>
      <c r="R169" s="10">
        <v>0.3215403533424221</v>
      </c>
      <c r="S169" s="10">
        <v>0.012696608282510095</v>
      </c>
      <c r="T169" s="10">
        <v>22.174453765755</v>
      </c>
      <c r="U169" s="11">
        <v>0.280253339496077</v>
      </c>
      <c r="V169" s="11">
        <v>0.04767384089186576</v>
      </c>
      <c r="W169" s="11">
        <v>0.06638629311483221</v>
      </c>
      <c r="X169" s="11">
        <v>0.30158972270283363</v>
      </c>
      <c r="Y169" s="11">
        <v>0.19326268070806948</v>
      </c>
      <c r="Z169" s="11">
        <v>0.11083412308632203</v>
      </c>
    </row>
    <row r="170" ht="22.5" customHeight="1">
      <c r="Q170" s="9" t="s">
        <v>208</v>
      </c>
      <c r="R170" s="10">
        <v>0.3864779068305508</v>
      </c>
      <c r="S170" s="10">
        <v>0.015627238025994937</v>
      </c>
      <c r="T170" s="10">
        <v>22.1714103448227</v>
      </c>
      <c r="U170" s="11">
        <v>0.0719366520896729</v>
      </c>
      <c r="V170" s="11">
        <v>0.11173282741426259</v>
      </c>
      <c r="W170" s="11">
        <v>0.061753527680553574</v>
      </c>
      <c r="X170" s="11">
        <v>0.2591145903623833</v>
      </c>
      <c r="Y170" s="11">
        <v>0.2234941242332174</v>
      </c>
      <c r="Z170" s="11">
        <v>0.2719682782199102</v>
      </c>
    </row>
    <row r="171" ht="22.5" customHeight="1">
      <c r="Q171" s="9" t="s">
        <v>209</v>
      </c>
      <c r="R171" s="10">
        <v>0.5294110882857684</v>
      </c>
      <c r="S171" s="10">
        <v>0.02207655301723869</v>
      </c>
      <c r="T171" s="10">
        <v>22.168818107772854</v>
      </c>
      <c r="U171" s="11">
        <v>0.0594196492888539</v>
      </c>
      <c r="V171" s="11">
        <v>0.16495866967465245</v>
      </c>
      <c r="W171" s="11">
        <v>0.09780047945418786</v>
      </c>
      <c r="X171" s="11">
        <v>0.36981401015472015</v>
      </c>
      <c r="Y171" s="11">
        <v>0.21289734027023122</v>
      </c>
      <c r="Z171" s="11">
        <v>0.09510985115735444</v>
      </c>
    </row>
    <row r="172" ht="22.5" customHeight="1">
      <c r="Q172" s="9" t="s">
        <v>210</v>
      </c>
      <c r="R172" s="10">
        <v>0.40612640637460223</v>
      </c>
      <c r="S172" s="10">
        <v>0.01651637854090382</v>
      </c>
      <c r="T172" s="10">
        <v>22.167474877611205</v>
      </c>
      <c r="U172" s="11">
        <v>0.41610243912931894</v>
      </c>
      <c r="V172" s="11">
        <v>0.07130499999508537</v>
      </c>
      <c r="W172" s="11">
        <v>0.10249505031632021</v>
      </c>
      <c r="X172" s="11">
        <v>0.3082914239483273</v>
      </c>
      <c r="Y172" s="11">
        <v>0.09899687660897054</v>
      </c>
      <c r="Z172" s="11">
        <v>0.0028092100019774533</v>
      </c>
    </row>
    <row r="173" ht="22.5" customHeight="1">
      <c r="Q173" s="9" t="s">
        <v>211</v>
      </c>
      <c r="R173" s="10">
        <v>0.30672503227221165</v>
      </c>
      <c r="S173" s="10">
        <v>0.012033714922051703</v>
      </c>
      <c r="T173" s="10">
        <v>22.16481227949316</v>
      </c>
      <c r="U173" s="11">
        <v>0.3401879232022457</v>
      </c>
      <c r="V173" s="11">
        <v>0.05173235562077525</v>
      </c>
      <c r="W173" s="11">
        <v>0.04842558324643423</v>
      </c>
      <c r="X173" s="11">
        <v>0.36798801525754243</v>
      </c>
      <c r="Y173" s="11">
        <v>0.06564948203449644</v>
      </c>
      <c r="Z173" s="11">
        <v>0.12601664063850565</v>
      </c>
    </row>
    <row r="174" ht="22.5" customHeight="1">
      <c r="Q174" s="9" t="s">
        <v>212</v>
      </c>
      <c r="R174" s="10">
        <v>0.5143254144165471</v>
      </c>
      <c r="S174" s="10">
        <v>0.021400465882107526</v>
      </c>
      <c r="T174" s="10">
        <v>22.164256471309837</v>
      </c>
      <c r="U174" s="11">
        <v>0.2600875139154235</v>
      </c>
      <c r="V174" s="11">
        <v>0.16178329588393597</v>
      </c>
      <c r="W174" s="11">
        <v>0.089661934204931</v>
      </c>
      <c r="X174" s="11">
        <v>0.3301684743481952</v>
      </c>
      <c r="Y174" s="11">
        <v>0.14127577626375665</v>
      </c>
      <c r="Z174" s="11">
        <v>0.01702300538375768</v>
      </c>
    </row>
    <row r="175" ht="22.5" customHeight="1">
      <c r="Q175" s="9" t="s">
        <v>213</v>
      </c>
      <c r="R175" s="10">
        <v>0.35710050174892394</v>
      </c>
      <c r="S175" s="10">
        <v>0.014307673317946037</v>
      </c>
      <c r="T175" s="10">
        <v>22.162967709864223</v>
      </c>
      <c r="U175" s="11">
        <v>0.17477765190018793</v>
      </c>
      <c r="V175" s="11">
        <v>0.09814662774776177</v>
      </c>
      <c r="W175" s="11">
        <v>0.05574307089866601</v>
      </c>
      <c r="X175" s="11">
        <v>0.22101037592924846</v>
      </c>
      <c r="Y175" s="11">
        <v>0.1981165433768744</v>
      </c>
      <c r="Z175" s="11">
        <v>0.25220573014726133</v>
      </c>
    </row>
    <row r="176" ht="22.5" customHeight="1">
      <c r="Q176" s="9" t="s">
        <v>214</v>
      </c>
      <c r="R176" s="10">
        <v>0.41570023834139846</v>
      </c>
      <c r="S176" s="10">
        <v>0.01695246409323435</v>
      </c>
      <c r="T176" s="10">
        <v>22.1619840204433</v>
      </c>
      <c r="U176" s="11">
        <v>0.15703968592359427</v>
      </c>
      <c r="V176" s="11">
        <v>0.10025377020436776</v>
      </c>
      <c r="W176" s="11">
        <v>0.10000944583316192</v>
      </c>
      <c r="X176" s="11">
        <v>0.20327285166919204</v>
      </c>
      <c r="Y176" s="11">
        <v>0.19826920552427013</v>
      </c>
      <c r="Z176" s="11">
        <v>0.24115504084541395</v>
      </c>
    </row>
    <row r="177" ht="22.5" customHeight="1">
      <c r="Q177" s="9" t="s">
        <v>215</v>
      </c>
      <c r="R177" s="10">
        <v>0.33417009377431045</v>
      </c>
      <c r="S177" s="10">
        <v>0.013274821971905507</v>
      </c>
      <c r="T177" s="10">
        <v>22.16000292861814</v>
      </c>
      <c r="U177" s="11">
        <v>0.18008570436294485</v>
      </c>
      <c r="V177" s="11">
        <v>0.08932322628486622</v>
      </c>
      <c r="W177" s="11">
        <v>0.03813789539005482</v>
      </c>
      <c r="X177" s="11">
        <v>0.296120118531771</v>
      </c>
      <c r="Y177" s="11">
        <v>0.19334924142136545</v>
      </c>
      <c r="Z177" s="11">
        <v>0.20298381400899768</v>
      </c>
    </row>
    <row r="178" ht="22.5" customHeight="1">
      <c r="Q178" s="9" t="s">
        <v>216</v>
      </c>
      <c r="R178" s="10">
        <v>0.3933860789899496</v>
      </c>
      <c r="S178" s="10">
        <v>0.015949298023290922</v>
      </c>
      <c r="T178" s="10">
        <v>22.156842167843145</v>
      </c>
      <c r="U178" s="11">
        <v>0.3317794741027966</v>
      </c>
      <c r="V178" s="11">
        <v>0.11505017793100472</v>
      </c>
      <c r="W178" s="11">
        <v>0.053571036622045654</v>
      </c>
      <c r="X178" s="11">
        <v>0.30620270924637816</v>
      </c>
      <c r="Y178" s="11">
        <v>0.0783171754415198</v>
      </c>
      <c r="Z178" s="11">
        <v>0.1150794266562551</v>
      </c>
    </row>
    <row r="179" ht="22.5" customHeight="1">
      <c r="Q179" s="9" t="s">
        <v>217</v>
      </c>
      <c r="R179" s="10">
        <v>0.46768033387228997</v>
      </c>
      <c r="S179" s="10">
        <v>0.01930291740466775</v>
      </c>
      <c r="T179" s="10">
        <v>22.156253632876766</v>
      </c>
      <c r="U179" s="11">
        <v>0.20754498072629074</v>
      </c>
      <c r="V179" s="11">
        <v>0.11121384963307565</v>
      </c>
      <c r="W179" s="11">
        <v>0.12347942461418066</v>
      </c>
      <c r="X179" s="11">
        <v>0.24891693235462134</v>
      </c>
      <c r="Y179" s="11">
        <v>0.12257685431389506</v>
      </c>
      <c r="Z179" s="11">
        <v>0.1862679583579365</v>
      </c>
    </row>
    <row r="180" ht="22.5" customHeight="1">
      <c r="Q180" s="9" t="s">
        <v>218</v>
      </c>
      <c r="R180" s="10">
        <v>0.46719505938172107</v>
      </c>
      <c r="S180" s="10">
        <v>0.019281159839383964</v>
      </c>
      <c r="T180" s="10">
        <v>22.156087234395855</v>
      </c>
      <c r="U180" s="11">
        <v>0.1110210268191888</v>
      </c>
      <c r="V180" s="11">
        <v>0.1130282742775213</v>
      </c>
      <c r="W180" s="11">
        <v>0.11678327621591773</v>
      </c>
      <c r="X180" s="11">
        <v>0.24644934628304255</v>
      </c>
      <c r="Y180" s="11">
        <v>0.2592949395313893</v>
      </c>
      <c r="Z180" s="11">
        <v>0.15342313687294026</v>
      </c>
    </row>
    <row r="181" ht="22.5" customHeight="1">
      <c r="Q181" s="9" t="s">
        <v>219</v>
      </c>
      <c r="R181" s="10">
        <v>0.4867994464984834</v>
      </c>
      <c r="S181" s="10">
        <v>0.020166017520331148</v>
      </c>
      <c r="T181" s="10">
        <v>22.156057637459917</v>
      </c>
      <c r="U181" s="11">
        <v>0.2008642662944214</v>
      </c>
      <c r="V181" s="11">
        <v>0.14719926709870987</v>
      </c>
      <c r="W181" s="11">
        <v>0.09954199009377873</v>
      </c>
      <c r="X181" s="11">
        <v>0.26435331665821454</v>
      </c>
      <c r="Y181" s="11">
        <v>0.1026889284325303</v>
      </c>
      <c r="Z181" s="11">
        <v>0.18535223142234517</v>
      </c>
    </row>
    <row r="182" ht="22.5" customHeight="1">
      <c r="Q182" s="9" t="s">
        <v>220</v>
      </c>
      <c r="R182" s="10">
        <v>0.38168094858380075</v>
      </c>
      <c r="S182" s="10">
        <v>0.015422793336331992</v>
      </c>
      <c r="T182" s="10">
        <v>22.15428432013619</v>
      </c>
      <c r="U182" s="11">
        <v>0.12355112716703749</v>
      </c>
      <c r="V182" s="11">
        <v>0.10005315089662255</v>
      </c>
      <c r="W182" s="11">
        <v>0.08114271905100971</v>
      </c>
      <c r="X182" s="11">
        <v>0.2469062205631527</v>
      </c>
      <c r="Y182" s="11">
        <v>0.06184994887649641</v>
      </c>
      <c r="Z182" s="11">
        <v>0.38649683344568114</v>
      </c>
    </row>
    <row r="183" ht="22.5" customHeight="1">
      <c r="Q183" s="9" t="s">
        <v>221</v>
      </c>
      <c r="R183" s="10">
        <v>0.5468420869344814</v>
      </c>
      <c r="S183" s="10">
        <v>0.022879667090214585</v>
      </c>
      <c r="T183" s="10">
        <v>22.152511438912192</v>
      </c>
      <c r="U183" s="11">
        <v>0.08656922912008765</v>
      </c>
      <c r="V183" s="11">
        <v>0.1445332213263413</v>
      </c>
      <c r="W183" s="11">
        <v>0.13634049090401665</v>
      </c>
      <c r="X183" s="11">
        <v>0.3087784404759396</v>
      </c>
      <c r="Y183" s="11">
        <v>0.24595550176216113</v>
      </c>
      <c r="Z183" s="11">
        <v>0.07782311641145372</v>
      </c>
    </row>
    <row r="184" ht="22.5" customHeight="1">
      <c r="Q184" s="9" t="s">
        <v>222</v>
      </c>
      <c r="R184" s="10">
        <v>0.45445121066044925</v>
      </c>
      <c r="S184" s="10">
        <v>0.01871202033169787</v>
      </c>
      <c r="T184" s="10">
        <v>22.14892904740892</v>
      </c>
      <c r="U184" s="11">
        <v>0.27472216209543304</v>
      </c>
      <c r="V184" s="11">
        <v>0.09129746596819795</v>
      </c>
      <c r="W184" s="11">
        <v>0.12553654762031</v>
      </c>
      <c r="X184" s="11">
        <v>0.3544120126907441</v>
      </c>
      <c r="Y184" s="11">
        <v>0.004466378363229794</v>
      </c>
      <c r="Z184" s="11">
        <v>0.14956543326208516</v>
      </c>
    </row>
    <row r="185" ht="22.5" customHeight="1">
      <c r="Q185" s="9" t="s">
        <v>223</v>
      </c>
      <c r="R185" s="10">
        <v>0.29159042986109146</v>
      </c>
      <c r="S185" s="10">
        <v>0.011359824894417593</v>
      </c>
      <c r="T185" s="10">
        <v>22.147386266906913</v>
      </c>
      <c r="U185" s="11">
        <v>0.15339195294075142</v>
      </c>
      <c r="V185" s="11">
        <v>0.04709617079416284</v>
      </c>
      <c r="W185" s="11">
        <v>0.041046875137127764</v>
      </c>
      <c r="X185" s="11">
        <v>0.39585705198417814</v>
      </c>
      <c r="Y185" s="11">
        <v>0.16844345921059653</v>
      </c>
      <c r="Z185" s="11">
        <v>0.19416448993318347</v>
      </c>
    </row>
    <row r="186" ht="22.5" customHeight="1">
      <c r="Q186" s="9" t="s">
        <v>224</v>
      </c>
      <c r="R186" s="10">
        <v>0.47812053010171546</v>
      </c>
      <c r="S186" s="10">
        <v>0.01978280148485331</v>
      </c>
      <c r="T186" s="10">
        <v>22.146536244482977</v>
      </c>
      <c r="U186" s="11">
        <v>0.2251485477683784</v>
      </c>
      <c r="V186" s="11">
        <v>0.09066011449892385</v>
      </c>
      <c r="W186" s="11">
        <v>0.13451600770742864</v>
      </c>
      <c r="X186" s="11">
        <v>0.3370001206011578</v>
      </c>
      <c r="Y186" s="11">
        <v>0.19761948988002456</v>
      </c>
      <c r="Z186" s="11">
        <v>0.015055719544086769</v>
      </c>
    </row>
    <row r="187" ht="22.5" customHeight="1">
      <c r="Q187" s="9" t="s">
        <v>225</v>
      </c>
      <c r="R187" s="10">
        <v>0.461189343447862</v>
      </c>
      <c r="S187" s="10">
        <v>0.019021098007769653</v>
      </c>
      <c r="T187" s="10">
        <v>22.143271817211417</v>
      </c>
      <c r="U187" s="11">
        <v>0.18571630921516413</v>
      </c>
      <c r="V187" s="11">
        <v>0.07315198410616848</v>
      </c>
      <c r="W187" s="11">
        <v>0.13041431761922184</v>
      </c>
      <c r="X187" s="11">
        <v>0.4723236676558915</v>
      </c>
      <c r="Y187" s="11">
        <v>0.11653871757807649</v>
      </c>
      <c r="Z187" s="11">
        <v>0.021855003825477514</v>
      </c>
    </row>
    <row r="188" ht="22.5" customHeight="1">
      <c r="Q188" s="9" t="s">
        <v>226</v>
      </c>
      <c r="R188" s="10">
        <v>0.4717081756617632</v>
      </c>
      <c r="S188" s="10">
        <v>0.019497233883677693</v>
      </c>
      <c r="T188" s="10">
        <v>22.1420216958659</v>
      </c>
      <c r="U188" s="11">
        <v>0.2337776993679284</v>
      </c>
      <c r="V188" s="11">
        <v>0.1366209342120736</v>
      </c>
      <c r="W188" s="11">
        <v>0.1004823494525876</v>
      </c>
      <c r="X188" s="11">
        <v>0.22143340291168348</v>
      </c>
      <c r="Y188" s="11">
        <v>0.1436457400257219</v>
      </c>
      <c r="Z188" s="11">
        <v>0.164039874030005</v>
      </c>
    </row>
    <row r="189" ht="22.5" customHeight="1">
      <c r="Q189" s="9" t="s">
        <v>227</v>
      </c>
      <c r="R189" s="10">
        <v>0.480084977836223</v>
      </c>
      <c r="S189" s="10">
        <v>0.019876297923116196</v>
      </c>
      <c r="T189" s="10">
        <v>22.141194478897543</v>
      </c>
      <c r="U189" s="11">
        <v>0.31129410587631884</v>
      </c>
      <c r="V189" s="11">
        <v>0.10769879939012264</v>
      </c>
      <c r="W189" s="11">
        <v>0.13009777764863031</v>
      </c>
      <c r="X189" s="11">
        <v>0.2867462101984237</v>
      </c>
      <c r="Y189" s="11">
        <v>0.061259281378301944</v>
      </c>
      <c r="Z189" s="11">
        <v>0.10290382550820254</v>
      </c>
    </row>
    <row r="190" ht="22.5" customHeight="1">
      <c r="Q190" s="9" t="s">
        <v>228</v>
      </c>
      <c r="R190" s="10">
        <v>0.4063426533310771</v>
      </c>
      <c r="S190" s="10">
        <v>0.016546678850789216</v>
      </c>
      <c r="T190" s="10">
        <v>22.139950659258968</v>
      </c>
      <c r="U190" s="11">
        <v>0.05404692869155626</v>
      </c>
      <c r="V190" s="11">
        <v>0.09818474883098788</v>
      </c>
      <c r="W190" s="11">
        <v>0.08788826876295079</v>
      </c>
      <c r="X190" s="11">
        <v>0.2403180836835968</v>
      </c>
      <c r="Y190" s="11">
        <v>0.30817602757652257</v>
      </c>
      <c r="Z190" s="11">
        <v>0.21138594245438577</v>
      </c>
    </row>
    <row r="191" ht="22.5" customHeight="1">
      <c r="Q191" s="9" t="s">
        <v>229</v>
      </c>
      <c r="R191" s="10">
        <v>0.3498212431167326</v>
      </c>
      <c r="S191" s="10">
        <v>0.013993956069542868</v>
      </c>
      <c r="T191" s="10">
        <v>22.13964668583195</v>
      </c>
      <c r="U191" s="11">
        <v>0.22615448543009328</v>
      </c>
      <c r="V191" s="11">
        <v>0.07763629198339916</v>
      </c>
      <c r="W191" s="11">
        <v>0.06773646950401974</v>
      </c>
      <c r="X191" s="11">
        <v>0.20271628635464203</v>
      </c>
      <c r="Y191" s="11">
        <v>0.250405035483973</v>
      </c>
      <c r="Z191" s="11">
        <v>0.1753514312438727</v>
      </c>
    </row>
    <row r="192" ht="22.5" customHeight="1">
      <c r="Q192" s="9" t="s">
        <v>230</v>
      </c>
      <c r="R192" s="10">
        <v>0.3150920136900663</v>
      </c>
      <c r="S192" s="10">
        <v>0.012426041438026487</v>
      </c>
      <c r="T192" s="10">
        <v>22.13834671822538</v>
      </c>
      <c r="U192" s="11">
        <v>0.11280222047918594</v>
      </c>
      <c r="V192" s="11">
        <v>0.0652683146221986</v>
      </c>
      <c r="W192" s="11">
        <v>0.05366750786282731</v>
      </c>
      <c r="X192" s="11">
        <v>0.2554132783779584</v>
      </c>
      <c r="Y192" s="11">
        <v>0.25848734387384587</v>
      </c>
      <c r="Z192" s="11">
        <v>0.2543613347839838</v>
      </c>
    </row>
    <row r="193" ht="22.5" customHeight="1">
      <c r="Q193" s="9" t="s">
        <v>231</v>
      </c>
      <c r="R193" s="10">
        <v>0.4400573469268972</v>
      </c>
      <c r="S193" s="10">
        <v>0.018071980264312122</v>
      </c>
      <c r="T193" s="10">
        <v>22.136884894507972</v>
      </c>
      <c r="U193" s="11">
        <v>0.08173683489584899</v>
      </c>
      <c r="V193" s="11">
        <v>0.13894185946924545</v>
      </c>
      <c r="W193" s="11">
        <v>0.06336323424374989</v>
      </c>
      <c r="X193" s="11">
        <v>0.3581379196358577</v>
      </c>
      <c r="Y193" s="11">
        <v>0.16225721141173408</v>
      </c>
      <c r="Z193" s="11">
        <v>0.1955629403435639</v>
      </c>
    </row>
    <row r="194" ht="22.5" customHeight="1">
      <c r="Q194" s="9" t="s">
        <v>232</v>
      </c>
      <c r="R194" s="10">
        <v>0.41444600139009447</v>
      </c>
      <c r="S194" s="10">
        <v>0.016915467413600355</v>
      </c>
      <c r="T194" s="10">
        <v>22.136308281320847</v>
      </c>
      <c r="U194" s="11">
        <v>0.1969432960817775</v>
      </c>
      <c r="V194" s="11">
        <v>0.10600697510321715</v>
      </c>
      <c r="W194" s="11">
        <v>0.07620512908435789</v>
      </c>
      <c r="X194" s="11">
        <v>0.24134900847366347</v>
      </c>
      <c r="Y194" s="11">
        <v>0.3291515488885125</v>
      </c>
      <c r="Z194" s="11">
        <v>0.05034404236847156</v>
      </c>
    </row>
    <row r="195" ht="22.5" customHeight="1">
      <c r="Q195" s="9" t="s">
        <v>233</v>
      </c>
      <c r="R195" s="10">
        <v>0.37486011136940983</v>
      </c>
      <c r="S195" s="10">
        <v>0.015127408602825807</v>
      </c>
      <c r="T195" s="10">
        <v>22.135986417849374</v>
      </c>
      <c r="U195" s="11">
        <v>0.20396654435442887</v>
      </c>
      <c r="V195" s="11">
        <v>0.10707096438419723</v>
      </c>
      <c r="W195" s="11">
        <v>0.054057923223464685</v>
      </c>
      <c r="X195" s="11">
        <v>0.24096488230724125</v>
      </c>
      <c r="Y195" s="11">
        <v>0.21371562654499615</v>
      </c>
      <c r="Z195" s="11">
        <v>0.18022405918567178</v>
      </c>
    </row>
    <row r="196" ht="22.5" customHeight="1">
      <c r="Q196" s="9" t="s">
        <v>234</v>
      </c>
      <c r="R196" s="10">
        <v>0.522331348251574</v>
      </c>
      <c r="S196" s="10">
        <v>0.017129721806752478</v>
      </c>
      <c r="T196" s="10">
        <v>22.134710735561477</v>
      </c>
      <c r="U196" s="11">
        <v>0.15773888433750716</v>
      </c>
      <c r="V196" s="11">
        <v>0.1277000700741807</v>
      </c>
      <c r="W196" s="11">
        <v>0.07194147134220479</v>
      </c>
      <c r="X196" s="11">
        <v>0.24525402745412314</v>
      </c>
      <c r="Y196" s="11">
        <v>0.14578329618589028</v>
      </c>
      <c r="Z196" s="11">
        <v>0.25158225060609396</v>
      </c>
    </row>
    <row r="197" ht="22.5" customHeight="1">
      <c r="Q197" s="9" t="s">
        <v>235</v>
      </c>
      <c r="R197" s="10">
        <v>0.38894481190243</v>
      </c>
      <c r="S197" s="10">
        <v>0.01576708893750237</v>
      </c>
      <c r="T197" s="10">
        <v>22.13121352239329</v>
      </c>
      <c r="U197" s="11">
        <v>0.001958853497218504</v>
      </c>
      <c r="V197" s="11">
        <v>0.10410011410567321</v>
      </c>
      <c r="W197" s="11">
        <v>0.0650287136676902</v>
      </c>
      <c r="X197" s="11">
        <v>0.29194221574380363</v>
      </c>
      <c r="Y197" s="11">
        <v>0.3050055733436272</v>
      </c>
      <c r="Z197" s="11">
        <v>0.2319645296419872</v>
      </c>
    </row>
    <row r="198" ht="22.5" customHeight="1">
      <c r="Q198" s="9" t="s">
        <v>236</v>
      </c>
      <c r="R198" s="10">
        <v>0.3239289021552203</v>
      </c>
      <c r="S198" s="10">
        <v>0.012829517136959125</v>
      </c>
      <c r="T198" s="10">
        <v>22.13091101747557</v>
      </c>
      <c r="U198" s="11">
        <v>0.29292147351281045</v>
      </c>
      <c r="V198" s="11">
        <v>0.0817829193544894</v>
      </c>
      <c r="W198" s="11">
        <v>0.03972309502972537</v>
      </c>
      <c r="X198" s="11">
        <v>0.3090781304287115</v>
      </c>
      <c r="Y198" s="11">
        <v>0.0693754903497129</v>
      </c>
      <c r="Z198" s="11">
        <v>0.2071188913245504</v>
      </c>
    </row>
    <row r="199" ht="22.5" customHeight="1">
      <c r="Q199" s="9" t="s">
        <v>237</v>
      </c>
      <c r="R199" s="10">
        <v>0.44280734233518604</v>
      </c>
      <c r="S199" s="10">
        <v>0.018201739192435853</v>
      </c>
      <c r="T199" s="10">
        <v>22.130156798564713</v>
      </c>
      <c r="U199" s="11">
        <v>0.2150281379681528</v>
      </c>
      <c r="V199" s="11">
        <v>0.12540022003903362</v>
      </c>
      <c r="W199" s="11">
        <v>0.09543338492594076</v>
      </c>
      <c r="X199" s="11">
        <v>0.21007076225773633</v>
      </c>
      <c r="Y199" s="11">
        <v>0.11744741293285677</v>
      </c>
      <c r="Z199" s="11">
        <v>0.23662008187627986</v>
      </c>
    </row>
    <row r="200" ht="22.5" customHeight="1">
      <c r="Q200" s="9" t="s">
        <v>238</v>
      </c>
      <c r="R200" s="10">
        <v>0.4874839164549059</v>
      </c>
      <c r="S200" s="10">
        <v>0.020220927864217957</v>
      </c>
      <c r="T200" s="10">
        <v>22.12974199105637</v>
      </c>
      <c r="U200" s="11">
        <v>0.10338695044693064</v>
      </c>
      <c r="V200" s="11">
        <v>0.1222231106707546</v>
      </c>
      <c r="W200" s="11">
        <v>0.12359259971255614</v>
      </c>
      <c r="X200" s="11">
        <v>0.2527136130356559</v>
      </c>
      <c r="Y200" s="11">
        <v>0.23276779253647484</v>
      </c>
      <c r="Z200" s="11">
        <v>0.16531593359762795</v>
      </c>
    </row>
    <row r="201" ht="22.5" customHeight="1">
      <c r="Q201" s="9" t="s">
        <v>239</v>
      </c>
      <c r="R201" s="10">
        <v>0.29408857218197115</v>
      </c>
      <c r="S201" s="10">
        <v>0.011482013472249001</v>
      </c>
      <c r="T201" s="10">
        <v>22.129269643872174</v>
      </c>
      <c r="U201" s="11">
        <v>0.2905633182155099</v>
      </c>
      <c r="V201" s="11">
        <v>0.05328838711314225</v>
      </c>
      <c r="W201" s="11">
        <v>0.04231448194280822</v>
      </c>
      <c r="X201" s="11">
        <v>0.30658767703074924</v>
      </c>
      <c r="Y201" s="11">
        <v>0.14865333502357175</v>
      </c>
      <c r="Z201" s="11">
        <v>0.15859280067421858</v>
      </c>
    </row>
    <row r="202" ht="22.5" customHeight="1">
      <c r="Q202" s="9" t="s">
        <v>240</v>
      </c>
      <c r="R202" s="10">
        <v>0.36306947179391746</v>
      </c>
      <c r="S202" s="10">
        <v>0.014601563866051916</v>
      </c>
      <c r="T202" s="10">
        <v>22.125676041115145</v>
      </c>
      <c r="U202" s="11">
        <v>0.15853084460647388</v>
      </c>
      <c r="V202" s="11">
        <v>0.09623450491738839</v>
      </c>
      <c r="W202" s="11">
        <v>0.03927558858824909</v>
      </c>
      <c r="X202" s="11">
        <v>0.36330988422169536</v>
      </c>
      <c r="Y202" s="11">
        <v>0.262720731095351</v>
      </c>
      <c r="Z202" s="11">
        <v>0.0799284465708424</v>
      </c>
    </row>
    <row r="203" ht="22.5" customHeight="1">
      <c r="Q203" s="9" t="s">
        <v>241</v>
      </c>
      <c r="R203" s="10">
        <v>0.40488801633095595</v>
      </c>
      <c r="S203" s="10">
        <v>0.016493543685475048</v>
      </c>
      <c r="T203" s="10">
        <v>22.123081812448387</v>
      </c>
      <c r="U203" s="11">
        <v>0.1281159888882478</v>
      </c>
      <c r="V203" s="11">
        <v>0.12046467760266208</v>
      </c>
      <c r="W203" s="11">
        <v>0.0735317939478619</v>
      </c>
      <c r="X203" s="11">
        <v>0.2567528683303701</v>
      </c>
      <c r="Y203" s="11">
        <v>0.0852231636071186</v>
      </c>
      <c r="Z203" s="11">
        <v>0.33591150762373956</v>
      </c>
    </row>
    <row r="204" ht="22.5" customHeight="1">
      <c r="Q204" s="9" t="s">
        <v>242</v>
      </c>
      <c r="R204" s="10">
        <v>0.5038899681632324</v>
      </c>
      <c r="S204" s="10">
        <v>0.0209707909221357</v>
      </c>
      <c r="T204" s="10">
        <v>22.1207664453692</v>
      </c>
      <c r="U204" s="11">
        <v>0.20561642536206098</v>
      </c>
      <c r="V204" s="11">
        <v>0.13576573585619944</v>
      </c>
      <c r="W204" s="11">
        <v>0.12125991157671456</v>
      </c>
      <c r="X204" s="11">
        <v>0.22960979390238057</v>
      </c>
      <c r="Y204" s="11">
        <v>0.2017873730775403</v>
      </c>
      <c r="Z204" s="11">
        <v>0.10596076022510428</v>
      </c>
    </row>
    <row r="205" ht="22.5" customHeight="1">
      <c r="Q205" s="9" t="s">
        <v>243</v>
      </c>
      <c r="R205" s="10">
        <v>0.4798190551009025</v>
      </c>
      <c r="S205" s="10">
        <v>0.019887932323387956</v>
      </c>
      <c r="T205" s="10">
        <v>22.114870864865168</v>
      </c>
      <c r="U205" s="11">
        <v>0.12136911324767208</v>
      </c>
      <c r="V205" s="11">
        <v>0.10473958729536759</v>
      </c>
      <c r="W205" s="11">
        <v>0.1283354267531428</v>
      </c>
      <c r="X205" s="11">
        <v>0.286389607347633</v>
      </c>
      <c r="Y205" s="11">
        <v>0.26671177733544577</v>
      </c>
      <c r="Z205" s="11">
        <v>0.09245448802073879</v>
      </c>
    </row>
    <row r="206" ht="22.5" customHeight="1">
      <c r="Q206" s="9" t="s">
        <v>244</v>
      </c>
      <c r="R206" s="10">
        <v>0.441463361852566</v>
      </c>
      <c r="S206" s="10">
        <v>0.01815391302986906</v>
      </c>
      <c r="T206" s="10">
        <v>22.1144257544932</v>
      </c>
      <c r="U206" s="11">
        <v>0.24810750890214547</v>
      </c>
      <c r="V206" s="11">
        <v>0.12182073303262303</v>
      </c>
      <c r="W206" s="11">
        <v>0.09264016592466143</v>
      </c>
      <c r="X206" s="11">
        <v>0.1915472753379384</v>
      </c>
      <c r="Y206" s="11">
        <v>0.20266273966691817</v>
      </c>
      <c r="Z206" s="11">
        <v>0.1432215771357135</v>
      </c>
    </row>
    <row r="207" ht="22.5" customHeight="1">
      <c r="Q207" s="9" t="s">
        <v>245</v>
      </c>
      <c r="R207" s="10">
        <v>0.4116537608543422</v>
      </c>
      <c r="S207" s="10">
        <v>0.016806172284800913</v>
      </c>
      <c r="T207" s="10">
        <v>22.114122987448884</v>
      </c>
      <c r="U207" s="11">
        <v>0.2832011194912574</v>
      </c>
      <c r="V207" s="11">
        <v>0.12215710941135516</v>
      </c>
      <c r="W207" s="11">
        <v>0.06111868636471999</v>
      </c>
      <c r="X207" s="11">
        <v>0.2547399715762108</v>
      </c>
      <c r="Y207" s="11">
        <v>0.18710395731418752</v>
      </c>
      <c r="Z207" s="11">
        <v>0.0916791558422691</v>
      </c>
    </row>
    <row r="208" ht="22.5" customHeight="1">
      <c r="Q208" s="9" t="s">
        <v>246</v>
      </c>
      <c r="R208" s="10">
        <v>0.4220755703358967</v>
      </c>
      <c r="S208" s="10">
        <v>0.017277518793631593</v>
      </c>
      <c r="T208" s="10">
        <v>22.11403008149109</v>
      </c>
      <c r="U208" s="11">
        <v>0.25574881563421004</v>
      </c>
      <c r="V208" s="11">
        <v>0.061089407193360465</v>
      </c>
      <c r="W208" s="11">
        <v>0.11623349594818468</v>
      </c>
      <c r="X208" s="11">
        <v>0.4093941938616452</v>
      </c>
      <c r="Y208" s="11">
        <v>0.152660987492117</v>
      </c>
      <c r="Z208" s="11">
        <v>0.0048730998704825815</v>
      </c>
    </row>
    <row r="209" ht="22.5" customHeight="1">
      <c r="Q209" s="9" t="s">
        <v>247</v>
      </c>
      <c r="R209" s="10">
        <v>0.3776838158837283</v>
      </c>
      <c r="S209" s="10">
        <v>0.015272736339320291</v>
      </c>
      <c r="T209" s="10">
        <v>22.11023672387687</v>
      </c>
      <c r="U209" s="11">
        <v>0.4254164563720855</v>
      </c>
      <c r="V209" s="11">
        <v>0.08962446570655322</v>
      </c>
      <c r="W209" s="11">
        <v>0.07441199757058176</v>
      </c>
      <c r="X209" s="11">
        <v>0.2551274980002547</v>
      </c>
      <c r="Y209" s="11">
        <v>0.02399911039938693</v>
      </c>
      <c r="Z209" s="11">
        <v>0.13142047195113787</v>
      </c>
    </row>
    <row r="210" ht="22.5" customHeight="1">
      <c r="Q210" s="9" t="s">
        <v>248</v>
      </c>
      <c r="R210" s="10">
        <v>0.4969215759500719</v>
      </c>
      <c r="S210" s="10">
        <v>0.02066668580427085</v>
      </c>
      <c r="T210" s="10">
        <v>22.10908804040788</v>
      </c>
      <c r="U210" s="11">
        <v>0.21964537759531874</v>
      </c>
      <c r="V210" s="11">
        <v>0.14290967377835434</v>
      </c>
      <c r="W210" s="11">
        <v>0.1100655498883964</v>
      </c>
      <c r="X210" s="11">
        <v>0.2252068624053004</v>
      </c>
      <c r="Y210" s="11">
        <v>0.1797987336093286</v>
      </c>
      <c r="Z210" s="11">
        <v>0.12237380272330145</v>
      </c>
    </row>
    <row r="211" ht="22.5" customHeight="1">
      <c r="Q211" s="9" t="s">
        <v>249</v>
      </c>
      <c r="R211" s="10">
        <v>0.29502607629063204</v>
      </c>
      <c r="S211" s="10">
        <v>0.011535352585183269</v>
      </c>
      <c r="T211" s="10">
        <v>22.108216841000903</v>
      </c>
      <c r="U211" s="11">
        <v>0.09905587643545247</v>
      </c>
      <c r="V211" s="11">
        <v>0.04475302317625295</v>
      </c>
      <c r="W211" s="11">
        <v>0.05303530160578722</v>
      </c>
      <c r="X211" s="11">
        <v>0.3532203929510387</v>
      </c>
      <c r="Y211" s="11">
        <v>0.1910355671997534</v>
      </c>
      <c r="Z211" s="11">
        <v>0.25889983863171534</v>
      </c>
    </row>
    <row r="212" ht="22.5" customHeight="1">
      <c r="Q212" s="9" t="s">
        <v>250</v>
      </c>
      <c r="R212" s="10">
        <v>0.4749264980357786</v>
      </c>
      <c r="S212" s="10">
        <v>0.01967380346817857</v>
      </c>
      <c r="T212" s="10">
        <v>22.106884352039568</v>
      </c>
      <c r="U212" s="11">
        <v>0.022989629967626816</v>
      </c>
      <c r="V212" s="11">
        <v>0.15076161563822624</v>
      </c>
      <c r="W212" s="11">
        <v>0.07815162082741374</v>
      </c>
      <c r="X212" s="11">
        <v>0.3844241606778175</v>
      </c>
      <c r="Y212" s="11">
        <v>0.13715346409924886</v>
      </c>
      <c r="Z212" s="11">
        <v>0.22651950878966678</v>
      </c>
    </row>
    <row r="213" ht="22.5" customHeight="1">
      <c r="Q213" s="9" t="s">
        <v>251</v>
      </c>
      <c r="R213" s="10">
        <v>0.32079998240191177</v>
      </c>
      <c r="S213" s="10">
        <v>0.012703297535824101</v>
      </c>
      <c r="T213" s="10">
        <v>22.104495435932137</v>
      </c>
      <c r="U213" s="11">
        <v>0.07056186942389489</v>
      </c>
      <c r="V213" s="11">
        <v>0.07210939759037208</v>
      </c>
      <c r="W213" s="11">
        <v>0.049757534208985876</v>
      </c>
      <c r="X213" s="11">
        <v>0.2730685515559128</v>
      </c>
      <c r="Y213" s="11">
        <v>0.27034344919187636</v>
      </c>
      <c r="Z213" s="11">
        <v>0.26415919802895804</v>
      </c>
    </row>
    <row r="214" ht="22.5" customHeight="1">
      <c r="Q214" s="9" t="s">
        <v>252</v>
      </c>
      <c r="R214" s="10">
        <v>0.3605782545706086</v>
      </c>
      <c r="S214" s="10">
        <v>0.014503243664714678</v>
      </c>
      <c r="T214" s="10">
        <v>22.103900477832546</v>
      </c>
      <c r="U214" s="11">
        <v>0.09586718702573296</v>
      </c>
      <c r="V214" s="11">
        <v>0.09802273283877738</v>
      </c>
      <c r="W214" s="11">
        <v>0.046883792879652726</v>
      </c>
      <c r="X214" s="11">
        <v>0.29698372957162433</v>
      </c>
      <c r="Y214" s="11">
        <v>0.27573134060892435</v>
      </c>
      <c r="Z214" s="11">
        <v>0.18651121707528828</v>
      </c>
    </row>
    <row r="215" ht="22.5" customHeight="1">
      <c r="Q215" s="9" t="s">
        <v>253</v>
      </c>
      <c r="R215" s="10">
        <v>0.5769494882300743</v>
      </c>
      <c r="S215" s="10">
        <v>0.024295736973015583</v>
      </c>
      <c r="T215" s="10">
        <v>22.100563931295646</v>
      </c>
      <c r="U215" s="11">
        <v>0.09152538837279989</v>
      </c>
      <c r="V215" s="11">
        <v>0.1838638491788734</v>
      </c>
      <c r="W215" s="11">
        <v>0.10987179415073635</v>
      </c>
      <c r="X215" s="11">
        <v>0.4225069889122723</v>
      </c>
      <c r="Y215" s="11">
        <v>0.1350969062691623</v>
      </c>
      <c r="Z215" s="11">
        <v>0.05713507311615579</v>
      </c>
    </row>
    <row r="216" ht="22.5" customHeight="1">
      <c r="Q216" s="9" t="s">
        <v>254</v>
      </c>
      <c r="R216" s="10">
        <v>0.5030851738510164</v>
      </c>
      <c r="S216" s="10">
        <v>0.020957768993770203</v>
      </c>
      <c r="T216" s="10">
        <v>22.096110229513013</v>
      </c>
      <c r="U216" s="11">
        <v>0.14424328815589946</v>
      </c>
      <c r="V216" s="11">
        <v>0.14115802913428702</v>
      </c>
      <c r="W216" s="11">
        <v>0.11784787302287583</v>
      </c>
      <c r="X216" s="11">
        <v>0.23588221323194408</v>
      </c>
      <c r="Y216" s="11">
        <v>0.19709308109789914</v>
      </c>
      <c r="Z216" s="11">
        <v>0.1637755153570945</v>
      </c>
    </row>
    <row r="217" ht="22.5" customHeight="1">
      <c r="Q217" s="9" t="s">
        <v>255</v>
      </c>
      <c r="R217" s="10">
        <v>0.43864156824818473</v>
      </c>
      <c r="S217" s="10">
        <v>0.018042728139049693</v>
      </c>
      <c r="T217" s="10">
        <v>22.094306646754205</v>
      </c>
      <c r="U217" s="11">
        <v>0.06967941833108098</v>
      </c>
      <c r="V217" s="11">
        <v>0.12921702557317866</v>
      </c>
      <c r="W217" s="11">
        <v>0.07933395040864803</v>
      </c>
      <c r="X217" s="11">
        <v>0.2529486051018415</v>
      </c>
      <c r="Y217" s="11">
        <v>0.27031862972555504</v>
      </c>
      <c r="Z217" s="11">
        <v>0.19850237085969571</v>
      </c>
    </row>
    <row r="218" ht="22.5" customHeight="1">
      <c r="Q218" s="9" t="s">
        <v>256</v>
      </c>
      <c r="R218" s="10">
        <v>0.4919529672449849</v>
      </c>
      <c r="S218" s="10">
        <v>0.020457152689422088</v>
      </c>
      <c r="T218" s="10">
        <v>22.09266236149663</v>
      </c>
      <c r="U218" s="11">
        <v>0.21438782061863837</v>
      </c>
      <c r="V218" s="11">
        <v>0.14563686859304995</v>
      </c>
      <c r="W218" s="11">
        <v>0.09819014650548151</v>
      </c>
      <c r="X218" s="11">
        <v>0.2362961007965293</v>
      </c>
      <c r="Y218" s="11">
        <v>0.2365758470971588</v>
      </c>
      <c r="Z218" s="11">
        <v>0.06891321638914222</v>
      </c>
    </row>
    <row r="219" ht="22.5" customHeight="1">
      <c r="Q219" s="9" t="s">
        <v>257</v>
      </c>
      <c r="R219" s="10">
        <v>0.3646222903582456</v>
      </c>
      <c r="S219" s="10">
        <v>0.014693814666383687</v>
      </c>
      <c r="T219" s="10">
        <v>22.092444863954366</v>
      </c>
      <c r="U219" s="11">
        <v>0.4307314927399078</v>
      </c>
      <c r="V219" s="11">
        <v>0.07114564541195993</v>
      </c>
      <c r="W219" s="11">
        <v>0.07971829092188823</v>
      </c>
      <c r="X219" s="11">
        <v>0.2888061583705096</v>
      </c>
      <c r="Y219" s="11">
        <v>0.019634239018354458</v>
      </c>
      <c r="Z219" s="11">
        <v>0.10996417353737994</v>
      </c>
    </row>
    <row r="220" ht="22.5" customHeight="1">
      <c r="Q220" s="9" t="s">
        <v>258</v>
      </c>
      <c r="R220" s="10">
        <v>0.4915423347608711</v>
      </c>
      <c r="S220" s="10">
        <v>0.020440457068876917</v>
      </c>
      <c r="T220" s="10">
        <v>22.09061828898138</v>
      </c>
      <c r="U220" s="11">
        <v>0.26636967914064547</v>
      </c>
      <c r="V220" s="11">
        <v>0.12257100406055833</v>
      </c>
      <c r="W220" s="11">
        <v>0.12892223412568965</v>
      </c>
      <c r="X220" s="11">
        <v>0.26920077272021764</v>
      </c>
      <c r="Y220" s="11">
        <v>0.04472252624650351</v>
      </c>
      <c r="Z220" s="11">
        <v>0.1682137837063855</v>
      </c>
    </row>
    <row r="221" ht="22.5" customHeight="1">
      <c r="Q221" s="9" t="s">
        <v>259</v>
      </c>
      <c r="R221" s="10">
        <v>0.4478046168365143</v>
      </c>
      <c r="S221" s="10">
        <v>0.01846222190375062</v>
      </c>
      <c r="T221" s="10">
        <v>22.088599030091192</v>
      </c>
      <c r="U221" s="11">
        <v>0.1117950822289824</v>
      </c>
      <c r="V221" s="11">
        <v>0.10721462216177846</v>
      </c>
      <c r="W221" s="11">
        <v>0.11424366389654474</v>
      </c>
      <c r="X221" s="11">
        <v>0.2257181194436657</v>
      </c>
      <c r="Y221" s="11">
        <v>0.21957534180838106</v>
      </c>
      <c r="Z221" s="11">
        <v>0.22145317046064752</v>
      </c>
    </row>
    <row r="222" ht="22.5" customHeight="1">
      <c r="Q222" s="9" t="s">
        <v>260</v>
      </c>
      <c r="R222" s="10">
        <v>0.5133562707968068</v>
      </c>
      <c r="S222" s="10">
        <v>0.021431530539307676</v>
      </c>
      <c r="T222" s="10">
        <v>22.086909282032927</v>
      </c>
      <c r="U222" s="11">
        <v>0.09313914606100661</v>
      </c>
      <c r="V222" s="11">
        <v>0.13166747858203873</v>
      </c>
      <c r="W222" s="11">
        <v>0.12789427422425337</v>
      </c>
      <c r="X222" s="11">
        <v>0.26758768988212356</v>
      </c>
      <c r="Y222" s="11">
        <v>0.27929180855758057</v>
      </c>
      <c r="Z222" s="11">
        <v>0.10041960269299713</v>
      </c>
    </row>
    <row r="223" ht="22.5" customHeight="1">
      <c r="Q223" s="9" t="s">
        <v>261</v>
      </c>
      <c r="R223" s="10">
        <v>0.3918963741701099</v>
      </c>
      <c r="S223" s="10">
        <v>0.01593390553393562</v>
      </c>
      <c r="T223" s="10">
        <v>22.08475338457669</v>
      </c>
      <c r="U223" s="11">
        <v>0.11284687304259758</v>
      </c>
      <c r="V223" s="11">
        <v>0.12017514884393855</v>
      </c>
      <c r="W223" s="11">
        <v>0.055860797089139144</v>
      </c>
      <c r="X223" s="11">
        <v>0.28070230175222505</v>
      </c>
      <c r="Y223" s="11">
        <v>0.16766018259459714</v>
      </c>
      <c r="Z223" s="11">
        <v>0.2627546966775025</v>
      </c>
    </row>
    <row r="224" ht="22.5" customHeight="1">
      <c r="Q224" s="9" t="s">
        <v>262</v>
      </c>
      <c r="R224" s="10">
        <v>0.4094188723437255</v>
      </c>
      <c r="S224" s="10">
        <v>0.016727723302315176</v>
      </c>
      <c r="T224" s="10">
        <v>22.084229017142853</v>
      </c>
      <c r="U224" s="11">
        <v>0.20927203627735053</v>
      </c>
      <c r="V224" s="11">
        <v>0.1226997982000474</v>
      </c>
      <c r="W224" s="11">
        <v>0.06928534707670202</v>
      </c>
      <c r="X224" s="11">
        <v>0.2191184806179265</v>
      </c>
      <c r="Y224" s="11">
        <v>0.1652219652367828</v>
      </c>
      <c r="Z224" s="11">
        <v>0.21440237259119083</v>
      </c>
    </row>
    <row r="225" ht="22.5" customHeight="1">
      <c r="Q225" s="9" t="s">
        <v>263</v>
      </c>
      <c r="R225" s="10">
        <v>0.5510318521175298</v>
      </c>
      <c r="S225" s="10">
        <v>0.02314271527806153</v>
      </c>
      <c r="T225" s="10">
        <v>22.081758599950014</v>
      </c>
      <c r="U225" s="11">
        <v>0.28465696461561846</v>
      </c>
      <c r="V225" s="11">
        <v>0.1496685089517829</v>
      </c>
      <c r="W225" s="11">
        <v>0.13703367800104013</v>
      </c>
      <c r="X225" s="11">
        <v>0.26275719837768147</v>
      </c>
      <c r="Y225" s="11">
        <v>0.14199477214519957</v>
      </c>
      <c r="Z225" s="11">
        <v>0.023888877908677456</v>
      </c>
    </row>
    <row r="226" ht="22.5" customHeight="1">
      <c r="Q226" s="9" t="s">
        <v>264</v>
      </c>
      <c r="R226" s="10">
        <v>0.4638823832460256</v>
      </c>
      <c r="S226" s="10">
        <v>0.019200303283891208</v>
      </c>
      <c r="T226" s="10">
        <v>22.076858733875167</v>
      </c>
      <c r="U226" s="11">
        <v>0.20341635468177371</v>
      </c>
      <c r="V226" s="11">
        <v>0.14250274252159448</v>
      </c>
      <c r="W226" s="11">
        <v>0.08948178716976758</v>
      </c>
      <c r="X226" s="11">
        <v>0.2925219173160955</v>
      </c>
      <c r="Y226" s="11">
        <v>0.023595357206787564</v>
      </c>
      <c r="Z226" s="11">
        <v>0.24848184110398108</v>
      </c>
    </row>
    <row r="227" ht="22.5" customHeight="1">
      <c r="Q227" s="9" t="s">
        <v>265</v>
      </c>
      <c r="R227" s="10">
        <v>0.4947175883983784</v>
      </c>
      <c r="S227" s="10">
        <v>0.020597101892374924</v>
      </c>
      <c r="T227" s="10">
        <v>22.076775207230273</v>
      </c>
      <c r="U227" s="11">
        <v>0.02416717318005129</v>
      </c>
      <c r="V227" s="11">
        <v>0.10461856908223048</v>
      </c>
      <c r="W227" s="11">
        <v>0.13953479853560818</v>
      </c>
      <c r="X227" s="11">
        <v>0.37892539278165716</v>
      </c>
      <c r="Y227" s="11">
        <v>0.16853197304845907</v>
      </c>
      <c r="Z227" s="11">
        <v>0.18422209337199383</v>
      </c>
    </row>
    <row r="228" ht="22.5" customHeight="1">
      <c r="Q228" s="9" t="s">
        <v>266</v>
      </c>
      <c r="R228" s="10">
        <v>0.4739794243755851</v>
      </c>
      <c r="S228" s="10">
        <v>0.019658927832072435</v>
      </c>
      <c r="T228" s="10">
        <v>22.075437077884384</v>
      </c>
      <c r="U228" s="11">
        <v>0.08823983658488402</v>
      </c>
      <c r="V228" s="11">
        <v>0.1466857846833178</v>
      </c>
      <c r="W228" s="11">
        <v>0.09273572191995957</v>
      </c>
      <c r="X228" s="11">
        <v>0.27224377088861723</v>
      </c>
      <c r="Y228" s="11">
        <v>0.14326038970112193</v>
      </c>
      <c r="Z228" s="11">
        <v>0.2568344962220995</v>
      </c>
    </row>
    <row r="229" ht="22.5" customHeight="1">
      <c r="Q229" s="9" t="s">
        <v>267</v>
      </c>
      <c r="R229" s="10">
        <v>0.4967783439911433</v>
      </c>
      <c r="S229" s="10">
        <v>0.020693008642918686</v>
      </c>
      <c r="T229" s="10">
        <v>22.07404210153155</v>
      </c>
      <c r="U229" s="11">
        <v>0.124364756605706</v>
      </c>
      <c r="V229" s="11">
        <v>0.11710095645259976</v>
      </c>
      <c r="W229" s="11">
        <v>0.12170506190376741</v>
      </c>
      <c r="X229" s="11">
        <v>0.2855705065828556</v>
      </c>
      <c r="Y229" s="11">
        <v>0.34990120789597834</v>
      </c>
      <c r="Z229" s="11">
        <v>0.0013575105590928915</v>
      </c>
    </row>
    <row r="230" ht="22.5" customHeight="1">
      <c r="Q230" s="9" t="s">
        <v>268</v>
      </c>
      <c r="R230" s="10">
        <v>0.4796484689802898</v>
      </c>
      <c r="S230" s="10">
        <v>0.019917323999195716</v>
      </c>
      <c r="T230" s="10">
        <v>22.073671593535522</v>
      </c>
      <c r="U230" s="11">
        <v>0.27703154529074236</v>
      </c>
      <c r="V230" s="11">
        <v>0.1470630590673842</v>
      </c>
      <c r="W230" s="11">
        <v>0.09294562087639288</v>
      </c>
      <c r="X230" s="11">
        <v>0.2537427227539428</v>
      </c>
      <c r="Y230" s="11">
        <v>0.08564446124536439</v>
      </c>
      <c r="Z230" s="11">
        <v>0.1435725907661733</v>
      </c>
    </row>
    <row r="231" ht="22.5" customHeight="1">
      <c r="Q231" s="9" t="s">
        <v>269</v>
      </c>
      <c r="R231" s="10">
        <v>0.4771394717036164</v>
      </c>
      <c r="S231" s="10">
        <v>0.019803925789841116</v>
      </c>
      <c r="T231" s="10">
        <v>22.073374559293555</v>
      </c>
      <c r="U231" s="11">
        <v>0.2072503239905692</v>
      </c>
      <c r="V231" s="11">
        <v>0.15285415624032936</v>
      </c>
      <c r="W231" s="11">
        <v>0.07661275148161079</v>
      </c>
      <c r="X231" s="11">
        <v>0.37843216842837757</v>
      </c>
      <c r="Y231" s="11">
        <v>0.02459380626838843</v>
      </c>
      <c r="Z231" s="11">
        <v>0.16025679359072464</v>
      </c>
    </row>
    <row r="232" ht="22.5" customHeight="1">
      <c r="Q232" s="9" t="s">
        <v>270</v>
      </c>
      <c r="R232" s="10">
        <v>0.4440127858293864</v>
      </c>
      <c r="S232" s="10">
        <v>0.018303363072623494</v>
      </c>
      <c r="T232" s="10">
        <v>22.073144931145034</v>
      </c>
      <c r="U232" s="11">
        <v>0.2759970132918615</v>
      </c>
      <c r="V232" s="11">
        <v>0.13823360301787907</v>
      </c>
      <c r="W232" s="11">
        <v>0.07206264042525676</v>
      </c>
      <c r="X232" s="11">
        <v>0.2638179742227257</v>
      </c>
      <c r="Y232" s="11">
        <v>0.12139352594814792</v>
      </c>
      <c r="Z232" s="11">
        <v>0.12849524309412905</v>
      </c>
    </row>
    <row r="233" ht="22.5" customHeight="1">
      <c r="Q233" s="9" t="s">
        <v>271</v>
      </c>
      <c r="R233" s="10">
        <v>0.5523965288829931</v>
      </c>
      <c r="S233" s="10">
        <v>0.023214489428040434</v>
      </c>
      <c r="T233" s="10">
        <v>22.072272167402353</v>
      </c>
      <c r="U233" s="11">
        <v>0.19958527594349532</v>
      </c>
      <c r="V233" s="11">
        <v>0.15386520428369935</v>
      </c>
      <c r="W233" s="11">
        <v>0.13268254928242448</v>
      </c>
      <c r="X233" s="11">
        <v>0.26152413859948664</v>
      </c>
      <c r="Y233" s="11">
        <v>0.22038317499814714</v>
      </c>
      <c r="Z233" s="11">
        <v>0.03195965689274713</v>
      </c>
    </row>
    <row r="234" ht="22.5" customHeight="1">
      <c r="Q234" s="9" t="s">
        <v>272</v>
      </c>
      <c r="R234" s="10">
        <v>0.43689890949838106</v>
      </c>
      <c r="S234" s="10">
        <v>0.017982965499200497</v>
      </c>
      <c r="T234" s="10">
        <v>22.070826389342002</v>
      </c>
      <c r="U234" s="11">
        <v>0.20607197381084852</v>
      </c>
      <c r="V234" s="11">
        <v>0.09701303949516475</v>
      </c>
      <c r="W234" s="11">
        <v>0.11353680678533998</v>
      </c>
      <c r="X234" s="11">
        <v>0.2147047425832292</v>
      </c>
      <c r="Y234" s="11">
        <v>0.2159204468197003</v>
      </c>
      <c r="Z234" s="11">
        <v>0.1527529905057172</v>
      </c>
    </row>
    <row r="235" ht="22.5" customHeight="1">
      <c r="Q235" s="9" t="s">
        <v>273</v>
      </c>
      <c r="R235" s="10">
        <v>0.5241713040563143</v>
      </c>
      <c r="S235" s="10">
        <v>0.021937705162847668</v>
      </c>
      <c r="T235" s="10">
        <v>22.070280389959688</v>
      </c>
      <c r="U235" s="11">
        <v>0.1895739610122665</v>
      </c>
      <c r="V235" s="11">
        <v>0.15476664349620037</v>
      </c>
      <c r="W235" s="11">
        <v>0.11964299127388486</v>
      </c>
      <c r="X235" s="11">
        <v>0.26464452124440335</v>
      </c>
      <c r="Y235" s="11">
        <v>0.10339746116067337</v>
      </c>
      <c r="Z235" s="11">
        <v>0.16797442181257155</v>
      </c>
    </row>
    <row r="236" ht="22.5" customHeight="1">
      <c r="Q236" s="9" t="s">
        <v>274</v>
      </c>
      <c r="R236" s="10">
        <v>0.5211481752989906</v>
      </c>
      <c r="S236" s="10">
        <v>0.021802122786576717</v>
      </c>
      <c r="T236" s="10">
        <v>22.068868247784902</v>
      </c>
      <c r="U236" s="11">
        <v>0.19146972808121876</v>
      </c>
      <c r="V236" s="11">
        <v>0.1533779436298334</v>
      </c>
      <c r="W236" s="11">
        <v>0.11702175253436504</v>
      </c>
      <c r="X236" s="11">
        <v>0.2448050826791585</v>
      </c>
      <c r="Y236" s="11">
        <v>0.16351724355915903</v>
      </c>
      <c r="Z236" s="11">
        <v>0.12980824951626524</v>
      </c>
    </row>
    <row r="237" ht="22.5" customHeight="1">
      <c r="Q237" s="9" t="s">
        <v>275</v>
      </c>
      <c r="R237" s="10">
        <v>0.35093863668983616</v>
      </c>
      <c r="S237" s="10">
        <v>0.014090242000925408</v>
      </c>
      <c r="T237" s="10">
        <v>22.06765765055097</v>
      </c>
      <c r="U237" s="11">
        <v>0.2231674014976664</v>
      </c>
      <c r="V237" s="11">
        <v>0.09568874444533192</v>
      </c>
      <c r="W237" s="11">
        <v>0.053643960817685285</v>
      </c>
      <c r="X237" s="11">
        <v>0.20852716205146646</v>
      </c>
      <c r="Y237" s="11">
        <v>0.1869198522062813</v>
      </c>
      <c r="Z237" s="11">
        <v>0.23205287898156868</v>
      </c>
    </row>
    <row r="238" ht="22.5" customHeight="1">
      <c r="Q238" s="9" t="s">
        <v>276</v>
      </c>
      <c r="R238" s="10">
        <v>0.5060584284946382</v>
      </c>
      <c r="S238" s="10">
        <v>0.021120119599394926</v>
      </c>
      <c r="T238" s="10">
        <v>22.067035477772126</v>
      </c>
      <c r="U238" s="11">
        <v>0.09577330870695518</v>
      </c>
      <c r="V238" s="11">
        <v>0.15061276193745068</v>
      </c>
      <c r="W238" s="11">
        <v>0.11207143794220936</v>
      </c>
      <c r="X238" s="11">
        <v>0.26259450186814215</v>
      </c>
      <c r="Y238" s="11">
        <v>0.15755257446298232</v>
      </c>
      <c r="Z238" s="11">
        <v>0.22139541508226035</v>
      </c>
    </row>
    <row r="239" ht="22.5" customHeight="1">
      <c r="Q239" s="9" t="s">
        <v>277</v>
      </c>
      <c r="R239" s="10">
        <v>0.422808875914723</v>
      </c>
      <c r="S239" s="10">
        <v>0.01734831763752858</v>
      </c>
      <c r="T239" s="10">
        <v>22.066051816264615</v>
      </c>
      <c r="U239" s="11">
        <v>0.2738541087909613</v>
      </c>
      <c r="V239" s="11">
        <v>0.09907323622652</v>
      </c>
      <c r="W239" s="11">
        <v>0.10727930199822647</v>
      </c>
      <c r="X239" s="11">
        <v>0.24528751261194717</v>
      </c>
      <c r="Y239" s="11">
        <v>0.023977030991843288</v>
      </c>
      <c r="Z239" s="11">
        <v>0.25052880938050176</v>
      </c>
    </row>
    <row r="240" ht="22.5" customHeight="1">
      <c r="Q240" s="9" t="s">
        <v>278</v>
      </c>
      <c r="R240" s="10">
        <v>0.35178377514437725</v>
      </c>
      <c r="S240" s="10">
        <v>0.014130161652985517</v>
      </c>
      <c r="T240" s="10">
        <v>22.06512443390918</v>
      </c>
      <c r="U240" s="11">
        <v>0.04823227477136737</v>
      </c>
      <c r="V240" s="11">
        <v>0.08819653601858496</v>
      </c>
      <c r="W240" s="11">
        <v>0.06242151348305462</v>
      </c>
      <c r="X240" s="11">
        <v>0.23225434524991243</v>
      </c>
      <c r="Y240" s="11">
        <v>0.2694796723283703</v>
      </c>
      <c r="Z240" s="11">
        <v>0.2994156581487103</v>
      </c>
    </row>
    <row r="241" ht="22.5" customHeight="1">
      <c r="Q241" s="9" t="s">
        <v>279</v>
      </c>
      <c r="R241" s="10">
        <v>0.3689625601310426</v>
      </c>
      <c r="S241" s="10">
        <v>0.014910681551007676</v>
      </c>
      <c r="T241" s="10">
        <v>22.06220815632744</v>
      </c>
      <c r="U241" s="11">
        <v>0.1682744080446655</v>
      </c>
      <c r="V241" s="11">
        <v>0.07246723039801423</v>
      </c>
      <c r="W241" s="11">
        <v>0.08921699321587716</v>
      </c>
      <c r="X241" s="11">
        <v>0.21629886572247123</v>
      </c>
      <c r="Y241" s="11">
        <v>0.24181843073247886</v>
      </c>
      <c r="Z241" s="11">
        <v>0.21192407188649293</v>
      </c>
    </row>
    <row r="242" ht="22.5" customHeight="1">
      <c r="Q242" s="9" t="s">
        <v>280</v>
      </c>
      <c r="R242" s="10">
        <v>0.5226975172632184</v>
      </c>
      <c r="S242" s="10">
        <v>0.021882058538877217</v>
      </c>
      <c r="T242" s="10">
        <v>22.05905428895658</v>
      </c>
      <c r="U242" s="11">
        <v>0.03711844227613956</v>
      </c>
      <c r="V242" s="11">
        <v>0.12210240082359301</v>
      </c>
      <c r="W242" s="11">
        <v>0.14233011253738123</v>
      </c>
      <c r="X242" s="11">
        <v>0.33071447156574596</v>
      </c>
      <c r="Y242" s="11">
        <v>0.23953433584301173</v>
      </c>
      <c r="Z242" s="11">
        <v>0.1282002369541286</v>
      </c>
    </row>
    <row r="243" ht="22.5" customHeight="1">
      <c r="Q243" s="9" t="s">
        <v>281</v>
      </c>
      <c r="R243" s="10">
        <v>0.4422123975073569</v>
      </c>
      <c r="S243" s="10">
        <v>0.01823361009292429</v>
      </c>
      <c r="T243" s="10">
        <v>22.058846024322904</v>
      </c>
      <c r="U243" s="11">
        <v>0.2634578672774619</v>
      </c>
      <c r="V243" s="11">
        <v>0.12194342488889783</v>
      </c>
      <c r="W243" s="11">
        <v>0.095599497490297</v>
      </c>
      <c r="X243" s="11">
        <v>0.1828290639374094</v>
      </c>
      <c r="Y243" s="11">
        <v>0.1725426284712959</v>
      </c>
      <c r="Z243" s="11">
        <v>0.16362751793463812</v>
      </c>
    </row>
    <row r="244" ht="22.5" customHeight="1">
      <c r="Q244" s="9" t="s">
        <v>282</v>
      </c>
      <c r="R244" s="10">
        <v>0.49216744974465804</v>
      </c>
      <c r="S244" s="10">
        <v>0.020501384438440136</v>
      </c>
      <c r="T244" s="10">
        <v>22.055459283854177</v>
      </c>
      <c r="U244" s="11">
        <v>0.2468070741828804</v>
      </c>
      <c r="V244" s="11">
        <v>0.12172407183118689</v>
      </c>
      <c r="W244" s="11">
        <v>0.12973940354172542</v>
      </c>
      <c r="X244" s="11">
        <v>0.2333837816288817</v>
      </c>
      <c r="Y244" s="11">
        <v>0.13190894831619526</v>
      </c>
      <c r="Z244" s="11">
        <v>0.13643672049913044</v>
      </c>
    </row>
    <row r="245" ht="22.5" customHeight="1">
      <c r="Q245" s="9" t="s">
        <v>283</v>
      </c>
      <c r="R245" s="10">
        <v>0.4807025042787457</v>
      </c>
      <c r="S245" s="10">
        <v>0.019983545245310128</v>
      </c>
      <c r="T245" s="10">
        <v>22.053269270735267</v>
      </c>
      <c r="U245" s="11">
        <v>0.2585259616776489</v>
      </c>
      <c r="V245" s="11">
        <v>0.1531960520528639</v>
      </c>
      <c r="W245" s="11">
        <v>0.08254550276130754</v>
      </c>
      <c r="X245" s="11">
        <v>0.29521478292229486</v>
      </c>
      <c r="Y245" s="11">
        <v>0.0883807062694383</v>
      </c>
      <c r="Z245" s="11">
        <v>0.12213699431644652</v>
      </c>
    </row>
    <row r="246" ht="22.5" customHeight="1">
      <c r="Q246" s="9" t="s">
        <v>284</v>
      </c>
      <c r="R246" s="10">
        <v>0.5459490260700649</v>
      </c>
      <c r="S246" s="10">
        <v>0.022949551659085264</v>
      </c>
      <c r="T246" s="10">
        <v>22.046139880461233</v>
      </c>
      <c r="U246" s="11">
        <v>0.19678506808505827</v>
      </c>
      <c r="V246" s="11">
        <v>0.15187936005761324</v>
      </c>
      <c r="W246" s="11">
        <v>0.1374351849781126</v>
      </c>
      <c r="X246" s="11">
        <v>0.2906149882172944</v>
      </c>
      <c r="Y246" s="11">
        <v>0.06805506286021706</v>
      </c>
      <c r="Z246" s="11">
        <v>0.15523033580170442</v>
      </c>
    </row>
    <row r="247" ht="22.5" customHeight="1">
      <c r="Q247" s="9" t="s">
        <v>285</v>
      </c>
      <c r="R247" s="10">
        <v>0.4437894452267746</v>
      </c>
      <c r="S247" s="10">
        <v>0.018315858170265823</v>
      </c>
      <c r="T247" s="10">
        <v>22.045892770795263</v>
      </c>
      <c r="U247" s="11">
        <v>0.20930420927005627</v>
      </c>
      <c r="V247" s="11">
        <v>0.08870929238553962</v>
      </c>
      <c r="W247" s="11">
        <v>0.1253548871336091</v>
      </c>
      <c r="X247" s="11">
        <v>0.27635421772797947</v>
      </c>
      <c r="Y247" s="11">
        <v>0.1278979006318263</v>
      </c>
      <c r="Z247" s="11">
        <v>0.17237949285098925</v>
      </c>
    </row>
    <row r="248" ht="22.5" customHeight="1">
      <c r="Q248" s="9" t="s">
        <v>286</v>
      </c>
      <c r="R248" s="10">
        <v>0.5553614112382794</v>
      </c>
      <c r="S248" s="10">
        <v>0.02337822021625338</v>
      </c>
      <c r="T248" s="10">
        <v>22.0445100812243</v>
      </c>
      <c r="U248" s="11">
        <v>0.20326975077933326</v>
      </c>
      <c r="V248" s="11">
        <v>0.12707985675279215</v>
      </c>
      <c r="W248" s="11">
        <v>0.15902325246714272</v>
      </c>
      <c r="X248" s="11">
        <v>0.3677438352834312</v>
      </c>
      <c r="Y248" s="11">
        <v>0.07777118651789748</v>
      </c>
      <c r="Z248" s="11">
        <v>0.06511211819940313</v>
      </c>
    </row>
    <row r="249" ht="22.5" customHeight="1">
      <c r="Q249" s="9" t="s">
        <v>287</v>
      </c>
      <c r="R249" s="10">
        <v>0.40481702114927104</v>
      </c>
      <c r="S249" s="10">
        <v>0.016549302926042786</v>
      </c>
      <c r="T249" s="10">
        <v>22.04425302863828</v>
      </c>
      <c r="U249" s="11">
        <v>0.24517415082715713</v>
      </c>
      <c r="V249" s="11">
        <v>0.09956906105722815</v>
      </c>
      <c r="W249" s="11">
        <v>0.09728223827420318</v>
      </c>
      <c r="X249" s="11">
        <v>0.21281112738836133</v>
      </c>
      <c r="Y249" s="11">
        <v>0.053031978026807446</v>
      </c>
      <c r="Z249" s="11">
        <v>0.29213144442624284</v>
      </c>
    </row>
    <row r="250" ht="22.5" customHeight="1">
      <c r="Q250" s="9" t="s">
        <v>288</v>
      </c>
      <c r="R250" s="10">
        <v>0.5185259835881845</v>
      </c>
      <c r="S250" s="10">
        <v>0.021710212390812975</v>
      </c>
      <c r="T250" s="10">
        <v>22.041515530759174</v>
      </c>
      <c r="U250" s="11">
        <v>0.35093745948907157</v>
      </c>
      <c r="V250" s="11">
        <v>0.16391642615467683</v>
      </c>
      <c r="W250" s="11">
        <v>0.08846139105271265</v>
      </c>
      <c r="X250" s="11">
        <v>0.38116717545957296</v>
      </c>
      <c r="Y250" s="11">
        <v>0.008786817039784072</v>
      </c>
      <c r="Z250" s="11">
        <v>0.006730730804181889</v>
      </c>
    </row>
    <row r="251" ht="22.5" customHeight="1">
      <c r="Q251" s="9" t="s">
        <v>289</v>
      </c>
      <c r="R251" s="10">
        <v>0.522331348251574</v>
      </c>
      <c r="S251" s="10">
        <v>0.026646153300786506</v>
      </c>
      <c r="T251" s="10">
        <v>22.03910776499787</v>
      </c>
      <c r="U251" s="11">
        <v>0.14843401590657726</v>
      </c>
      <c r="V251" s="11">
        <v>0.18886556149937164</v>
      </c>
      <c r="W251" s="11">
        <v>0.14544059347230176</v>
      </c>
      <c r="X251" s="11">
        <v>0.3739007023842633</v>
      </c>
      <c r="Y251" s="11">
        <v>0.1300959713987286</v>
      </c>
      <c r="Z251" s="11">
        <v>0.013263155338757292</v>
      </c>
    </row>
    <row r="252" ht="22.5" customHeight="1">
      <c r="Q252" s="9" t="s">
        <v>290</v>
      </c>
      <c r="R252" s="10">
        <v>0.3702237926987669</v>
      </c>
      <c r="S252" s="10">
        <v>0.014983541541621202</v>
      </c>
      <c r="T252" s="10">
        <v>22.039101488888523</v>
      </c>
      <c r="U252" s="11">
        <v>0.30851713423738586</v>
      </c>
      <c r="V252" s="11">
        <v>0.057252693674210875</v>
      </c>
      <c r="W252" s="11">
        <v>0.09320703053670559</v>
      </c>
      <c r="X252" s="11">
        <v>0.28267215519456396</v>
      </c>
      <c r="Y252" s="11">
        <v>0.19283951639328825</v>
      </c>
      <c r="Z252" s="11">
        <v>0.06551146996384537</v>
      </c>
    </row>
    <row r="253" ht="22.5" customHeight="1">
      <c r="Q253" s="9" t="s">
        <v>291</v>
      </c>
      <c r="R253" s="10">
        <v>0.3615773981940259</v>
      </c>
      <c r="S253" s="10">
        <v>0.014592631858331508</v>
      </c>
      <c r="T253" s="10">
        <v>22.036970528412578</v>
      </c>
      <c r="U253" s="11">
        <v>0.20680759937521612</v>
      </c>
      <c r="V253" s="11">
        <v>0.09030081521708887</v>
      </c>
      <c r="W253" s="11">
        <v>0.04651867604133745</v>
      </c>
      <c r="X253" s="11">
        <v>0.3028622598999092</v>
      </c>
      <c r="Y253" s="11">
        <v>0.30838762369653844</v>
      </c>
      <c r="Z253" s="11">
        <v>0.04512302576990994</v>
      </c>
    </row>
    <row r="254" ht="22.5" customHeight="1">
      <c r="Q254" s="9" t="s">
        <v>292</v>
      </c>
      <c r="R254" s="10">
        <v>0.35218861332824036</v>
      </c>
      <c r="S254" s="10">
        <v>0.014170966736699545</v>
      </c>
      <c r="T254" s="10">
        <v>22.03015638444367</v>
      </c>
      <c r="U254" s="11">
        <v>0.14521828585941368</v>
      </c>
      <c r="V254" s="11">
        <v>0.047315373329512016</v>
      </c>
      <c r="W254" s="11">
        <v>0.0642397069267246</v>
      </c>
      <c r="X254" s="11">
        <v>0.5698125999337009</v>
      </c>
      <c r="Y254" s="11">
        <v>0.14648248776565806</v>
      </c>
      <c r="Z254" s="11">
        <v>0.02693154618499062</v>
      </c>
    </row>
    <row r="255" ht="22.5" customHeight="1">
      <c r="Q255" s="9" t="s">
        <v>293</v>
      </c>
      <c r="R255" s="10">
        <v>0.46277639491879985</v>
      </c>
      <c r="S255" s="10">
        <v>0.01919123380749016</v>
      </c>
      <c r="T255" s="10">
        <v>22.02966204047778</v>
      </c>
      <c r="U255" s="11">
        <v>0.22792586709590135</v>
      </c>
      <c r="V255" s="11">
        <v>0.13856476284868477</v>
      </c>
      <c r="W255" s="11">
        <v>0.08783459243489344</v>
      </c>
      <c r="X255" s="11">
        <v>0.2135030245213937</v>
      </c>
      <c r="Y255" s="11">
        <v>0.2175087020658033</v>
      </c>
      <c r="Z255" s="11">
        <v>0.11466305103332347</v>
      </c>
    </row>
    <row r="256" ht="22.5" customHeight="1">
      <c r="Q256" s="9" t="s">
        <v>294</v>
      </c>
      <c r="R256" s="10">
        <v>0.3634216850301658</v>
      </c>
      <c r="S256" s="10">
        <v>0.014682157508059063</v>
      </c>
      <c r="T256" s="10">
        <v>22.028212464866904</v>
      </c>
      <c r="U256" s="11">
        <v>0.14880143339256763</v>
      </c>
      <c r="V256" s="11">
        <v>0.09870797015044394</v>
      </c>
      <c r="W256" s="11">
        <v>0.06223168656793458</v>
      </c>
      <c r="X256" s="11">
        <v>0.19491893655044704</v>
      </c>
      <c r="Y256" s="11">
        <v>0.2319474205901355</v>
      </c>
      <c r="Z256" s="11">
        <v>0.2633925527484713</v>
      </c>
    </row>
    <row r="257" ht="22.5" customHeight="1">
      <c r="Q257" s="9" t="s">
        <v>295</v>
      </c>
      <c r="R257" s="10">
        <v>0.4799194596261741</v>
      </c>
      <c r="S257" s="10">
        <v>0.019972174988272792</v>
      </c>
      <c r="T257" s="10">
        <v>22.02661752585709</v>
      </c>
      <c r="U257" s="11">
        <v>0.1500335706756729</v>
      </c>
      <c r="V257" s="11">
        <v>0.1306737060378104</v>
      </c>
      <c r="W257" s="11">
        <v>0.11831496268628426</v>
      </c>
      <c r="X257" s="11">
        <v>0.22677997322819884</v>
      </c>
      <c r="Y257" s="11">
        <v>0.12034024062274726</v>
      </c>
      <c r="Z257" s="11">
        <v>0.2538575467492864</v>
      </c>
    </row>
    <row r="258" ht="22.5" customHeight="1">
      <c r="Q258" s="9" t="s">
        <v>296</v>
      </c>
      <c r="R258" s="10">
        <v>0.432980037540865</v>
      </c>
      <c r="S258" s="10">
        <v>0.017849492512575702</v>
      </c>
      <c r="T258" s="10">
        <v>22.01631431616302</v>
      </c>
      <c r="U258" s="11">
        <v>0.21221236687171954</v>
      </c>
      <c r="V258" s="11">
        <v>0.11656491317893075</v>
      </c>
      <c r="W258" s="11">
        <v>0.0963281847527196</v>
      </c>
      <c r="X258" s="11">
        <v>0.17326089579395595</v>
      </c>
      <c r="Y258" s="11">
        <v>0.2023487595180164</v>
      </c>
      <c r="Z258" s="11">
        <v>0.19928487988465765</v>
      </c>
    </row>
    <row r="259" ht="22.5" customHeight="1">
      <c r="Q259" s="9" t="s">
        <v>297</v>
      </c>
      <c r="R259" s="10">
        <v>0.5000852516681732</v>
      </c>
      <c r="S259" s="10">
        <v>0.02089871185210764</v>
      </c>
      <c r="T259" s="10">
        <v>22.015005275158792</v>
      </c>
      <c r="U259" s="11">
        <v>0.23934332703561031</v>
      </c>
      <c r="V259" s="11">
        <v>0.13800428316187907</v>
      </c>
      <c r="W259" s="11">
        <v>0.12167185015983929</v>
      </c>
      <c r="X259" s="11">
        <v>0.2169677964262863</v>
      </c>
      <c r="Y259" s="11">
        <v>0.12384730260983978</v>
      </c>
      <c r="Z259" s="11">
        <v>0.1601654406065453</v>
      </c>
    </row>
    <row r="260" ht="22.5" customHeight="1">
      <c r="Q260" s="9" t="s">
        <v>298</v>
      </c>
      <c r="R260" s="10">
        <v>0.5199986547297021</v>
      </c>
      <c r="S260" s="10">
        <v>0.02180447876177609</v>
      </c>
      <c r="T260" s="10">
        <v>22.013764235041208</v>
      </c>
      <c r="U260" s="11">
        <v>0.05082943592271759</v>
      </c>
      <c r="V260" s="11">
        <v>0.1269375580159364</v>
      </c>
      <c r="W260" s="11">
        <v>0.1347784588388441</v>
      </c>
      <c r="X260" s="11">
        <v>0.2938683015086797</v>
      </c>
      <c r="Y260" s="11">
        <v>0.3033089476678326</v>
      </c>
      <c r="Z260" s="11">
        <v>0.09027729804598948</v>
      </c>
    </row>
    <row r="261" ht="22.5" customHeight="1">
      <c r="Q261" s="9" t="s">
        <v>299</v>
      </c>
      <c r="R261" s="10">
        <v>0.3662470704320572</v>
      </c>
      <c r="S261" s="10">
        <v>0.014820231794512539</v>
      </c>
      <c r="T261" s="10">
        <v>22.01362805626671</v>
      </c>
      <c r="U261" s="11">
        <v>0.09173672543126335</v>
      </c>
      <c r="V261" s="11">
        <v>0.10601209387545878</v>
      </c>
      <c r="W261" s="11">
        <v>0.05631503898337352</v>
      </c>
      <c r="X261" s="11">
        <v>0.23233433317498814</v>
      </c>
      <c r="Y261" s="11">
        <v>0.21050421208153322</v>
      </c>
      <c r="Z261" s="11">
        <v>0.303097596453383</v>
      </c>
    </row>
    <row r="262" ht="22.5" customHeight="1">
      <c r="Q262" s="9" t="s">
        <v>300</v>
      </c>
      <c r="R262" s="10">
        <v>0.4439375321878591</v>
      </c>
      <c r="S262" s="10">
        <v>0.01835104198108077</v>
      </c>
      <c r="T262" s="10">
        <v>22.011694627711243</v>
      </c>
      <c r="U262" s="11">
        <v>0.19388602838781951</v>
      </c>
      <c r="V262" s="11">
        <v>0.13680342598841183</v>
      </c>
      <c r="W262" s="11">
        <v>0.07497251285739709</v>
      </c>
      <c r="X262" s="11">
        <v>0.2333708690659321</v>
      </c>
      <c r="Y262" s="11">
        <v>0.21794011437382665</v>
      </c>
      <c r="Z262" s="11">
        <v>0.14302704932661278</v>
      </c>
    </row>
    <row r="263" ht="22.5" customHeight="1">
      <c r="Q263" s="9" t="s">
        <v>301</v>
      </c>
      <c r="R263" s="10">
        <v>0.543341085765169</v>
      </c>
      <c r="S263" s="10">
        <v>0.02286847413230553</v>
      </c>
      <c r="T263" s="10">
        <v>22.010261063028942</v>
      </c>
      <c r="U263" s="11">
        <v>0.28681590258146605</v>
      </c>
      <c r="V263" s="11">
        <v>0.14978935994676768</v>
      </c>
      <c r="W263" s="11">
        <v>0.13644425893843937</v>
      </c>
      <c r="X263" s="11">
        <v>0.2922373116855326</v>
      </c>
      <c r="Y263" s="11">
        <v>0.01552937779473278</v>
      </c>
      <c r="Z263" s="11">
        <v>0.11918378905306144</v>
      </c>
    </row>
    <row r="264" ht="22.5" customHeight="1">
      <c r="Q264" s="9" t="s">
        <v>302</v>
      </c>
      <c r="R264" s="10">
        <v>0.5165479774891021</v>
      </c>
      <c r="S264" s="10">
        <v>0.02165216106539942</v>
      </c>
      <c r="T264" s="10">
        <v>22.00925699978443</v>
      </c>
      <c r="U264" s="11">
        <v>0.22494897892577898</v>
      </c>
      <c r="V264" s="11">
        <v>0.15175228360661963</v>
      </c>
      <c r="W264" s="11">
        <v>0.11326127174794151</v>
      </c>
      <c r="X264" s="11">
        <v>0.22304544409853272</v>
      </c>
      <c r="Y264" s="11">
        <v>0.20679329700019203</v>
      </c>
      <c r="Z264" s="11">
        <v>0.08019872462093508</v>
      </c>
    </row>
    <row r="265" ht="22.5" customHeight="1">
      <c r="Q265" s="9" t="s">
        <v>303</v>
      </c>
      <c r="R265" s="10">
        <v>0.49133912777927913</v>
      </c>
      <c r="S265" s="10">
        <v>0.02050858927963918</v>
      </c>
      <c r="T265" s="10">
        <v>22.00732198715229</v>
      </c>
      <c r="U265" s="11">
        <v>0.18702729313874675</v>
      </c>
      <c r="V265" s="11">
        <v>0.12507005753325548</v>
      </c>
      <c r="W265" s="11">
        <v>0.12520415222369297</v>
      </c>
      <c r="X265" s="11">
        <v>0.21300091957995973</v>
      </c>
      <c r="Y265" s="11">
        <v>0.21914147104087456</v>
      </c>
      <c r="Z265" s="11">
        <v>0.13055610648347055</v>
      </c>
    </row>
    <row r="266" ht="22.5" customHeight="1">
      <c r="Q266" s="9" t="s">
        <v>304</v>
      </c>
      <c r="R266" s="10">
        <v>0.390433993079356</v>
      </c>
      <c r="S266" s="10">
        <v>0.015924046215554686</v>
      </c>
      <c r="T266" s="10">
        <v>22.0065923155291</v>
      </c>
      <c r="U266" s="11">
        <v>0.27424109763879584</v>
      </c>
      <c r="V266" s="11">
        <v>0.11929512127148895</v>
      </c>
      <c r="W266" s="11">
        <v>0.04659485022668823</v>
      </c>
      <c r="X266" s="11">
        <v>0.32190789629610567</v>
      </c>
      <c r="Y266" s="11">
        <v>0.09708396457654722</v>
      </c>
      <c r="Z266" s="11">
        <v>0.14087706999037403</v>
      </c>
    </row>
    <row r="267" ht="22.5" customHeight="1">
      <c r="Q267" s="9" t="s">
        <v>305</v>
      </c>
      <c r="R267" s="10">
        <v>0.49152240883935977</v>
      </c>
      <c r="S267" s="10">
        <v>0.020518798500313268</v>
      </c>
      <c r="T267" s="10">
        <v>22.005304493460777</v>
      </c>
      <c r="U267" s="11">
        <v>0.2787137647775101</v>
      </c>
      <c r="V267" s="11">
        <v>0.1387449055750189</v>
      </c>
      <c r="W267" s="11">
        <v>0.11320558651953143</v>
      </c>
      <c r="X267" s="11">
        <v>0.2029645550955178</v>
      </c>
      <c r="Y267" s="11">
        <v>0.13907945983508332</v>
      </c>
      <c r="Z267" s="11">
        <v>0.12729172819733842</v>
      </c>
    </row>
    <row r="268" ht="22.5" customHeight="1">
      <c r="Q268" s="9" t="s">
        <v>306</v>
      </c>
      <c r="R268" s="10">
        <v>0.4980928564257004</v>
      </c>
      <c r="S268" s="10">
        <v>0.020818954617496555</v>
      </c>
      <c r="T268" s="10">
        <v>22.00364354705459</v>
      </c>
      <c r="U268" s="11">
        <v>0.25018111292134493</v>
      </c>
      <c r="V268" s="11">
        <v>0.1364747762023174</v>
      </c>
      <c r="W268" s="11">
        <v>0.12263857792816187</v>
      </c>
      <c r="X268" s="11">
        <v>0.22302637505610698</v>
      </c>
      <c r="Y268" s="11">
        <v>0.0934247503072733</v>
      </c>
      <c r="Z268" s="11">
        <v>0.1742544075847956</v>
      </c>
    </row>
    <row r="269" ht="22.5" customHeight="1">
      <c r="Q269" s="9" t="s">
        <v>307</v>
      </c>
      <c r="R269" s="10">
        <v>0.5642984255037335</v>
      </c>
      <c r="S269" s="10">
        <v>0.02383594771787949</v>
      </c>
      <c r="T269" s="10">
        <v>21.996122483120484</v>
      </c>
      <c r="U269" s="11">
        <v>0.19282730773975</v>
      </c>
      <c r="V269" s="11">
        <v>0.12687773466923732</v>
      </c>
      <c r="W269" s="11">
        <v>0.162809638924306</v>
      </c>
      <c r="X269" s="11">
        <v>0.35109654561756887</v>
      </c>
      <c r="Y269" s="11">
        <v>0.15699029371920886</v>
      </c>
      <c r="Z269" s="11">
        <v>0.009398479329929047</v>
      </c>
    </row>
    <row r="270" ht="22.5" customHeight="1">
      <c r="Q270" s="9" t="s">
        <v>308</v>
      </c>
      <c r="R270" s="10">
        <v>0.305413892786507</v>
      </c>
      <c r="S270" s="10">
        <v>0.01206643198142819</v>
      </c>
      <c r="T270" s="10">
        <v>21.996054276443406</v>
      </c>
      <c r="U270" s="11">
        <v>0.23864909305730458</v>
      </c>
      <c r="V270" s="11">
        <v>0.03683683928380627</v>
      </c>
      <c r="W270" s="11">
        <v>0.05719108925742434</v>
      </c>
      <c r="X270" s="11">
        <v>0.4244382113487895</v>
      </c>
      <c r="Y270" s="11">
        <v>0.11859312285157268</v>
      </c>
      <c r="Z270" s="11">
        <v>0.12429164420110271</v>
      </c>
    </row>
    <row r="271" ht="22.5" customHeight="1">
      <c r="Q271" s="9" t="s">
        <v>309</v>
      </c>
      <c r="R271" s="10">
        <v>0.42348662062974995</v>
      </c>
      <c r="S271" s="10">
        <v>0.01743893051074955</v>
      </c>
      <c r="T271" s="10">
        <v>21.990260262426336</v>
      </c>
      <c r="U271" s="11">
        <v>0.07228551640906136</v>
      </c>
      <c r="V271" s="11">
        <v>0.1150009687485967</v>
      </c>
      <c r="W271" s="11">
        <v>0.09254356060793975</v>
      </c>
      <c r="X271" s="11">
        <v>0.19674270789239248</v>
      </c>
      <c r="Y271" s="11">
        <v>0.2419686275509324</v>
      </c>
      <c r="Z271" s="11">
        <v>0.28145861879107736</v>
      </c>
    </row>
    <row r="272" ht="22.5" customHeight="1">
      <c r="Q272" s="9" t="s">
        <v>310</v>
      </c>
      <c r="R272" s="10">
        <v>0.5056674248877253</v>
      </c>
      <c r="S272" s="10">
        <v>0.021176472242633092</v>
      </c>
      <c r="T272" s="10">
        <v>21.9898489017557</v>
      </c>
      <c r="U272" s="11">
        <v>0.2290381554803311</v>
      </c>
      <c r="V272" s="11">
        <v>0.12111356380529895</v>
      </c>
      <c r="W272" s="11">
        <v>0.13820718552296696</v>
      </c>
      <c r="X272" s="11">
        <v>0.24289869572534095</v>
      </c>
      <c r="Y272" s="11">
        <v>0.15660884615040976</v>
      </c>
      <c r="Z272" s="11">
        <v>0.11213355331565224</v>
      </c>
    </row>
    <row r="273" ht="22.5" customHeight="1">
      <c r="Q273" s="9" t="s">
        <v>311</v>
      </c>
      <c r="R273" s="10">
        <v>0.4639617165879972</v>
      </c>
      <c r="S273" s="10">
        <v>0.019279973415377648</v>
      </c>
      <c r="T273" s="10">
        <v>21.98974591167468</v>
      </c>
      <c r="U273" s="11">
        <v>0.23366218065815533</v>
      </c>
      <c r="V273" s="11">
        <v>0.13846602801878471</v>
      </c>
      <c r="W273" s="11">
        <v>0.09691815979586213</v>
      </c>
      <c r="X273" s="11">
        <v>0.2069760862644668</v>
      </c>
      <c r="Y273" s="11">
        <v>0.11444188853929986</v>
      </c>
      <c r="Z273" s="11">
        <v>0.2095356567234311</v>
      </c>
    </row>
    <row r="274" ht="22.5" customHeight="1">
      <c r="Q274" s="9" t="s">
        <v>312</v>
      </c>
      <c r="R274" s="10">
        <v>0.4610161492136447</v>
      </c>
      <c r="S274" s="10">
        <v>0.01914702345713804</v>
      </c>
      <c r="T274" s="10">
        <v>21.988595259003002</v>
      </c>
      <c r="U274" s="11">
        <v>0.1794024497232926</v>
      </c>
      <c r="V274" s="11">
        <v>0.11077501783431219</v>
      </c>
      <c r="W274" s="11">
        <v>0.12026780345202112</v>
      </c>
      <c r="X274" s="11">
        <v>0.2050062425964966</v>
      </c>
      <c r="Y274" s="11">
        <v>0.20676849458813906</v>
      </c>
      <c r="Z274" s="11">
        <v>0.1777799918057383</v>
      </c>
    </row>
    <row r="275" ht="22.5" customHeight="1">
      <c r="Q275" s="9" t="s">
        <v>313</v>
      </c>
      <c r="R275" s="10">
        <v>0.5210291416324148</v>
      </c>
      <c r="S275" s="10">
        <v>0.021877714221120066</v>
      </c>
      <c r="T275" s="10">
        <v>21.987175477776567</v>
      </c>
      <c r="U275" s="11">
        <v>0.048159847259388315</v>
      </c>
      <c r="V275" s="11">
        <v>0.1403927252972026</v>
      </c>
      <c r="W275" s="11">
        <v>0.1260214764121608</v>
      </c>
      <c r="X275" s="11">
        <v>0.2645328080801007</v>
      </c>
      <c r="Y275" s="11">
        <v>0.29592194330685007</v>
      </c>
      <c r="Z275" s="11">
        <v>0.12497119964429748</v>
      </c>
    </row>
    <row r="276" ht="22.5" customHeight="1">
      <c r="Q276" s="9" t="s">
        <v>314</v>
      </c>
      <c r="R276" s="10">
        <v>0.5328968474859904</v>
      </c>
      <c r="S276" s="10">
        <v>0.022418794565925618</v>
      </c>
      <c r="T276" s="10">
        <v>21.98587645007219</v>
      </c>
      <c r="U276" s="11">
        <v>0.33628056425382113</v>
      </c>
      <c r="V276" s="11">
        <v>0.16383605824314074</v>
      </c>
      <c r="W276" s="11">
        <v>0.10985702958369215</v>
      </c>
      <c r="X276" s="11">
        <v>0.27232551804392935</v>
      </c>
      <c r="Y276" s="11">
        <v>0.07186877176444374</v>
      </c>
      <c r="Z276" s="11">
        <v>0.04583205811097296</v>
      </c>
    </row>
    <row r="277" ht="22.5" customHeight="1">
      <c r="Q277" s="9" t="s">
        <v>315</v>
      </c>
      <c r="R277" s="10">
        <v>0.5092881940823057</v>
      </c>
      <c r="S277" s="10">
        <v>0.0213450435569135</v>
      </c>
      <c r="T277" s="10">
        <v>21.985815715532087</v>
      </c>
      <c r="U277" s="11">
        <v>0.22897717723676667</v>
      </c>
      <c r="V277" s="11">
        <v>0.15166858785581835</v>
      </c>
      <c r="W277" s="11">
        <v>0.11485530138856245</v>
      </c>
      <c r="X277" s="11">
        <v>0.26260656190855663</v>
      </c>
      <c r="Y277" s="11">
        <v>0.037979640098184254</v>
      </c>
      <c r="Z277" s="11">
        <v>0.20391273151211176</v>
      </c>
    </row>
    <row r="278" ht="22.5" customHeight="1">
      <c r="Q278" s="9" t="s">
        <v>316</v>
      </c>
      <c r="R278" s="10">
        <v>0.3701009414002148</v>
      </c>
      <c r="S278" s="10">
        <v>0.015016903272852634</v>
      </c>
      <c r="T278" s="10">
        <v>21.981958290759394</v>
      </c>
      <c r="U278" s="11">
        <v>0.3137971500893525</v>
      </c>
      <c r="V278" s="11">
        <v>0.0969015655557776</v>
      </c>
      <c r="W278" s="11">
        <v>0.05870835478927995</v>
      </c>
      <c r="X278" s="11">
        <v>0.2060857319469841</v>
      </c>
      <c r="Y278" s="11">
        <v>0.23028149939692563</v>
      </c>
      <c r="Z278" s="11">
        <v>0.09422569822168021</v>
      </c>
    </row>
    <row r="279" ht="22.5" customHeight="1">
      <c r="Q279" s="9" t="s">
        <v>317</v>
      </c>
      <c r="R279" s="10">
        <v>0.31119407456025777</v>
      </c>
      <c r="S279" s="10">
        <v>0.012338044662695594</v>
      </c>
      <c r="T279" s="10">
        <v>21.980312275916805</v>
      </c>
      <c r="U279" s="11">
        <v>0.30015058702619174</v>
      </c>
      <c r="V279" s="11">
        <v>0.06984365733610783</v>
      </c>
      <c r="W279" s="11">
        <v>0.0523165672809516</v>
      </c>
      <c r="X279" s="11">
        <v>0.2272628942128083</v>
      </c>
      <c r="Y279" s="11">
        <v>0.0844686206455751</v>
      </c>
      <c r="Z279" s="11">
        <v>0.2659576734983655</v>
      </c>
    </row>
    <row r="280" ht="22.5" customHeight="1">
      <c r="Q280" s="9" t="s">
        <v>318</v>
      </c>
      <c r="R280" s="10">
        <v>0.539980581092983</v>
      </c>
      <c r="S280" s="10">
        <v>0.022747034715536914</v>
      </c>
      <c r="T280" s="10">
        <v>21.980033325024166</v>
      </c>
      <c r="U280" s="11">
        <v>0.16259844657304165</v>
      </c>
      <c r="V280" s="11">
        <v>0.12375581376903201</v>
      </c>
      <c r="W280" s="11">
        <v>0.15176366494887464</v>
      </c>
      <c r="X280" s="11">
        <v>0.300519479479172</v>
      </c>
      <c r="Y280" s="11">
        <v>0.22280853685316965</v>
      </c>
      <c r="Z280" s="11">
        <v>0.03855405837670999</v>
      </c>
    </row>
    <row r="281" ht="22.5" customHeight="1">
      <c r="Q281" s="9" t="s">
        <v>319</v>
      </c>
      <c r="R281" s="10">
        <v>0.37782580177482844</v>
      </c>
      <c r="S281" s="10">
        <v>0.015370234935955655</v>
      </c>
      <c r="T281" s="10">
        <v>21.979221734896917</v>
      </c>
      <c r="U281" s="11">
        <v>0.22428481801626052</v>
      </c>
      <c r="V281" s="11">
        <v>0.10321837949348872</v>
      </c>
      <c r="W281" s="11">
        <v>0.06004271612254992</v>
      </c>
      <c r="X281" s="11">
        <v>0.2061028514398776</v>
      </c>
      <c r="Y281" s="11">
        <v>0.26560723254325963</v>
      </c>
      <c r="Z281" s="11">
        <v>0.14074400238456364</v>
      </c>
    </row>
    <row r="282" ht="22.5" customHeight="1">
      <c r="Q282" s="9" t="s">
        <v>320</v>
      </c>
      <c r="R282" s="10">
        <v>0.4378418311448201</v>
      </c>
      <c r="S282" s="10">
        <v>0.018101438338469136</v>
      </c>
      <c r="T282" s="10">
        <v>21.97846512005223</v>
      </c>
      <c r="U282" s="11">
        <v>0.1516875755241344</v>
      </c>
      <c r="V282" s="11">
        <v>0.1038189485839052</v>
      </c>
      <c r="W282" s="11">
        <v>0.11621643596207903</v>
      </c>
      <c r="X282" s="11">
        <v>0.26728204137198613</v>
      </c>
      <c r="Y282" s="11">
        <v>0.03560480760425254</v>
      </c>
      <c r="Z282" s="11">
        <v>0.3253901909536428</v>
      </c>
    </row>
    <row r="283" ht="22.5" customHeight="1">
      <c r="Q283" s="9" t="s">
        <v>321</v>
      </c>
      <c r="R283" s="10">
        <v>0.466777001230167</v>
      </c>
      <c r="S283" s="10">
        <v>0.019418016013178118</v>
      </c>
      <c r="T283" s="10">
        <v>21.97840402132396</v>
      </c>
      <c r="U283" s="11">
        <v>0.08696473469579304</v>
      </c>
      <c r="V283" s="11">
        <v>0.10610350842202958</v>
      </c>
      <c r="W283" s="11">
        <v>0.1225920767691255</v>
      </c>
      <c r="X283" s="11">
        <v>0.24934011012648047</v>
      </c>
      <c r="Y283" s="11">
        <v>0.28760849736183663</v>
      </c>
      <c r="Z283" s="11">
        <v>0.14739107262473475</v>
      </c>
    </row>
    <row r="284" ht="22.5" customHeight="1">
      <c r="Q284" s="9" t="s">
        <v>322</v>
      </c>
      <c r="R284" s="10">
        <v>0.522331348251574</v>
      </c>
      <c r="S284" s="10">
        <v>0.022483054332392303</v>
      </c>
      <c r="T284" s="10">
        <v>21.975527815755925</v>
      </c>
      <c r="U284" s="11">
        <v>0.23919942823096146</v>
      </c>
      <c r="V284" s="11">
        <v>0.14446460686758142</v>
      </c>
      <c r="W284" s="11">
        <v>0.13822145666144797</v>
      </c>
      <c r="X284" s="11">
        <v>0.27070285881709644</v>
      </c>
      <c r="Y284" s="11">
        <v>0.04907985269935925</v>
      </c>
      <c r="Z284" s="11">
        <v>0.15833179672355338</v>
      </c>
    </row>
    <row r="285" ht="22.5" customHeight="1">
      <c r="Q285" s="9" t="s">
        <v>323</v>
      </c>
      <c r="R285" s="10">
        <v>0.38291723663064103</v>
      </c>
      <c r="S285" s="10">
        <v>0.0156057373815223</v>
      </c>
      <c r="T285" s="10">
        <v>21.97379260249927</v>
      </c>
      <c r="U285" s="11">
        <v>0.2602543055376134</v>
      </c>
      <c r="V285" s="11">
        <v>0.07182413953665208</v>
      </c>
      <c r="W285" s="11">
        <v>0.09977125249079546</v>
      </c>
      <c r="X285" s="11">
        <v>0.21733819303472363</v>
      </c>
      <c r="Y285" s="11">
        <v>0.17707032214318932</v>
      </c>
      <c r="Z285" s="11">
        <v>0.17374178725702624</v>
      </c>
    </row>
    <row r="286" ht="22.5" customHeight="1">
      <c r="Q286" s="9" t="s">
        <v>324</v>
      </c>
      <c r="R286" s="10">
        <v>0.5231610355000851</v>
      </c>
      <c r="S286" s="10">
        <v>0.021988207222209472</v>
      </c>
      <c r="T286" s="10">
        <v>21.973643899992997</v>
      </c>
      <c r="U286" s="11">
        <v>0.17909188198434092</v>
      </c>
      <c r="V286" s="11">
        <v>0.1461742295454598</v>
      </c>
      <c r="W286" s="11">
        <v>0.12860392424130587</v>
      </c>
      <c r="X286" s="11">
        <v>0.2253754048593381</v>
      </c>
      <c r="Y286" s="11">
        <v>0.1735123839951678</v>
      </c>
      <c r="Z286" s="11">
        <v>0.14724217537438755</v>
      </c>
    </row>
    <row r="287" ht="22.5" customHeight="1">
      <c r="Q287" s="9" t="s">
        <v>325</v>
      </c>
      <c r="R287" s="10">
        <v>0.4277054142508885</v>
      </c>
      <c r="S287" s="10">
        <v>0.01764425732654911</v>
      </c>
      <c r="T287" s="10">
        <v>21.973461794139254</v>
      </c>
      <c r="U287" s="11">
        <v>0.1342046287188131</v>
      </c>
      <c r="V287" s="11">
        <v>0.12818251681398887</v>
      </c>
      <c r="W287" s="11">
        <v>0.07932780929731252</v>
      </c>
      <c r="X287" s="11">
        <v>0.20310793821737763</v>
      </c>
      <c r="Y287" s="11">
        <v>0.21834191035600956</v>
      </c>
      <c r="Z287" s="11">
        <v>0.23683519659649824</v>
      </c>
    </row>
    <row r="288" ht="22.5" customHeight="1">
      <c r="Q288" s="9" t="s">
        <v>326</v>
      </c>
      <c r="R288" s="10">
        <v>0.4482277177538567</v>
      </c>
      <c r="S288" s="10">
        <v>0.018579401070299227</v>
      </c>
      <c r="T288" s="10">
        <v>21.972060143878583</v>
      </c>
      <c r="U288" s="11">
        <v>0.27223109643047383</v>
      </c>
      <c r="V288" s="11">
        <v>0.12483726499108617</v>
      </c>
      <c r="W288" s="11">
        <v>0.10190795239245948</v>
      </c>
      <c r="X288" s="11">
        <v>0.22854214327034614</v>
      </c>
      <c r="Y288" s="11">
        <v>0.015419019537024296</v>
      </c>
      <c r="Z288" s="11">
        <v>0.25706252337861</v>
      </c>
    </row>
    <row r="289" ht="22.5" customHeight="1">
      <c r="Q289" s="9" t="s">
        <v>327</v>
      </c>
      <c r="R289" s="10">
        <v>0.5026671078570057</v>
      </c>
      <c r="S289" s="10">
        <v>0.02105791626863286</v>
      </c>
      <c r="T289" s="10">
        <v>21.971172358880477</v>
      </c>
      <c r="U289" s="11">
        <v>0.26001473993218477</v>
      </c>
      <c r="V289" s="11">
        <v>0.1293881653745954</v>
      </c>
      <c r="W289" s="11">
        <v>0.12287798029527812</v>
      </c>
      <c r="X289" s="11">
        <v>0.20736697872674303</v>
      </c>
      <c r="Y289" s="11">
        <v>0.25905183240443946</v>
      </c>
      <c r="Z289" s="11">
        <v>0.021300303266759177</v>
      </c>
    </row>
    <row r="290" ht="22.5" customHeight="1">
      <c r="Q290" s="9" t="s">
        <v>328</v>
      </c>
      <c r="R290" s="10">
        <v>0.35909154704493285</v>
      </c>
      <c r="S290" s="10">
        <v>0.014523605882956859</v>
      </c>
      <c r="T290" s="10">
        <v>21.970545718221395</v>
      </c>
      <c r="U290" s="11">
        <v>0.03553746216995141</v>
      </c>
      <c r="V290" s="11">
        <v>0.099159606873012</v>
      </c>
      <c r="W290" s="11">
        <v>0.05251814726227952</v>
      </c>
      <c r="X290" s="11">
        <v>0.2644952740113381</v>
      </c>
      <c r="Y290" s="11">
        <v>0.2716271240046004</v>
      </c>
      <c r="Z290" s="11">
        <v>0.2766623856788187</v>
      </c>
    </row>
    <row r="291" ht="22.5" customHeight="1">
      <c r="Q291" s="9" t="s">
        <v>329</v>
      </c>
      <c r="R291" s="10">
        <v>0.5242672395207173</v>
      </c>
      <c r="S291" s="10">
        <v>0.022041961612158975</v>
      </c>
      <c r="T291" s="10">
        <v>21.970242396828315</v>
      </c>
      <c r="U291" s="11">
        <v>0.10982499356945506</v>
      </c>
      <c r="V291" s="11">
        <v>0.12546962884900448</v>
      </c>
      <c r="W291" s="11">
        <v>0.14536952412002496</v>
      </c>
      <c r="X291" s="11">
        <v>0.2818169571409737</v>
      </c>
      <c r="Y291" s="11">
        <v>0.20084605812412473</v>
      </c>
      <c r="Z291" s="11">
        <v>0.136672838196417</v>
      </c>
    </row>
    <row r="292" ht="22.5" customHeight="1">
      <c r="Q292" s="9" t="s">
        <v>330</v>
      </c>
      <c r="R292" s="10">
        <v>0.5619838355479928</v>
      </c>
      <c r="S292" s="10">
        <v>0.023759259291153256</v>
      </c>
      <c r="T292" s="10">
        <v>21.969701544624883</v>
      </c>
      <c r="U292" s="11">
        <v>0.14807042285821678</v>
      </c>
      <c r="V292" s="11">
        <v>0.15465746194475885</v>
      </c>
      <c r="W292" s="11">
        <v>0.1420260023814168</v>
      </c>
      <c r="X292" s="11">
        <v>0.2616229312948244</v>
      </c>
      <c r="Y292" s="11">
        <v>0.21590077851739647</v>
      </c>
      <c r="Z292" s="11">
        <v>0.07772240300338672</v>
      </c>
    </row>
    <row r="293" ht="22.5" customHeight="1">
      <c r="Q293" s="9" t="s">
        <v>331</v>
      </c>
      <c r="R293" s="10">
        <v>0.5121961822352145</v>
      </c>
      <c r="S293" s="10">
        <v>0.021493292102391048</v>
      </c>
      <c r="T293" s="10">
        <v>21.969467496451344</v>
      </c>
      <c r="U293" s="11">
        <v>0.20325084894412926</v>
      </c>
      <c r="V293" s="11">
        <v>0.155910028566481</v>
      </c>
      <c r="W293" s="11">
        <v>0.10240908241959781</v>
      </c>
      <c r="X293" s="11">
        <v>0.23585489095258488</v>
      </c>
      <c r="Y293" s="11">
        <v>0.24435333023322559</v>
      </c>
      <c r="Z293" s="11">
        <v>0.05822181888398145</v>
      </c>
    </row>
    <row r="294" ht="22.5" customHeight="1">
      <c r="Q294" s="9" t="s">
        <v>332</v>
      </c>
      <c r="R294" s="10">
        <v>0.42573101752348125</v>
      </c>
      <c r="S294" s="10">
        <v>0.01755821558781343</v>
      </c>
      <c r="T294" s="10">
        <v>21.96869127129321</v>
      </c>
      <c r="U294" s="11">
        <v>0.2776078003551397</v>
      </c>
      <c r="V294" s="11">
        <v>0.09927709565640401</v>
      </c>
      <c r="W294" s="11">
        <v>0.10997928223305391</v>
      </c>
      <c r="X294" s="11">
        <v>0.24827649655363246</v>
      </c>
      <c r="Y294" s="11">
        <v>0.005325289745716343</v>
      </c>
      <c r="Z294" s="11">
        <v>0.2595340354560536</v>
      </c>
    </row>
    <row r="295" ht="22.5" customHeight="1">
      <c r="Q295" s="9" t="s">
        <v>333</v>
      </c>
      <c r="R295" s="10">
        <v>0.2796537766070978</v>
      </c>
      <c r="S295" s="10">
        <v>0.010909841374880267</v>
      </c>
      <c r="T295" s="10">
        <v>21.966751703548752</v>
      </c>
      <c r="U295" s="11">
        <v>0.1438335588548867</v>
      </c>
      <c r="V295" s="11">
        <v>0.05553472624405824</v>
      </c>
      <c r="W295" s="11">
        <v>0.038080081941100005</v>
      </c>
      <c r="X295" s="11">
        <v>0.29175801790685096</v>
      </c>
      <c r="Y295" s="11">
        <v>0.16509079988203507</v>
      </c>
      <c r="Z295" s="11">
        <v>0.30570281517106895</v>
      </c>
    </row>
    <row r="296" ht="22.5" customHeight="1">
      <c r="Q296" s="9" t="s">
        <v>334</v>
      </c>
      <c r="R296" s="10">
        <v>0.4835437280740106</v>
      </c>
      <c r="S296" s="10">
        <v>0.020192596376702485</v>
      </c>
      <c r="T296" s="10">
        <v>21.965661067031277</v>
      </c>
      <c r="U296" s="11">
        <v>0.012132347288528602</v>
      </c>
      <c r="V296" s="11">
        <v>0.13300489614738487</v>
      </c>
      <c r="W296" s="11">
        <v>0.1178540869517354</v>
      </c>
      <c r="X296" s="11">
        <v>0.25373277680344775</v>
      </c>
      <c r="Y296" s="11">
        <v>0.18281933416731544</v>
      </c>
      <c r="Z296" s="11">
        <v>0.30045655864158793</v>
      </c>
    </row>
    <row r="297" ht="22.5" customHeight="1">
      <c r="Q297" s="9" t="s">
        <v>335</v>
      </c>
      <c r="R297" s="10">
        <v>0.48069148414533175</v>
      </c>
      <c r="S297" s="10">
        <v>0.02006582752985618</v>
      </c>
      <c r="T297" s="10">
        <v>21.962288048654944</v>
      </c>
      <c r="U297" s="11">
        <v>0.19365919655595717</v>
      </c>
      <c r="V297" s="11">
        <v>0.13898955639855215</v>
      </c>
      <c r="W297" s="11">
        <v>0.09271078750720811</v>
      </c>
      <c r="X297" s="11">
        <v>0.2312417833360349</v>
      </c>
      <c r="Y297" s="11">
        <v>0.31805825986920583</v>
      </c>
      <c r="Z297" s="11">
        <v>0.025340416333041876</v>
      </c>
    </row>
    <row r="298" ht="22.5" customHeight="1">
      <c r="Q298" s="9" t="s">
        <v>336</v>
      </c>
      <c r="R298" s="10">
        <v>0.3795553423422863</v>
      </c>
      <c r="S298" s="10">
        <v>0.015461703202282203</v>
      </c>
      <c r="T298" s="10">
        <v>21.961056805964734</v>
      </c>
      <c r="U298" s="11">
        <v>0.1835203879259146</v>
      </c>
      <c r="V298" s="11">
        <v>0.0651233698539037</v>
      </c>
      <c r="W298" s="11">
        <v>0.10444912529899468</v>
      </c>
      <c r="X298" s="11">
        <v>0.2722066393656269</v>
      </c>
      <c r="Y298" s="11">
        <v>0.13220849084761083</v>
      </c>
      <c r="Z298" s="11">
        <v>0.24249198670794933</v>
      </c>
    </row>
    <row r="299" ht="22.5" customHeight="1">
      <c r="Q299" s="9" t="s">
        <v>337</v>
      </c>
      <c r="R299" s="10">
        <v>0.4036234545579262</v>
      </c>
      <c r="S299" s="10">
        <v>0.0165578461625308</v>
      </c>
      <c r="T299" s="10">
        <v>21.960794356259914</v>
      </c>
      <c r="U299" s="11">
        <v>0.19329795095856817</v>
      </c>
      <c r="V299" s="11">
        <v>0.12621372441833661</v>
      </c>
      <c r="W299" s="11">
        <v>0.05834175875026114</v>
      </c>
      <c r="X299" s="11">
        <v>0.3248625498725737</v>
      </c>
      <c r="Y299" s="11">
        <v>0.024806299731542917</v>
      </c>
      <c r="Z299" s="11">
        <v>0.27247771626871753</v>
      </c>
    </row>
    <row r="300" ht="22.5" customHeight="1">
      <c r="Q300" s="9" t="s">
        <v>338</v>
      </c>
      <c r="R300" s="10">
        <v>0.522331348251574</v>
      </c>
      <c r="S300" s="10">
        <v>0.016253454179756734</v>
      </c>
      <c r="T300" s="10">
        <v>21.960339400235053</v>
      </c>
      <c r="U300" s="11">
        <v>0.13192206960264527</v>
      </c>
      <c r="V300" s="11">
        <v>0.07170380638534254</v>
      </c>
      <c r="W300" s="11">
        <v>0.10501247559831393</v>
      </c>
      <c r="X300" s="11">
        <v>0.26103000550376004</v>
      </c>
      <c r="Y300" s="11">
        <v>0.26365185652551615</v>
      </c>
      <c r="Z300" s="11">
        <v>0.16667978638442196</v>
      </c>
    </row>
    <row r="301" ht="22.5" customHeight="1">
      <c r="Q301" s="9" t="s">
        <v>339</v>
      </c>
      <c r="R301" s="10">
        <v>0.4251916203474967</v>
      </c>
      <c r="S301" s="10">
        <v>0.017542356831516937</v>
      </c>
      <c r="T301" s="10">
        <v>21.95780327848844</v>
      </c>
      <c r="U301" s="11">
        <v>0.23228407710434384</v>
      </c>
      <c r="V301" s="11">
        <v>0.09102261757234334</v>
      </c>
      <c r="W301" s="11">
        <v>0.11660711477508216</v>
      </c>
      <c r="X301" s="11">
        <v>0.25552896997058383</v>
      </c>
      <c r="Y301" s="11">
        <v>0.048118324148571534</v>
      </c>
      <c r="Z301" s="11">
        <v>0.25643889642907536</v>
      </c>
    </row>
    <row r="302" ht="22.5" customHeight="1">
      <c r="Q302" s="9" t="s">
        <v>340</v>
      </c>
      <c r="R302" s="10">
        <v>0.4725747965843925</v>
      </c>
      <c r="S302" s="10">
        <v>0.01970109857390923</v>
      </c>
      <c r="T302" s="10">
        <v>21.956887072138436</v>
      </c>
      <c r="U302" s="11">
        <v>0.267031210349508</v>
      </c>
      <c r="V302" s="11">
        <v>0.12127329178773227</v>
      </c>
      <c r="W302" s="11">
        <v>0.11369444890030009</v>
      </c>
      <c r="X302" s="11">
        <v>0.18368352944805016</v>
      </c>
      <c r="Y302" s="11">
        <v>0.23618282742556523</v>
      </c>
      <c r="Z302" s="11">
        <v>0.07813469208884426</v>
      </c>
    </row>
    <row r="303" ht="22.5" customHeight="1">
      <c r="Q303" s="9" t="s">
        <v>341</v>
      </c>
      <c r="R303" s="10">
        <v>0.29894102060596534</v>
      </c>
      <c r="S303" s="10">
        <v>0.011794368201201085</v>
      </c>
      <c r="T303" s="10">
        <v>21.95463259995529</v>
      </c>
      <c r="U303" s="11">
        <v>0.18782800990480622</v>
      </c>
      <c r="V303" s="11">
        <v>0.07339034079211718</v>
      </c>
      <c r="W303" s="11">
        <v>0.03133984210895327</v>
      </c>
      <c r="X303" s="11">
        <v>0.30201102255610757</v>
      </c>
      <c r="Y303" s="11">
        <v>0.14377841606990252</v>
      </c>
      <c r="Z303" s="11">
        <v>0.2616523685681132</v>
      </c>
    </row>
    <row r="304" ht="22.5" customHeight="1">
      <c r="Q304" s="9" t="s">
        <v>342</v>
      </c>
      <c r="R304" s="10">
        <v>0.37508621525675456</v>
      </c>
      <c r="S304" s="10">
        <v>0.015262936654040363</v>
      </c>
      <c r="T304" s="10">
        <v>21.954242676362774</v>
      </c>
      <c r="U304" s="11">
        <v>0.16010195330374818</v>
      </c>
      <c r="V304" s="11">
        <v>0.10045184761310227</v>
      </c>
      <c r="W304" s="11">
        <v>0.04483911610333497</v>
      </c>
      <c r="X304" s="11">
        <v>0.3250623768197146</v>
      </c>
      <c r="Y304" s="11">
        <v>0.31580566443065305</v>
      </c>
      <c r="Z304" s="11">
        <v>0.05373904172944683</v>
      </c>
    </row>
    <row r="305" ht="22.5" customHeight="1">
      <c r="Q305" s="9" t="s">
        <v>343</v>
      </c>
      <c r="R305" s="10">
        <v>0.5124484521179119</v>
      </c>
      <c r="S305" s="10">
        <v>0.021521742615047645</v>
      </c>
      <c r="T305" s="10">
        <v>21.95214674612751</v>
      </c>
      <c r="U305" s="11">
        <v>0.1784741181331671</v>
      </c>
      <c r="V305" s="11">
        <v>0.15634046350232925</v>
      </c>
      <c r="W305" s="11">
        <v>0.1117957428165425</v>
      </c>
      <c r="X305" s="11">
        <v>0.23451281184545505</v>
      </c>
      <c r="Y305" s="11">
        <v>0.13335883603972995</v>
      </c>
      <c r="Z305" s="11">
        <v>0.18551802766277617</v>
      </c>
    </row>
    <row r="306" ht="22.5" customHeight="1">
      <c r="Q306" s="9" t="s">
        <v>344</v>
      </c>
      <c r="R306" s="10">
        <v>0.47078921479187286</v>
      </c>
      <c r="S306" s="10">
        <v>0.019624287050035244</v>
      </c>
      <c r="T306" s="10">
        <v>21.951840272897925</v>
      </c>
      <c r="U306" s="11">
        <v>0.16544970448082727</v>
      </c>
      <c r="V306" s="11">
        <v>0.13051848748043815</v>
      </c>
      <c r="W306" s="11">
        <v>0.10704332493068333</v>
      </c>
      <c r="X306" s="11">
        <v>0.18717445802067637</v>
      </c>
      <c r="Y306" s="11">
        <v>0.24555172935820202</v>
      </c>
      <c r="Z306" s="11">
        <v>0.16426229572917303</v>
      </c>
    </row>
    <row r="307" ht="22.5" customHeight="1">
      <c r="Q307" s="9" t="s">
        <v>345</v>
      </c>
      <c r="R307" s="10">
        <v>0.35422605513684063</v>
      </c>
      <c r="S307" s="10">
        <v>0.014315026046322812</v>
      </c>
      <c r="T307" s="10">
        <v>21.950784729278073</v>
      </c>
      <c r="U307" s="11">
        <v>0.03689090138655488</v>
      </c>
      <c r="V307" s="11">
        <v>0.0646268445699798</v>
      </c>
      <c r="W307" s="11">
        <v>0.08707831636864942</v>
      </c>
      <c r="X307" s="11">
        <v>0.2685554158421318</v>
      </c>
      <c r="Y307" s="11">
        <v>0.23732403561667054</v>
      </c>
      <c r="Z307" s="11">
        <v>0.3055244862160137</v>
      </c>
    </row>
    <row r="308" ht="22.5" customHeight="1">
      <c r="Q308" s="9" t="s">
        <v>346</v>
      </c>
      <c r="R308" s="10">
        <v>0.373414675026274</v>
      </c>
      <c r="S308" s="10">
        <v>0.015190071727626379</v>
      </c>
      <c r="T308" s="10">
        <v>21.949512879513826</v>
      </c>
      <c r="U308" s="11">
        <v>0.2227537989131323</v>
      </c>
      <c r="V308" s="11">
        <v>0.10407187054979218</v>
      </c>
      <c r="W308" s="11">
        <v>0.05185772128522855</v>
      </c>
      <c r="X308" s="11">
        <v>0.23582618456584173</v>
      </c>
      <c r="Y308" s="11">
        <v>0.26766068606532445</v>
      </c>
      <c r="Z308" s="11">
        <v>0.11782973862068086</v>
      </c>
    </row>
    <row r="309" ht="22.5" customHeight="1">
      <c r="Q309" s="9" t="s">
        <v>347</v>
      </c>
      <c r="R309" s="10">
        <v>0.4408698257836173</v>
      </c>
      <c r="S309" s="10">
        <v>0.01826480506594194</v>
      </c>
      <c r="T309" s="10">
        <v>21.947665159104936</v>
      </c>
      <c r="U309" s="11">
        <v>0.2964425753558937</v>
      </c>
      <c r="V309" s="11">
        <v>0.1370611789999968</v>
      </c>
      <c r="W309" s="11">
        <v>0.0715307626475794</v>
      </c>
      <c r="X309" s="11">
        <v>0.2340693303540535</v>
      </c>
      <c r="Y309" s="11">
        <v>0.1529941396801638</v>
      </c>
      <c r="Z309" s="11">
        <v>0.10790201296231282</v>
      </c>
    </row>
    <row r="310" ht="22.5" customHeight="1">
      <c r="Q310" s="9" t="s">
        <v>348</v>
      </c>
      <c r="R310" s="10">
        <v>0.4611278278230248</v>
      </c>
      <c r="S310" s="10">
        <v>0.01918921574287312</v>
      </c>
      <c r="T310" s="10">
        <v>21.946067701043585</v>
      </c>
      <c r="U310" s="11">
        <v>0.341362496851736</v>
      </c>
      <c r="V310" s="11">
        <v>0.09392999164785722</v>
      </c>
      <c r="W310" s="11">
        <v>0.1299485252055124</v>
      </c>
      <c r="X310" s="11">
        <v>0.27258933844337163</v>
      </c>
      <c r="Y310" s="11">
        <v>0.07354948658783378</v>
      </c>
      <c r="Z310" s="11">
        <v>0.088620161263689</v>
      </c>
    </row>
    <row r="311" ht="22.5" customHeight="1">
      <c r="Q311" s="9" t="s">
        <v>349</v>
      </c>
      <c r="R311" s="10">
        <v>0.3119169670003616</v>
      </c>
      <c r="S311" s="10">
        <v>0.012390520050605256</v>
      </c>
      <c r="T311" s="10">
        <v>21.945565310398646</v>
      </c>
      <c r="U311" s="11">
        <v>0.012774415330609261</v>
      </c>
      <c r="V311" s="11">
        <v>0.0774613552437408</v>
      </c>
      <c r="W311" s="11">
        <v>0.03928110413073637</v>
      </c>
      <c r="X311" s="11">
        <v>0.3468224831258287</v>
      </c>
      <c r="Y311" s="11">
        <v>0.15558875163923291</v>
      </c>
      <c r="Z311" s="11">
        <v>0.36807189052985206</v>
      </c>
    </row>
    <row r="312" ht="22.5" customHeight="1">
      <c r="Q312" s="9" t="s">
        <v>350</v>
      </c>
      <c r="R312" s="10">
        <v>0.37986828150984026</v>
      </c>
      <c r="S312" s="10">
        <v>0.015487358918335506</v>
      </c>
      <c r="T312" s="10">
        <v>21.94488313352574</v>
      </c>
      <c r="U312" s="11">
        <v>0.2232368380982815</v>
      </c>
      <c r="V312" s="11">
        <v>0.10149145442600602</v>
      </c>
      <c r="W312" s="11">
        <v>0.06670994187512776</v>
      </c>
      <c r="X312" s="11">
        <v>0.18237596868137987</v>
      </c>
      <c r="Y312" s="11">
        <v>0.2639471614058627</v>
      </c>
      <c r="Z312" s="11">
        <v>0.1622386355133421</v>
      </c>
    </row>
    <row r="313" ht="22.5" customHeight="1">
      <c r="Q313" s="9" t="s">
        <v>351</v>
      </c>
      <c r="R313" s="10">
        <v>0.5467477617903153</v>
      </c>
      <c r="S313" s="10">
        <v>0.02309221501415258</v>
      </c>
      <c r="T313" s="10">
        <v>21.944528122561803</v>
      </c>
      <c r="U313" s="11">
        <v>0.213516332718438</v>
      </c>
      <c r="V313" s="11">
        <v>0.1419180806239441</v>
      </c>
      <c r="W313" s="11">
        <v>0.1452189615478482</v>
      </c>
      <c r="X313" s="11">
        <v>0.24544901417961923</v>
      </c>
      <c r="Y313" s="11">
        <v>0.1826336064597954</v>
      </c>
      <c r="Z313" s="11">
        <v>0.07126400447035505</v>
      </c>
    </row>
    <row r="314" ht="22.5" customHeight="1">
      <c r="Q314" s="9" t="s">
        <v>352</v>
      </c>
      <c r="R314" s="10">
        <v>0.5400600197626589</v>
      </c>
      <c r="S314" s="10">
        <v>0.022787497971834825</v>
      </c>
      <c r="T314" s="10">
        <v>21.944489929553885</v>
      </c>
      <c r="U314" s="11">
        <v>0.13384746546510942</v>
      </c>
      <c r="V314" s="11">
        <v>0.15700982535520996</v>
      </c>
      <c r="W314" s="11">
        <v>0.128402128095584</v>
      </c>
      <c r="X314" s="11">
        <v>0.24093209203107488</v>
      </c>
      <c r="Y314" s="11">
        <v>0.19607667693295508</v>
      </c>
      <c r="Z314" s="11">
        <v>0.1437318121200666</v>
      </c>
    </row>
    <row r="315" ht="22.5" customHeight="1">
      <c r="Q315" s="9" t="s">
        <v>353</v>
      </c>
      <c r="R315" s="10">
        <v>0.5246301427173863</v>
      </c>
      <c r="S315" s="10">
        <v>0.022084427585870512</v>
      </c>
      <c r="T315" s="10">
        <v>21.944428526979337</v>
      </c>
      <c r="U315" s="11">
        <v>0.17166135681561617</v>
      </c>
      <c r="V315" s="11">
        <v>0.13872879198836577</v>
      </c>
      <c r="W315" s="11">
        <v>0.13261710741253335</v>
      </c>
      <c r="X315" s="11">
        <v>0.22394636615191166</v>
      </c>
      <c r="Y315" s="11">
        <v>0.24834230374383384</v>
      </c>
      <c r="Z315" s="11">
        <v>0.08470407388773919</v>
      </c>
    </row>
    <row r="316" ht="22.5" customHeight="1">
      <c r="Q316" s="9" t="s">
        <v>354</v>
      </c>
      <c r="R316" s="10">
        <v>0.457880004384337</v>
      </c>
      <c r="S316" s="10">
        <v>0.019042712417804093</v>
      </c>
      <c r="T316" s="10">
        <v>21.9443530530681</v>
      </c>
      <c r="U316" s="11">
        <v>0.25258650158999063</v>
      </c>
      <c r="V316" s="11">
        <v>0.14135867694153437</v>
      </c>
      <c r="W316" s="11">
        <v>0.08456188894216947</v>
      </c>
      <c r="X316" s="11">
        <v>0.20978306822566067</v>
      </c>
      <c r="Y316" s="11">
        <v>0.1613910027142423</v>
      </c>
      <c r="Z316" s="11">
        <v>0.15031886158640276</v>
      </c>
    </row>
    <row r="317" ht="22.5" customHeight="1">
      <c r="Q317" s="9" t="s">
        <v>355</v>
      </c>
      <c r="R317" s="10">
        <v>0.5069494581292633</v>
      </c>
      <c r="S317" s="10">
        <v>0.021279107698586264</v>
      </c>
      <c r="T317" s="10">
        <v>21.94403377921182</v>
      </c>
      <c r="U317" s="11">
        <v>0.06740938259158961</v>
      </c>
      <c r="V317" s="11">
        <v>0.13156717441853882</v>
      </c>
      <c r="W317" s="11">
        <v>0.13063026640232478</v>
      </c>
      <c r="X317" s="11">
        <v>0.24312530784731265</v>
      </c>
      <c r="Y317" s="11">
        <v>0.24268546472967018</v>
      </c>
      <c r="Z317" s="11">
        <v>0.18458240401056386</v>
      </c>
    </row>
    <row r="318" ht="22.5" customHeight="1">
      <c r="Q318" s="9" t="s">
        <v>356</v>
      </c>
      <c r="R318" s="10">
        <v>0.46078659794444027</v>
      </c>
      <c r="S318" s="10">
        <v>0.019176842391120733</v>
      </c>
      <c r="T318" s="10">
        <v>21.942433971260723</v>
      </c>
      <c r="U318" s="11">
        <v>0.06499766880603382</v>
      </c>
      <c r="V318" s="11">
        <v>0.1033820290618102</v>
      </c>
      <c r="W318" s="11">
        <v>0.12658075002683994</v>
      </c>
      <c r="X318" s="11">
        <v>0.371499922696037</v>
      </c>
      <c r="Y318" s="11">
        <v>0.00515569188671809</v>
      </c>
      <c r="Z318" s="11">
        <v>0.32838393752256095</v>
      </c>
    </row>
    <row r="319" ht="22.5" customHeight="1">
      <c r="Q319" s="9" t="s">
        <v>357</v>
      </c>
      <c r="R319" s="10">
        <v>0.5150643737227091</v>
      </c>
      <c r="S319" s="10">
        <v>0.021652631464017767</v>
      </c>
      <c r="T319" s="10">
        <v>21.940260448812822</v>
      </c>
      <c r="U319" s="11">
        <v>0.2520865621888947</v>
      </c>
      <c r="V319" s="11">
        <v>0.11786535787729176</v>
      </c>
      <c r="W319" s="11">
        <v>0.14391392269319858</v>
      </c>
      <c r="X319" s="11">
        <v>0.25281735260118915</v>
      </c>
      <c r="Y319" s="11">
        <v>0.18452988429378578</v>
      </c>
      <c r="Z319" s="11">
        <v>0.048786920345639924</v>
      </c>
    </row>
    <row r="320" ht="22.5" customHeight="1">
      <c r="Q320" s="9" t="s">
        <v>358</v>
      </c>
      <c r="R320" s="10">
        <v>0.5083654801157759</v>
      </c>
      <c r="S320" s="10">
        <v>0.021347943908755187</v>
      </c>
      <c r="T320" s="10">
        <v>21.939606086546373</v>
      </c>
      <c r="U320" s="11">
        <v>0.21015168707663542</v>
      </c>
      <c r="V320" s="11">
        <v>0.129905958629001</v>
      </c>
      <c r="W320" s="11">
        <v>0.13693912801681848</v>
      </c>
      <c r="X320" s="11">
        <v>0.25730202112544787</v>
      </c>
      <c r="Y320" s="11">
        <v>0.06273493794950837</v>
      </c>
      <c r="Z320" s="11">
        <v>0.2029662672025888</v>
      </c>
    </row>
    <row r="321" ht="22.5" customHeight="1">
      <c r="Q321" s="9" t="s">
        <v>359</v>
      </c>
      <c r="R321" s="10">
        <v>0.452692581035324</v>
      </c>
      <c r="S321" s="10">
        <v>0.01881119501101253</v>
      </c>
      <c r="T321" s="10">
        <v>21.938669010327295</v>
      </c>
      <c r="U321" s="11">
        <v>0.16274565383426357</v>
      </c>
      <c r="V321" s="11">
        <v>0.12406398509127911</v>
      </c>
      <c r="W321" s="11">
        <v>0.10558272896933772</v>
      </c>
      <c r="X321" s="11">
        <v>0.1777195250909299</v>
      </c>
      <c r="Y321" s="11">
        <v>0.19528852473814848</v>
      </c>
      <c r="Z321" s="11">
        <v>0.23459958227604127</v>
      </c>
    </row>
    <row r="322" ht="22.5" customHeight="1">
      <c r="Q322" s="9" t="s">
        <v>360</v>
      </c>
      <c r="R322" s="10">
        <v>0.5352203864144542</v>
      </c>
      <c r="S322" s="10">
        <v>0.022574291238210552</v>
      </c>
      <c r="T322" s="10">
        <v>21.937361451960697</v>
      </c>
      <c r="U322" s="11">
        <v>0.09134679598189255</v>
      </c>
      <c r="V322" s="11">
        <v>0.1489499565917592</v>
      </c>
      <c r="W322" s="11">
        <v>0.13262658981610026</v>
      </c>
      <c r="X322" s="11">
        <v>0.24568444301910441</v>
      </c>
      <c r="Y322" s="11">
        <v>0.22812228715565452</v>
      </c>
      <c r="Z322" s="11">
        <v>0.15326992743548912</v>
      </c>
    </row>
    <row r="323" ht="22.5" customHeight="1">
      <c r="Q323" s="9" t="s">
        <v>361</v>
      </c>
      <c r="R323" s="10">
        <v>0.4885858220326965</v>
      </c>
      <c r="S323" s="10">
        <v>0.020448626259978616</v>
      </c>
      <c r="T323" s="10">
        <v>21.937210662931136</v>
      </c>
      <c r="U323" s="11">
        <v>0.25014661882307704</v>
      </c>
      <c r="V323" s="11">
        <v>0.11244464238472622</v>
      </c>
      <c r="W323" s="11">
        <v>0.13731930215204144</v>
      </c>
      <c r="X323" s="11">
        <v>0.2741550242308297</v>
      </c>
      <c r="Y323" s="11">
        <v>0.0484706934438837</v>
      </c>
      <c r="Z323" s="11">
        <v>0.17746371896544186</v>
      </c>
    </row>
    <row r="324" ht="22.5" customHeight="1">
      <c r="Q324" s="9" t="s">
        <v>362</v>
      </c>
      <c r="R324" s="10">
        <v>0.42465263781861773</v>
      </c>
      <c r="S324" s="10">
        <v>0.01753492085610196</v>
      </c>
      <c r="T324" s="10">
        <v>21.936377185572688</v>
      </c>
      <c r="U324" s="11">
        <v>0.21057962059614976</v>
      </c>
      <c r="V324" s="11">
        <v>0.09587473316415067</v>
      </c>
      <c r="W324" s="11">
        <v>0.11078826392400087</v>
      </c>
      <c r="X324" s="11">
        <v>0.18785535419873037</v>
      </c>
      <c r="Y324" s="11">
        <v>0.1922826782891034</v>
      </c>
      <c r="Z324" s="11">
        <v>0.2026193498278648</v>
      </c>
    </row>
    <row r="325" ht="22.5" customHeight="1">
      <c r="Q325" s="9" t="s">
        <v>363</v>
      </c>
      <c r="R325" s="10">
        <v>0.4409937061152319</v>
      </c>
      <c r="S325" s="10">
        <v>0.018279990164750883</v>
      </c>
      <c r="T325" s="10">
        <v>21.93621016757788</v>
      </c>
      <c r="U325" s="11">
        <v>0.25163613686575803</v>
      </c>
      <c r="V325" s="11">
        <v>0.14213988205683517</v>
      </c>
      <c r="W325" s="11">
        <v>0.06109371391221504</v>
      </c>
      <c r="X325" s="11">
        <v>0.29915047668802136</v>
      </c>
      <c r="Y325" s="11">
        <v>0.13841034053567594</v>
      </c>
      <c r="Z325" s="11">
        <v>0.10756944994149448</v>
      </c>
    </row>
    <row r="326" ht="22.5" customHeight="1">
      <c r="Q326" s="9" t="s">
        <v>364</v>
      </c>
      <c r="R326" s="10">
        <v>0.539856214188245</v>
      </c>
      <c r="S326" s="10">
        <v>0.022789392727206183</v>
      </c>
      <c r="T326" s="10">
        <v>21.933722419532145</v>
      </c>
      <c r="U326" s="11">
        <v>0.30434317578793635</v>
      </c>
      <c r="V326" s="11">
        <v>0.14096153253813698</v>
      </c>
      <c r="W326" s="11">
        <v>0.14064994684037527</v>
      </c>
      <c r="X326" s="11">
        <v>0.22997581032743183</v>
      </c>
      <c r="Y326" s="11">
        <v>0.15026619995679497</v>
      </c>
      <c r="Z326" s="11">
        <v>0.03380333454932456</v>
      </c>
    </row>
    <row r="327" ht="22.5" customHeight="1">
      <c r="Q327" s="9" t="s">
        <v>365</v>
      </c>
      <c r="R327" s="10">
        <v>0.5738338085757176</v>
      </c>
      <c r="S327" s="10">
        <v>0.0243397274077174</v>
      </c>
      <c r="T327" s="10">
        <v>21.932612458365284</v>
      </c>
      <c r="U327" s="11">
        <v>0.2406391411876478</v>
      </c>
      <c r="V327" s="11">
        <v>0.18785521292746055</v>
      </c>
      <c r="W327" s="11">
        <v>0.10774134131908165</v>
      </c>
      <c r="X327" s="11">
        <v>0.36068035911255714</v>
      </c>
      <c r="Y327" s="11">
        <v>0.07783442363136844</v>
      </c>
      <c r="Z327" s="11">
        <v>0.025249521821884443</v>
      </c>
    </row>
    <row r="328" ht="22.5" customHeight="1">
      <c r="Q328" s="9" t="s">
        <v>366</v>
      </c>
      <c r="R328" s="10">
        <v>0.3578512761286717</v>
      </c>
      <c r="S328" s="10">
        <v>0.014492375612409467</v>
      </c>
      <c r="T328" s="10">
        <v>21.932310107702662</v>
      </c>
      <c r="U328" s="11">
        <v>0.46366102032364764</v>
      </c>
      <c r="V328" s="11">
        <v>0.08484926350101064</v>
      </c>
      <c r="W328" s="11">
        <v>0.053337411756619664</v>
      </c>
      <c r="X328" s="11">
        <v>0.2727089250717796</v>
      </c>
      <c r="Y328" s="11">
        <v>0.12032852774188497</v>
      </c>
      <c r="Z328" s="11">
        <v>0.005114851605057374</v>
      </c>
    </row>
    <row r="329" ht="22.5" customHeight="1">
      <c r="Q329" s="9" t="s">
        <v>367</v>
      </c>
      <c r="R329" s="10">
        <v>0.37841370939144603</v>
      </c>
      <c r="S329" s="10">
        <v>0.015429961615109915</v>
      </c>
      <c r="T329" s="10">
        <v>21.932245706953132</v>
      </c>
      <c r="U329" s="11">
        <v>0.19037386015619764</v>
      </c>
      <c r="V329" s="11">
        <v>0.08495047775640913</v>
      </c>
      <c r="W329" s="11">
        <v>0.09186218929591937</v>
      </c>
      <c r="X329" s="11">
        <v>0.17284313640991253</v>
      </c>
      <c r="Y329" s="11">
        <v>0.18472502417255962</v>
      </c>
      <c r="Z329" s="11">
        <v>0.2752453122090017</v>
      </c>
    </row>
    <row r="330" ht="22.5" customHeight="1">
      <c r="Q330" s="9" t="s">
        <v>368</v>
      </c>
      <c r="R330" s="10">
        <v>0.4548868269072397</v>
      </c>
      <c r="S330" s="10">
        <v>0.018917476695519065</v>
      </c>
      <c r="T330" s="10">
        <v>21.931404149979098</v>
      </c>
      <c r="U330" s="11">
        <v>0.3615623182862689</v>
      </c>
      <c r="V330" s="11">
        <v>0.11657069631625577</v>
      </c>
      <c r="W330" s="11">
        <v>0.10856619925674096</v>
      </c>
      <c r="X330" s="11">
        <v>0.17976090194762318</v>
      </c>
      <c r="Y330" s="11">
        <v>0.13272794940206406</v>
      </c>
      <c r="Z330" s="11">
        <v>0.10081193479104726</v>
      </c>
    </row>
    <row r="331" ht="22.5" customHeight="1">
      <c r="Q331" s="9" t="s">
        <v>369</v>
      </c>
      <c r="R331" s="10">
        <v>0.4099604965677852</v>
      </c>
      <c r="S331" s="10">
        <v>0.016868986562660886</v>
      </c>
      <c r="T331" s="10">
        <v>21.93140027668789</v>
      </c>
      <c r="U331" s="11">
        <v>0.30716703751612545</v>
      </c>
      <c r="V331" s="11">
        <v>0.10326673524129612</v>
      </c>
      <c r="W331" s="11">
        <v>0.09551578100055144</v>
      </c>
      <c r="X331" s="11">
        <v>0.1700376978057803</v>
      </c>
      <c r="Y331" s="11">
        <v>0.1079610054787307</v>
      </c>
      <c r="Z331" s="11">
        <v>0.21605174295751592</v>
      </c>
    </row>
    <row r="332" ht="22.5" customHeight="1">
      <c r="Q332" s="9" t="s">
        <v>370</v>
      </c>
      <c r="R332" s="10">
        <v>0.39266993813049256</v>
      </c>
      <c r="S332" s="10">
        <v>0.01608091210281032</v>
      </c>
      <c r="T332" s="10">
        <v>21.93096609668425</v>
      </c>
      <c r="U332" s="11">
        <v>0.22959480475391045</v>
      </c>
      <c r="V332" s="11">
        <v>0.1184317616157123</v>
      </c>
      <c r="W332" s="11">
        <v>0.06119055612551904</v>
      </c>
      <c r="X332" s="11">
        <v>0.20773649745888867</v>
      </c>
      <c r="Y332" s="11">
        <v>0.17420358923128804</v>
      </c>
      <c r="Z332" s="11">
        <v>0.20884279081468154</v>
      </c>
    </row>
    <row r="333" ht="22.5" customHeight="1">
      <c r="Q333" s="9" t="s">
        <v>371</v>
      </c>
      <c r="R333" s="10">
        <v>0.5311678178666677</v>
      </c>
      <c r="S333" s="10">
        <v>0.02239634390131533</v>
      </c>
      <c r="T333" s="10">
        <v>21.930714228665757</v>
      </c>
      <c r="U333" s="11">
        <v>0.19131355391091553</v>
      </c>
      <c r="V333" s="11">
        <v>0.14818803650554335</v>
      </c>
      <c r="W333" s="11">
        <v>0.1320431909172307</v>
      </c>
      <c r="X333" s="11">
        <v>0.2213781507913024</v>
      </c>
      <c r="Y333" s="11">
        <v>0.17642698481075736</v>
      </c>
      <c r="Z333" s="11">
        <v>0.1306500830642506</v>
      </c>
    </row>
    <row r="334" ht="22.5" customHeight="1">
      <c r="Q334" s="9" t="s">
        <v>372</v>
      </c>
      <c r="R334" s="10">
        <v>0.40744348709885664</v>
      </c>
      <c r="S334" s="10">
        <v>0.01675639623729107</v>
      </c>
      <c r="T334" s="10">
        <v>21.928550858753123</v>
      </c>
      <c r="U334" s="11">
        <v>0.08002161584439982</v>
      </c>
      <c r="V334" s="11">
        <v>0.12035733413361732</v>
      </c>
      <c r="W334" s="11">
        <v>0.05335082594205681</v>
      </c>
      <c r="X334" s="11">
        <v>0.32019181799254987</v>
      </c>
      <c r="Y334" s="11">
        <v>0.30796734262879966</v>
      </c>
      <c r="Z334" s="11">
        <v>0.11811106345857648</v>
      </c>
    </row>
    <row r="335" ht="22.5" customHeight="1">
      <c r="Q335" s="9" t="s">
        <v>373</v>
      </c>
      <c r="R335" s="10">
        <v>0.5245722442157894</v>
      </c>
      <c r="S335" s="10">
        <v>0.02209803864188556</v>
      </c>
      <c r="T335" s="10">
        <v>21.928292011278806</v>
      </c>
      <c r="U335" s="11">
        <v>0.1963959457757504</v>
      </c>
      <c r="V335" s="11">
        <v>0.16449855432965327</v>
      </c>
      <c r="W335" s="11">
        <v>0.1000303308985266</v>
      </c>
      <c r="X335" s="11">
        <v>0.25783205640132073</v>
      </c>
      <c r="Y335" s="11">
        <v>0.24315420890386044</v>
      </c>
      <c r="Z335" s="11">
        <v>0.038088903690888486</v>
      </c>
    </row>
    <row r="336" ht="22.5" customHeight="1">
      <c r="Q336" s="9" t="s">
        <v>374</v>
      </c>
      <c r="R336" s="10">
        <v>0.4500688745476876</v>
      </c>
      <c r="S336" s="10">
        <v>0.018701353929296026</v>
      </c>
      <c r="T336" s="10">
        <v>21.927229231532106</v>
      </c>
      <c r="U336" s="11">
        <v>0.1880379288596696</v>
      </c>
      <c r="V336" s="11">
        <v>0.08892560795742638</v>
      </c>
      <c r="W336" s="11">
        <v>0.13078912658006092</v>
      </c>
      <c r="X336" s="11">
        <v>0.2898080758867474</v>
      </c>
      <c r="Y336" s="11">
        <v>0.10495580688789442</v>
      </c>
      <c r="Z336" s="11">
        <v>0.19748345382820123</v>
      </c>
    </row>
    <row r="337" ht="22.5" customHeight="1">
      <c r="Q337" s="9" t="s">
        <v>375</v>
      </c>
      <c r="R337" s="10">
        <v>0.3596149517878307</v>
      </c>
      <c r="S337" s="10">
        <v>0.014577005265221855</v>
      </c>
      <c r="T337" s="10">
        <v>21.92596805534366</v>
      </c>
      <c r="U337" s="11">
        <v>0.1530319504928114</v>
      </c>
      <c r="V337" s="11">
        <v>0.08108456351368344</v>
      </c>
      <c r="W337" s="11">
        <v>0.08075640220163968</v>
      </c>
      <c r="X337" s="11">
        <v>0.17343260123055182</v>
      </c>
      <c r="Y337" s="11">
        <v>0.22939505090712964</v>
      </c>
      <c r="Z337" s="11">
        <v>0.28229943165418403</v>
      </c>
    </row>
    <row r="338" ht="22.5" customHeight="1">
      <c r="Q338" s="9" t="s">
        <v>376</v>
      </c>
      <c r="R338" s="10">
        <v>0.4960654363281469</v>
      </c>
      <c r="S338" s="10">
        <v>0.0208010839704569</v>
      </c>
      <c r="T338" s="10">
        <v>21.925080297540347</v>
      </c>
      <c r="U338" s="11">
        <v>0.1551822162711312</v>
      </c>
      <c r="V338" s="11">
        <v>0.15424015226075358</v>
      </c>
      <c r="W338" s="11">
        <v>0.08749761658856767</v>
      </c>
      <c r="X338" s="11">
        <v>0.26660920421174095</v>
      </c>
      <c r="Y338" s="11">
        <v>0.28923894017770796</v>
      </c>
      <c r="Z338" s="11">
        <v>0.04723187049009867</v>
      </c>
    </row>
    <row r="339" ht="22.5" customHeight="1">
      <c r="Q339" s="9" t="s">
        <v>377</v>
      </c>
      <c r="R339" s="10">
        <v>0.4841512911125022</v>
      </c>
      <c r="S339" s="10">
        <v>0.020258186166424174</v>
      </c>
      <c r="T339" s="10">
        <v>21.92453398659336</v>
      </c>
      <c r="U339" s="11">
        <v>0.13380350466858792</v>
      </c>
      <c r="V339" s="11">
        <v>0.15107399120042242</v>
      </c>
      <c r="W339" s="11">
        <v>0.08009899918424028</v>
      </c>
      <c r="X339" s="11">
        <v>0.2854362288347579</v>
      </c>
      <c r="Y339" s="11">
        <v>0.29734163363660576</v>
      </c>
      <c r="Z339" s="11">
        <v>0.052245642475385774</v>
      </c>
    </row>
    <row r="340" ht="22.5" customHeight="1">
      <c r="Q340" s="9" t="s">
        <v>378</v>
      </c>
      <c r="R340" s="10">
        <v>0.5953324723824769</v>
      </c>
      <c r="S340" s="10">
        <v>0.02533066048509944</v>
      </c>
      <c r="T340" s="10">
        <v>21.92333171529999</v>
      </c>
      <c r="U340" s="11">
        <v>0.15378603469501367</v>
      </c>
      <c r="V340" s="11">
        <v>0.17065634759288872</v>
      </c>
      <c r="W340" s="11">
        <v>0.14917093725289565</v>
      </c>
      <c r="X340" s="11">
        <v>0.28467566082668233</v>
      </c>
      <c r="Y340" s="11">
        <v>0.1780374791769363</v>
      </c>
      <c r="Z340" s="11">
        <v>0.06367354045558335</v>
      </c>
    </row>
    <row r="341" ht="22.5" customHeight="1">
      <c r="Q341" s="9" t="s">
        <v>379</v>
      </c>
      <c r="R341" s="10">
        <v>0.2910214243043296</v>
      </c>
      <c r="S341" s="10">
        <v>0.011450687771108307</v>
      </c>
      <c r="T341" s="10">
        <v>21.92195170474318</v>
      </c>
      <c r="U341" s="11">
        <v>0.29566625610818303</v>
      </c>
      <c r="V341" s="11">
        <v>0.05727474075690069</v>
      </c>
      <c r="W341" s="11">
        <v>0.03701682635967244</v>
      </c>
      <c r="X341" s="11">
        <v>0.2892314306776937</v>
      </c>
      <c r="Y341" s="11">
        <v>0.16091135918331648</v>
      </c>
      <c r="Z341" s="11">
        <v>0.15989938691423367</v>
      </c>
    </row>
    <row r="342" ht="22.5" customHeight="1">
      <c r="Q342" s="9" t="s">
        <v>380</v>
      </c>
      <c r="R342" s="10">
        <v>0.46463274878873284</v>
      </c>
      <c r="S342" s="10">
        <v>0.019371825711475235</v>
      </c>
      <c r="T342" s="10">
        <v>21.9201202361218</v>
      </c>
      <c r="U342" s="11">
        <v>0.1395459759875662</v>
      </c>
      <c r="V342" s="11">
        <v>0.1524917532352015</v>
      </c>
      <c r="W342" s="11">
        <v>0.06693255972933766</v>
      </c>
      <c r="X342" s="11">
        <v>0.32413650153722445</v>
      </c>
      <c r="Y342" s="11">
        <v>0.18560121322275683</v>
      </c>
      <c r="Z342" s="11">
        <v>0.13129199628791335</v>
      </c>
    </row>
    <row r="343" ht="22.5" customHeight="1">
      <c r="Q343" s="9" t="s">
        <v>381</v>
      </c>
      <c r="R343" s="10">
        <v>0.4685593678006589</v>
      </c>
      <c r="S343" s="10">
        <v>0.019552684306791322</v>
      </c>
      <c r="T343" s="10">
        <v>21.918185814098447</v>
      </c>
      <c r="U343" s="11">
        <v>0.008545835535591108</v>
      </c>
      <c r="V343" s="11">
        <v>0.14349801406319876</v>
      </c>
      <c r="W343" s="11">
        <v>0.0890720420767799</v>
      </c>
      <c r="X343" s="11">
        <v>0.26167091898084976</v>
      </c>
      <c r="Y343" s="11">
        <v>0.2629462948789404</v>
      </c>
      <c r="Z343" s="11">
        <v>0.23426689446464002</v>
      </c>
    </row>
    <row r="344" ht="22.5" customHeight="1">
      <c r="Q344" s="9" t="s">
        <v>382</v>
      </c>
      <c r="R344" s="10">
        <v>0.3820272839830626</v>
      </c>
      <c r="S344" s="10">
        <v>0.015604744209377151</v>
      </c>
      <c r="T344" s="10">
        <v>21.918160233445718</v>
      </c>
      <c r="U344" s="11">
        <v>0.15393223972439787</v>
      </c>
      <c r="V344" s="11">
        <v>0.0891735679735043</v>
      </c>
      <c r="W344" s="11">
        <v>0.07357229306770346</v>
      </c>
      <c r="X344" s="11">
        <v>0.22028589275718619</v>
      </c>
      <c r="Y344" s="11">
        <v>0.3507574175129699</v>
      </c>
      <c r="Z344" s="11">
        <v>0.11227858896423808</v>
      </c>
    </row>
    <row r="345" ht="22.5" customHeight="1">
      <c r="Q345" s="9" t="s">
        <v>383</v>
      </c>
      <c r="R345" s="10">
        <v>0.3246777426467946</v>
      </c>
      <c r="S345" s="10">
        <v>0.012989513071232582</v>
      </c>
      <c r="T345" s="10">
        <v>21.915967217990676</v>
      </c>
      <c r="U345" s="11">
        <v>0.20602504458359616</v>
      </c>
      <c r="V345" s="11">
        <v>0.08564105684798291</v>
      </c>
      <c r="W345" s="11">
        <v>0.035841258484293426</v>
      </c>
      <c r="X345" s="11">
        <v>0.2678012598044485</v>
      </c>
      <c r="Y345" s="11">
        <v>0.214482547177097</v>
      </c>
      <c r="Z345" s="11">
        <v>0.19020883310258196</v>
      </c>
    </row>
    <row r="346" ht="22.5" customHeight="1">
      <c r="Q346" s="9" t="s">
        <v>384</v>
      </c>
      <c r="R346" s="10">
        <v>0.5581621889461142</v>
      </c>
      <c r="S346" s="10">
        <v>0.02364652562845342</v>
      </c>
      <c r="T346" s="10">
        <v>21.91282546483782</v>
      </c>
      <c r="U346" s="11">
        <v>0.18752386127299264</v>
      </c>
      <c r="V346" s="11">
        <v>0.16444196629040608</v>
      </c>
      <c r="W346" s="11">
        <v>0.13119935291971563</v>
      </c>
      <c r="X346" s="11">
        <v>0.2390331166109302</v>
      </c>
      <c r="Y346" s="11">
        <v>0.19701783194121492</v>
      </c>
      <c r="Z346" s="11">
        <v>0.08078387096474046</v>
      </c>
    </row>
    <row r="347" ht="22.5" customHeight="1">
      <c r="Q347" s="9" t="s">
        <v>385</v>
      </c>
      <c r="R347" s="10">
        <v>0.48453842744127384</v>
      </c>
      <c r="S347" s="10">
        <v>0.020286824701500856</v>
      </c>
      <c r="T347" s="10">
        <v>21.91266666825322</v>
      </c>
      <c r="U347" s="11">
        <v>0.12268001150463728</v>
      </c>
      <c r="V347" s="11">
        <v>0.15448102386231052</v>
      </c>
      <c r="W347" s="11">
        <v>0.09069260952653965</v>
      </c>
      <c r="X347" s="11">
        <v>0.24556690266016842</v>
      </c>
      <c r="Y347" s="11">
        <v>0.1887557254010918</v>
      </c>
      <c r="Z347" s="11">
        <v>0.19782372704525228</v>
      </c>
    </row>
    <row r="348" ht="22.5" customHeight="1">
      <c r="Q348" s="9" t="s">
        <v>386</v>
      </c>
      <c r="R348" s="10">
        <v>0.5027269232539264</v>
      </c>
      <c r="S348" s="10">
        <v>0.021120372548816636</v>
      </c>
      <c r="T348" s="10">
        <v>21.909032247627316</v>
      </c>
      <c r="U348" s="11">
        <v>0.10487781528731017</v>
      </c>
      <c r="V348" s="11">
        <v>0.14702263470930818</v>
      </c>
      <c r="W348" s="11">
        <v>0.11623840185928319</v>
      </c>
      <c r="X348" s="11">
        <v>0.21661646870797754</v>
      </c>
      <c r="Y348" s="11">
        <v>0.19579206452795697</v>
      </c>
      <c r="Z348" s="11">
        <v>0.21945261490816398</v>
      </c>
    </row>
    <row r="349" ht="22.5" customHeight="1">
      <c r="Q349" s="9" t="s">
        <v>387</v>
      </c>
      <c r="R349" s="10">
        <v>0.4708334661968875</v>
      </c>
      <c r="S349" s="10">
        <v>0.01966505341071631</v>
      </c>
      <c r="T349" s="10">
        <v>21.908583577103755</v>
      </c>
      <c r="U349" s="11">
        <v>0.15777022488962902</v>
      </c>
      <c r="V349" s="11">
        <v>0.14997988288627556</v>
      </c>
      <c r="W349" s="11">
        <v>0.08638117675593958</v>
      </c>
      <c r="X349" s="11">
        <v>0.23297511602611215</v>
      </c>
      <c r="Y349" s="11">
        <v>0.1712695504671039</v>
      </c>
      <c r="Z349" s="11">
        <v>0.20162404897493988</v>
      </c>
    </row>
    <row r="350" ht="22.5" customHeight="1">
      <c r="Q350" s="9" t="s">
        <v>388</v>
      </c>
      <c r="R350" s="10">
        <v>0.6444338202618528</v>
      </c>
      <c r="S350" s="10">
        <v>0.027589884899744878</v>
      </c>
      <c r="T350" s="10">
        <v>21.90780506907595</v>
      </c>
      <c r="U350" s="11">
        <v>0.23520906184087143</v>
      </c>
      <c r="V350" s="11">
        <v>0.18080746190041735</v>
      </c>
      <c r="W350" s="11">
        <v>0.168502674823301</v>
      </c>
      <c r="X350" s="11">
        <v>0.39369878078539644</v>
      </c>
      <c r="Y350" s="11">
        <v>0.002837211238481357</v>
      </c>
      <c r="Z350" s="11">
        <v>0.01894480941153234</v>
      </c>
    </row>
    <row r="351" ht="22.5" customHeight="1">
      <c r="Q351" s="9" t="s">
        <v>389</v>
      </c>
      <c r="R351" s="10">
        <v>0.46228601906092026</v>
      </c>
      <c r="S351" s="10">
        <v>0.019276510722083775</v>
      </c>
      <c r="T351" s="10">
        <v>21.906766486381592</v>
      </c>
      <c r="U351" s="11">
        <v>0.1950090273350222</v>
      </c>
      <c r="V351" s="11">
        <v>0.12050872123748187</v>
      </c>
      <c r="W351" s="11">
        <v>0.11329977165579198</v>
      </c>
      <c r="X351" s="11">
        <v>0.17459525805740958</v>
      </c>
      <c r="Y351" s="11">
        <v>0.21910538640447982</v>
      </c>
      <c r="Z351" s="11">
        <v>0.17748183530981448</v>
      </c>
    </row>
    <row r="352" ht="22.5" customHeight="1">
      <c r="Q352" s="9" t="s">
        <v>390</v>
      </c>
      <c r="R352" s="10">
        <v>0.46650566620192074</v>
      </c>
      <c r="S352" s="10">
        <v>0.019469169358960876</v>
      </c>
      <c r="T352" s="10">
        <v>21.90672125442359</v>
      </c>
      <c r="U352" s="11">
        <v>0.09318469108793823</v>
      </c>
      <c r="V352" s="11">
        <v>0.13901947407572351</v>
      </c>
      <c r="W352" s="11">
        <v>0.09081851915487225</v>
      </c>
      <c r="X352" s="11">
        <v>0.2215887017475288</v>
      </c>
      <c r="Y352" s="11">
        <v>0.29299962392310464</v>
      </c>
      <c r="Z352" s="11">
        <v>0.16238899001083262</v>
      </c>
    </row>
    <row r="353" ht="22.5" customHeight="1">
      <c r="Q353" s="9" t="s">
        <v>391</v>
      </c>
      <c r="R353" s="10">
        <v>0.5242726308234341</v>
      </c>
      <c r="S353" s="10">
        <v>0.02210676904202605</v>
      </c>
      <c r="T353" s="10">
        <v>21.9060790793448</v>
      </c>
      <c r="U353" s="11">
        <v>0.13692499796365826</v>
      </c>
      <c r="V353" s="11">
        <v>0.16764404954995482</v>
      </c>
      <c r="W353" s="11">
        <v>0.10429173256927274</v>
      </c>
      <c r="X353" s="11">
        <v>0.2636122720443684</v>
      </c>
      <c r="Y353" s="11">
        <v>0.17043477404870905</v>
      </c>
      <c r="Z353" s="11">
        <v>0.15709217382403687</v>
      </c>
    </row>
    <row r="354" ht="22.5" customHeight="1">
      <c r="Q354" s="9" t="s">
        <v>392</v>
      </c>
      <c r="R354" s="10">
        <v>0.5242443507492364</v>
      </c>
      <c r="S354" s="10">
        <v>0.02210797467215322</v>
      </c>
      <c r="T354" s="10">
        <v>21.90360527955468</v>
      </c>
      <c r="U354" s="11">
        <v>0.1355104062655969</v>
      </c>
      <c r="V354" s="11">
        <v>0.16442137987814223</v>
      </c>
      <c r="W354" s="11">
        <v>0.10833917556914147</v>
      </c>
      <c r="X354" s="11">
        <v>0.24610254761822933</v>
      </c>
      <c r="Y354" s="11">
        <v>0.19409203086642907</v>
      </c>
      <c r="Z354" s="11">
        <v>0.1515344598024609</v>
      </c>
    </row>
    <row r="355" ht="22.5" customHeight="1">
      <c r="Q355" s="9" t="s">
        <v>393</v>
      </c>
      <c r="R355" s="10">
        <v>0.5903648832704038</v>
      </c>
      <c r="S355" s="10">
        <v>0.025127076736027647</v>
      </c>
      <c r="T355" s="10">
        <v>21.903259541579736</v>
      </c>
      <c r="U355" s="11">
        <v>0.24577609537866124</v>
      </c>
      <c r="V355" s="11">
        <v>0.17311186260253775</v>
      </c>
      <c r="W355" s="11">
        <v>0.1455069782873787</v>
      </c>
      <c r="X355" s="11">
        <v>0.30406810117549626</v>
      </c>
      <c r="Y355" s="11">
        <v>0.039220336438709744</v>
      </c>
      <c r="Z355" s="11">
        <v>0.09231662611721622</v>
      </c>
    </row>
    <row r="356" ht="22.5" customHeight="1">
      <c r="Q356" s="9" t="s">
        <v>394</v>
      </c>
      <c r="R356" s="10">
        <v>0.5148884990064128</v>
      </c>
      <c r="S356" s="10">
        <v>0.02168286034824044</v>
      </c>
      <c r="T356" s="10">
        <v>21.90156148125309</v>
      </c>
      <c r="U356" s="11">
        <v>0.23473534507475438</v>
      </c>
      <c r="V356" s="11">
        <v>0.16097864524556382</v>
      </c>
      <c r="W356" s="11">
        <v>0.10401801010647288</v>
      </c>
      <c r="X356" s="11">
        <v>0.22739716327171267</v>
      </c>
      <c r="Y356" s="11">
        <v>0.168863939486539</v>
      </c>
      <c r="Z356" s="11">
        <v>0.10400689681495717</v>
      </c>
    </row>
    <row r="357" ht="22.5" customHeight="1">
      <c r="Q357" s="9" t="s">
        <v>395</v>
      </c>
      <c r="R357" s="10">
        <v>0.42339971576965796</v>
      </c>
      <c r="S357" s="10">
        <v>0.01751342345079838</v>
      </c>
      <c r="T357" s="10">
        <v>21.891763015196208</v>
      </c>
      <c r="U357" s="11">
        <v>0.23389344655229763</v>
      </c>
      <c r="V357" s="11">
        <v>0.13513509462478585</v>
      </c>
      <c r="W357" s="11">
        <v>0.060649198766734226</v>
      </c>
      <c r="X357" s="11">
        <v>0.2565488053274174</v>
      </c>
      <c r="Y357" s="11">
        <v>0.15889851050076267</v>
      </c>
      <c r="Z357" s="11">
        <v>0.1548749442280022</v>
      </c>
    </row>
    <row r="358" ht="22.5" customHeight="1">
      <c r="Q358" s="9" t="s">
        <v>396</v>
      </c>
      <c r="R358" s="10">
        <v>0.519307956119727</v>
      </c>
      <c r="S358" s="10">
        <v>0.021894649332004256</v>
      </c>
      <c r="T358" s="10">
        <v>21.8915566470893</v>
      </c>
      <c r="U358" s="11">
        <v>0.22525321974886542</v>
      </c>
      <c r="V358" s="11">
        <v>0.12577597409745278</v>
      </c>
      <c r="W358" s="11">
        <v>0.1373130526940856</v>
      </c>
      <c r="X358" s="11">
        <v>0.22700920169471053</v>
      </c>
      <c r="Y358" s="11">
        <v>0.2709974118366923</v>
      </c>
      <c r="Z358" s="11">
        <v>0.013651139928193425</v>
      </c>
    </row>
    <row r="359" ht="22.5" customHeight="1">
      <c r="Q359" s="9" t="s">
        <v>397</v>
      </c>
      <c r="R359" s="10">
        <v>0.5512605058992214</v>
      </c>
      <c r="S359" s="10">
        <v>0.02335821772550988</v>
      </c>
      <c r="T359" s="10">
        <v>21.88782174681357</v>
      </c>
      <c r="U359" s="11">
        <v>0.06947273259076552</v>
      </c>
      <c r="V359" s="11">
        <v>0.16475422403108933</v>
      </c>
      <c r="W359" s="11">
        <v>0.13197137581533663</v>
      </c>
      <c r="X359" s="11">
        <v>0.3111191718479661</v>
      </c>
      <c r="Y359" s="11">
        <v>0.06859013055128368</v>
      </c>
      <c r="Z359" s="11">
        <v>0.2540923651635588</v>
      </c>
    </row>
    <row r="360" ht="22.5" customHeight="1">
      <c r="Q360" s="9" t="s">
        <v>398</v>
      </c>
      <c r="R360" s="10">
        <v>0.522331348251574</v>
      </c>
      <c r="S360" s="10">
        <v>0.012680589214726482</v>
      </c>
      <c r="T360" s="10">
        <v>21.88763390619709</v>
      </c>
      <c r="U360" s="11">
        <v>0.10659803564023305</v>
      </c>
      <c r="V360" s="11">
        <v>0.07418002983942322</v>
      </c>
      <c r="W360" s="11">
        <v>0.05257450258073483</v>
      </c>
      <c r="X360" s="11">
        <v>0.21200740914341198</v>
      </c>
      <c r="Y360" s="11">
        <v>0.25421525334593276</v>
      </c>
      <c r="Z360" s="11">
        <v>0.3004247694502642</v>
      </c>
    </row>
    <row r="361" ht="22.5" customHeight="1">
      <c r="Q361" s="9" t="s">
        <v>399</v>
      </c>
      <c r="R361" s="10">
        <v>0.5135363314392493</v>
      </c>
      <c r="S361" s="10">
        <v>0.021635181961535223</v>
      </c>
      <c r="T361" s="10">
        <v>21.88732834700168</v>
      </c>
      <c r="U361" s="11">
        <v>0.09269810700479243</v>
      </c>
      <c r="V361" s="11">
        <v>0.152043594671358</v>
      </c>
      <c r="W361" s="11">
        <v>0.11879133893635449</v>
      </c>
      <c r="X361" s="11">
        <v>0.225986969944958</v>
      </c>
      <c r="Y361" s="11">
        <v>0.18959496007057125</v>
      </c>
      <c r="Z361" s="11">
        <v>0.22088502937196577</v>
      </c>
    </row>
    <row r="362" ht="22.5" customHeight="1">
      <c r="Q362" s="9" t="s">
        <v>400</v>
      </c>
      <c r="R362" s="10">
        <v>0.4957679754619489</v>
      </c>
      <c r="S362" s="10">
        <v>0.020825075055618827</v>
      </c>
      <c r="T362" s="10">
        <v>21.885538191084592</v>
      </c>
      <c r="U362" s="11">
        <v>0.16702695678625834</v>
      </c>
      <c r="V362" s="11">
        <v>0.157116056537232</v>
      </c>
      <c r="W362" s="11">
        <v>0.08905603895962248</v>
      </c>
      <c r="X362" s="11">
        <v>0.24788334430734668</v>
      </c>
      <c r="Y362" s="11">
        <v>0.2491303204324798</v>
      </c>
      <c r="Z362" s="11">
        <v>0.08978728297706072</v>
      </c>
    </row>
    <row r="363" ht="22.5" customHeight="1">
      <c r="Q363" s="9" t="s">
        <v>401</v>
      </c>
      <c r="R363" s="10">
        <v>0.36238181388892554</v>
      </c>
      <c r="S363" s="10">
        <v>0.014730382190128767</v>
      </c>
      <c r="T363" s="10">
        <v>21.885502339848482</v>
      </c>
      <c r="U363" s="11">
        <v>0.23056170067122486</v>
      </c>
      <c r="V363" s="11">
        <v>0.09662595903184472</v>
      </c>
      <c r="W363" s="11">
        <v>0.061034229995832384</v>
      </c>
      <c r="X363" s="11">
        <v>0.17594630368878536</v>
      </c>
      <c r="Y363" s="11">
        <v>0.2416423591003799</v>
      </c>
      <c r="Z363" s="11">
        <v>0.1941894475119327</v>
      </c>
    </row>
    <row r="364" ht="22.5" customHeight="1">
      <c r="Q364" s="9" t="s">
        <v>402</v>
      </c>
      <c r="R364" s="10">
        <v>0.588367142952781</v>
      </c>
      <c r="S364" s="10">
        <v>0.02505692417967098</v>
      </c>
      <c r="T364" s="10">
        <v>21.884854622247634</v>
      </c>
      <c r="U364" s="11">
        <v>0.05737411198647775</v>
      </c>
      <c r="V364" s="11">
        <v>0.19054778515378704</v>
      </c>
      <c r="W364" s="11">
        <v>0.10877019402783415</v>
      </c>
      <c r="X364" s="11">
        <v>0.5270182120310014</v>
      </c>
      <c r="Y364" s="11">
        <v>0.0036866265134610386</v>
      </c>
      <c r="Z364" s="11">
        <v>0.11260307028743857</v>
      </c>
    </row>
    <row r="365" ht="22.5" customHeight="1">
      <c r="Q365" s="9" t="s">
        <v>403</v>
      </c>
      <c r="R365" s="10">
        <v>0.4557455663143653</v>
      </c>
      <c r="S365" s="10">
        <v>0.018997612276693738</v>
      </c>
      <c r="T365" s="10">
        <v>21.884095762097523</v>
      </c>
      <c r="U365" s="11">
        <v>0.20541889226258062</v>
      </c>
      <c r="V365" s="11">
        <v>0.144092065651166</v>
      </c>
      <c r="W365" s="11">
        <v>0.08286944618275512</v>
      </c>
      <c r="X365" s="11">
        <v>0.21461355433525509</v>
      </c>
      <c r="Y365" s="11">
        <v>0.15004392856290968</v>
      </c>
      <c r="Z365" s="11">
        <v>0.20296211300533348</v>
      </c>
    </row>
    <row r="366" ht="22.5" customHeight="1">
      <c r="Q366" s="9" t="s">
        <v>404</v>
      </c>
      <c r="R366" s="10">
        <v>0.4396903889847638</v>
      </c>
      <c r="S366" s="10">
        <v>0.018264058356628022</v>
      </c>
      <c r="T366" s="10">
        <v>21.88398554036137</v>
      </c>
      <c r="U366" s="11">
        <v>0.25025174813190665</v>
      </c>
      <c r="V366" s="11">
        <v>0.11034964023718719</v>
      </c>
      <c r="W366" s="11">
        <v>0.11235815483932855</v>
      </c>
      <c r="X366" s="11">
        <v>0.19445612458723877</v>
      </c>
      <c r="Y366" s="11">
        <v>0.07307284626468788</v>
      </c>
      <c r="Z366" s="11">
        <v>0.259511485939651</v>
      </c>
    </row>
    <row r="367" ht="22.5" customHeight="1">
      <c r="Q367" s="9" t="s">
        <v>405</v>
      </c>
      <c r="R367" s="10">
        <v>0.34396580631359897</v>
      </c>
      <c r="S367" s="10">
        <v>0.013890479369564071</v>
      </c>
      <c r="T367" s="10">
        <v>21.88303212771975</v>
      </c>
      <c r="U367" s="11">
        <v>0.27591726322369503</v>
      </c>
      <c r="V367" s="11">
        <v>0.0938598683903817</v>
      </c>
      <c r="W367" s="11">
        <v>0.054349711293657926</v>
      </c>
      <c r="X367" s="11">
        <v>0.19262913136770868</v>
      </c>
      <c r="Y367" s="11">
        <v>0.12323833887785796</v>
      </c>
      <c r="Z367" s="11">
        <v>0.2600056868466986</v>
      </c>
    </row>
    <row r="368" ht="22.5" customHeight="1">
      <c r="Q368" s="9" t="s">
        <v>406</v>
      </c>
      <c r="R368" s="10">
        <v>0.4076083900311994</v>
      </c>
      <c r="S368" s="10">
        <v>0.01679942990236371</v>
      </c>
      <c r="T368" s="10">
        <v>21.882194346337688</v>
      </c>
      <c r="U368" s="11">
        <v>0.22811865561449962</v>
      </c>
      <c r="V368" s="11">
        <v>0.12841404759276126</v>
      </c>
      <c r="W368" s="11">
        <v>0.06368591081556656</v>
      </c>
      <c r="X368" s="11">
        <v>0.24151343583846202</v>
      </c>
      <c r="Y368" s="11">
        <v>0.0866876781439115</v>
      </c>
      <c r="Z368" s="11">
        <v>0.2515802719947991</v>
      </c>
    </row>
    <row r="369" ht="22.5" customHeight="1">
      <c r="Q369" s="9" t="s">
        <v>407</v>
      </c>
      <c r="R369" s="10">
        <v>0.5262668420181252</v>
      </c>
      <c r="S369" s="10">
        <v>0.02222238610948933</v>
      </c>
      <c r="T369" s="10">
        <v>21.881846513794535</v>
      </c>
      <c r="U369" s="11">
        <v>0.10497709199296695</v>
      </c>
      <c r="V369" s="11">
        <v>0.15262993925076873</v>
      </c>
      <c r="W369" s="11">
        <v>0.1282256451234503</v>
      </c>
      <c r="X369" s="11">
        <v>0.23665051591324074</v>
      </c>
      <c r="Y369" s="11">
        <v>0.15179437399855797</v>
      </c>
      <c r="Z369" s="11">
        <v>0.22572243372101522</v>
      </c>
    </row>
    <row r="370" ht="22.5" customHeight="1">
      <c r="Q370" s="9" t="s">
        <v>408</v>
      </c>
      <c r="R370" s="10">
        <v>0.522331348251574</v>
      </c>
      <c r="S370" s="10">
        <v>0.025263221421363346</v>
      </c>
      <c r="T370" s="10">
        <v>21.881816796712776</v>
      </c>
      <c r="U370" s="11">
        <v>0.14074822167361878</v>
      </c>
      <c r="V370" s="11">
        <v>0.17249111840754994</v>
      </c>
      <c r="W370" s="11">
        <v>0.14380657916281028</v>
      </c>
      <c r="X370" s="11">
        <v>0.2703465504149626</v>
      </c>
      <c r="Y370" s="11">
        <v>0.23542118437531087</v>
      </c>
      <c r="Z370" s="11">
        <v>0.03718634596574745</v>
      </c>
    </row>
    <row r="371" ht="22.5" customHeight="1">
      <c r="Q371" s="9" t="s">
        <v>409</v>
      </c>
      <c r="R371" s="10">
        <v>0.44466160500715146</v>
      </c>
      <c r="S371" s="10">
        <v>0.018493721525517568</v>
      </c>
      <c r="T371" s="10">
        <v>21.88102618766055</v>
      </c>
      <c r="U371" s="11">
        <v>0.19752405737120152</v>
      </c>
      <c r="V371" s="11">
        <v>0.13271778066620196</v>
      </c>
      <c r="W371" s="11">
        <v>0.08752253057545398</v>
      </c>
      <c r="X371" s="11">
        <v>0.17743183363495094</v>
      </c>
      <c r="Y371" s="11">
        <v>0.21182399371460622</v>
      </c>
      <c r="Z371" s="11">
        <v>0.19297980403758547</v>
      </c>
    </row>
    <row r="372" ht="22.5" customHeight="1">
      <c r="Q372" s="9" t="s">
        <v>410</v>
      </c>
      <c r="R372" s="10">
        <v>0.4271030640712296</v>
      </c>
      <c r="S372" s="10">
        <v>0.017691726418803295</v>
      </c>
      <c r="T372" s="10">
        <v>21.880457277465297</v>
      </c>
      <c r="U372" s="11">
        <v>0.2494169437358831</v>
      </c>
      <c r="V372" s="11">
        <v>0.11058885688231072</v>
      </c>
      <c r="W372" s="11">
        <v>0.10086085100659475</v>
      </c>
      <c r="X372" s="11">
        <v>0.1549374407945248</v>
      </c>
      <c r="Y372" s="11">
        <v>0.1728447384975865</v>
      </c>
      <c r="Z372" s="11">
        <v>0.21135116908310017</v>
      </c>
    </row>
    <row r="373" ht="22.5" customHeight="1">
      <c r="Q373" s="9" t="s">
        <v>411</v>
      </c>
      <c r="R373" s="10">
        <v>0.5014868385509383</v>
      </c>
      <c r="S373" s="10">
        <v>0.021092561874827782</v>
      </c>
      <c r="T373" s="10">
        <v>21.87912693060223</v>
      </c>
      <c r="U373" s="11">
        <v>0.24892997737194394</v>
      </c>
      <c r="V373" s="11">
        <v>0.1544392561512183</v>
      </c>
      <c r="W373" s="11">
        <v>0.10531725067514801</v>
      </c>
      <c r="X373" s="11">
        <v>0.21017591370260527</v>
      </c>
      <c r="Y373" s="11">
        <v>0.1309823745309425</v>
      </c>
      <c r="Z373" s="11">
        <v>0.1501552275681419</v>
      </c>
    </row>
    <row r="374" ht="22.5" customHeight="1">
      <c r="Q374" s="9" t="s">
        <v>412</v>
      </c>
      <c r="R374" s="10">
        <v>0.522331348251574</v>
      </c>
      <c r="S374" s="10">
        <v>0.01956893273602857</v>
      </c>
      <c r="T374" s="10">
        <v>21.876337073819418</v>
      </c>
      <c r="U374" s="11">
        <v>0.06259543010403726</v>
      </c>
      <c r="V374" s="11">
        <v>0.14078949401378488</v>
      </c>
      <c r="W374" s="11">
        <v>0.08313265536423449</v>
      </c>
      <c r="X374" s="11">
        <v>0.2634408459177535</v>
      </c>
      <c r="Y374" s="11">
        <v>0.33488945179288265</v>
      </c>
      <c r="Z374" s="11">
        <v>0.11515212280730729</v>
      </c>
    </row>
    <row r="375" ht="22.5" customHeight="1">
      <c r="Q375" s="9" t="s">
        <v>413</v>
      </c>
      <c r="R375" s="10">
        <v>0.36571094916533614</v>
      </c>
      <c r="S375" s="10">
        <v>0.01489031567108528</v>
      </c>
      <c r="T375" s="10">
        <v>21.874012368845683</v>
      </c>
      <c r="U375" s="11">
        <v>0.20414589169352565</v>
      </c>
      <c r="V375" s="11">
        <v>0.060455125252231706</v>
      </c>
      <c r="W375" s="11">
        <v>0.09751903686924403</v>
      </c>
      <c r="X375" s="11">
        <v>0.24394068889389683</v>
      </c>
      <c r="Y375" s="11">
        <v>0.19083710759492328</v>
      </c>
      <c r="Z375" s="11">
        <v>0.20310214969617857</v>
      </c>
    </row>
    <row r="376" ht="22.5" customHeight="1">
      <c r="Q376" s="9" t="s">
        <v>414</v>
      </c>
      <c r="R376" s="10">
        <v>0.5168520300958636</v>
      </c>
      <c r="S376" s="10">
        <v>0.021800568160382713</v>
      </c>
      <c r="T376" s="10">
        <v>21.87337626192823</v>
      </c>
      <c r="U376" s="11">
        <v>0.05728058649229101</v>
      </c>
      <c r="V376" s="11">
        <v>0.13911488763525853</v>
      </c>
      <c r="W376" s="11">
        <v>0.12397626596443491</v>
      </c>
      <c r="X376" s="11">
        <v>0.24377083047517512</v>
      </c>
      <c r="Y376" s="11">
        <v>0.33129945688889806</v>
      </c>
      <c r="Z376" s="11">
        <v>0.10455797254394229</v>
      </c>
    </row>
    <row r="377" ht="22.5" customHeight="1">
      <c r="Q377" s="9" t="s">
        <v>415</v>
      </c>
      <c r="R377" s="10">
        <v>0.3458459276353406</v>
      </c>
      <c r="S377" s="10">
        <v>0.01398258523759159</v>
      </c>
      <c r="T377" s="10">
        <v>21.873346197317417</v>
      </c>
      <c r="U377" s="11">
        <v>0.2972815636079128</v>
      </c>
      <c r="V377" s="11">
        <v>0.06646655337685677</v>
      </c>
      <c r="W377" s="11">
        <v>0.08380669541680079</v>
      </c>
      <c r="X377" s="11">
        <v>0.21536258817169476</v>
      </c>
      <c r="Y377" s="11">
        <v>0.07517957982093379</v>
      </c>
      <c r="Z377" s="11">
        <v>0.2619030196058011</v>
      </c>
    </row>
    <row r="378" ht="22.5" customHeight="1">
      <c r="Q378" s="9" t="s">
        <v>416</v>
      </c>
      <c r="R378" s="10">
        <v>0.41850076073103837</v>
      </c>
      <c r="S378" s="10">
        <v>0.017305394515654986</v>
      </c>
      <c r="T378" s="10">
        <v>21.871836576082394</v>
      </c>
      <c r="U378" s="11">
        <v>0.13250525039932326</v>
      </c>
      <c r="V378" s="11">
        <v>0.11526127275919597</v>
      </c>
      <c r="W378" s="11">
        <v>0.08954622469301413</v>
      </c>
      <c r="X378" s="11">
        <v>0.16480102871702332</v>
      </c>
      <c r="Y378" s="11">
        <v>0.24264613955666944</v>
      </c>
      <c r="Z378" s="11">
        <v>0.2552400838747739</v>
      </c>
    </row>
    <row r="379" ht="22.5" customHeight="1">
      <c r="Q379" s="9" t="s">
        <v>417</v>
      </c>
      <c r="R379" s="10">
        <v>0.45201257499876113</v>
      </c>
      <c r="S379" s="10">
        <v>0.018838265599576277</v>
      </c>
      <c r="T379" s="10">
        <v>21.87104608016719</v>
      </c>
      <c r="U379" s="11">
        <v>0.1138138435978016</v>
      </c>
      <c r="V379" s="11">
        <v>0.08430293381910575</v>
      </c>
      <c r="W379" s="11">
        <v>0.1283767337585581</v>
      </c>
      <c r="X379" s="11">
        <v>0.29756746683978746</v>
      </c>
      <c r="Y379" s="11">
        <v>0.26465571459857246</v>
      </c>
      <c r="Z379" s="11">
        <v>0.11128330738617465</v>
      </c>
    </row>
    <row r="380" ht="22.5" customHeight="1">
      <c r="Q380" s="9" t="s">
        <v>418</v>
      </c>
      <c r="R380" s="10">
        <v>0.5271999442521931</v>
      </c>
      <c r="S380" s="10">
        <v>0.022276098246264024</v>
      </c>
      <c r="T380" s="10">
        <v>21.87097304322145</v>
      </c>
      <c r="U380" s="11">
        <v>0.12865246722899873</v>
      </c>
      <c r="V380" s="11">
        <v>0.1278236738775182</v>
      </c>
      <c r="W380" s="11">
        <v>0.14367445418386252</v>
      </c>
      <c r="X380" s="11">
        <v>0.25014479955138913</v>
      </c>
      <c r="Y380" s="11">
        <v>0.26359922604981084</v>
      </c>
      <c r="Z380" s="11">
        <v>0.08610537910842053</v>
      </c>
    </row>
    <row r="381" ht="22.5" customHeight="1">
      <c r="Q381" s="9" t="s">
        <v>419</v>
      </c>
      <c r="R381" s="10">
        <v>0.44980607827264474</v>
      </c>
      <c r="S381" s="10">
        <v>0.018737955278602732</v>
      </c>
      <c r="T381" s="10">
        <v>21.87037337743094</v>
      </c>
      <c r="U381" s="11">
        <v>0.2149972306575151</v>
      </c>
      <c r="V381" s="11">
        <v>0.11320656775840035</v>
      </c>
      <c r="W381" s="11">
        <v>0.11628701464173843</v>
      </c>
      <c r="X381" s="11">
        <v>0.18279735334375669</v>
      </c>
      <c r="Y381" s="11">
        <v>0.12765516720344036</v>
      </c>
      <c r="Z381" s="11">
        <v>0.2450566663951491</v>
      </c>
    </row>
    <row r="382" ht="22.5" customHeight="1">
      <c r="Q382" s="9" t="s">
        <v>420</v>
      </c>
      <c r="R382" s="10">
        <v>0.33164054132336823</v>
      </c>
      <c r="S382" s="10">
        <v>0.013335746692429871</v>
      </c>
      <c r="T382" s="10">
        <v>21.869082253108484</v>
      </c>
      <c r="U382" s="11">
        <v>0.13354409991215277</v>
      </c>
      <c r="V382" s="11">
        <v>0.08695121587724682</v>
      </c>
      <c r="W382" s="11">
        <v>0.04580477098967155</v>
      </c>
      <c r="X382" s="11">
        <v>0.2259632276266549</v>
      </c>
      <c r="Y382" s="11">
        <v>0.25984274861074397</v>
      </c>
      <c r="Z382" s="11">
        <v>0.24789393698353002</v>
      </c>
    </row>
    <row r="383" ht="22.5" customHeight="1">
      <c r="Q383" s="9" t="s">
        <v>421</v>
      </c>
      <c r="R383" s="10">
        <v>0.522331348251574</v>
      </c>
      <c r="S383" s="10">
        <v>0.01656552988415034</v>
      </c>
      <c r="T383" s="10">
        <v>21.86788248573806</v>
      </c>
      <c r="U383" s="11">
        <v>0.27461878235187875</v>
      </c>
      <c r="V383" s="11">
        <v>0.12367250253465588</v>
      </c>
      <c r="W383" s="11">
        <v>0.06557549806484188</v>
      </c>
      <c r="X383" s="11">
        <v>0.23308098816405867</v>
      </c>
      <c r="Y383" s="11">
        <v>0.055871524659823736</v>
      </c>
      <c r="Z383" s="11">
        <v>0.24718070422474117</v>
      </c>
    </row>
    <row r="384" ht="22.5" customHeight="1">
      <c r="Q384" s="9" t="s">
        <v>422</v>
      </c>
      <c r="R384" s="10">
        <v>0.547992772572619</v>
      </c>
      <c r="S384" s="10">
        <v>0.02323234578200376</v>
      </c>
      <c r="T384" s="10">
        <v>21.86575463964213</v>
      </c>
      <c r="U384" s="11">
        <v>0.012822739906584996</v>
      </c>
      <c r="V384" s="11">
        <v>0.16525827366830995</v>
      </c>
      <c r="W384" s="11">
        <v>0.12603963848333322</v>
      </c>
      <c r="X384" s="11">
        <v>0.280019325111686</v>
      </c>
      <c r="Y384" s="11">
        <v>0.2083476961804318</v>
      </c>
      <c r="Z384" s="11">
        <v>0.20751232664965408</v>
      </c>
    </row>
    <row r="385" ht="22.5" customHeight="1">
      <c r="Q385" s="9" t="s">
        <v>423</v>
      </c>
      <c r="R385" s="10">
        <v>0.37734667401266364</v>
      </c>
      <c r="S385" s="10">
        <v>0.015430529953115772</v>
      </c>
      <c r="T385" s="10">
        <v>21.862286975085112</v>
      </c>
      <c r="U385" s="11">
        <v>0.19876413757072864</v>
      </c>
      <c r="V385" s="11">
        <v>0.08890118217820117</v>
      </c>
      <c r="W385" s="11">
        <v>0.0751271376989954</v>
      </c>
      <c r="X385" s="11">
        <v>0.18507523698108228</v>
      </c>
      <c r="Y385" s="11">
        <v>0.31735931691654495</v>
      </c>
      <c r="Z385" s="11">
        <v>0.13477298865444753</v>
      </c>
    </row>
    <row r="386" ht="22.5" customHeight="1">
      <c r="Q386" s="9" t="s">
        <v>424</v>
      </c>
      <c r="R386" s="10">
        <v>0.34413934460050755</v>
      </c>
      <c r="S386" s="10">
        <v>0.013912304657214863</v>
      </c>
      <c r="T386" s="10">
        <v>21.861176282017528</v>
      </c>
      <c r="U386" s="11">
        <v>0.2848901550151499</v>
      </c>
      <c r="V386" s="11">
        <v>0.045709712379651386</v>
      </c>
      <c r="W386" s="11">
        <v>0.08679636856112014</v>
      </c>
      <c r="X386" s="11">
        <v>0.2997290919249802</v>
      </c>
      <c r="Y386" s="11">
        <v>0.16991728654007524</v>
      </c>
      <c r="Z386" s="11">
        <v>0.11295738557902325</v>
      </c>
    </row>
    <row r="387" ht="22.5" customHeight="1">
      <c r="Q387" s="9" t="s">
        <v>425</v>
      </c>
      <c r="R387" s="10">
        <v>0.47402280674702946</v>
      </c>
      <c r="S387" s="10">
        <v>0.019855473091954293</v>
      </c>
      <c r="T387" s="10">
        <v>21.85910175683003</v>
      </c>
      <c r="U387" s="11">
        <v>0.17359974613135393</v>
      </c>
      <c r="V387" s="11">
        <v>0.1452407140449182</v>
      </c>
      <c r="W387" s="11">
        <v>0.09405270216465857</v>
      </c>
      <c r="X387" s="11">
        <v>0.19506704396686708</v>
      </c>
      <c r="Y387" s="11">
        <v>0.22397727422038696</v>
      </c>
      <c r="Z387" s="11">
        <v>0.16806251947181533</v>
      </c>
    </row>
    <row r="388" ht="22.5" customHeight="1">
      <c r="Q388" s="9" t="s">
        <v>426</v>
      </c>
      <c r="R388" s="10">
        <v>0.5178972838156068</v>
      </c>
      <c r="S388" s="10">
        <v>0.021862719286392454</v>
      </c>
      <c r="T388" s="10">
        <v>21.85900470821369</v>
      </c>
      <c r="U388" s="11">
        <v>0.08151762663889899</v>
      </c>
      <c r="V388" s="11">
        <v>0.12896514932952433</v>
      </c>
      <c r="W388" s="11">
        <v>0.13695487929185018</v>
      </c>
      <c r="X388" s="11">
        <v>0.24504524284416282</v>
      </c>
      <c r="Y388" s="11">
        <v>0.2897432283933766</v>
      </c>
      <c r="Z388" s="11">
        <v>0.11777387350218707</v>
      </c>
    </row>
    <row r="389" ht="22.5" customHeight="1">
      <c r="Q389" s="9" t="s">
        <v>427</v>
      </c>
      <c r="R389" s="10">
        <v>0.6221666870676548</v>
      </c>
      <c r="S389" s="10">
        <v>0.026635376238353867</v>
      </c>
      <c r="T389" s="10">
        <v>21.856897453145724</v>
      </c>
      <c r="U389" s="11">
        <v>0.1907775485087829</v>
      </c>
      <c r="V389" s="11">
        <v>0.18666560165238427</v>
      </c>
      <c r="W389" s="11">
        <v>0.14926176402616834</v>
      </c>
      <c r="X389" s="11">
        <v>0.29014949283114444</v>
      </c>
      <c r="Y389" s="11">
        <v>0.17972863896186786</v>
      </c>
      <c r="Z389" s="11">
        <v>0.0034169540196520402</v>
      </c>
    </row>
    <row r="390" ht="22.5" customHeight="1">
      <c r="Q390" s="9" t="s">
        <v>428</v>
      </c>
      <c r="R390" s="10">
        <v>0.35531214325290444</v>
      </c>
      <c r="S390" s="10">
        <v>0.014426349173947172</v>
      </c>
      <c r="T390" s="10">
        <v>21.856683174030813</v>
      </c>
      <c r="U390" s="11">
        <v>0.397261319981357</v>
      </c>
      <c r="V390" s="11">
        <v>0.0812934418385012</v>
      </c>
      <c r="W390" s="11">
        <v>0.07285168988999177</v>
      </c>
      <c r="X390" s="11">
        <v>0.20582128948176104</v>
      </c>
      <c r="Y390" s="11">
        <v>0.05065673129073964</v>
      </c>
      <c r="Z390" s="11">
        <v>0.1921155275176493</v>
      </c>
    </row>
    <row r="391" ht="22.5" customHeight="1">
      <c r="Q391" s="9" t="s">
        <v>429</v>
      </c>
      <c r="R391" s="10">
        <v>0.31959518229341477</v>
      </c>
      <c r="S391" s="10">
        <v>0.012792860450810422</v>
      </c>
      <c r="T391" s="10">
        <v>21.855564153809134</v>
      </c>
      <c r="U391" s="11">
        <v>0.2607358732579637</v>
      </c>
      <c r="V391" s="11">
        <v>0.07916326126608995</v>
      </c>
      <c r="W391" s="11">
        <v>0.026217798145378873</v>
      </c>
      <c r="X391" s="11">
        <v>0.3911749379255869</v>
      </c>
      <c r="Y391" s="11">
        <v>0.12179331771775478</v>
      </c>
      <c r="Z391" s="11">
        <v>0.12091481168722568</v>
      </c>
    </row>
    <row r="392" ht="22.5" customHeight="1">
      <c r="Q392" s="9" t="s">
        <v>430</v>
      </c>
      <c r="R392" s="10">
        <v>0.42785917047424477</v>
      </c>
      <c r="S392" s="10">
        <v>0.01774710922761315</v>
      </c>
      <c r="T392" s="10">
        <v>21.854780150378826</v>
      </c>
      <c r="U392" s="11">
        <v>0.1825899665996694</v>
      </c>
      <c r="V392" s="11">
        <v>0.09723773566098094</v>
      </c>
      <c r="W392" s="11">
        <v>0.11684790483675457</v>
      </c>
      <c r="X392" s="11">
        <v>0.22475171362313048</v>
      </c>
      <c r="Y392" s="11">
        <v>0.07564028417835635</v>
      </c>
      <c r="Z392" s="11">
        <v>0.3029323951011083</v>
      </c>
    </row>
    <row r="393" ht="22.5" customHeight="1">
      <c r="Q393" s="9" t="s">
        <v>431</v>
      </c>
      <c r="R393" s="10">
        <v>0.3234597509634049</v>
      </c>
      <c r="S393" s="10">
        <v>0.012970793291809175</v>
      </c>
      <c r="T393" s="10">
        <v>21.853694264205465</v>
      </c>
      <c r="U393" s="11">
        <v>0.238540800791057</v>
      </c>
      <c r="V393" s="11">
        <v>0.07216980087996538</v>
      </c>
      <c r="W393" s="11">
        <v>0.05939040153970562</v>
      </c>
      <c r="X393" s="11">
        <v>0.17629783346691136</v>
      </c>
      <c r="Y393" s="11">
        <v>0.2166621292444871</v>
      </c>
      <c r="Z393" s="11">
        <v>0.23693903407787356</v>
      </c>
    </row>
    <row r="394" ht="22.5" customHeight="1">
      <c r="Q394" s="9" t="s">
        <v>432</v>
      </c>
      <c r="R394" s="10">
        <v>0.6147513543035061</v>
      </c>
      <c r="S394" s="10">
        <v>0.02630011156021234</v>
      </c>
      <c r="T394" s="10">
        <v>21.853570962528103</v>
      </c>
      <c r="U394" s="11">
        <v>0.006033565328868425</v>
      </c>
      <c r="V394" s="11">
        <v>0.18965175488537253</v>
      </c>
      <c r="W394" s="11">
        <v>0.13540807534539365</v>
      </c>
      <c r="X394" s="11">
        <v>0.35570658320089876</v>
      </c>
      <c r="Y394" s="11">
        <v>0.2689858628044196</v>
      </c>
      <c r="Z394" s="11">
        <v>0.04421415843504704</v>
      </c>
    </row>
    <row r="395" ht="22.5" customHeight="1">
      <c r="Q395" s="9" t="s">
        <v>433</v>
      </c>
      <c r="R395" s="10">
        <v>0.5393410681110413</v>
      </c>
      <c r="S395" s="10">
        <v>0.022849792632389895</v>
      </c>
      <c r="T395" s="10">
        <v>21.853199114079423</v>
      </c>
      <c r="U395" s="11">
        <v>0.1954845292985983</v>
      </c>
      <c r="V395" s="11">
        <v>0.17149980695085715</v>
      </c>
      <c r="W395" s="11">
        <v>0.10633138462725857</v>
      </c>
      <c r="X395" s="11">
        <v>0.24986813511357137</v>
      </c>
      <c r="Y395" s="11">
        <v>0.2204846857663565</v>
      </c>
      <c r="Z395" s="11">
        <v>0.056331458243358064</v>
      </c>
    </row>
    <row r="396" ht="22.5" customHeight="1">
      <c r="Q396" s="9" t="s">
        <v>434</v>
      </c>
      <c r="R396" s="10">
        <v>0.5072491960748855</v>
      </c>
      <c r="S396" s="10">
        <v>0.021381761924136353</v>
      </c>
      <c r="T396" s="10">
        <v>21.852698469504567</v>
      </c>
      <c r="U396" s="11">
        <v>0.05362706212584517</v>
      </c>
      <c r="V396" s="11">
        <v>0.15710872632930162</v>
      </c>
      <c r="W396" s="11">
        <v>0.11073990552794148</v>
      </c>
      <c r="X396" s="11">
        <v>0.2553345724139328</v>
      </c>
      <c r="Y396" s="11">
        <v>0.13912746249591484</v>
      </c>
      <c r="Z396" s="11">
        <v>0.2840622711070641</v>
      </c>
    </row>
    <row r="397" ht="22.5" customHeight="1">
      <c r="Q397" s="9" t="s">
        <v>435</v>
      </c>
      <c r="R397" s="10">
        <v>0.5179102559042065</v>
      </c>
      <c r="S397" s="10">
        <v>0.021872530723814006</v>
      </c>
      <c r="T397" s="10">
        <v>21.84979241491591</v>
      </c>
      <c r="U397" s="11">
        <v>0.18439044549174347</v>
      </c>
      <c r="V397" s="11">
        <v>0.13734472716761345</v>
      </c>
      <c r="W397" s="11">
        <v>0.12561930654015332</v>
      </c>
      <c r="X397" s="11">
        <v>0.2092856963637316</v>
      </c>
      <c r="Y397" s="11">
        <v>0.3134913451417965</v>
      </c>
      <c r="Z397" s="11">
        <v>0.029868479294961763</v>
      </c>
    </row>
    <row r="398" ht="22.5" customHeight="1">
      <c r="Q398" s="9" t="s">
        <v>436</v>
      </c>
      <c r="R398" s="10">
        <v>0.4371635316018433</v>
      </c>
      <c r="S398" s="10">
        <v>0.01818026003861771</v>
      </c>
      <c r="T398" s="10">
        <v>21.845866382450303</v>
      </c>
      <c r="U398" s="11">
        <v>0.15872766231300045</v>
      </c>
      <c r="V398" s="11">
        <v>0.11927768113928937</v>
      </c>
      <c r="W398" s="11">
        <v>0.09940122018914951</v>
      </c>
      <c r="X398" s="11">
        <v>0.15908296841373867</v>
      </c>
      <c r="Y398" s="11">
        <v>0.22915221398548527</v>
      </c>
      <c r="Z398" s="11">
        <v>0.23435825395933674</v>
      </c>
    </row>
    <row r="399" ht="22.5" customHeight="1">
      <c r="Q399" s="9" t="s">
        <v>437</v>
      </c>
      <c r="R399" s="10">
        <v>0.46999774269122185</v>
      </c>
      <c r="S399" s="10">
        <v>0.019684501996437304</v>
      </c>
      <c r="T399" s="10">
        <v>21.844481652065525</v>
      </c>
      <c r="U399" s="11">
        <v>0.09893612262700484</v>
      </c>
      <c r="V399" s="11">
        <v>0.13530708767456862</v>
      </c>
      <c r="W399" s="11">
        <v>0.11057094937469528</v>
      </c>
      <c r="X399" s="11">
        <v>0.27395440413001654</v>
      </c>
      <c r="Y399" s="11">
        <v>0.011684927135384784</v>
      </c>
      <c r="Z399" s="11">
        <v>0.36954650905833003</v>
      </c>
    </row>
    <row r="400" ht="22.5" customHeight="1">
      <c r="Q400" s="9" t="s">
        <v>438</v>
      </c>
      <c r="R400" s="10">
        <v>0.44631970724531206</v>
      </c>
      <c r="S400" s="10">
        <v>0.01860153201702197</v>
      </c>
      <c r="T400" s="10">
        <v>21.8433463906895</v>
      </c>
      <c r="U400" s="11">
        <v>0.17703619917711455</v>
      </c>
      <c r="V400" s="11">
        <v>0.08237187620008277</v>
      </c>
      <c r="W400" s="11">
        <v>0.12712051066119567</v>
      </c>
      <c r="X400" s="11">
        <v>0.27322056058112104</v>
      </c>
      <c r="Y400" s="11">
        <v>0.24976239977669742</v>
      </c>
      <c r="Z400" s="11">
        <v>0.09048845360378868</v>
      </c>
    </row>
    <row r="401" ht="22.5" customHeight="1">
      <c r="Q401" s="9" t="s">
        <v>439</v>
      </c>
      <c r="R401" s="10">
        <v>0.5201030754716148</v>
      </c>
      <c r="S401" s="10">
        <v>0.021979712503222257</v>
      </c>
      <c r="T401" s="10">
        <v>21.84300979374644</v>
      </c>
      <c r="U401" s="11">
        <v>0.21606688263652057</v>
      </c>
      <c r="V401" s="11">
        <v>0.14460562056307635</v>
      </c>
      <c r="W401" s="11">
        <v>0.13110128659268036</v>
      </c>
      <c r="X401" s="11">
        <v>0.20016740464731017</v>
      </c>
      <c r="Y401" s="11">
        <v>0.14971402514572446</v>
      </c>
      <c r="Z401" s="11">
        <v>0.15834478041468814</v>
      </c>
    </row>
    <row r="402" ht="22.5" customHeight="1">
      <c r="Q402" s="9" t="s">
        <v>440</v>
      </c>
      <c r="R402" s="10">
        <v>0.29022298783233486</v>
      </c>
      <c r="S402" s="10">
        <v>0.011456066111719662</v>
      </c>
      <c r="T402" s="10">
        <v>21.841964369981632</v>
      </c>
      <c r="U402" s="11">
        <v>0.3065583616368179</v>
      </c>
      <c r="V402" s="11">
        <v>0.04749550471573552</v>
      </c>
      <c r="W402" s="11">
        <v>0.05310918584078619</v>
      </c>
      <c r="X402" s="11">
        <v>0.28217213403440505</v>
      </c>
      <c r="Y402" s="11">
        <v>0.07809401398213164</v>
      </c>
      <c r="Z402" s="11">
        <v>0.2325707997901238</v>
      </c>
    </row>
    <row r="403" ht="22.5" customHeight="1">
      <c r="Q403" s="9" t="s">
        <v>441</v>
      </c>
      <c r="R403" s="10">
        <v>0.3983949687539895</v>
      </c>
      <c r="S403" s="10">
        <v>0.016408639983146952</v>
      </c>
      <c r="T403" s="10">
        <v>21.84184485259541</v>
      </c>
      <c r="U403" s="11">
        <v>0.3858112442037619</v>
      </c>
      <c r="V403" s="11">
        <v>0.11411600642312737</v>
      </c>
      <c r="W403" s="11">
        <v>0.05909239706578854</v>
      </c>
      <c r="X403" s="11">
        <v>0.22342719964773275</v>
      </c>
      <c r="Y403" s="11">
        <v>0.17770690432722422</v>
      </c>
      <c r="Z403" s="11">
        <v>0.03984624833236524</v>
      </c>
    </row>
    <row r="404" ht="22.5" customHeight="1">
      <c r="Q404" s="9" t="s">
        <v>442</v>
      </c>
      <c r="R404" s="10">
        <v>0.4832779258332704</v>
      </c>
      <c r="S404" s="10">
        <v>0.020297409145709537</v>
      </c>
      <c r="T404" s="10">
        <v>21.83913831815182</v>
      </c>
      <c r="U404" s="11">
        <v>0.040080421784391806</v>
      </c>
      <c r="V404" s="11">
        <v>0.09185972255156324</v>
      </c>
      <c r="W404" s="11">
        <v>0.14117866511761507</v>
      </c>
      <c r="X404" s="11">
        <v>0.35811828435187365</v>
      </c>
      <c r="Y404" s="11">
        <v>0.24011354997702225</v>
      </c>
      <c r="Z404" s="11">
        <v>0.1286493562175339</v>
      </c>
    </row>
    <row r="405" ht="22.5" customHeight="1">
      <c r="Q405" s="9" t="s">
        <v>443</v>
      </c>
      <c r="R405" s="10">
        <v>0.4815393898348745</v>
      </c>
      <c r="S405" s="10">
        <v>0.020219464981628233</v>
      </c>
      <c r="T405" s="10">
        <v>21.837342888947116</v>
      </c>
      <c r="U405" s="11">
        <v>0.17084170616932376</v>
      </c>
      <c r="V405" s="11">
        <v>0.1541545599051042</v>
      </c>
      <c r="W405" s="11">
        <v>0.07814455510371397</v>
      </c>
      <c r="X405" s="11">
        <v>0.2640916335168364</v>
      </c>
      <c r="Y405" s="11">
        <v>0.2650791979606244</v>
      </c>
      <c r="Z405" s="11">
        <v>0.06768834734439724</v>
      </c>
    </row>
    <row r="406" ht="22.5" customHeight="1">
      <c r="Q406" s="9" t="s">
        <v>444</v>
      </c>
      <c r="R406" s="10">
        <v>0.4750866877154728</v>
      </c>
      <c r="S406" s="10">
        <v>0.019924112927900063</v>
      </c>
      <c r="T406" s="10">
        <v>21.83719241553855</v>
      </c>
      <c r="U406" s="11">
        <v>0.027655006276760395</v>
      </c>
      <c r="V406" s="11">
        <v>0.1531414229689173</v>
      </c>
      <c r="W406" s="11">
        <v>0.08941794600487449</v>
      </c>
      <c r="X406" s="11">
        <v>0.30597014232934333</v>
      </c>
      <c r="Y406" s="11">
        <v>0.0905536204354702</v>
      </c>
      <c r="Z406" s="11">
        <v>0.3332618619846342</v>
      </c>
    </row>
    <row r="407" ht="22.5" customHeight="1">
      <c r="Q407" s="9" t="s">
        <v>445</v>
      </c>
      <c r="R407" s="10">
        <v>0.5499754442253851</v>
      </c>
      <c r="S407" s="10">
        <v>0.023355174589339053</v>
      </c>
      <c r="T407" s="10">
        <v>21.8356511219648</v>
      </c>
      <c r="U407" s="11">
        <v>0.2251275161322985</v>
      </c>
      <c r="V407" s="11">
        <v>0.14739835165193113</v>
      </c>
      <c r="W407" s="11">
        <v>0.14821937554940032</v>
      </c>
      <c r="X407" s="11">
        <v>0.2672877096140211</v>
      </c>
      <c r="Y407" s="11">
        <v>0.04705748024574532</v>
      </c>
      <c r="Z407" s="11">
        <v>0.16490956680660362</v>
      </c>
    </row>
    <row r="408" ht="22.5" customHeight="1">
      <c r="Q408" s="9" t="s">
        <v>446</v>
      </c>
      <c r="R408" s="10">
        <v>0.6411661426388746</v>
      </c>
      <c r="S408" s="10">
        <v>0.02753572991169519</v>
      </c>
      <c r="T408" s="10">
        <v>21.832221065748563</v>
      </c>
      <c r="U408" s="11">
        <v>0.07305499355636647</v>
      </c>
      <c r="V408" s="11">
        <v>0.21088309281001305</v>
      </c>
      <c r="W408" s="11">
        <v>0.12827753922967494</v>
      </c>
      <c r="X408" s="11">
        <v>0.4398204966441721</v>
      </c>
      <c r="Y408" s="11">
        <v>0.12434546945946362</v>
      </c>
      <c r="Z408" s="11">
        <v>0.023618408300309895</v>
      </c>
    </row>
    <row r="409" ht="22.5" customHeight="1">
      <c r="Q409" s="9" t="s">
        <v>447</v>
      </c>
      <c r="R409" s="10">
        <v>0.6184798479312238</v>
      </c>
      <c r="S409" s="10">
        <v>0.026498905137621664</v>
      </c>
      <c r="T409" s="10">
        <v>21.83033015616673</v>
      </c>
      <c r="U409" s="11">
        <v>0.04066187498480807</v>
      </c>
      <c r="V409" s="11">
        <v>0.18601967161454921</v>
      </c>
      <c r="W409" s="11">
        <v>0.14265463242122808</v>
      </c>
      <c r="X409" s="11">
        <v>0.3257536325175368</v>
      </c>
      <c r="Y409" s="11">
        <v>0.2885697797533194</v>
      </c>
      <c r="Z409" s="11">
        <v>0.01634040870855834</v>
      </c>
    </row>
    <row r="410" ht="22.5" customHeight="1">
      <c r="Q410" s="9" t="s">
        <v>448</v>
      </c>
      <c r="R410" s="10">
        <v>0.5431238392976369</v>
      </c>
      <c r="S410" s="10">
        <v>0.02304922703224702</v>
      </c>
      <c r="T410" s="10">
        <v>21.828230447543486</v>
      </c>
      <c r="U410" s="11">
        <v>0.22494939351601312</v>
      </c>
      <c r="V410" s="11">
        <v>0.13779929012034284</v>
      </c>
      <c r="W410" s="11">
        <v>0.15040210061130313</v>
      </c>
      <c r="X410" s="11">
        <v>0.23944737378999378</v>
      </c>
      <c r="Y410" s="11">
        <v>0.13691258558564756</v>
      </c>
      <c r="Z410" s="11">
        <v>0.1104892563766996</v>
      </c>
    </row>
    <row r="411" ht="22.5" customHeight="1">
      <c r="Q411" s="9" t="s">
        <v>449</v>
      </c>
      <c r="R411" s="10">
        <v>0.5502967171569826</v>
      </c>
      <c r="S411" s="10">
        <v>0.023378053078102277</v>
      </c>
      <c r="T411" s="10">
        <v>21.828024577246193</v>
      </c>
      <c r="U411" s="11">
        <v>0.36628077638099515</v>
      </c>
      <c r="V411" s="11">
        <v>0.17568024598147852</v>
      </c>
      <c r="W411" s="11">
        <v>0.10846857499707353</v>
      </c>
      <c r="X411" s="11">
        <v>0.30396950595199485</v>
      </c>
      <c r="Y411" s="11">
        <v>0.015991640222759562</v>
      </c>
      <c r="Z411" s="11">
        <v>0.02960925646569848</v>
      </c>
    </row>
    <row r="412" ht="22.5" customHeight="1">
      <c r="Q412" s="9" t="s">
        <v>450</v>
      </c>
      <c r="R412" s="10">
        <v>0.5629308892277749</v>
      </c>
      <c r="S412" s="10">
        <v>0.023957645723455618</v>
      </c>
      <c r="T412" s="10">
        <v>21.827307042770144</v>
      </c>
      <c r="U412" s="11">
        <v>0.09602148700875883</v>
      </c>
      <c r="V412" s="11">
        <v>0.12176402677420797</v>
      </c>
      <c r="W412" s="11">
        <v>0.16781003221977026</v>
      </c>
      <c r="X412" s="11">
        <v>0.45456529273641594</v>
      </c>
      <c r="Y412" s="11">
        <v>0.03119239266816326</v>
      </c>
      <c r="Z412" s="11">
        <v>0.1286467685926838</v>
      </c>
    </row>
    <row r="413" ht="22.5" customHeight="1">
      <c r="Q413" s="9" t="s">
        <v>451</v>
      </c>
      <c r="R413" s="10">
        <v>0.578688146021745</v>
      </c>
      <c r="S413" s="10">
        <v>0.024681129461182397</v>
      </c>
      <c r="T413" s="10">
        <v>21.825911446596255</v>
      </c>
      <c r="U413" s="11">
        <v>0.17965735697191904</v>
      </c>
      <c r="V413" s="11">
        <v>0.16845667198507652</v>
      </c>
      <c r="W413" s="11">
        <v>0.14401708518006903</v>
      </c>
      <c r="X413" s="11">
        <v>0.2430202368417881</v>
      </c>
      <c r="Y413" s="11">
        <v>0.16940720545745105</v>
      </c>
      <c r="Z413" s="11">
        <v>0.0954414435636962</v>
      </c>
    </row>
    <row r="414" ht="22.5" customHeight="1">
      <c r="Q414" s="9" t="s">
        <v>452</v>
      </c>
      <c r="R414" s="10">
        <v>0.5392666083641398</v>
      </c>
      <c r="S414" s="10">
        <v>0.022876105383759022</v>
      </c>
      <c r="T414" s="10">
        <v>21.8248080251718</v>
      </c>
      <c r="U414" s="11">
        <v>0.1678213624040367</v>
      </c>
      <c r="V414" s="11">
        <v>0.16219136122645003</v>
      </c>
      <c r="W414" s="11">
        <v>0.1253511077446749</v>
      </c>
      <c r="X414" s="11">
        <v>0.21663935123132977</v>
      </c>
      <c r="Y414" s="11">
        <v>0.17461897835613638</v>
      </c>
      <c r="Z414" s="11">
        <v>0.15337783903737226</v>
      </c>
    </row>
    <row r="415" ht="22.5" customHeight="1">
      <c r="Q415" s="9" t="s">
        <v>453</v>
      </c>
      <c r="R415" s="10">
        <v>0.6053274027565132</v>
      </c>
      <c r="S415" s="10">
        <v>0.025903775310633523</v>
      </c>
      <c r="T415" s="10">
        <v>21.824131655606422</v>
      </c>
      <c r="U415" s="11">
        <v>0.13017409841401054</v>
      </c>
      <c r="V415" s="11">
        <v>0.18046129745667966</v>
      </c>
      <c r="W415" s="11">
        <v>0.14343363324886713</v>
      </c>
      <c r="X415" s="11">
        <v>0.2744288273808197</v>
      </c>
      <c r="Y415" s="11">
        <v>0.2525959044732758</v>
      </c>
      <c r="Z415" s="11">
        <v>0.018906239026347253</v>
      </c>
    </row>
    <row r="416" ht="22.5" customHeight="1">
      <c r="Q416" s="9" t="s">
        <v>454</v>
      </c>
      <c r="R416" s="10">
        <v>0.3955613013234568</v>
      </c>
      <c r="S416" s="10">
        <v>0.01629311534531839</v>
      </c>
      <c r="T416" s="10">
        <v>21.822794093556986</v>
      </c>
      <c r="U416" s="11">
        <v>0.1311286387175451</v>
      </c>
      <c r="V416" s="11">
        <v>0.08193250161662188</v>
      </c>
      <c r="W416" s="11">
        <v>0.10829780574934907</v>
      </c>
      <c r="X416" s="11">
        <v>0.26459469195684493</v>
      </c>
      <c r="Y416" s="11">
        <v>0.05243821448578643</v>
      </c>
      <c r="Z416" s="11">
        <v>0.36160814747385256</v>
      </c>
    </row>
    <row r="417" ht="22.5" customHeight="1">
      <c r="Q417" s="9" t="s">
        <v>455</v>
      </c>
      <c r="R417" s="10">
        <v>0.4254657248126222</v>
      </c>
      <c r="S417" s="10">
        <v>0.017664872893721772</v>
      </c>
      <c r="T417" s="10">
        <v>21.82103019544622</v>
      </c>
      <c r="U417" s="11">
        <v>0.21753280134634026</v>
      </c>
      <c r="V417" s="11">
        <v>0.11763381622723752</v>
      </c>
      <c r="W417" s="11">
        <v>0.09061520765116324</v>
      </c>
      <c r="X417" s="11">
        <v>0.14852660560965372</v>
      </c>
      <c r="Y417" s="11">
        <v>0.2306849528081045</v>
      </c>
      <c r="Z417" s="11">
        <v>0.19500661635750066</v>
      </c>
    </row>
    <row r="418" ht="22.5" customHeight="1">
      <c r="Q418" s="9" t="s">
        <v>456</v>
      </c>
      <c r="R418" s="10">
        <v>0.5000816701542695</v>
      </c>
      <c r="S418" s="10">
        <v>0.021087002467977654</v>
      </c>
      <c r="T418" s="10">
        <v>21.818258467648086</v>
      </c>
      <c r="U418" s="11">
        <v>0.013656754643720658</v>
      </c>
      <c r="V418" s="11">
        <v>0.1038461310538783</v>
      </c>
      <c r="W418" s="11">
        <v>0.14448020384726515</v>
      </c>
      <c r="X418" s="11">
        <v>0.33596872317895954</v>
      </c>
      <c r="Y418" s="11">
        <v>0.25224826015981394</v>
      </c>
      <c r="Z418" s="11">
        <v>0.14979992711636236</v>
      </c>
    </row>
    <row r="419" ht="22.5" customHeight="1">
      <c r="Q419" s="9" t="s">
        <v>457</v>
      </c>
      <c r="R419" s="10">
        <v>0.37734829038409745</v>
      </c>
      <c r="S419" s="10">
        <v>0.015463802327603485</v>
      </c>
      <c r="T419" s="10">
        <v>21.815351957902212</v>
      </c>
      <c r="U419" s="11">
        <v>0.29612994319819297</v>
      </c>
      <c r="V419" s="11">
        <v>0.09554300727910667</v>
      </c>
      <c r="W419" s="11">
        <v>0.08136064458277202</v>
      </c>
      <c r="X419" s="11">
        <v>0.14976981781876725</v>
      </c>
      <c r="Y419" s="11">
        <v>0.12920623907926873</v>
      </c>
      <c r="Z419" s="11">
        <v>0.24799034804189238</v>
      </c>
    </row>
    <row r="420" ht="22.5" customHeight="1">
      <c r="Q420" s="9" t="s">
        <v>458</v>
      </c>
      <c r="R420" s="10">
        <v>0.4146433717792205</v>
      </c>
      <c r="S420" s="10">
        <v>0.017173411518365704</v>
      </c>
      <c r="T420" s="10">
        <v>21.815314410801076</v>
      </c>
      <c r="U420" s="11">
        <v>0.009978216701241832</v>
      </c>
      <c r="V420" s="11">
        <v>0.10308983953564474</v>
      </c>
      <c r="W420" s="11">
        <v>0.0870189377699252</v>
      </c>
      <c r="X420" s="11">
        <v>0.23786684156175264</v>
      </c>
      <c r="Y420" s="11">
        <v>0.37040492595940344</v>
      </c>
      <c r="Z420" s="11">
        <v>0.19164123847203207</v>
      </c>
    </row>
    <row r="421" ht="22.5" customHeight="1">
      <c r="Q421" s="9" t="s">
        <v>459</v>
      </c>
      <c r="R421" s="10">
        <v>0.45735740727718405</v>
      </c>
      <c r="S421" s="10">
        <v>0.019131613420301268</v>
      </c>
      <c r="T421" s="10">
        <v>21.815065886409275</v>
      </c>
      <c r="U421" s="11">
        <v>0.1858927944934912</v>
      </c>
      <c r="V421" s="11">
        <v>0.10261018550441367</v>
      </c>
      <c r="W421" s="11">
        <v>0.12872471323657209</v>
      </c>
      <c r="X421" s="11">
        <v>0.2142828886742668</v>
      </c>
      <c r="Y421" s="11">
        <v>0.14976277853416706</v>
      </c>
      <c r="Z421" s="11">
        <v>0.2187266395570892</v>
      </c>
    </row>
    <row r="422" ht="22.5" customHeight="1">
      <c r="Q422" s="9" t="s">
        <v>460</v>
      </c>
      <c r="R422" s="10">
        <v>0.5794410927748863</v>
      </c>
      <c r="S422" s="10">
        <v>0.024729063199809807</v>
      </c>
      <c r="T422" s="10">
        <v>21.81405289865712</v>
      </c>
      <c r="U422" s="11">
        <v>0.22204655894145844</v>
      </c>
      <c r="V422" s="11">
        <v>0.16652524149387168</v>
      </c>
      <c r="W422" s="11">
        <v>0.14229319327860676</v>
      </c>
      <c r="X422" s="11">
        <v>0.22840079950075834</v>
      </c>
      <c r="Y422" s="11">
        <v>0.2234425371814321</v>
      </c>
      <c r="Z422" s="11">
        <v>0.017291669603872642</v>
      </c>
    </row>
    <row r="423" ht="22.5" customHeight="1">
      <c r="Q423" s="9" t="s">
        <v>461</v>
      </c>
      <c r="R423" s="10">
        <v>0.5918585039094818</v>
      </c>
      <c r="S423" s="10">
        <v>0.025303485292337616</v>
      </c>
      <c r="T423" s="10">
        <v>21.80958462969507</v>
      </c>
      <c r="U423" s="11">
        <v>0.16005747976785065</v>
      </c>
      <c r="V423" s="11">
        <v>0.15997118310237488</v>
      </c>
      <c r="W423" s="11">
        <v>0.15555356670633866</v>
      </c>
      <c r="X423" s="11">
        <v>0.25751792520281097</v>
      </c>
      <c r="Y423" s="11">
        <v>0.25403963594700707</v>
      </c>
      <c r="Z423" s="11">
        <v>0.012860209273617808</v>
      </c>
    </row>
    <row r="424" ht="22.5" customHeight="1">
      <c r="Q424" s="9" t="s">
        <v>462</v>
      </c>
      <c r="R424" s="10">
        <v>0.4773812158952477</v>
      </c>
      <c r="S424" s="10">
        <v>0.020055558224479495</v>
      </c>
      <c r="T424" s="10">
        <v>21.808478776790523</v>
      </c>
      <c r="U424" s="11">
        <v>0.16682064596185328</v>
      </c>
      <c r="V424" s="11">
        <v>0.10896976956406124</v>
      </c>
      <c r="W424" s="11">
        <v>0.11961354016700047</v>
      </c>
      <c r="X424" s="11">
        <v>0.2321290251583999</v>
      </c>
      <c r="Y424" s="11">
        <v>0.36600316646514497</v>
      </c>
      <c r="Z424" s="11">
        <v>0.006463852683540173</v>
      </c>
    </row>
    <row r="425" ht="22.5" customHeight="1">
      <c r="Q425" s="9" t="s">
        <v>463</v>
      </c>
      <c r="R425" s="10">
        <v>0.5587815138124413</v>
      </c>
      <c r="S425" s="10">
        <v>0.023788161927373184</v>
      </c>
      <c r="T425" s="10">
        <v>21.808390046961815</v>
      </c>
      <c r="U425" s="11">
        <v>0.3008776203755623</v>
      </c>
      <c r="V425" s="11">
        <v>0.18198884995805947</v>
      </c>
      <c r="W425" s="11">
        <v>0.10792330015431607</v>
      </c>
      <c r="X425" s="11">
        <v>0.28002799418275864</v>
      </c>
      <c r="Y425" s="11">
        <v>0.11059937807686289</v>
      </c>
      <c r="Z425" s="11">
        <v>0.018582857252440705</v>
      </c>
    </row>
    <row r="426" ht="22.5" customHeight="1">
      <c r="Q426" s="9" t="s">
        <v>464</v>
      </c>
      <c r="R426" s="10">
        <v>0.47151924266907436</v>
      </c>
      <c r="S426" s="10">
        <v>0.019787117168476802</v>
      </c>
      <c r="T426" s="10">
        <v>21.808090536631337</v>
      </c>
      <c r="U426" s="11">
        <v>0.1685303773191238</v>
      </c>
      <c r="V426" s="11">
        <v>0.14781825390395856</v>
      </c>
      <c r="W426" s="11">
        <v>0.07308967745733176</v>
      </c>
      <c r="X426" s="11">
        <v>0.2739553698451118</v>
      </c>
      <c r="Y426" s="11">
        <v>0.30788139598962655</v>
      </c>
      <c r="Z426" s="11">
        <v>0.028724925484847466</v>
      </c>
    </row>
    <row r="427" ht="22.5" customHeight="1">
      <c r="Q427" s="9" t="s">
        <v>465</v>
      </c>
      <c r="R427" s="10">
        <v>0.45883065098692766</v>
      </c>
      <c r="S427" s="10">
        <v>0.019205350674814027</v>
      </c>
      <c r="T427" s="10">
        <v>21.808018925485378</v>
      </c>
      <c r="U427" s="11">
        <v>0.19192208286274728</v>
      </c>
      <c r="V427" s="11">
        <v>0.12482349856757992</v>
      </c>
      <c r="W427" s="11">
        <v>0.10761824823118565</v>
      </c>
      <c r="X427" s="11">
        <v>0.15671291361647438</v>
      </c>
      <c r="Y427" s="11">
        <v>0.23503306085917505</v>
      </c>
      <c r="Z427" s="11">
        <v>0.18389019586283772</v>
      </c>
    </row>
    <row r="428" ht="22.5" customHeight="1">
      <c r="Q428" s="9" t="s">
        <v>466</v>
      </c>
      <c r="R428" s="10">
        <v>0.5257185152423848</v>
      </c>
      <c r="S428" s="10">
        <v>0.022273130144626584</v>
      </c>
      <c r="T428" s="10">
        <v>21.807375617547176</v>
      </c>
      <c r="U428" s="11">
        <v>0.2213824420114118</v>
      </c>
      <c r="V428" s="11">
        <v>0.12048707806335715</v>
      </c>
      <c r="W428" s="11">
        <v>0.15079611906713597</v>
      </c>
      <c r="X428" s="11">
        <v>0.24769389327659733</v>
      </c>
      <c r="Y428" s="11">
        <v>0.1922530047519558</v>
      </c>
      <c r="Z428" s="11">
        <v>0.06738746282954206</v>
      </c>
    </row>
    <row r="429" ht="22.5" customHeight="1">
      <c r="Q429" s="9" t="s">
        <v>467</v>
      </c>
      <c r="R429" s="10">
        <v>0.5063323260878088</v>
      </c>
      <c r="S429" s="10">
        <v>0.021386746491595263</v>
      </c>
      <c r="T429" s="10">
        <v>21.8047343606505</v>
      </c>
      <c r="U429" s="11">
        <v>0.12647768643619062</v>
      </c>
      <c r="V429" s="11">
        <v>0.12455441737223591</v>
      </c>
      <c r="W429" s="11">
        <v>0.1428065516784299</v>
      </c>
      <c r="X429" s="11">
        <v>0.2582030715603271</v>
      </c>
      <c r="Y429" s="11">
        <v>0.09933588868567705</v>
      </c>
      <c r="Z429" s="11">
        <v>0.24862238426713945</v>
      </c>
    </row>
    <row r="430" ht="22.5" customHeight="1">
      <c r="Q430" s="9" t="s">
        <v>468</v>
      </c>
      <c r="R430" s="10">
        <v>0.5746610378683534</v>
      </c>
      <c r="S430" s="10">
        <v>0.024526385950843117</v>
      </c>
      <c r="T430" s="10">
        <v>21.799422015944177</v>
      </c>
      <c r="U430" s="11">
        <v>0.017470899372761816</v>
      </c>
      <c r="V430" s="11">
        <v>0.11274802368322241</v>
      </c>
      <c r="W430" s="11">
        <v>0.16604793418984784</v>
      </c>
      <c r="X430" s="11">
        <v>0.6338409362925486</v>
      </c>
      <c r="Y430" s="11">
        <v>0.03347560788494421</v>
      </c>
      <c r="Z430" s="11">
        <v>0.03641659857667511</v>
      </c>
    </row>
    <row r="431" ht="22.5" customHeight="1">
      <c r="Q431" s="9" t="s">
        <v>469</v>
      </c>
      <c r="R431" s="10">
        <v>0.4642931300356552</v>
      </c>
      <c r="S431" s="10">
        <v>0.01946557975611882</v>
      </c>
      <c r="T431" s="10">
        <v>21.797096996419164</v>
      </c>
      <c r="U431" s="11">
        <v>0.20494332321061506</v>
      </c>
      <c r="V431" s="11">
        <v>0.14160548254337055</v>
      </c>
      <c r="W431" s="11">
        <v>0.09487119517393887</v>
      </c>
      <c r="X431" s="11">
        <v>0.1736740551101369</v>
      </c>
      <c r="Y431" s="11">
        <v>0.18284693212834763</v>
      </c>
      <c r="Z431" s="11">
        <v>0.2020590118335912</v>
      </c>
    </row>
    <row r="432" ht="22.5" customHeight="1">
      <c r="Q432" s="9" t="s">
        <v>470</v>
      </c>
      <c r="R432" s="10">
        <v>0.48970190377222866</v>
      </c>
      <c r="S432" s="10">
        <v>0.020631735255974587</v>
      </c>
      <c r="T432" s="10">
        <v>21.796610813043607</v>
      </c>
      <c r="U432" s="11">
        <v>0.20119368225099146</v>
      </c>
      <c r="V432" s="11">
        <v>0.1450067101798254</v>
      </c>
      <c r="W432" s="11">
        <v>0.1138088980928451</v>
      </c>
      <c r="X432" s="11">
        <v>0.19611303243828512</v>
      </c>
      <c r="Y432" s="11">
        <v>0.09280999782258076</v>
      </c>
      <c r="Z432" s="11">
        <v>0.25106767921547213</v>
      </c>
    </row>
    <row r="433" ht="22.5" customHeight="1">
      <c r="Q433" s="9" t="s">
        <v>471</v>
      </c>
      <c r="R433" s="10">
        <v>0.5256068842992293</v>
      </c>
      <c r="S433" s="10">
        <v>0.022279192394413155</v>
      </c>
      <c r="T433" s="10">
        <v>21.796431203718257</v>
      </c>
      <c r="U433" s="11">
        <v>0.13351002897204883</v>
      </c>
      <c r="V433" s="11">
        <v>0.1488304744927859</v>
      </c>
      <c r="W433" s="11">
        <v>0.13451329046767363</v>
      </c>
      <c r="X433" s="11">
        <v>0.27413926503809133</v>
      </c>
      <c r="Y433" s="11">
        <v>0.024121368849930665</v>
      </c>
      <c r="Z433" s="11">
        <v>0.28488557217946964</v>
      </c>
    </row>
    <row r="434" ht="22.5" customHeight="1">
      <c r="Q434" s="9" t="s">
        <v>472</v>
      </c>
      <c r="R434" s="10">
        <v>0.562573442455184</v>
      </c>
      <c r="S434" s="10">
        <v>0.023975250146036516</v>
      </c>
      <c r="T434" s="10">
        <v>21.796370810403143</v>
      </c>
      <c r="U434" s="11">
        <v>0.2110480191984722</v>
      </c>
      <c r="V434" s="11">
        <v>0.1781155053945272</v>
      </c>
      <c r="W434" s="11">
        <v>0.1166357222782459</v>
      </c>
      <c r="X434" s="11">
        <v>0.24385962033599579</v>
      </c>
      <c r="Y434" s="11">
        <v>0.2179929421630012</v>
      </c>
      <c r="Z434" s="11">
        <v>0.03234819062975778</v>
      </c>
    </row>
    <row r="435" ht="22.5" customHeight="1">
      <c r="Q435" s="9" t="s">
        <v>473</v>
      </c>
      <c r="R435" s="10">
        <v>0.5334027742007845</v>
      </c>
      <c r="S435" s="10">
        <v>0.0226372884627617</v>
      </c>
      <c r="T435" s="10">
        <v>21.796019210181964</v>
      </c>
      <c r="U435" s="11">
        <v>0.12054897178672005</v>
      </c>
      <c r="V435" s="11">
        <v>0.15227796295097912</v>
      </c>
      <c r="W435" s="11">
        <v>0.12808808278802403</v>
      </c>
      <c r="X435" s="11">
        <v>0.20906807177099268</v>
      </c>
      <c r="Y435" s="11">
        <v>0.26929538608037684</v>
      </c>
      <c r="Z435" s="11">
        <v>0.12072152462290744</v>
      </c>
    </row>
    <row r="436" ht="22.5" customHeight="1">
      <c r="Q436" s="9" t="s">
        <v>474</v>
      </c>
      <c r="R436" s="10">
        <v>0.42477244617040116</v>
      </c>
      <c r="S436" s="10">
        <v>0.017654361420841508</v>
      </c>
      <c r="T436" s="10">
        <v>21.794752979066445</v>
      </c>
      <c r="U436" s="11">
        <v>0.31521757935046824</v>
      </c>
      <c r="V436" s="11">
        <v>0.08707812743850629</v>
      </c>
      <c r="W436" s="11">
        <v>0.1183956443590969</v>
      </c>
      <c r="X436" s="11">
        <v>0.22952104764683454</v>
      </c>
      <c r="Y436" s="11">
        <v>0.06194938550876241</v>
      </c>
      <c r="Z436" s="11">
        <v>0.18783821569633177</v>
      </c>
    </row>
    <row r="437" ht="22.5" customHeight="1">
      <c r="Q437" s="9" t="s">
        <v>475</v>
      </c>
      <c r="R437" s="10">
        <v>0.5430681117996692</v>
      </c>
      <c r="S437" s="10">
        <v>0.02308259503887351</v>
      </c>
      <c r="T437" s="10">
        <v>21.79426147503995</v>
      </c>
      <c r="U437" s="11">
        <v>0.1881738127436395</v>
      </c>
      <c r="V437" s="11">
        <v>0.16439134885321224</v>
      </c>
      <c r="W437" s="11">
        <v>0.12609480942908066</v>
      </c>
      <c r="X437" s="11">
        <v>0.21265296043636647</v>
      </c>
      <c r="Y437" s="11">
        <v>0.16332824991531103</v>
      </c>
      <c r="Z437" s="11">
        <v>0.1453588186223902</v>
      </c>
    </row>
    <row r="438" ht="22.5" customHeight="1">
      <c r="Q438" s="9" t="s">
        <v>476</v>
      </c>
      <c r="R438" s="10">
        <v>0.4891156030708668</v>
      </c>
      <c r="S438" s="10">
        <v>0.020607774259017206</v>
      </c>
      <c r="T438" s="10">
        <v>21.79350362761036</v>
      </c>
      <c r="U438" s="11">
        <v>0.24972221175169407</v>
      </c>
      <c r="V438" s="11">
        <v>0.12037716465474199</v>
      </c>
      <c r="W438" s="11">
        <v>0.1341624733690449</v>
      </c>
      <c r="X438" s="11">
        <v>0.20248570472045382</v>
      </c>
      <c r="Y438" s="11">
        <v>0.11436422483600658</v>
      </c>
      <c r="Z438" s="11">
        <v>0.17888822066805854</v>
      </c>
    </row>
    <row r="439" ht="22.5" customHeight="1">
      <c r="Q439" s="9" t="s">
        <v>477</v>
      </c>
      <c r="R439" s="10">
        <v>0.4712417000824233</v>
      </c>
      <c r="S439" s="10">
        <v>0.019787853040565382</v>
      </c>
      <c r="T439" s="10">
        <v>21.793253628798013</v>
      </c>
      <c r="U439" s="11">
        <v>0.16259905426569152</v>
      </c>
      <c r="V439" s="11">
        <v>0.1072014016769897</v>
      </c>
      <c r="W439" s="11">
        <v>0.13501014813334308</v>
      </c>
      <c r="X439" s="11">
        <v>0.24146984745316297</v>
      </c>
      <c r="Y439" s="11">
        <v>0.10539518821060535</v>
      </c>
      <c r="Z439" s="11">
        <v>0.24832436026020746</v>
      </c>
    </row>
    <row r="440" ht="22.5" customHeight="1">
      <c r="Q440" s="9" t="s">
        <v>478</v>
      </c>
      <c r="R440" s="10">
        <v>0.6001080414079181</v>
      </c>
      <c r="S440" s="10">
        <v>0.02570250965197644</v>
      </c>
      <c r="T440" s="10">
        <v>21.791959189667985</v>
      </c>
      <c r="U440" s="11">
        <v>0.3105480556530945</v>
      </c>
      <c r="V440" s="11">
        <v>0.15207130356676637</v>
      </c>
      <c r="W440" s="11">
        <v>0.16993260776862942</v>
      </c>
      <c r="X440" s="11">
        <v>0.3125947200815602</v>
      </c>
      <c r="Y440" s="11">
        <v>0.041609193352828186</v>
      </c>
      <c r="Z440" s="11">
        <v>0.013244119577121198</v>
      </c>
    </row>
    <row r="441" ht="22.5" customHeight="1">
      <c r="Q441" s="9" t="s">
        <v>479</v>
      </c>
      <c r="R441" s="10">
        <v>0.41009217392515246</v>
      </c>
      <c r="S441" s="10">
        <v>0.016983129477053955</v>
      </c>
      <c r="T441" s="10">
        <v>21.791753659134912</v>
      </c>
      <c r="U441" s="11">
        <v>0.11941327882146868</v>
      </c>
      <c r="V441" s="11">
        <v>0.11939072504172463</v>
      </c>
      <c r="W441" s="11">
        <v>0.06670830747928207</v>
      </c>
      <c r="X441" s="11">
        <v>0.2181410319390375</v>
      </c>
      <c r="Y441" s="11">
        <v>0.3231183865470835</v>
      </c>
      <c r="Z441" s="11">
        <v>0.15322827017140364</v>
      </c>
    </row>
    <row r="442" ht="22.5" customHeight="1">
      <c r="Q442" s="9" t="s">
        <v>480</v>
      </c>
      <c r="R442" s="10">
        <v>0.522331348251574</v>
      </c>
      <c r="S442" s="10">
        <v>0.013061155271386779</v>
      </c>
      <c r="T442" s="10">
        <v>21.79023968288255</v>
      </c>
      <c r="U442" s="11">
        <v>0.04039925562559683</v>
      </c>
      <c r="V442" s="11">
        <v>0.054453573536324316</v>
      </c>
      <c r="W442" s="11">
        <v>0.05435200236524022</v>
      </c>
      <c r="X442" s="11">
        <v>0.3802795649353898</v>
      </c>
      <c r="Y442" s="11">
        <v>0.32562930124648043</v>
      </c>
      <c r="Z442" s="11">
        <v>0.1448863022909684</v>
      </c>
    </row>
    <row r="443" ht="22.5" customHeight="1">
      <c r="Q443" s="9" t="s">
        <v>481</v>
      </c>
      <c r="R443" s="10">
        <v>0.5653746469354098</v>
      </c>
      <c r="S443" s="10">
        <v>0.024111054860209515</v>
      </c>
      <c r="T443" s="10">
        <v>21.789782735820317</v>
      </c>
      <c r="U443" s="11">
        <v>0.17253168755819742</v>
      </c>
      <c r="V443" s="11">
        <v>0.17364534254524533</v>
      </c>
      <c r="W443" s="11">
        <v>0.12728822948308322</v>
      </c>
      <c r="X443" s="11">
        <v>0.23013914308340971</v>
      </c>
      <c r="Y443" s="11">
        <v>0.21840381541010692</v>
      </c>
      <c r="Z443" s="11">
        <v>0.07799178191995743</v>
      </c>
    </row>
    <row r="444" ht="22.5" customHeight="1">
      <c r="Q444" s="9" t="s">
        <v>482</v>
      </c>
      <c r="R444" s="10">
        <v>0.5131476755717876</v>
      </c>
      <c r="S444" s="10">
        <v>0.021715695601513187</v>
      </c>
      <c r="T444" s="10">
        <v>21.7882808938811</v>
      </c>
      <c r="U444" s="11">
        <v>0.18865552445811734</v>
      </c>
      <c r="V444" s="11">
        <v>0.15012271881732625</v>
      </c>
      <c r="W444" s="11">
        <v>0.12444339591252418</v>
      </c>
      <c r="X444" s="11">
        <v>0.20526833858472252</v>
      </c>
      <c r="Y444" s="11">
        <v>0.1026283752247116</v>
      </c>
      <c r="Z444" s="11">
        <v>0.22888164700259814</v>
      </c>
    </row>
    <row r="445" ht="22.5" customHeight="1">
      <c r="Q445" s="9" t="s">
        <v>483</v>
      </c>
      <c r="R445" s="10">
        <v>0.35888011290624766</v>
      </c>
      <c r="S445" s="10">
        <v>0.014636324293330815</v>
      </c>
      <c r="T445" s="10">
        <v>21.78689857613694</v>
      </c>
      <c r="U445" s="11">
        <v>0.021257013592131186</v>
      </c>
      <c r="V445" s="11">
        <v>0.055581481230654706</v>
      </c>
      <c r="W445" s="11">
        <v>0.09355141721245058</v>
      </c>
      <c r="X445" s="11">
        <v>0.32610207668228736</v>
      </c>
      <c r="Y445" s="11">
        <v>0.231936270639884</v>
      </c>
      <c r="Z445" s="11">
        <v>0.27157174064259215</v>
      </c>
    </row>
    <row r="446" ht="22.5" customHeight="1">
      <c r="Q446" s="9" t="s">
        <v>484</v>
      </c>
      <c r="R446" s="10">
        <v>0.5438297948784354</v>
      </c>
      <c r="S446" s="10">
        <v>0.023126448205502876</v>
      </c>
      <c r="T446" s="10">
        <v>21.785870030770674</v>
      </c>
      <c r="U446" s="11">
        <v>0.23036996631737572</v>
      </c>
      <c r="V446" s="11">
        <v>0.15706896064655002</v>
      </c>
      <c r="W446" s="11">
        <v>0.12850898566137609</v>
      </c>
      <c r="X446" s="11">
        <v>0.19593328107174127</v>
      </c>
      <c r="Y446" s="11">
        <v>0.24219861929559006</v>
      </c>
      <c r="Z446" s="11">
        <v>0.04592018700736706</v>
      </c>
    </row>
    <row r="447" ht="22.5" customHeight="1">
      <c r="Q447" s="9" t="s">
        <v>485</v>
      </c>
      <c r="R447" s="10">
        <v>0.5804485475948424</v>
      </c>
      <c r="S447" s="10">
        <v>0.0248087221823118</v>
      </c>
      <c r="T447" s="10">
        <v>21.784618475036698</v>
      </c>
      <c r="U447" s="11">
        <v>0.11354384919509437</v>
      </c>
      <c r="V447" s="11">
        <v>0.19042404430528115</v>
      </c>
      <c r="W447" s="11">
        <v>0.11043159544691404</v>
      </c>
      <c r="X447" s="11">
        <v>0.31810676110433816</v>
      </c>
      <c r="Y447" s="11">
        <v>0.24287055940423258</v>
      </c>
      <c r="Z447" s="11">
        <v>0.02462319054413962</v>
      </c>
    </row>
    <row r="448" ht="22.5" customHeight="1">
      <c r="Q448" s="9" t="s">
        <v>486</v>
      </c>
      <c r="R448" s="10">
        <v>0.502648405931961</v>
      </c>
      <c r="S448" s="10">
        <v>0.021237925372041087</v>
      </c>
      <c r="T448" s="10">
        <v>21.784067785689647</v>
      </c>
      <c r="U448" s="11">
        <v>0.0599473126766217</v>
      </c>
      <c r="V448" s="11">
        <v>0.16426713614529406</v>
      </c>
      <c r="W448" s="11">
        <v>0.07867422961593526</v>
      </c>
      <c r="X448" s="11">
        <v>0.33202382220675775</v>
      </c>
      <c r="Y448" s="11">
        <v>0.2834652492425647</v>
      </c>
      <c r="Z448" s="11">
        <v>0.08162225011282655</v>
      </c>
    </row>
    <row r="449" ht="22.5" customHeight="1">
      <c r="Q449" s="9" t="s">
        <v>487</v>
      </c>
      <c r="R449" s="10">
        <v>0.5565297892544657</v>
      </c>
      <c r="S449" s="10">
        <v>0.02371560445361084</v>
      </c>
      <c r="T449" s="10">
        <v>21.780165471423224</v>
      </c>
      <c r="U449" s="11">
        <v>0.09942357260985174</v>
      </c>
      <c r="V449" s="11">
        <v>0.16568719507615393</v>
      </c>
      <c r="W449" s="11">
        <v>0.13579130495858718</v>
      </c>
      <c r="X449" s="11">
        <v>0.24041402946796697</v>
      </c>
      <c r="Y449" s="11">
        <v>0.16290553487163995</v>
      </c>
      <c r="Z449" s="11">
        <v>0.1957783630158001</v>
      </c>
    </row>
    <row r="450" ht="22.5" customHeight="1">
      <c r="Q450" s="9" t="s">
        <v>488</v>
      </c>
      <c r="R450" s="10">
        <v>0.46779199895963436</v>
      </c>
      <c r="S450" s="10">
        <v>0.01964150343482942</v>
      </c>
      <c r="T450" s="10">
        <v>21.780002756868882</v>
      </c>
      <c r="U450" s="11">
        <v>0.07462135308103762</v>
      </c>
      <c r="V450" s="11">
        <v>0.14810887745042733</v>
      </c>
      <c r="W450" s="11">
        <v>0.09127139210627018</v>
      </c>
      <c r="X450" s="11">
        <v>0.21669281754484251</v>
      </c>
      <c r="Y450" s="11">
        <v>0.19216168675909623</v>
      </c>
      <c r="Z450" s="11">
        <v>0.277143873058326</v>
      </c>
    </row>
    <row r="451" ht="22.5" customHeight="1">
      <c r="Q451" s="9" t="s">
        <v>489</v>
      </c>
      <c r="R451" s="10">
        <v>0.4649981899075657</v>
      </c>
      <c r="S451" s="10">
        <v>0.019513601538116394</v>
      </c>
      <c r="T451" s="10">
        <v>21.779587385619532</v>
      </c>
      <c r="U451" s="11">
        <v>0.12977466934172457</v>
      </c>
      <c r="V451" s="11">
        <v>0.146630206269801</v>
      </c>
      <c r="W451" s="11">
        <v>0.08413637248743004</v>
      </c>
      <c r="X451" s="11">
        <v>0.21058641962526464</v>
      </c>
      <c r="Y451" s="11">
        <v>0.2529195127576783</v>
      </c>
      <c r="Z451" s="11">
        <v>0.17595281951810138</v>
      </c>
    </row>
    <row r="452" ht="22.5" customHeight="1">
      <c r="Q452" s="9" t="s">
        <v>490</v>
      </c>
      <c r="R452" s="10">
        <v>0.38257521531984234</v>
      </c>
      <c r="S452" s="10">
        <v>0.01572960223833389</v>
      </c>
      <c r="T452" s="10">
        <v>21.779013234356814</v>
      </c>
      <c r="U452" s="11">
        <v>0.24779952001441016</v>
      </c>
      <c r="V452" s="11">
        <v>0.10073559508683504</v>
      </c>
      <c r="W452" s="11">
        <v>0.07525374990820526</v>
      </c>
      <c r="X452" s="11">
        <v>0.14426045749932004</v>
      </c>
      <c r="Y452" s="11">
        <v>0.23667896072352676</v>
      </c>
      <c r="Z452" s="11">
        <v>0.1952717167677028</v>
      </c>
    </row>
    <row r="453" ht="22.5" customHeight="1">
      <c r="Q453" s="9" t="s">
        <v>491</v>
      </c>
      <c r="R453" s="10">
        <v>0.36062426268199055</v>
      </c>
      <c r="S453" s="10">
        <v>0.014722532364195576</v>
      </c>
      <c r="T453" s="10">
        <v>21.77779302844203</v>
      </c>
      <c r="U453" s="11">
        <v>0.057484962405243804</v>
      </c>
      <c r="V453" s="11">
        <v>0.06371392735427922</v>
      </c>
      <c r="W453" s="11">
        <v>0.09149587336373491</v>
      </c>
      <c r="X453" s="11">
        <v>0.2525655072791029</v>
      </c>
      <c r="Y453" s="11">
        <v>0.26833870286573225</v>
      </c>
      <c r="Z453" s="11">
        <v>0.266401026731907</v>
      </c>
    </row>
    <row r="454" ht="22.5" customHeight="1">
      <c r="Q454" s="9" t="s">
        <v>492</v>
      </c>
      <c r="R454" s="10">
        <v>0.522331348251574</v>
      </c>
      <c r="S454" s="10">
        <v>0.013035931073145827</v>
      </c>
      <c r="T454" s="10">
        <v>21.777212827092885</v>
      </c>
      <c r="U454" s="11">
        <v>0.1399088274059952</v>
      </c>
      <c r="V454" s="11">
        <v>0.07718087259824156</v>
      </c>
      <c r="W454" s="11">
        <v>0.05325601491859503</v>
      </c>
      <c r="X454" s="11">
        <v>0.1945349762774557</v>
      </c>
      <c r="Y454" s="11">
        <v>0.2728108332911437</v>
      </c>
      <c r="Z454" s="11">
        <v>0.2623084755085688</v>
      </c>
    </row>
    <row r="455" ht="22.5" customHeight="1">
      <c r="Q455" s="9" t="s">
        <v>493</v>
      </c>
      <c r="R455" s="10">
        <v>0.48863276754011853</v>
      </c>
      <c r="S455" s="10">
        <v>0.020601119185088612</v>
      </c>
      <c r="T455" s="10">
        <v>21.777106549863827</v>
      </c>
      <c r="U455" s="11">
        <v>0.20300408869497874</v>
      </c>
      <c r="V455" s="11">
        <v>0.133318940055835</v>
      </c>
      <c r="W455" s="11">
        <v>0.12203432271358017</v>
      </c>
      <c r="X455" s="11">
        <v>0.16769380865118097</v>
      </c>
      <c r="Y455" s="11">
        <v>0.18781964299068676</v>
      </c>
      <c r="Z455" s="11">
        <v>0.18612919689373836</v>
      </c>
    </row>
    <row r="456" ht="22.5" customHeight="1">
      <c r="Q456" s="9" t="s">
        <v>494</v>
      </c>
      <c r="R456" s="10">
        <v>0.5765893260493861</v>
      </c>
      <c r="S456" s="10">
        <v>0.02464134880017793</v>
      </c>
      <c r="T456" s="10">
        <v>21.775972184019057</v>
      </c>
      <c r="U456" s="11">
        <v>0.1903729674237774</v>
      </c>
      <c r="V456" s="11">
        <v>0.1909293886824257</v>
      </c>
      <c r="W456" s="11">
        <v>0.11021255548844355</v>
      </c>
      <c r="X456" s="11">
        <v>0.2992246686034895</v>
      </c>
      <c r="Y456" s="11">
        <v>0.17724679800662904</v>
      </c>
      <c r="Z456" s="11">
        <v>0.03201362179523465</v>
      </c>
    </row>
    <row r="457" ht="22.5" customHeight="1">
      <c r="Q457" s="9" t="s">
        <v>495</v>
      </c>
      <c r="R457" s="10">
        <v>0.3666580880023087</v>
      </c>
      <c r="S457" s="10">
        <v>0.015002124101766445</v>
      </c>
      <c r="T457" s="10">
        <v>21.774122503349105</v>
      </c>
      <c r="U457" s="11">
        <v>0.18752746898751363</v>
      </c>
      <c r="V457" s="11">
        <v>0.10105274237080608</v>
      </c>
      <c r="W457" s="11">
        <v>0.05237850558334384</v>
      </c>
      <c r="X457" s="11">
        <v>0.2157100650246501</v>
      </c>
      <c r="Y457" s="11">
        <v>0.29875073573281485</v>
      </c>
      <c r="Z457" s="11">
        <v>0.14458048230087153</v>
      </c>
    </row>
    <row r="458" ht="22.5" customHeight="1">
      <c r="Q458" s="9" t="s">
        <v>496</v>
      </c>
      <c r="R458" s="10">
        <v>0.5458330559821097</v>
      </c>
      <c r="S458" s="10">
        <v>0.023231818526839358</v>
      </c>
      <c r="T458" s="10">
        <v>21.773287157771513</v>
      </c>
      <c r="U458" s="11">
        <v>0.09475433147475139</v>
      </c>
      <c r="V458" s="11">
        <v>0.1563747596228</v>
      </c>
      <c r="W458" s="11">
        <v>0.14025192174980108</v>
      </c>
      <c r="X458" s="11">
        <v>0.25123650033244876</v>
      </c>
      <c r="Y458" s="11">
        <v>0.11160656581201107</v>
      </c>
      <c r="Z458" s="11">
        <v>0.24577592100818774</v>
      </c>
    </row>
    <row r="459" ht="22.5" customHeight="1">
      <c r="Q459" s="9" t="s">
        <v>497</v>
      </c>
      <c r="R459" s="10">
        <v>0.44998244913687613</v>
      </c>
      <c r="S459" s="10">
        <v>0.01883075556903384</v>
      </c>
      <c r="T459" s="10">
        <v>21.771959581434437</v>
      </c>
      <c r="U459" s="11">
        <v>0.07057534729504152</v>
      </c>
      <c r="V459" s="11">
        <v>0.1295457490564903</v>
      </c>
      <c r="W459" s="11">
        <v>0.09630526377410067</v>
      </c>
      <c r="X459" s="11">
        <v>0.18117159536331198</v>
      </c>
      <c r="Y459" s="11">
        <v>0.2782679466164781</v>
      </c>
      <c r="Z459" s="11">
        <v>0.2441340978945774</v>
      </c>
    </row>
    <row r="460" ht="22.5" customHeight="1">
      <c r="Q460" s="9" t="s">
        <v>498</v>
      </c>
      <c r="R460" s="10">
        <v>0.4546860866554241</v>
      </c>
      <c r="S460" s="10">
        <v>0.01904721644944796</v>
      </c>
      <c r="T460" s="10">
        <v>21.77147972020042</v>
      </c>
      <c r="U460" s="11">
        <v>0.17641084271951255</v>
      </c>
      <c r="V460" s="11">
        <v>0.14377862343484893</v>
      </c>
      <c r="W460" s="11">
        <v>0.06328529436237862</v>
      </c>
      <c r="X460" s="11">
        <v>0.29059796535461113</v>
      </c>
      <c r="Y460" s="11">
        <v>0.2941581581547776</v>
      </c>
      <c r="Z460" s="11">
        <v>0.031769115973871165</v>
      </c>
    </row>
    <row r="461" ht="22.5" customHeight="1">
      <c r="Q461" s="9" t="s">
        <v>499</v>
      </c>
      <c r="R461" s="10">
        <v>0.45114675256253683</v>
      </c>
      <c r="S461" s="10">
        <v>0.018885620255210976</v>
      </c>
      <c r="T461" s="10">
        <v>21.77036004147611</v>
      </c>
      <c r="U461" s="11">
        <v>0.20837472931442233</v>
      </c>
      <c r="V461" s="11">
        <v>0.09959061247553601</v>
      </c>
      <c r="W461" s="11">
        <v>0.12700218617982453</v>
      </c>
      <c r="X461" s="11">
        <v>0.20176463851814758</v>
      </c>
      <c r="Y461" s="11">
        <v>0.1602799412046451</v>
      </c>
      <c r="Z461" s="11">
        <v>0.20298789230742428</v>
      </c>
    </row>
    <row r="462" ht="22.5" customHeight="1">
      <c r="Q462" s="9" t="s">
        <v>500</v>
      </c>
      <c r="R462" s="10">
        <v>0.589848114774394</v>
      </c>
      <c r="S462" s="10">
        <v>0.025258058559181135</v>
      </c>
      <c r="T462" s="10">
        <v>21.769215297607577</v>
      </c>
      <c r="U462" s="11">
        <v>0.04230757911929225</v>
      </c>
      <c r="V462" s="11">
        <v>0.1882147791848997</v>
      </c>
      <c r="W462" s="11">
        <v>0.1282156608853949</v>
      </c>
      <c r="X462" s="11">
        <v>0.3034971922477681</v>
      </c>
      <c r="Y462" s="11">
        <v>0.20574341839501306</v>
      </c>
      <c r="Z462" s="11">
        <v>0.13202137016763194</v>
      </c>
    </row>
    <row r="463" ht="22.5" customHeight="1">
      <c r="Q463" s="9" t="s">
        <v>501</v>
      </c>
      <c r="R463" s="10">
        <v>0.28783783230431986</v>
      </c>
      <c r="S463" s="10">
        <v>0.01138636080515774</v>
      </c>
      <c r="T463" s="10">
        <v>21.766202261222517</v>
      </c>
      <c r="U463" s="11">
        <v>0.22593574064735686</v>
      </c>
      <c r="V463" s="11">
        <v>0.03507673125038947</v>
      </c>
      <c r="W463" s="11">
        <v>0.05611038097876967</v>
      </c>
      <c r="X463" s="11">
        <v>0.3282276030670333</v>
      </c>
      <c r="Y463" s="11">
        <v>0.16690976473860408</v>
      </c>
      <c r="Z463" s="11">
        <v>0.18773977931784672</v>
      </c>
    </row>
    <row r="464" ht="22.5" customHeight="1">
      <c r="Q464" s="9" t="s">
        <v>502</v>
      </c>
      <c r="R464" s="10">
        <v>0.3566014400866175</v>
      </c>
      <c r="S464" s="10">
        <v>0.01454559947978478</v>
      </c>
      <c r="T464" s="10">
        <v>21.766132123095005</v>
      </c>
      <c r="U464" s="11">
        <v>0.08445005498160615</v>
      </c>
      <c r="V464" s="11">
        <v>0.09039736740863735</v>
      </c>
      <c r="W464" s="11">
        <v>0.06587916481887543</v>
      </c>
      <c r="X464" s="11">
        <v>0.18518068833437626</v>
      </c>
      <c r="Y464" s="11">
        <v>0.29822451451378257</v>
      </c>
      <c r="Z464" s="11">
        <v>0.27586820994272226</v>
      </c>
    </row>
    <row r="465" ht="22.5" customHeight="1">
      <c r="Q465" s="9" t="s">
        <v>503</v>
      </c>
      <c r="R465" s="10">
        <v>0.31607059930586545</v>
      </c>
      <c r="S465" s="10">
        <v>0.012683705087206912</v>
      </c>
      <c r="T465" s="10">
        <v>21.765769340089506</v>
      </c>
      <c r="U465" s="11">
        <v>0.1516559558949991</v>
      </c>
      <c r="V465" s="11">
        <v>0.04712365325533198</v>
      </c>
      <c r="W465" s="11">
        <v>0.06846296513758454</v>
      </c>
      <c r="X465" s="11">
        <v>0.26984152500721503</v>
      </c>
      <c r="Y465" s="11">
        <v>0.2711975460458222</v>
      </c>
      <c r="Z465" s="11">
        <v>0.19171835465904716</v>
      </c>
    </row>
    <row r="466" ht="22.5" customHeight="1">
      <c r="Q466" s="9" t="s">
        <v>504</v>
      </c>
      <c r="R466" s="10">
        <v>0.522331348251574</v>
      </c>
      <c r="S466" s="10">
        <v>0.022490259918995736</v>
      </c>
      <c r="T466" s="10">
        <v>21.763782065511062</v>
      </c>
      <c r="U466" s="11">
        <v>0.14608434748463203</v>
      </c>
      <c r="V466" s="11">
        <v>0.1579949834401104</v>
      </c>
      <c r="W466" s="11">
        <v>0.12736765114987758</v>
      </c>
      <c r="X466" s="11">
        <v>0.21351688584369244</v>
      </c>
      <c r="Y466" s="11">
        <v>0.13057102330074893</v>
      </c>
      <c r="Z466" s="11">
        <v>0.22446510878093853</v>
      </c>
    </row>
    <row r="467" ht="22.5" customHeight="1">
      <c r="Q467" s="9" t="s">
        <v>505</v>
      </c>
      <c r="R467" s="10">
        <v>0.5592601211774909</v>
      </c>
      <c r="S467" s="10">
        <v>0.023859718801803365</v>
      </c>
      <c r="T467" s="10">
        <v>21.763044463803325</v>
      </c>
      <c r="U467" s="11">
        <v>0.06858297669121634</v>
      </c>
      <c r="V467" s="11">
        <v>0.14324958783719213</v>
      </c>
      <c r="W467" s="11">
        <v>0.15668304833416521</v>
      </c>
      <c r="X467" s="11">
        <v>0.2747724428946728</v>
      </c>
      <c r="Y467" s="11">
        <v>0.18686166087003692</v>
      </c>
      <c r="Z467" s="11">
        <v>0.16985028337271657</v>
      </c>
    </row>
    <row r="468" ht="22.5" customHeight="1">
      <c r="Q468" s="9" t="s">
        <v>506</v>
      </c>
      <c r="R468" s="10">
        <v>0.48931224317322436</v>
      </c>
      <c r="S468" s="10">
        <v>0.020645674427413555</v>
      </c>
      <c r="T468" s="10">
        <v>21.76302085712553</v>
      </c>
      <c r="U468" s="11">
        <v>0.16431747729049623</v>
      </c>
      <c r="V468" s="11">
        <v>0.15853205756471253</v>
      </c>
      <c r="W468" s="11">
        <v>0.09097486674752316</v>
      </c>
      <c r="X468" s="11">
        <v>0.21870780599496195</v>
      </c>
      <c r="Y468" s="11">
        <v>0.19297199706104026</v>
      </c>
      <c r="Z468" s="11">
        <v>0.17449579534126594</v>
      </c>
    </row>
    <row r="469" ht="22.5" customHeight="1">
      <c r="Q469" s="9" t="s">
        <v>507</v>
      </c>
      <c r="R469" s="10">
        <v>0.46601181936411323</v>
      </c>
      <c r="S469" s="10">
        <v>0.01957528518239301</v>
      </c>
      <c r="T469" s="10">
        <v>21.76273885129855</v>
      </c>
      <c r="U469" s="11">
        <v>0.13381035459915241</v>
      </c>
      <c r="V469" s="11">
        <v>0.14504078854068259</v>
      </c>
      <c r="W469" s="11">
        <v>0.09077305790042604</v>
      </c>
      <c r="X469" s="11">
        <v>0.1891833195657796</v>
      </c>
      <c r="Y469" s="11">
        <v>0.2313404741361121</v>
      </c>
      <c r="Z469" s="11">
        <v>0.20985200525784728</v>
      </c>
    </row>
    <row r="470" ht="22.5" customHeight="1">
      <c r="Q470" s="9" t="s">
        <v>508</v>
      </c>
      <c r="R470" s="10">
        <v>0.45654158010769164</v>
      </c>
      <c r="S470" s="10">
        <v>0.019141004573683305</v>
      </c>
      <c r="T470" s="10">
        <v>21.76174079600758</v>
      </c>
      <c r="U470" s="11">
        <v>0.18843182411276527</v>
      </c>
      <c r="V470" s="11">
        <v>0.1476509031364627</v>
      </c>
      <c r="W470" s="11">
        <v>0.05323263800431614</v>
      </c>
      <c r="X470" s="11">
        <v>0.3708365759445549</v>
      </c>
      <c r="Y470" s="11">
        <v>0.23917841799514958</v>
      </c>
      <c r="Z470" s="11">
        <v>6.696408067513253E-4</v>
      </c>
    </row>
    <row r="471" ht="22.5" customHeight="1">
      <c r="Q471" s="9" t="s">
        <v>509</v>
      </c>
      <c r="R471" s="10">
        <v>0.4818427847112528</v>
      </c>
      <c r="S471" s="10">
        <v>0.02030496033843229</v>
      </c>
      <c r="T471" s="10">
        <v>21.76033724503038</v>
      </c>
      <c r="U471" s="11">
        <v>0.26030143035105824</v>
      </c>
      <c r="V471" s="11">
        <v>0.08312597930284432</v>
      </c>
      <c r="W471" s="11">
        <v>0.14609684230585834</v>
      </c>
      <c r="X471" s="11">
        <v>0.3402675241988128</v>
      </c>
      <c r="Y471" s="11">
        <v>0.1528394867073965</v>
      </c>
      <c r="Z471" s="11">
        <v>0.017368737134029807</v>
      </c>
    </row>
    <row r="472" ht="22.5" customHeight="1">
      <c r="Q472" s="9" t="s">
        <v>510</v>
      </c>
      <c r="R472" s="10">
        <v>0.5191889325386695</v>
      </c>
      <c r="S472" s="10">
        <v>0.02202299967851797</v>
      </c>
      <c r="T472" s="10">
        <v>21.758567839697502</v>
      </c>
      <c r="U472" s="11">
        <v>0.178280639310244</v>
      </c>
      <c r="V472" s="11">
        <v>0.12453349935393815</v>
      </c>
      <c r="W472" s="11">
        <v>0.14694611340746788</v>
      </c>
      <c r="X472" s="11">
        <v>0.22457781249485176</v>
      </c>
      <c r="Y472" s="11">
        <v>0.19535150126294662</v>
      </c>
      <c r="Z472" s="11">
        <v>0.1303104341705516</v>
      </c>
    </row>
    <row r="473" ht="22.5" customHeight="1">
      <c r="Q473" s="9" t="s">
        <v>511</v>
      </c>
      <c r="R473" s="10">
        <v>0.5117661865036565</v>
      </c>
      <c r="S473" s="10">
        <v>0.021683285706401736</v>
      </c>
      <c r="T473" s="10">
        <v>21.75713556015051</v>
      </c>
      <c r="U473" s="11">
        <v>0.14912030124684567</v>
      </c>
      <c r="V473" s="11">
        <v>0.16683451406583577</v>
      </c>
      <c r="W473" s="11">
        <v>0.09674375853234932</v>
      </c>
      <c r="X473" s="11">
        <v>0.23471485588010174</v>
      </c>
      <c r="Y473" s="11">
        <v>0.2030503464130086</v>
      </c>
      <c r="Z473" s="11">
        <v>0.14953622386185897</v>
      </c>
    </row>
    <row r="474" ht="22.5" customHeight="1">
      <c r="Q474" s="9" t="s">
        <v>512</v>
      </c>
      <c r="R474" s="10">
        <v>0.4249427559211436</v>
      </c>
      <c r="S474" s="10">
        <v>0.017694977910523758</v>
      </c>
      <c r="T474" s="10">
        <v>21.75435074672832</v>
      </c>
      <c r="U474" s="11">
        <v>0.2284775599402836</v>
      </c>
      <c r="V474" s="11">
        <v>0.13849948593799138</v>
      </c>
      <c r="W474" s="11">
        <v>0.05791230794392357</v>
      </c>
      <c r="X474" s="11">
        <v>0.2570876480702248</v>
      </c>
      <c r="Y474" s="11">
        <v>0.1666020945776139</v>
      </c>
      <c r="Z474" s="11">
        <v>0.1514209035299627</v>
      </c>
    </row>
    <row r="475" ht="22.5" customHeight="1">
      <c r="Q475" s="9" t="s">
        <v>513</v>
      </c>
      <c r="R475" s="10">
        <v>0.5617234798087452</v>
      </c>
      <c r="S475" s="10">
        <v>0.023983698408402705</v>
      </c>
      <c r="T475" s="10">
        <v>21.753253852873623</v>
      </c>
      <c r="U475" s="11">
        <v>0.19531296053885264</v>
      </c>
      <c r="V475" s="11">
        <v>0.13591935577024228</v>
      </c>
      <c r="W475" s="11">
        <v>0.1577874606135824</v>
      </c>
      <c r="X475" s="11">
        <v>0.24960597121503447</v>
      </c>
      <c r="Y475" s="11">
        <v>0.2535219291747828</v>
      </c>
      <c r="Z475" s="11">
        <v>0.007852322687505502</v>
      </c>
    </row>
    <row r="476" ht="22.5" customHeight="1">
      <c r="Q476" s="9" t="s">
        <v>514</v>
      </c>
      <c r="R476" s="10">
        <v>0.35593620437470125</v>
      </c>
      <c r="S476" s="10">
        <v>0.014524987445172818</v>
      </c>
      <c r="T476" s="10">
        <v>21.75122047900278</v>
      </c>
      <c r="U476" s="11">
        <v>0.22302384223041372</v>
      </c>
      <c r="V476" s="11">
        <v>0.08750955195723198</v>
      </c>
      <c r="W476" s="11">
        <v>0.0689398469338495</v>
      </c>
      <c r="X476" s="11">
        <v>0.15016740980899057</v>
      </c>
      <c r="Y476" s="11">
        <v>0.2521973479778132</v>
      </c>
      <c r="Z476" s="11">
        <v>0.21816200109170109</v>
      </c>
    </row>
    <row r="477" ht="22.5" customHeight="1">
      <c r="Q477" s="9" t="s">
        <v>515</v>
      </c>
      <c r="R477" s="10">
        <v>0.43614115082999183</v>
      </c>
      <c r="S477" s="10">
        <v>0.018213655405405697</v>
      </c>
      <c r="T477" s="10">
        <v>21.749678579755038</v>
      </c>
      <c r="U477" s="11">
        <v>0.14378424269975187</v>
      </c>
      <c r="V477" s="11">
        <v>0.09002454132478123</v>
      </c>
      <c r="W477" s="11">
        <v>0.1266232137646352</v>
      </c>
      <c r="X477" s="11">
        <v>0.2459170414178756</v>
      </c>
      <c r="Y477" s="11">
        <v>0.11900151266188336</v>
      </c>
      <c r="Z477" s="11">
        <v>0.2746494481310729</v>
      </c>
    </row>
    <row r="478" ht="22.5" customHeight="1">
      <c r="Q478" s="9" t="s">
        <v>516</v>
      </c>
      <c r="R478" s="10">
        <v>0.5505014785062412</v>
      </c>
      <c r="S478" s="10">
        <v>0.023471901280475757</v>
      </c>
      <c r="T478" s="10">
        <v>21.74947280179996</v>
      </c>
      <c r="U478" s="11">
        <v>0.15219728117011816</v>
      </c>
      <c r="V478" s="11">
        <v>0.1773776083951468</v>
      </c>
      <c r="W478" s="11">
        <v>0.11582974142864444</v>
      </c>
      <c r="X478" s="11">
        <v>0.24272780245704903</v>
      </c>
      <c r="Y478" s="11">
        <v>0.16391081043945377</v>
      </c>
      <c r="Z478" s="11">
        <v>0.14795675610958778</v>
      </c>
    </row>
    <row r="479" ht="22.5" customHeight="1">
      <c r="Q479" s="9" t="s">
        <v>517</v>
      </c>
      <c r="R479" s="10">
        <v>0.38642289339464286</v>
      </c>
      <c r="S479" s="10">
        <v>0.015931365737659093</v>
      </c>
      <c r="T479" s="10">
        <v>21.74470783604929</v>
      </c>
      <c r="U479" s="11">
        <v>0.0026027463110464646</v>
      </c>
      <c r="V479" s="11">
        <v>0.10771232842004022</v>
      </c>
      <c r="W479" s="11">
        <v>0.07390447997447434</v>
      </c>
      <c r="X479" s="11">
        <v>0.20036487200396855</v>
      </c>
      <c r="Y479" s="11">
        <v>0.27335737821824496</v>
      </c>
      <c r="Z479" s="11">
        <v>0.34205819507222546</v>
      </c>
    </row>
    <row r="480" ht="22.5" customHeight="1">
      <c r="Q480" s="9" t="s">
        <v>518</v>
      </c>
      <c r="R480" s="10">
        <v>0.5615183574015195</v>
      </c>
      <c r="S480" s="10">
        <v>0.023984142163060676</v>
      </c>
      <c r="T480" s="10">
        <v>21.744298956196946</v>
      </c>
      <c r="U480" s="11">
        <v>0.14729290278361007</v>
      </c>
      <c r="V480" s="11">
        <v>0.1481340484450864</v>
      </c>
      <c r="W480" s="11">
        <v>0.15296719701223932</v>
      </c>
      <c r="X480" s="11">
        <v>0.23119857288943974</v>
      </c>
      <c r="Y480" s="11">
        <v>0.21143382760305868</v>
      </c>
      <c r="Z480" s="11">
        <v>0.108973451266566</v>
      </c>
    </row>
    <row r="481" ht="22.5" customHeight="1">
      <c r="Q481" s="9" t="s">
        <v>519</v>
      </c>
      <c r="R481" s="10">
        <v>0.418973916788467</v>
      </c>
      <c r="S481" s="10">
        <v>0.01742887042747477</v>
      </c>
      <c r="T481" s="10">
        <v>21.744032028091432</v>
      </c>
      <c r="U481" s="11">
        <v>0.09331955096069096</v>
      </c>
      <c r="V481" s="11">
        <v>0.13586315784130837</v>
      </c>
      <c r="W481" s="11">
        <v>0.05837869850788877</v>
      </c>
      <c r="X481" s="11">
        <v>0.2657338825172501</v>
      </c>
      <c r="Y481" s="11">
        <v>0.22253374196767156</v>
      </c>
      <c r="Z481" s="11">
        <v>0.2241709682051902</v>
      </c>
    </row>
    <row r="482" ht="22.5" customHeight="1">
      <c r="Q482" s="9" t="s">
        <v>520</v>
      </c>
      <c r="R482" s="10">
        <v>0.500304699527794</v>
      </c>
      <c r="S482" s="10">
        <v>0.021169714052306058</v>
      </c>
      <c r="T482" s="10">
        <v>21.74354827800105</v>
      </c>
      <c r="U482" s="11">
        <v>0.2512992143121385</v>
      </c>
      <c r="V482" s="11">
        <v>0.13487311993318887</v>
      </c>
      <c r="W482" s="11">
        <v>0.13041441307360258</v>
      </c>
      <c r="X482" s="11">
        <v>0.18751778837637548</v>
      </c>
      <c r="Y482" s="11">
        <v>0.09643462706137766</v>
      </c>
      <c r="Z482" s="11">
        <v>0.19946083724331695</v>
      </c>
    </row>
    <row r="483" ht="22.5" customHeight="1">
      <c r="Q483" s="9" t="s">
        <v>521</v>
      </c>
      <c r="R483" s="10">
        <v>0.46180116292452433</v>
      </c>
      <c r="S483" s="10">
        <v>0.019398965060521075</v>
      </c>
      <c r="T483" s="10">
        <v>21.743487944258113</v>
      </c>
      <c r="U483" s="11">
        <v>0.09105773683613311</v>
      </c>
      <c r="V483" s="11">
        <v>0.14563622111627508</v>
      </c>
      <c r="W483" s="11">
        <v>0.05589666961263834</v>
      </c>
      <c r="X483" s="11">
        <v>0.5569337867204354</v>
      </c>
      <c r="Y483" s="11">
        <v>0.017071923332378953</v>
      </c>
      <c r="Z483" s="11">
        <v>0.13340366238213913</v>
      </c>
    </row>
    <row r="484" ht="22.5" customHeight="1">
      <c r="Q484" s="9" t="s">
        <v>522</v>
      </c>
      <c r="R484" s="10">
        <v>0.5437089624833867</v>
      </c>
      <c r="S484" s="10">
        <v>0.02317026643756021</v>
      </c>
      <c r="T484" s="10">
        <v>21.73945491049029</v>
      </c>
      <c r="U484" s="11">
        <v>0.10826640122565002</v>
      </c>
      <c r="V484" s="11">
        <v>0.15970592340040507</v>
      </c>
      <c r="W484" s="11">
        <v>0.13471607339486413</v>
      </c>
      <c r="X484" s="11">
        <v>0.21894998375904226</v>
      </c>
      <c r="Y484" s="11">
        <v>0.16701458509287628</v>
      </c>
      <c r="Z484" s="11">
        <v>0.2113470331271623</v>
      </c>
    </row>
    <row r="485" ht="22.5" customHeight="1">
      <c r="Q485" s="9" t="s">
        <v>523</v>
      </c>
      <c r="R485" s="10">
        <v>0.6051700151957423</v>
      </c>
      <c r="S485" s="10">
        <v>0.025999525268253096</v>
      </c>
      <c r="T485" s="10">
        <v>21.73770518363453</v>
      </c>
      <c r="U485" s="11">
        <v>0.14142209807184233</v>
      </c>
      <c r="V485" s="11">
        <v>0.18926837711931896</v>
      </c>
      <c r="W485" s="11">
        <v>0.14198337911767647</v>
      </c>
      <c r="X485" s="11">
        <v>0.27670240742117497</v>
      </c>
      <c r="Y485" s="11">
        <v>0.13205803450167292</v>
      </c>
      <c r="Z485" s="11">
        <v>0.11856570376831432</v>
      </c>
    </row>
    <row r="486" ht="22.5" customHeight="1">
      <c r="Q486" s="9" t="s">
        <v>524</v>
      </c>
      <c r="R486" s="10">
        <v>0.5200309052939575</v>
      </c>
      <c r="S486" s="10">
        <v>0.02208364886250449</v>
      </c>
      <c r="T486" s="10">
        <v>21.736937961778366</v>
      </c>
      <c r="U486" s="11">
        <v>0.24419960404385485</v>
      </c>
      <c r="V486" s="11">
        <v>0.1392350307544941</v>
      </c>
      <c r="W486" s="11">
        <v>0.13872894706692568</v>
      </c>
      <c r="X486" s="11">
        <v>0.20090127058362106</v>
      </c>
      <c r="Y486" s="11">
        <v>0.09958149062130378</v>
      </c>
      <c r="Z486" s="11">
        <v>0.17735365692980057</v>
      </c>
    </row>
    <row r="487" ht="22.5" customHeight="1">
      <c r="Q487" s="9" t="s">
        <v>525</v>
      </c>
      <c r="R487" s="10">
        <v>0.4735730242133511</v>
      </c>
      <c r="S487" s="10">
        <v>0.019947553752572476</v>
      </c>
      <c r="T487" s="10">
        <v>21.735648871603452</v>
      </c>
      <c r="U487" s="11">
        <v>0.2245658987917376</v>
      </c>
      <c r="V487" s="11">
        <v>0.12988623119890932</v>
      </c>
      <c r="W487" s="11">
        <v>0.119625963763495</v>
      </c>
      <c r="X487" s="11">
        <v>0.1841620929848629</v>
      </c>
      <c r="Y487" s="11">
        <v>0.07237999238916695</v>
      </c>
      <c r="Z487" s="11">
        <v>0.26937982087182816</v>
      </c>
    </row>
    <row r="488" ht="22.5" customHeight="1">
      <c r="Q488" s="9" t="s">
        <v>526</v>
      </c>
      <c r="R488" s="10">
        <v>0.5224905077098306</v>
      </c>
      <c r="S488" s="10">
        <v>0.02219818587649232</v>
      </c>
      <c r="T488" s="10">
        <v>21.735582826197696</v>
      </c>
      <c r="U488" s="11">
        <v>0.15520374834936224</v>
      </c>
      <c r="V488" s="11">
        <v>0.16908688226843066</v>
      </c>
      <c r="W488" s="11">
        <v>0.10500694399152245</v>
      </c>
      <c r="X488" s="11">
        <v>0.2242040046798837</v>
      </c>
      <c r="Y488" s="11">
        <v>0.1804421133177748</v>
      </c>
      <c r="Z488" s="11">
        <v>0.1660563073930261</v>
      </c>
    </row>
    <row r="489" ht="22.5" customHeight="1">
      <c r="Q489" s="9" t="s">
        <v>527</v>
      </c>
      <c r="R489" s="10">
        <v>0.5581005613558172</v>
      </c>
      <c r="S489" s="10">
        <v>0.023837843977911985</v>
      </c>
      <c r="T489" s="10">
        <v>21.73437169216672</v>
      </c>
      <c r="U489" s="11">
        <v>0.14770823367684696</v>
      </c>
      <c r="V489" s="11">
        <v>0.16945616149069298</v>
      </c>
      <c r="W489" s="11">
        <v>0.12581849448301693</v>
      </c>
      <c r="X489" s="11">
        <v>0.21695174904709855</v>
      </c>
      <c r="Y489" s="11">
        <v>0.2678768293006494</v>
      </c>
      <c r="Z489" s="11">
        <v>0.0721885320016952</v>
      </c>
    </row>
    <row r="490" ht="22.5" customHeight="1">
      <c r="Q490" s="9" t="s">
        <v>528</v>
      </c>
      <c r="R490" s="10">
        <v>0.5618000033327955</v>
      </c>
      <c r="S490" s="10">
        <v>0.024010074467173105</v>
      </c>
      <c r="T490" s="10">
        <v>21.732544147091563</v>
      </c>
      <c r="U490" s="11">
        <v>0.20488862319461662</v>
      </c>
      <c r="V490" s="11">
        <v>0.14909672578583327</v>
      </c>
      <c r="W490" s="11">
        <v>0.15385594179038703</v>
      </c>
      <c r="X490" s="11">
        <v>0.22497713150549553</v>
      </c>
      <c r="Y490" s="11">
        <v>0.15693294052380996</v>
      </c>
      <c r="Z490" s="11">
        <v>0.11024863719985763</v>
      </c>
    </row>
    <row r="491" ht="22.5" customHeight="1">
      <c r="Q491" s="9" t="s">
        <v>529</v>
      </c>
      <c r="R491" s="10">
        <v>0.6072062354810089</v>
      </c>
      <c r="S491" s="10">
        <v>0.026099756434730285</v>
      </c>
      <c r="T491" s="10">
        <v>21.732242478946734</v>
      </c>
      <c r="U491" s="11">
        <v>0.018861172777652754</v>
      </c>
      <c r="V491" s="11">
        <v>0.1899991377626473</v>
      </c>
      <c r="W491" s="11">
        <v>0.13062733890059938</v>
      </c>
      <c r="X491" s="11">
        <v>0.319435902086316</v>
      </c>
      <c r="Y491" s="11">
        <v>0.3101148427973396</v>
      </c>
      <c r="Z491" s="11">
        <v>0.0309616056754449</v>
      </c>
    </row>
    <row r="492" ht="22.5" customHeight="1">
      <c r="Q492" s="9" t="s">
        <v>530</v>
      </c>
      <c r="R492" s="10">
        <v>0.6336036279675299</v>
      </c>
      <c r="S492" s="10">
        <v>0.02731562978664977</v>
      </c>
      <c r="T492" s="10">
        <v>21.731281050589118</v>
      </c>
      <c r="U492" s="11">
        <v>0.15991375912853895</v>
      </c>
      <c r="V492" s="11">
        <v>0.20836887802410825</v>
      </c>
      <c r="W492" s="11">
        <v>0.13523026077042102</v>
      </c>
      <c r="X492" s="11">
        <v>0.3720723691025248</v>
      </c>
      <c r="Y492" s="11">
        <v>0.04858860412135398</v>
      </c>
      <c r="Z492" s="11">
        <v>0.07582612885305323</v>
      </c>
    </row>
    <row r="493" ht="22.5" customHeight="1">
      <c r="Q493" s="9" t="s">
        <v>531</v>
      </c>
      <c r="R493" s="10">
        <v>0.5158454835984959</v>
      </c>
      <c r="S493" s="10">
        <v>0.021897540467752438</v>
      </c>
      <c r="T493" s="10">
        <v>21.730544775074307</v>
      </c>
      <c r="U493" s="11">
        <v>0.09733287512946544</v>
      </c>
      <c r="V493" s="11">
        <v>0.13458668303345486</v>
      </c>
      <c r="W493" s="11">
        <v>0.14241734932304273</v>
      </c>
      <c r="X493" s="11">
        <v>0.246978870358466</v>
      </c>
      <c r="Y493" s="11">
        <v>0.09863684862405489</v>
      </c>
      <c r="Z493" s="11">
        <v>0.28004737353151604</v>
      </c>
    </row>
    <row r="494" ht="22.5" customHeight="1">
      <c r="Q494" s="9" t="s">
        <v>532</v>
      </c>
      <c r="R494" s="10">
        <v>0.447428231564713</v>
      </c>
      <c r="S494" s="10">
        <v>0.01875026057992786</v>
      </c>
      <c r="T494" s="10">
        <v>21.729203699753626</v>
      </c>
      <c r="U494" s="11">
        <v>0.07103880900257116</v>
      </c>
      <c r="V494" s="11">
        <v>0.14053932512322556</v>
      </c>
      <c r="W494" s="11">
        <v>0.08244928729809808</v>
      </c>
      <c r="X494" s="11">
        <v>0.20400857468469455</v>
      </c>
      <c r="Y494" s="11">
        <v>0.24217329921887337</v>
      </c>
      <c r="Z494" s="11">
        <v>0.25979070467253723</v>
      </c>
    </row>
    <row r="495" ht="22.5" customHeight="1">
      <c r="Q495" s="9" t="s">
        <v>533</v>
      </c>
      <c r="R495" s="10">
        <v>0.4121005883839573</v>
      </c>
      <c r="S495" s="10">
        <v>0.017126130356207407</v>
      </c>
      <c r="T495" s="10">
        <v>21.72706739027527</v>
      </c>
      <c r="U495" s="11">
        <v>0.1897495715004643</v>
      </c>
      <c r="V495" s="11">
        <v>0.12968988321240768</v>
      </c>
      <c r="W495" s="11">
        <v>0.07053745880070134</v>
      </c>
      <c r="X495" s="11">
        <v>0.18559166710465289</v>
      </c>
      <c r="Y495" s="11">
        <v>0.15058738932537147</v>
      </c>
      <c r="Z495" s="11">
        <v>0.2738440300564024</v>
      </c>
    </row>
    <row r="496" ht="22.5" customHeight="1">
      <c r="Q496" s="9" t="s">
        <v>534</v>
      </c>
      <c r="R496" s="10">
        <v>0.522331348251574</v>
      </c>
      <c r="S496" s="10">
        <v>0.01565967563068215</v>
      </c>
      <c r="T496" s="10">
        <v>21.72609264738154</v>
      </c>
      <c r="U496" s="11">
        <v>0.2762617010411778</v>
      </c>
      <c r="V496" s="11">
        <v>0.11279044307761851</v>
      </c>
      <c r="W496" s="11">
        <v>0.05916789545426496</v>
      </c>
      <c r="X496" s="11">
        <v>0.1768024511531109</v>
      </c>
      <c r="Y496" s="11">
        <v>0.17935922159757517</v>
      </c>
      <c r="Z496" s="11">
        <v>0.1956182876762526</v>
      </c>
    </row>
    <row r="497" ht="22.5" customHeight="1">
      <c r="Q497" s="9" t="s">
        <v>535</v>
      </c>
      <c r="R497" s="10">
        <v>0.5747567022209084</v>
      </c>
      <c r="S497" s="10">
        <v>0.02461413013415121</v>
      </c>
      <c r="T497" s="10">
        <v>21.725598235907306</v>
      </c>
      <c r="U497" s="11">
        <v>0.20306209078973458</v>
      </c>
      <c r="V497" s="11">
        <v>0.17302053977608167</v>
      </c>
      <c r="W497" s="11">
        <v>0.14095916334056116</v>
      </c>
      <c r="X497" s="11">
        <v>0.23392253525707535</v>
      </c>
      <c r="Y497" s="11">
        <v>0.10543796912328787</v>
      </c>
      <c r="Z497" s="11">
        <v>0.1435977017132593</v>
      </c>
    </row>
    <row r="498" ht="22.5" customHeight="1">
      <c r="Q498" s="9" t="s">
        <v>536</v>
      </c>
      <c r="R498" s="10">
        <v>0.4577438727850151</v>
      </c>
      <c r="S498" s="10">
        <v>0.019228198704668777</v>
      </c>
      <c r="T498" s="10">
        <v>21.725585386403523</v>
      </c>
      <c r="U498" s="11">
        <v>0.06925852832727412</v>
      </c>
      <c r="V498" s="11">
        <v>0.11738976226985168</v>
      </c>
      <c r="W498" s="11">
        <v>0.10871839235934005</v>
      </c>
      <c r="X498" s="11">
        <v>0.1920895799773575</v>
      </c>
      <c r="Y498" s="11">
        <v>0.3421099891939429</v>
      </c>
      <c r="Z498" s="11">
        <v>0.1704337478722336</v>
      </c>
    </row>
    <row r="499" ht="22.5" customHeight="1">
      <c r="Q499" s="9" t="s">
        <v>537</v>
      </c>
      <c r="R499" s="10">
        <v>0.4610085249445029</v>
      </c>
      <c r="S499" s="10">
        <v>0.019378892861073225</v>
      </c>
      <c r="T499" s="10">
        <v>21.725107206211522</v>
      </c>
      <c r="U499" s="11">
        <v>0.16106924626975316</v>
      </c>
      <c r="V499" s="11">
        <v>0.15450448610036754</v>
      </c>
      <c r="W499" s="11">
        <v>0.06521548943279401</v>
      </c>
      <c r="X499" s="11">
        <v>0.2889629636053539</v>
      </c>
      <c r="Y499" s="11">
        <v>0.19199002255776326</v>
      </c>
      <c r="Z499" s="11">
        <v>0.1382577920339681</v>
      </c>
    </row>
    <row r="500" ht="22.5" customHeight="1">
      <c r="Q500" s="9" t="s">
        <v>538</v>
      </c>
      <c r="R500" s="10">
        <v>0.6004055531630026</v>
      </c>
      <c r="S500" s="10">
        <v>0.025797039561838563</v>
      </c>
      <c r="T500" s="10">
        <v>21.723638164745378</v>
      </c>
      <c r="U500" s="11">
        <v>0.10983076811109882</v>
      </c>
      <c r="V500" s="11">
        <v>0.16922350082790458</v>
      </c>
      <c r="W500" s="11">
        <v>0.1568450793415404</v>
      </c>
      <c r="X500" s="11">
        <v>0.2537168325528762</v>
      </c>
      <c r="Y500" s="11">
        <v>0.23394542632245388</v>
      </c>
      <c r="Z500" s="11">
        <v>0.0764383928441262</v>
      </c>
    </row>
    <row r="501" ht="22.5" customHeight="1">
      <c r="Q501" s="9" t="s">
        <v>539</v>
      </c>
      <c r="R501" s="10">
        <v>0.546604199487247</v>
      </c>
      <c r="S501" s="10">
        <v>0.02332083999687566</v>
      </c>
      <c r="T501" s="10">
        <v>21.723239795612756</v>
      </c>
      <c r="U501" s="11">
        <v>0.1522311118196364</v>
      </c>
      <c r="V501" s="11">
        <v>0.17871703024545715</v>
      </c>
      <c r="W501" s="11">
        <v>0.10956447618476153</v>
      </c>
      <c r="X501" s="11">
        <v>0.24492232562566638</v>
      </c>
      <c r="Y501" s="11">
        <v>0.18704838092277065</v>
      </c>
      <c r="Z501" s="11">
        <v>0.12751667520170795</v>
      </c>
    </row>
    <row r="502" ht="22.5" customHeight="1">
      <c r="Q502" s="9" t="s">
        <v>540</v>
      </c>
      <c r="R502" s="10">
        <v>0.29571236506667353</v>
      </c>
      <c r="S502" s="10">
        <v>0.01177201533106408</v>
      </c>
      <c r="T502" s="10">
        <v>21.72205504964795</v>
      </c>
      <c r="U502" s="11">
        <v>0.2712481018647182</v>
      </c>
      <c r="V502" s="11">
        <v>0.04984400249042607</v>
      </c>
      <c r="W502" s="11">
        <v>0.06129720398674921</v>
      </c>
      <c r="X502" s="11">
        <v>0.2272770352252855</v>
      </c>
      <c r="Y502" s="11">
        <v>0.1142466413681437</v>
      </c>
      <c r="Z502" s="11">
        <v>0.2760870150646775</v>
      </c>
    </row>
    <row r="503" ht="22.5" customHeight="1">
      <c r="Q503" s="9" t="s">
        <v>541</v>
      </c>
      <c r="R503" s="10">
        <v>0.37921258967532945</v>
      </c>
      <c r="S503" s="10">
        <v>0.015616302105193946</v>
      </c>
      <c r="T503" s="10">
        <v>21.72169745374663</v>
      </c>
      <c r="U503" s="11">
        <v>0.13536605024955392</v>
      </c>
      <c r="V503" s="11">
        <v>0.07209370973302189</v>
      </c>
      <c r="W503" s="11">
        <v>0.10282609337042631</v>
      </c>
      <c r="X503" s="11">
        <v>0.20700066003852735</v>
      </c>
      <c r="Y503" s="11">
        <v>0.20580046622918277</v>
      </c>
      <c r="Z503" s="11">
        <v>0.2769130203792878</v>
      </c>
    </row>
    <row r="504" ht="22.5" customHeight="1">
      <c r="Q504" s="9" t="s">
        <v>542</v>
      </c>
      <c r="R504" s="10">
        <v>0.571861496870178</v>
      </c>
      <c r="S504" s="10">
        <v>0.024487490903016107</v>
      </c>
      <c r="T504" s="10">
        <v>21.719722080822454</v>
      </c>
      <c r="U504" s="11">
        <v>0.28375470478214515</v>
      </c>
      <c r="V504" s="11">
        <v>0.15102041594821197</v>
      </c>
      <c r="W504" s="11">
        <v>0.15864311918272045</v>
      </c>
      <c r="X504" s="11">
        <v>0.27179378742015814</v>
      </c>
      <c r="Y504" s="11">
        <v>0.021147140701228025</v>
      </c>
      <c r="Z504" s="11">
        <v>0.11364083196553615</v>
      </c>
    </row>
    <row r="505" ht="22.5" customHeight="1">
      <c r="Q505" s="9" t="s">
        <v>543</v>
      </c>
      <c r="R505" s="10">
        <v>0.522331348251574</v>
      </c>
      <c r="S505" s="10">
        <v>0.017505818329442476</v>
      </c>
      <c r="T505" s="10">
        <v>21.71891363363043</v>
      </c>
      <c r="U505" s="11">
        <v>0.15392138929302002</v>
      </c>
      <c r="V505" s="11">
        <v>0.12637983142657813</v>
      </c>
      <c r="W505" s="11">
        <v>0.07658018551658807</v>
      </c>
      <c r="X505" s="11">
        <v>0.16767852547077566</v>
      </c>
      <c r="Y505" s="11">
        <v>0.2563503333747702</v>
      </c>
      <c r="Z505" s="11">
        <v>0.21908973491826794</v>
      </c>
    </row>
    <row r="506" ht="22.5" customHeight="1">
      <c r="Q506" s="9" t="s">
        <v>544</v>
      </c>
      <c r="R506" s="10">
        <v>0.3743132456756662</v>
      </c>
      <c r="S506" s="10">
        <v>0.015394251467909922</v>
      </c>
      <c r="T506" s="10">
        <v>21.716758776648458</v>
      </c>
      <c r="U506" s="11">
        <v>0.24825429723844208</v>
      </c>
      <c r="V506" s="11">
        <v>0.10826455597493866</v>
      </c>
      <c r="W506" s="11">
        <v>0.061434031105568866</v>
      </c>
      <c r="X506" s="11">
        <v>0.16161889134824806</v>
      </c>
      <c r="Y506" s="11">
        <v>0.20235980912926893</v>
      </c>
      <c r="Z506" s="11">
        <v>0.21806841520353337</v>
      </c>
    </row>
    <row r="507" ht="22.5" customHeight="1">
      <c r="Q507" s="9" t="s">
        <v>545</v>
      </c>
      <c r="R507" s="10">
        <v>0.4813561692373807</v>
      </c>
      <c r="S507" s="10">
        <v>0.02032518920034005</v>
      </c>
      <c r="T507" s="10">
        <v>21.71473853881747</v>
      </c>
      <c r="U507" s="11">
        <v>0.18456354115388685</v>
      </c>
      <c r="V507" s="11">
        <v>0.15787926894117174</v>
      </c>
      <c r="W507" s="11">
        <v>0.0847412865325534</v>
      </c>
      <c r="X507" s="11">
        <v>0.2188741489753672</v>
      </c>
      <c r="Y507" s="11">
        <v>0.19211397467693242</v>
      </c>
      <c r="Z507" s="11">
        <v>0.16182777972008852</v>
      </c>
    </row>
    <row r="508" ht="22.5" customHeight="1">
      <c r="Q508" s="9" t="s">
        <v>546</v>
      </c>
      <c r="R508" s="10">
        <v>0.488594707233172</v>
      </c>
      <c r="S508" s="10">
        <v>0.020661755897857723</v>
      </c>
      <c r="T508" s="10">
        <v>21.711354516567674</v>
      </c>
      <c r="U508" s="11">
        <v>0.11501756638934342</v>
      </c>
      <c r="V508" s="11">
        <v>0.0976017845812724</v>
      </c>
      <c r="W508" s="11">
        <v>0.1364880640158263</v>
      </c>
      <c r="X508" s="11">
        <v>0.28874169181987286</v>
      </c>
      <c r="Y508" s="11">
        <v>0.346379510483975</v>
      </c>
      <c r="Z508" s="11">
        <v>0.015771382709709958</v>
      </c>
    </row>
    <row r="509" ht="22.5" customHeight="1">
      <c r="Q509" s="9" t="s">
        <v>547</v>
      </c>
      <c r="R509" s="10">
        <v>0.5138285785881404</v>
      </c>
      <c r="S509" s="10">
        <v>0.02182504604287312</v>
      </c>
      <c r="T509" s="10">
        <v>21.710312897271855</v>
      </c>
      <c r="U509" s="11">
        <v>0.10515261466490652</v>
      </c>
      <c r="V509" s="11">
        <v>0.14034109192512756</v>
      </c>
      <c r="W509" s="11">
        <v>0.13467712926254696</v>
      </c>
      <c r="X509" s="11">
        <v>0.19773239673082477</v>
      </c>
      <c r="Y509" s="11">
        <v>0.1856815345605941</v>
      </c>
      <c r="Z509" s="11">
        <v>0.236415232856</v>
      </c>
    </row>
    <row r="510" ht="22.5" customHeight="1">
      <c r="Q510" s="9" t="s">
        <v>548</v>
      </c>
      <c r="R510" s="10">
        <v>0.47547046176496993</v>
      </c>
      <c r="S510" s="10">
        <v>0.020060401168473147</v>
      </c>
      <c r="T510" s="10">
        <v>21.707963769406252</v>
      </c>
      <c r="U510" s="11">
        <v>0.22448156748317313</v>
      </c>
      <c r="V510" s="11">
        <v>0.12619537251867335</v>
      </c>
      <c r="W510" s="11">
        <v>0.12476694466151657</v>
      </c>
      <c r="X510" s="11">
        <v>0.20971677432792896</v>
      </c>
      <c r="Y510" s="11">
        <v>0.027566027647672173</v>
      </c>
      <c r="Z510" s="11">
        <v>0.28727331336103595</v>
      </c>
    </row>
    <row r="511" ht="22.5" customHeight="1">
      <c r="Q511" s="9" t="s">
        <v>549</v>
      </c>
      <c r="R511" s="10">
        <v>0.49517827225613287</v>
      </c>
      <c r="S511" s="10">
        <v>0.02097024849087066</v>
      </c>
      <c r="T511" s="10">
        <v>21.70590741708633</v>
      </c>
      <c r="U511" s="11">
        <v>0.20789478151161092</v>
      </c>
      <c r="V511" s="11">
        <v>0.11779038315832396</v>
      </c>
      <c r="W511" s="11">
        <v>0.13678006729408834</v>
      </c>
      <c r="X511" s="11">
        <v>0.189148533820994</v>
      </c>
      <c r="Y511" s="11">
        <v>0.23207712697850819</v>
      </c>
      <c r="Z511" s="11">
        <v>0.11630910723647471</v>
      </c>
    </row>
    <row r="512" ht="22.5" customHeight="1">
      <c r="Q512" s="9" t="s">
        <v>550</v>
      </c>
      <c r="R512" s="10">
        <v>0.5199198129198697</v>
      </c>
      <c r="S512" s="10">
        <v>0.02211203571611407</v>
      </c>
      <c r="T512" s="10">
        <v>21.70400858072646</v>
      </c>
      <c r="U512" s="11">
        <v>0.14565043035024197</v>
      </c>
      <c r="V512" s="11">
        <v>0.1639062091337787</v>
      </c>
      <c r="W512" s="11">
        <v>0.11419696936382573</v>
      </c>
      <c r="X512" s="11">
        <v>0.20776226408919385</v>
      </c>
      <c r="Y512" s="11">
        <v>0.14045226698545094</v>
      </c>
      <c r="Z512" s="11">
        <v>0.2280318600775088</v>
      </c>
    </row>
    <row r="513" ht="22.5" customHeight="1">
      <c r="Q513" s="9" t="s">
        <v>551</v>
      </c>
      <c r="R513" s="10">
        <v>0.5832488257577269</v>
      </c>
      <c r="S513" s="10">
        <v>0.025031073900621963</v>
      </c>
      <c r="T513" s="10">
        <v>21.702977184060344</v>
      </c>
      <c r="U513" s="11">
        <v>0.19284219900991967</v>
      </c>
      <c r="V513" s="11">
        <v>0.17586600022241963</v>
      </c>
      <c r="W513" s="11">
        <v>0.1398747110856822</v>
      </c>
      <c r="X513" s="11">
        <v>0.21683274855540538</v>
      </c>
      <c r="Y513" s="11">
        <v>0.2036597059874339</v>
      </c>
      <c r="Z513" s="11">
        <v>0.07092463513913924</v>
      </c>
    </row>
    <row r="514" ht="22.5" customHeight="1">
      <c r="Q514" s="9" t="s">
        <v>552</v>
      </c>
      <c r="R514" s="10">
        <v>0.31476773073050035</v>
      </c>
      <c r="S514" s="10">
        <v>0.01266200121391254</v>
      </c>
      <c r="T514" s="10">
        <v>21.70018199244806</v>
      </c>
      <c r="U514" s="11">
        <v>0.23435429955773565</v>
      </c>
      <c r="V514" s="11">
        <v>0.08155988066182943</v>
      </c>
      <c r="W514" s="11">
        <v>0.04937489059758914</v>
      </c>
      <c r="X514" s="11">
        <v>0.18796781918770775</v>
      </c>
      <c r="Y514" s="11">
        <v>0.11320932134041152</v>
      </c>
      <c r="Z514" s="11">
        <v>0.3335337886547267</v>
      </c>
    </row>
    <row r="515" ht="22.5" customHeight="1">
      <c r="Q515" s="9" t="s">
        <v>553</v>
      </c>
      <c r="R515" s="10">
        <v>0.44352422493511634</v>
      </c>
      <c r="S515" s="10">
        <v>0.018596350771013362</v>
      </c>
      <c r="T515" s="10">
        <v>21.699108061787076</v>
      </c>
      <c r="U515" s="11">
        <v>0.07759776418277915</v>
      </c>
      <c r="V515" s="11">
        <v>0.14409693266539442</v>
      </c>
      <c r="W515" s="11">
        <v>0.07656512449613942</v>
      </c>
      <c r="X515" s="11">
        <v>0.22148658969597337</v>
      </c>
      <c r="Y515" s="11">
        <v>0.19548826708358738</v>
      </c>
      <c r="Z515" s="11">
        <v>0.2847653218761262</v>
      </c>
    </row>
    <row r="516" ht="22.5" customHeight="1">
      <c r="Q516" s="9" t="s">
        <v>554</v>
      </c>
      <c r="R516" s="10">
        <v>0.49561878490610467</v>
      </c>
      <c r="S516" s="10">
        <v>0.020997223605968833</v>
      </c>
      <c r="T516" s="10">
        <v>21.699001423054188</v>
      </c>
      <c r="U516" s="11">
        <v>0.19302235774343487</v>
      </c>
      <c r="V516" s="11">
        <v>0.1461206926073064</v>
      </c>
      <c r="W516" s="11">
        <v>0.11504267882081329</v>
      </c>
      <c r="X516" s="11">
        <v>0.16075841502703944</v>
      </c>
      <c r="Y516" s="11">
        <v>0.1901187714421992</v>
      </c>
      <c r="Z516" s="11">
        <v>0.19493708435920676</v>
      </c>
    </row>
    <row r="517" ht="22.5" customHeight="1">
      <c r="Q517" s="9" t="s">
        <v>555</v>
      </c>
      <c r="R517" s="10">
        <v>0.37685755727746956</v>
      </c>
      <c r="S517" s="10">
        <v>0.015524428319172284</v>
      </c>
      <c r="T517" s="10">
        <v>21.698548271916643</v>
      </c>
      <c r="U517" s="11">
        <v>0.08447506101483532</v>
      </c>
      <c r="V517" s="11">
        <v>0.04566327615770682</v>
      </c>
      <c r="W517" s="11">
        <v>0.09463121164827347</v>
      </c>
      <c r="X517" s="11">
        <v>0.5473905098209054</v>
      </c>
      <c r="Y517" s="11">
        <v>0.08923070851153293</v>
      </c>
      <c r="Z517" s="11">
        <v>0.13860923284674598</v>
      </c>
    </row>
    <row r="518" ht="22.5" customHeight="1">
      <c r="Q518" s="9" t="s">
        <v>556</v>
      </c>
      <c r="R518" s="10">
        <v>0.31234317847972876</v>
      </c>
      <c r="S518" s="10">
        <v>0.01255122334742863</v>
      </c>
      <c r="T518" s="10">
        <v>21.698536544290224</v>
      </c>
      <c r="U518" s="11">
        <v>0.20546614826159687</v>
      </c>
      <c r="V518" s="11">
        <v>0.04400174912453258</v>
      </c>
      <c r="W518" s="11">
        <v>0.04702076088788734</v>
      </c>
      <c r="X518" s="11">
        <v>0.4080880846233227</v>
      </c>
      <c r="Y518" s="11">
        <v>0.27896040890820534</v>
      </c>
      <c r="Z518" s="11">
        <v>0.01646284819445524</v>
      </c>
    </row>
    <row r="519" ht="22.5" customHeight="1">
      <c r="Q519" s="9" t="s">
        <v>557</v>
      </c>
      <c r="R519" s="10">
        <v>0.4023499831134845</v>
      </c>
      <c r="S519" s="10">
        <v>0.016699575715493253</v>
      </c>
      <c r="T519" s="10">
        <v>21.698155048173444</v>
      </c>
      <c r="U519" s="11">
        <v>0.35941907563168374</v>
      </c>
      <c r="V519" s="11">
        <v>0.06484279531071009</v>
      </c>
      <c r="W519" s="11">
        <v>0.11446497746386197</v>
      </c>
      <c r="X519" s="11">
        <v>0.280219996840999</v>
      </c>
      <c r="Y519" s="11">
        <v>0.08350311389670224</v>
      </c>
      <c r="Z519" s="11">
        <v>0.0975500408560428</v>
      </c>
    </row>
    <row r="520" ht="22.5" customHeight="1">
      <c r="Q520" s="9" t="s">
        <v>558</v>
      </c>
      <c r="R520" s="10">
        <v>0.2960136305231311</v>
      </c>
      <c r="S520" s="10">
        <v>0.011799312325438488</v>
      </c>
      <c r="T520" s="10">
        <v>21.69733484986102</v>
      </c>
      <c r="U520" s="11">
        <v>0.2516080425180346</v>
      </c>
      <c r="V520" s="11">
        <v>0.053625980949357284</v>
      </c>
      <c r="W520" s="11">
        <v>0.053176321404918646</v>
      </c>
      <c r="X520" s="11">
        <v>0.2115289476882303</v>
      </c>
      <c r="Y520" s="11">
        <v>0.2173045101181785</v>
      </c>
      <c r="Z520" s="11">
        <v>0.21275619732128062</v>
      </c>
    </row>
    <row r="521" ht="22.5" customHeight="1">
      <c r="Q521" s="9" t="s">
        <v>559</v>
      </c>
      <c r="R521" s="10">
        <v>0.5018443647278519</v>
      </c>
      <c r="S521" s="10">
        <v>0.02128601368376968</v>
      </c>
      <c r="T521" s="10">
        <v>21.697081078173056</v>
      </c>
      <c r="U521" s="11">
        <v>0.14009511884359635</v>
      </c>
      <c r="V521" s="11">
        <v>0.12369533568460292</v>
      </c>
      <c r="W521" s="11">
        <v>0.14302045141842457</v>
      </c>
      <c r="X521" s="11">
        <v>0.24288259527762135</v>
      </c>
      <c r="Y521" s="11">
        <v>0.08145515331845525</v>
      </c>
      <c r="Z521" s="11">
        <v>0.2688513454572997</v>
      </c>
    </row>
    <row r="522" ht="22.5" customHeight="1">
      <c r="Q522" s="9" t="s">
        <v>560</v>
      </c>
      <c r="R522" s="10">
        <v>0.4138833227159224</v>
      </c>
      <c r="S522" s="10">
        <v>0.017233072293944482</v>
      </c>
      <c r="T522" s="10">
        <v>21.69568584977741</v>
      </c>
      <c r="U522" s="11">
        <v>0.06666699363587078</v>
      </c>
      <c r="V522" s="11">
        <v>0.12630757166541004</v>
      </c>
      <c r="W522" s="11">
        <v>0.08258208190926934</v>
      </c>
      <c r="X522" s="11">
        <v>0.20587737284009258</v>
      </c>
      <c r="Y522" s="11">
        <v>0.10682823591221532</v>
      </c>
      <c r="Z522" s="11">
        <v>0.41173774403714203</v>
      </c>
    </row>
    <row r="523" ht="22.5" customHeight="1">
      <c r="Q523" s="9" t="s">
        <v>561</v>
      </c>
      <c r="R523" s="10">
        <v>0.49261881487120246</v>
      </c>
      <c r="S523" s="10">
        <v>0.02086357123216893</v>
      </c>
      <c r="T523" s="10">
        <v>21.694215713814266</v>
      </c>
      <c r="U523" s="11">
        <v>0.2117398958936522</v>
      </c>
      <c r="V523" s="11">
        <v>0.10287561933462512</v>
      </c>
      <c r="W523" s="11">
        <v>0.14512811025340838</v>
      </c>
      <c r="X523" s="11">
        <v>0.2407053363904742</v>
      </c>
      <c r="Y523" s="11">
        <v>0.20915086169135028</v>
      </c>
      <c r="Z523" s="11">
        <v>0.09040017643649002</v>
      </c>
    </row>
    <row r="524" ht="22.5" customHeight="1">
      <c r="Q524" s="9" t="s">
        <v>562</v>
      </c>
      <c r="R524" s="10">
        <v>0.44971300491497607</v>
      </c>
      <c r="S524" s="10">
        <v>0.018886197970029113</v>
      </c>
      <c r="T524" s="10">
        <v>21.693779000154393</v>
      </c>
      <c r="U524" s="11">
        <v>0.12549791650256184</v>
      </c>
      <c r="V524" s="11">
        <v>0.14617525487998062</v>
      </c>
      <c r="W524" s="11">
        <v>0.05447943630336888</v>
      </c>
      <c r="X524" s="11">
        <v>0.3442510329355607</v>
      </c>
      <c r="Y524" s="11">
        <v>0.2698801152832357</v>
      </c>
      <c r="Z524" s="11">
        <v>0.05971624409529218</v>
      </c>
    </row>
    <row r="525" ht="22.5" customHeight="1">
      <c r="Q525" s="9" t="s">
        <v>563</v>
      </c>
      <c r="R525" s="10">
        <v>0.5738441866699152</v>
      </c>
      <c r="S525" s="10">
        <v>0.02461074068431748</v>
      </c>
      <c r="T525" s="10">
        <v>21.69151239767817</v>
      </c>
      <c r="U525" s="11">
        <v>0.10606726704302301</v>
      </c>
      <c r="V525" s="11">
        <v>0.13645177402491973</v>
      </c>
      <c r="W525" s="11">
        <v>0.16481972882260426</v>
      </c>
      <c r="X525" s="11">
        <v>0.28293011766109805</v>
      </c>
      <c r="Y525" s="11">
        <v>0.2771549367760526</v>
      </c>
      <c r="Z525" s="11">
        <v>0.032576175672302185</v>
      </c>
    </row>
    <row r="526" ht="22.5" customHeight="1">
      <c r="Q526" s="9" t="s">
        <v>564</v>
      </c>
      <c r="R526" s="10">
        <v>0.6037901945355199</v>
      </c>
      <c r="S526" s="10">
        <v>0.025991491401946502</v>
      </c>
      <c r="T526" s="10">
        <v>21.691336823145807</v>
      </c>
      <c r="U526" s="11">
        <v>0.08139491626289914</v>
      </c>
      <c r="V526" s="11">
        <v>0.18546153742412588</v>
      </c>
      <c r="W526" s="11">
        <v>0.14479857067727964</v>
      </c>
      <c r="X526" s="11">
        <v>0.2619694737715775</v>
      </c>
      <c r="Y526" s="11">
        <v>0.20576455873662247</v>
      </c>
      <c r="Z526" s="11">
        <v>0.12061094312749548</v>
      </c>
    </row>
    <row r="527" ht="22.5" customHeight="1">
      <c r="Q527" s="9" t="s">
        <v>565</v>
      </c>
      <c r="R527" s="10">
        <v>0.5747416926716723</v>
      </c>
      <c r="S527" s="10">
        <v>0.02465436026863589</v>
      </c>
      <c r="T527" s="10">
        <v>21.689538355288224</v>
      </c>
      <c r="U527" s="11">
        <v>0.17721543398740075</v>
      </c>
      <c r="V527" s="11">
        <v>0.1502527132665653</v>
      </c>
      <c r="W527" s="11">
        <v>0.15848423884655768</v>
      </c>
      <c r="X527" s="11">
        <v>0.227482445819205</v>
      </c>
      <c r="Y527" s="11">
        <v>0.22328258070487328</v>
      </c>
      <c r="Z527" s="11">
        <v>0.06328258737539799</v>
      </c>
    </row>
    <row r="528" ht="22.5" customHeight="1">
      <c r="Q528" s="9" t="s">
        <v>566</v>
      </c>
      <c r="R528" s="10">
        <v>0.45185506021770705</v>
      </c>
      <c r="S528" s="10">
        <v>0.018988845545410717</v>
      </c>
      <c r="T528" s="10">
        <v>21.68931540534045</v>
      </c>
      <c r="U528" s="11">
        <v>0.24389816109903034</v>
      </c>
      <c r="V528" s="11">
        <v>0.13929840866085402</v>
      </c>
      <c r="W528" s="11">
        <v>0.09206670372774013</v>
      </c>
      <c r="X528" s="11">
        <v>0.16594553668530307</v>
      </c>
      <c r="Y528" s="11">
        <v>0.11431803204966694</v>
      </c>
      <c r="Z528" s="11">
        <v>0.24447315777740553</v>
      </c>
    </row>
    <row r="529" ht="22.5" customHeight="1">
      <c r="Q529" s="9" t="s">
        <v>567</v>
      </c>
      <c r="R529" s="10">
        <v>0.4099864888698395</v>
      </c>
      <c r="S529" s="10">
        <v>0.017059081562333274</v>
      </c>
      <c r="T529" s="10">
        <v>21.688535078393414</v>
      </c>
      <c r="U529" s="11">
        <v>0.04691431703979924</v>
      </c>
      <c r="V529" s="11">
        <v>0.08262208333969011</v>
      </c>
      <c r="W529" s="11">
        <v>0.10103445359753707</v>
      </c>
      <c r="X529" s="11">
        <v>0.25207418566168865</v>
      </c>
      <c r="Y529" s="11">
        <v>0.37221734763155945</v>
      </c>
      <c r="Z529" s="11">
        <v>0.14513761272972553</v>
      </c>
    </row>
    <row r="530" ht="22.5" customHeight="1">
      <c r="Q530" s="9" t="s">
        <v>568</v>
      </c>
      <c r="R530" s="10">
        <v>0.4889973951161969</v>
      </c>
      <c r="S530" s="10">
        <v>0.020703770753220687</v>
      </c>
      <c r="T530" s="10">
        <v>21.686744915601942</v>
      </c>
      <c r="U530" s="11">
        <v>0.167699225791628</v>
      </c>
      <c r="V530" s="11">
        <v>0.15289163828128718</v>
      </c>
      <c r="W530" s="11">
        <v>0.10672162458077218</v>
      </c>
      <c r="X530" s="11">
        <v>0.20157761311525105</v>
      </c>
      <c r="Y530" s="11">
        <v>0.08436603306641657</v>
      </c>
      <c r="Z530" s="11">
        <v>0.2867438651646451</v>
      </c>
    </row>
    <row r="531" ht="22.5" customHeight="1">
      <c r="Q531" s="9" t="s">
        <v>569</v>
      </c>
      <c r="R531" s="10">
        <v>0.43530589186274216</v>
      </c>
      <c r="S531" s="10">
        <v>0.018228554515326203</v>
      </c>
      <c r="T531" s="10">
        <v>21.686080019695304</v>
      </c>
      <c r="U531" s="11">
        <v>0.21720196205508732</v>
      </c>
      <c r="V531" s="11">
        <v>0.13116806259633534</v>
      </c>
      <c r="W531" s="11">
        <v>0.09057238828389932</v>
      </c>
      <c r="X531" s="11">
        <v>0.15511546309379937</v>
      </c>
      <c r="Y531" s="11">
        <v>0.12442561513400989</v>
      </c>
      <c r="Z531" s="11">
        <v>0.28151650883686874</v>
      </c>
    </row>
    <row r="532" ht="22.5" customHeight="1">
      <c r="Q532" s="9" t="s">
        <v>570</v>
      </c>
      <c r="R532" s="10">
        <v>0.5186961211028035</v>
      </c>
      <c r="S532" s="10">
        <v>0.022074115175257317</v>
      </c>
      <c r="T532" s="10">
        <v>21.68585772531303</v>
      </c>
      <c r="U532" s="11">
        <v>0.12404330439708076</v>
      </c>
      <c r="V532" s="11">
        <v>0.12591043991850426</v>
      </c>
      <c r="W532" s="11">
        <v>0.14813039224455113</v>
      </c>
      <c r="X532" s="11">
        <v>0.2253052718888045</v>
      </c>
      <c r="Y532" s="11">
        <v>0.19341165984013164</v>
      </c>
      <c r="Z532" s="11">
        <v>0.18319893171092766</v>
      </c>
    </row>
    <row r="533" ht="22.5" customHeight="1">
      <c r="Q533" s="9" t="s">
        <v>571</v>
      </c>
      <c r="R533" s="10">
        <v>0.4020834087500577</v>
      </c>
      <c r="S533" s="10">
        <v>0.016697763144429178</v>
      </c>
      <c r="T533" s="10">
        <v>21.684545745329874</v>
      </c>
      <c r="U533" s="11">
        <v>0.10482848516500934</v>
      </c>
      <c r="V533" s="11">
        <v>0.13014533833697267</v>
      </c>
      <c r="W533" s="11">
        <v>0.06314318689990177</v>
      </c>
      <c r="X533" s="11">
        <v>0.2412608611141621</v>
      </c>
      <c r="Y533" s="11">
        <v>0.10568866432660072</v>
      </c>
      <c r="Z533" s="11">
        <v>0.3549334641573533</v>
      </c>
    </row>
    <row r="534" ht="22.5" customHeight="1">
      <c r="Q534" s="9" t="s">
        <v>572</v>
      </c>
      <c r="R534" s="10">
        <v>0.443554892327953</v>
      </c>
      <c r="S534" s="10">
        <v>0.018611445575724517</v>
      </c>
      <c r="T534" s="10">
        <v>21.68315678038046</v>
      </c>
      <c r="U534" s="11">
        <v>0.2306745442379836</v>
      </c>
      <c r="V534" s="11">
        <v>0.12840674571197505</v>
      </c>
      <c r="W534" s="11">
        <v>0.095921011303049</v>
      </c>
      <c r="X534" s="11">
        <v>0.13607068186296284</v>
      </c>
      <c r="Y534" s="11">
        <v>0.19870257249135295</v>
      </c>
      <c r="Z534" s="11">
        <v>0.21022444439267648</v>
      </c>
    </row>
    <row r="535" ht="22.5" customHeight="1">
      <c r="Q535" s="9" t="s">
        <v>573</v>
      </c>
      <c r="R535" s="10">
        <v>0.5930739152132881</v>
      </c>
      <c r="S535" s="10">
        <v>0.02551049325096915</v>
      </c>
      <c r="T535" s="10">
        <v>21.680251721211885</v>
      </c>
      <c r="U535" s="11">
        <v>0.008469338459877043</v>
      </c>
      <c r="V535" s="11">
        <v>0.17768167047979064</v>
      </c>
      <c r="W535" s="11">
        <v>0.14816675960977257</v>
      </c>
      <c r="X535" s="11">
        <v>0.2826106970151726</v>
      </c>
      <c r="Y535" s="11">
        <v>0.17995696485630935</v>
      </c>
      <c r="Z535" s="11">
        <v>0.2031145695790779</v>
      </c>
    </row>
    <row r="536" ht="22.5" customHeight="1">
      <c r="Q536" s="9" t="s">
        <v>574</v>
      </c>
      <c r="R536" s="10">
        <v>0.4321289248124715</v>
      </c>
      <c r="S536" s="10">
        <v>0.018087272898813487</v>
      </c>
      <c r="T536" s="10">
        <v>21.679825754063508</v>
      </c>
      <c r="U536" s="11">
        <v>0.022235881350855278</v>
      </c>
      <c r="V536" s="11">
        <v>0.07701411572488993</v>
      </c>
      <c r="W536" s="11">
        <v>0.12308062409144392</v>
      </c>
      <c r="X536" s="11">
        <v>0.3123571819501358</v>
      </c>
      <c r="Y536" s="11">
        <v>0.28246913661885725</v>
      </c>
      <c r="Z536" s="11">
        <v>0.18284306026381783</v>
      </c>
    </row>
    <row r="537" ht="22.5" customHeight="1">
      <c r="Q537" s="9" t="s">
        <v>575</v>
      </c>
      <c r="R537" s="10">
        <v>0.4545269546575832</v>
      </c>
      <c r="S537" s="10">
        <v>0.01912078127042537</v>
      </c>
      <c r="T537" s="10">
        <v>21.679394204395994</v>
      </c>
      <c r="U537" s="11">
        <v>0.2847362694005102</v>
      </c>
      <c r="V537" s="11">
        <v>0.13381868679104683</v>
      </c>
      <c r="W537" s="11">
        <v>0.08241930433930243</v>
      </c>
      <c r="X537" s="11">
        <v>0.17938093259256976</v>
      </c>
      <c r="Y537" s="11">
        <v>0.29667071573380066</v>
      </c>
      <c r="Z537" s="11">
        <v>0.022974091142770037</v>
      </c>
    </row>
    <row r="538" ht="22.5" customHeight="1">
      <c r="Q538" s="9" t="s">
        <v>576</v>
      </c>
      <c r="R538" s="10">
        <v>0.5981213591367336</v>
      </c>
      <c r="S538" s="10">
        <v>0.025746108673855354</v>
      </c>
      <c r="T538" s="10">
        <v>21.677891840155805</v>
      </c>
      <c r="U538" s="11">
        <v>0.1582069495746695</v>
      </c>
      <c r="V538" s="11">
        <v>0.18229661137742684</v>
      </c>
      <c r="W538" s="11">
        <v>0.14257929106676936</v>
      </c>
      <c r="X538" s="11">
        <v>0.23017289805795052</v>
      </c>
      <c r="Y538" s="11">
        <v>0.225470026936457</v>
      </c>
      <c r="Z538" s="11">
        <v>0.061274222986726704</v>
      </c>
    </row>
    <row r="539" ht="22.5" customHeight="1">
      <c r="Q539" s="9" t="s">
        <v>577</v>
      </c>
      <c r="R539" s="10">
        <v>0.4903080080582486</v>
      </c>
      <c r="S539" s="10">
        <v>0.020772759817269337</v>
      </c>
      <c r="T539" s="10">
        <v>21.677813252521563</v>
      </c>
      <c r="U539" s="11">
        <v>0.07332467664739827</v>
      </c>
      <c r="V539" s="11">
        <v>0.16522092870462116</v>
      </c>
      <c r="W539" s="11">
        <v>0.08131046755561004</v>
      </c>
      <c r="X539" s="11">
        <v>0.27676431023284664</v>
      </c>
      <c r="Y539" s="11">
        <v>0.20063090801291833</v>
      </c>
      <c r="Z539" s="11">
        <v>0.2027487088466056</v>
      </c>
    </row>
    <row r="540" ht="22.5" customHeight="1">
      <c r="Q540" s="9" t="s">
        <v>578</v>
      </c>
      <c r="R540" s="10">
        <v>0.5175816712213699</v>
      </c>
      <c r="S540" s="10">
        <v>0.022031025178676802</v>
      </c>
      <c r="T540" s="10">
        <v>21.67768714111441</v>
      </c>
      <c r="U540" s="11">
        <v>0.07262119173359877</v>
      </c>
      <c r="V540" s="11">
        <v>0.11934445024598248</v>
      </c>
      <c r="W540" s="11">
        <v>0.14348580711863435</v>
      </c>
      <c r="X540" s="11">
        <v>0.2518778669984776</v>
      </c>
      <c r="Y540" s="11">
        <v>0.32942391534181226</v>
      </c>
      <c r="Z540" s="11">
        <v>0.0832467685614946</v>
      </c>
    </row>
    <row r="541" ht="22.5" customHeight="1">
      <c r="Q541" s="9" t="s">
        <v>579</v>
      </c>
      <c r="R541" s="10">
        <v>0.4669808956234679</v>
      </c>
      <c r="S541" s="10">
        <v>0.01969794906964362</v>
      </c>
      <c r="T541" s="10">
        <v>21.676413829370965</v>
      </c>
      <c r="U541" s="11">
        <v>0.2452777443069599</v>
      </c>
      <c r="V541" s="11">
        <v>0.11646989827603785</v>
      </c>
      <c r="W541" s="11">
        <v>0.11988550679971186</v>
      </c>
      <c r="X541" s="11">
        <v>0.1492732164613088</v>
      </c>
      <c r="Y541" s="11">
        <v>0.243200692146954</v>
      </c>
      <c r="Z541" s="11">
        <v>0.12589294200902768</v>
      </c>
    </row>
    <row r="542" ht="22.5" customHeight="1">
      <c r="Q542" s="9" t="s">
        <v>580</v>
      </c>
      <c r="R542" s="10">
        <v>0.4390100482735149</v>
      </c>
      <c r="S542" s="10">
        <v>0.01840799865062634</v>
      </c>
      <c r="T542" s="10">
        <v>21.67590599317751</v>
      </c>
      <c r="U542" s="11">
        <v>0.060288619596858745</v>
      </c>
      <c r="V542" s="11">
        <v>0.1400504997528758</v>
      </c>
      <c r="W542" s="11">
        <v>0.07146979386169307</v>
      </c>
      <c r="X542" s="11">
        <v>0.23019412000437955</v>
      </c>
      <c r="Y542" s="11">
        <v>0.27463773293935906</v>
      </c>
      <c r="Z542" s="11">
        <v>0.22335923384483378</v>
      </c>
    </row>
    <row r="543" ht="22.5" customHeight="1">
      <c r="Q543" s="9" t="s">
        <v>581</v>
      </c>
      <c r="R543" s="10">
        <v>0.530842744376881</v>
      </c>
      <c r="S543" s="10">
        <v>0.022644822350396873</v>
      </c>
      <c r="T543" s="10">
        <v>21.675716275525495</v>
      </c>
      <c r="U543" s="11">
        <v>0.09795363494966715</v>
      </c>
      <c r="V543" s="11">
        <v>0.1698982121297006</v>
      </c>
      <c r="W543" s="11">
        <v>0.10958998201262041</v>
      </c>
      <c r="X543" s="11">
        <v>0.2198328582137231</v>
      </c>
      <c r="Y543" s="11">
        <v>0.2407004610880552</v>
      </c>
      <c r="Z543" s="11">
        <v>0.16202485160623362</v>
      </c>
    </row>
    <row r="544" ht="22.5" customHeight="1">
      <c r="Q544" s="9" t="s">
        <v>582</v>
      </c>
      <c r="R544" s="10">
        <v>0.5553064793573517</v>
      </c>
      <c r="S544" s="10">
        <v>0.0237744277796938</v>
      </c>
      <c r="T544" s="10">
        <v>21.67482154070959</v>
      </c>
      <c r="U544" s="11">
        <v>0.23002197069737754</v>
      </c>
      <c r="V544" s="11">
        <v>0.15469704711301752</v>
      </c>
      <c r="W544" s="11">
        <v>0.14163986918964988</v>
      </c>
      <c r="X544" s="11">
        <v>0.1845417128621216</v>
      </c>
      <c r="Y544" s="11">
        <v>0.23335227881238996</v>
      </c>
      <c r="Z544" s="11">
        <v>0.05574712132544345</v>
      </c>
    </row>
    <row r="545" ht="22.5" customHeight="1">
      <c r="Q545" s="9" t="s">
        <v>583</v>
      </c>
      <c r="R545" s="10">
        <v>0.5476840622262287</v>
      </c>
      <c r="S545" s="10">
        <v>0.02342313750192014</v>
      </c>
      <c r="T545" s="10">
        <v>21.67446876767088</v>
      </c>
      <c r="U545" s="11">
        <v>0.13984680602763508</v>
      </c>
      <c r="V545" s="11">
        <v>0.1705838532631195</v>
      </c>
      <c r="W545" s="11">
        <v>0.12497387636335752</v>
      </c>
      <c r="X545" s="11">
        <v>0.2063076630333999</v>
      </c>
      <c r="Y545" s="11">
        <v>0.18374596535616697</v>
      </c>
      <c r="Z545" s="11">
        <v>0.17454183595632092</v>
      </c>
    </row>
    <row r="546" ht="22.5" customHeight="1">
      <c r="Q546" s="9" t="s">
        <v>584</v>
      </c>
      <c r="R546" s="10">
        <v>0.5645357203252763</v>
      </c>
      <c r="S546" s="10">
        <v>0.024201256230846863</v>
      </c>
      <c r="T546" s="10">
        <v>21.673904665192723</v>
      </c>
      <c r="U546" s="11">
        <v>0.028768424666734235</v>
      </c>
      <c r="V546" s="11">
        <v>0.14952263478388364</v>
      </c>
      <c r="W546" s="11">
        <v>0.15787268944973115</v>
      </c>
      <c r="X546" s="11">
        <v>0.28097985981166756</v>
      </c>
      <c r="Y546" s="11">
        <v>0.15196338297237</v>
      </c>
      <c r="Z546" s="11">
        <v>0.2308930083156134</v>
      </c>
    </row>
    <row r="547" ht="22.5" customHeight="1">
      <c r="Q547" s="9" t="s">
        <v>585</v>
      </c>
      <c r="R547" s="10">
        <v>0.38002292155790895</v>
      </c>
      <c r="S547" s="10">
        <v>0.01568898686078043</v>
      </c>
      <c r="T547" s="10">
        <v>21.67271376891158</v>
      </c>
      <c r="U547" s="11">
        <v>0.2583457857052553</v>
      </c>
      <c r="V547" s="11">
        <v>0.11514429030548372</v>
      </c>
      <c r="W547" s="11">
        <v>0.06209413944249148</v>
      </c>
      <c r="X547" s="11">
        <v>0.17459978562780526</v>
      </c>
      <c r="Y547" s="11">
        <v>0.12094949956430853</v>
      </c>
      <c r="Z547" s="11">
        <v>0.2688664993546557</v>
      </c>
    </row>
    <row r="548" ht="22.5" customHeight="1">
      <c r="Q548" s="9" t="s">
        <v>586</v>
      </c>
      <c r="R548" s="10">
        <v>0.4392036396804275</v>
      </c>
      <c r="S548" s="10">
        <v>0.018420134587910524</v>
      </c>
      <c r="T548" s="10">
        <v>21.672134792241547</v>
      </c>
      <c r="U548" s="11">
        <v>0.23785187209661945</v>
      </c>
      <c r="V548" s="11">
        <v>0.10840719935979984</v>
      </c>
      <c r="W548" s="11">
        <v>0.11494377704775754</v>
      </c>
      <c r="X548" s="11">
        <v>0.14841991875667856</v>
      </c>
      <c r="Y548" s="11">
        <v>0.15397007109279454</v>
      </c>
      <c r="Z548" s="11">
        <v>0.23640716164635</v>
      </c>
    </row>
    <row r="549" ht="22.5" customHeight="1">
      <c r="Q549" s="9" t="s">
        <v>587</v>
      </c>
      <c r="R549" s="10">
        <v>0.5083142356436333</v>
      </c>
      <c r="S549" s="10">
        <v>0.021613562790853694</v>
      </c>
      <c r="T549" s="10">
        <v>21.667609369881948</v>
      </c>
      <c r="U549" s="11">
        <v>0.17078516018572557</v>
      </c>
      <c r="V549" s="11">
        <v>0.10259059139364272</v>
      </c>
      <c r="W549" s="11">
        <v>0.15074886914191737</v>
      </c>
      <c r="X549" s="11">
        <v>0.2753434462353413</v>
      </c>
      <c r="Y549" s="11">
        <v>0.26149069394573016</v>
      </c>
      <c r="Z549" s="11">
        <v>0.03904123909764291</v>
      </c>
    </row>
    <row r="550" ht="22.5" customHeight="1">
      <c r="Q550" s="9" t="s">
        <v>588</v>
      </c>
      <c r="R550" s="10">
        <v>0.3220698759368852</v>
      </c>
      <c r="S550" s="10">
        <v>0.013019112078519527</v>
      </c>
      <c r="T550" s="10">
        <v>21.665830529431997</v>
      </c>
      <c r="U550" s="11">
        <v>0.23048054597982262</v>
      </c>
      <c r="V550" s="11">
        <v>0.04789116920494418</v>
      </c>
      <c r="W550" s="11">
        <v>0.07414410730939161</v>
      </c>
      <c r="X550" s="11">
        <v>0.23718010348228902</v>
      </c>
      <c r="Y550" s="11">
        <v>0.24406552362184653</v>
      </c>
      <c r="Z550" s="11">
        <v>0.1662385504017061</v>
      </c>
    </row>
    <row r="551" ht="22.5" customHeight="1">
      <c r="Q551" s="9" t="s">
        <v>589</v>
      </c>
      <c r="R551" s="10">
        <v>0.522331348251574</v>
      </c>
      <c r="S551" s="10">
        <v>0.02538450679392964</v>
      </c>
      <c r="T551" s="10">
        <v>21.661644761124652</v>
      </c>
      <c r="U551" s="11">
        <v>0.11593496414053098</v>
      </c>
      <c r="V551" s="11">
        <v>0.16820115061086943</v>
      </c>
      <c r="W551" s="11">
        <v>0.15312634717084728</v>
      </c>
      <c r="X551" s="11">
        <v>0.22847971897232658</v>
      </c>
      <c r="Y551" s="11">
        <v>0.23497542514804604</v>
      </c>
      <c r="Z551" s="11">
        <v>0.09928239395737978</v>
      </c>
    </row>
    <row r="552" ht="22.5" customHeight="1">
      <c r="Q552" s="9" t="s">
        <v>590</v>
      </c>
      <c r="R552" s="10">
        <v>0.5413581943665239</v>
      </c>
      <c r="S552" s="10">
        <v>0.023145683531020173</v>
      </c>
      <c r="T552" s="10">
        <v>21.66098027282696</v>
      </c>
      <c r="U552" s="11">
        <v>0.11190773135774533</v>
      </c>
      <c r="V552" s="11">
        <v>0.14883316445920813</v>
      </c>
      <c r="W552" s="11">
        <v>0.14571546567581734</v>
      </c>
      <c r="X552" s="11">
        <v>0.21482168318089034</v>
      </c>
      <c r="Y552" s="11">
        <v>0.15385150019442997</v>
      </c>
      <c r="Z552" s="11">
        <v>0.22487045513190887</v>
      </c>
    </row>
    <row r="553" ht="22.5" customHeight="1">
      <c r="Q553" s="9" t="s">
        <v>591</v>
      </c>
      <c r="R553" s="10">
        <v>0.4270399630724956</v>
      </c>
      <c r="S553" s="10">
        <v>0.01786808294448446</v>
      </c>
      <c r="T553" s="10">
        <v>21.660967451013963</v>
      </c>
      <c r="U553" s="11">
        <v>0.16300919647153253</v>
      </c>
      <c r="V553" s="11">
        <v>0.13973459937246854</v>
      </c>
      <c r="W553" s="11">
        <v>0.06398909470536514</v>
      </c>
      <c r="X553" s="11">
        <v>0.22092678738769117</v>
      </c>
      <c r="Y553" s="11">
        <v>0.20161362989577605</v>
      </c>
      <c r="Z553" s="11">
        <v>0.2107266921671666</v>
      </c>
    </row>
    <row r="554" ht="22.5" customHeight="1">
      <c r="Q554" s="9" t="s">
        <v>592</v>
      </c>
      <c r="R554" s="10">
        <v>0.5381532315997927</v>
      </c>
      <c r="S554" s="10">
        <v>0.02299966127271105</v>
      </c>
      <c r="T554" s="10">
        <v>21.659155136812746</v>
      </c>
      <c r="U554" s="11">
        <v>0.3142999044688535</v>
      </c>
      <c r="V554" s="11">
        <v>0.1686279272149748</v>
      </c>
      <c r="W554" s="11">
        <v>0.11541140221161345</v>
      </c>
      <c r="X554" s="11">
        <v>0.19028340441327846</v>
      </c>
      <c r="Y554" s="11">
        <v>0.146291091748796</v>
      </c>
      <c r="Z554" s="11">
        <v>0.06508626994248383</v>
      </c>
    </row>
    <row r="555" ht="22.5" customHeight="1">
      <c r="Q555" s="9" t="s">
        <v>593</v>
      </c>
      <c r="R555" s="10">
        <v>0.5105755834457107</v>
      </c>
      <c r="S555" s="10">
        <v>0.02172884885849273</v>
      </c>
      <c r="T555" s="10">
        <v>21.656719438304993</v>
      </c>
      <c r="U555" s="11">
        <v>0.2650382615806153</v>
      </c>
      <c r="V555" s="11">
        <v>0.16989681717287697</v>
      </c>
      <c r="W555" s="11">
        <v>0.09503198962818621</v>
      </c>
      <c r="X555" s="11">
        <v>0.2622140752433854</v>
      </c>
      <c r="Y555" s="11">
        <v>0.03429664909008686</v>
      </c>
      <c r="Z555" s="11">
        <v>0.17352220728484918</v>
      </c>
    </row>
    <row r="556" ht="22.5" customHeight="1">
      <c r="Q556" s="9" t="s">
        <v>594</v>
      </c>
      <c r="R556" s="10">
        <v>0.33795487073969843</v>
      </c>
      <c r="S556" s="10">
        <v>0.013759322765984305</v>
      </c>
      <c r="T556" s="10">
        <v>21.654762796632713</v>
      </c>
      <c r="U556" s="11">
        <v>0.3124499757668487</v>
      </c>
      <c r="V556" s="11">
        <v>0.040011438813499264</v>
      </c>
      <c r="W556" s="11">
        <v>0.08530962833123767</v>
      </c>
      <c r="X556" s="11">
        <v>0.38175591057205877</v>
      </c>
      <c r="Y556" s="11">
        <v>0.03948549062758064</v>
      </c>
      <c r="Z556" s="11">
        <v>0.14098755588877512</v>
      </c>
    </row>
    <row r="557" ht="22.5" customHeight="1">
      <c r="Q557" s="9" t="s">
        <v>595</v>
      </c>
      <c r="R557" s="10">
        <v>0.5647221761867828</v>
      </c>
      <c r="S557" s="10">
        <v>0.024232914992318895</v>
      </c>
      <c r="T557" s="10">
        <v>21.653283410316252</v>
      </c>
      <c r="U557" s="11">
        <v>0.22333433053604151</v>
      </c>
      <c r="V557" s="11">
        <v>0.16380731279337546</v>
      </c>
      <c r="W557" s="11">
        <v>0.1448556025002741</v>
      </c>
      <c r="X557" s="11">
        <v>0.20173924015798114</v>
      </c>
      <c r="Y557" s="11">
        <v>0.1270909638862687</v>
      </c>
      <c r="Z557" s="11">
        <v>0.1391725501260591</v>
      </c>
    </row>
    <row r="558" ht="22.5" customHeight="1">
      <c r="Q558" s="9" t="s">
        <v>596</v>
      </c>
      <c r="R558" s="10">
        <v>0.5730758718884933</v>
      </c>
      <c r="S558" s="10">
        <v>0.024620271176935996</v>
      </c>
      <c r="T558" s="10">
        <v>21.6519090329059</v>
      </c>
      <c r="U558" s="11">
        <v>0.11235921430587946</v>
      </c>
      <c r="V558" s="11">
        <v>0.14702571045338705</v>
      </c>
      <c r="W558" s="11">
        <v>0.16563177637673132</v>
      </c>
      <c r="X558" s="11">
        <v>0.2823700943805098</v>
      </c>
      <c r="Y558" s="11">
        <v>0.10309603000621356</v>
      </c>
      <c r="Z558" s="11">
        <v>0.18951717447727884</v>
      </c>
    </row>
    <row r="559" ht="22.5" customHeight="1">
      <c r="Q559" s="9" t="s">
        <v>597</v>
      </c>
      <c r="R559" s="10">
        <v>0.4026887162518479</v>
      </c>
      <c r="S559" s="10">
        <v>0.01675106406323276</v>
      </c>
      <c r="T559" s="10">
        <v>21.651682238379145</v>
      </c>
      <c r="U559" s="11">
        <v>0.36534367418248115</v>
      </c>
      <c r="V559" s="11">
        <v>0.08679461843853367</v>
      </c>
      <c r="W559" s="11">
        <v>0.10439237188940109</v>
      </c>
      <c r="X559" s="11">
        <v>0.16595983720316307</v>
      </c>
      <c r="Y559" s="11">
        <v>0.1139963392639236</v>
      </c>
      <c r="Z559" s="11">
        <v>0.16351315902249736</v>
      </c>
    </row>
    <row r="560" ht="22.5" customHeight="1">
      <c r="Q560" s="9" t="s">
        <v>598</v>
      </c>
      <c r="R560" s="10">
        <v>0.5906471007978813</v>
      </c>
      <c r="S560" s="10">
        <v>0.02543242042838589</v>
      </c>
      <c r="T560" s="10">
        <v>21.6513840021018</v>
      </c>
      <c r="U560" s="11">
        <v>0.01820360654260409</v>
      </c>
      <c r="V560" s="11">
        <v>0.17289573166364985</v>
      </c>
      <c r="W560" s="11">
        <v>0.1492167903343525</v>
      </c>
      <c r="X560" s="11">
        <v>0.25767407438730017</v>
      </c>
      <c r="Y560" s="11">
        <v>0.24812462527607249</v>
      </c>
      <c r="Z560" s="11">
        <v>0.15388517179602096</v>
      </c>
    </row>
    <row r="561" ht="22.5" customHeight="1">
      <c r="Q561" s="9" t="s">
        <v>599</v>
      </c>
      <c r="R561" s="10">
        <v>0.34156115615410926</v>
      </c>
      <c r="S561" s="10">
        <v>0.013928388812414922</v>
      </c>
      <c r="T561" s="10">
        <v>21.650828406320475</v>
      </c>
      <c r="U561" s="11">
        <v>0.13869893472022907</v>
      </c>
      <c r="V561" s="11">
        <v>0.09981754529734282</v>
      </c>
      <c r="W561" s="11">
        <v>0.044479437169762416</v>
      </c>
      <c r="X561" s="11">
        <v>0.20921937831728454</v>
      </c>
      <c r="Y561" s="11">
        <v>0.22001479363059942</v>
      </c>
      <c r="Z561" s="11">
        <v>0.28776991086478165</v>
      </c>
    </row>
    <row r="562" ht="22.5" customHeight="1">
      <c r="Q562" s="9" t="s">
        <v>600</v>
      </c>
      <c r="R562" s="10">
        <v>0.3804118611557971</v>
      </c>
      <c r="S562" s="10">
        <v>0.015723245279139618</v>
      </c>
      <c r="T562" s="10">
        <v>21.650229015216674</v>
      </c>
      <c r="U562" s="11">
        <v>0.10949085759523555</v>
      </c>
      <c r="V562" s="11">
        <v>0.09345568138189948</v>
      </c>
      <c r="W562" s="11">
        <v>0.08506658249556219</v>
      </c>
      <c r="X562" s="11">
        <v>0.14878004047819776</v>
      </c>
      <c r="Y562" s="11">
        <v>0.2796782260629781</v>
      </c>
      <c r="Z562" s="11">
        <v>0.2835286119861269</v>
      </c>
    </row>
    <row r="563" ht="22.5" customHeight="1">
      <c r="Q563" s="9" t="s">
        <v>601</v>
      </c>
      <c r="R563" s="10">
        <v>0.5828215305178347</v>
      </c>
      <c r="S563" s="10">
        <v>0.02507360840141083</v>
      </c>
      <c r="T563" s="10">
        <v>21.6491189392306</v>
      </c>
      <c r="U563" s="11">
        <v>0.1305698915723905</v>
      </c>
      <c r="V563" s="11">
        <v>0.14971957917065312</v>
      </c>
      <c r="W563" s="11">
        <v>0.16526273243450884</v>
      </c>
      <c r="X563" s="11">
        <v>0.24806922414599927</v>
      </c>
      <c r="Y563" s="11">
        <v>0.21664902235818873</v>
      </c>
      <c r="Z563" s="11">
        <v>0.08972955031825942</v>
      </c>
    </row>
    <row r="564" ht="22.5" customHeight="1">
      <c r="Q564" s="9" t="s">
        <v>602</v>
      </c>
      <c r="R564" s="10">
        <v>0.6295103753765315</v>
      </c>
      <c r="S564" s="10">
        <v>0.027230581634621293</v>
      </c>
      <c r="T564" s="10">
        <v>21.648835242910156</v>
      </c>
      <c r="U564" s="11">
        <v>0.19396785934127375</v>
      </c>
      <c r="V564" s="11">
        <v>0.1689673614943403</v>
      </c>
      <c r="W564" s="11">
        <v>0.177049118876101</v>
      </c>
      <c r="X564" s="11">
        <v>0.27143427868022696</v>
      </c>
      <c r="Y564" s="11">
        <v>0.15960386387975922</v>
      </c>
      <c r="Z564" s="11">
        <v>0.028977517728298787</v>
      </c>
    </row>
    <row r="565" ht="22.5" customHeight="1">
      <c r="Q565" s="9" t="s">
        <v>603</v>
      </c>
      <c r="R565" s="10">
        <v>0.49440188130611507</v>
      </c>
      <c r="S565" s="10">
        <v>0.020989850185484004</v>
      </c>
      <c r="T565" s="10">
        <v>21.648648146158127</v>
      </c>
      <c r="U565" s="11">
        <v>0.23526026324784147</v>
      </c>
      <c r="V565" s="11">
        <v>0.10954663188824933</v>
      </c>
      <c r="W565" s="11">
        <v>0.14707843378304805</v>
      </c>
      <c r="X565" s="11">
        <v>0.2499355741808868</v>
      </c>
      <c r="Y565" s="11">
        <v>0.07049692791188245</v>
      </c>
      <c r="Z565" s="11">
        <v>0.18768216898809187</v>
      </c>
    </row>
    <row r="566" ht="22.5" customHeight="1">
      <c r="Q566" s="9" t="s">
        <v>604</v>
      </c>
      <c r="R566" s="10">
        <v>0.49199991275587984</v>
      </c>
      <c r="S566" s="10">
        <v>0.020879744318712846</v>
      </c>
      <c r="T566" s="10">
        <v>21.647770483031657</v>
      </c>
      <c r="U566" s="11">
        <v>0.2753921407882375</v>
      </c>
      <c r="V566" s="11">
        <v>0.09804901864502444</v>
      </c>
      <c r="W566" s="11">
        <v>0.14394539051615743</v>
      </c>
      <c r="X566" s="11">
        <v>0.24223618712068404</v>
      </c>
      <c r="Y566" s="11">
        <v>0.2382314107406839</v>
      </c>
      <c r="Z566" s="11">
        <v>0.002145852189212732</v>
      </c>
    </row>
    <row r="567" ht="22.5" customHeight="1">
      <c r="Q567" s="9" t="s">
        <v>605</v>
      </c>
      <c r="R567" s="10">
        <v>0.4237107069698353</v>
      </c>
      <c r="S567" s="10">
        <v>0.01772642262056131</v>
      </c>
      <c r="T567" s="10">
        <v>21.64625740812249</v>
      </c>
      <c r="U567" s="11">
        <v>0.050051250925966004</v>
      </c>
      <c r="V567" s="11">
        <v>0.07674909404331344</v>
      </c>
      <c r="W567" s="11">
        <v>0.11239905152896688</v>
      </c>
      <c r="X567" s="11">
        <v>0.2934332813056895</v>
      </c>
      <c r="Y567" s="11">
        <v>0.3613917222262138</v>
      </c>
      <c r="Z567" s="11">
        <v>0.10597559996985036</v>
      </c>
    </row>
    <row r="568" ht="22.5" customHeight="1">
      <c r="Q568" s="9" t="s">
        <v>606</v>
      </c>
      <c r="R568" s="10">
        <v>0.4554648309500483</v>
      </c>
      <c r="S568" s="10">
        <v>0.01919346988262862</v>
      </c>
      <c r="T568" s="10">
        <v>21.646155358603078</v>
      </c>
      <c r="U568" s="11">
        <v>0.1240442196009428</v>
      </c>
      <c r="V568" s="11">
        <v>0.08420929507579063</v>
      </c>
      <c r="W568" s="11">
        <v>0.13770924629897996</v>
      </c>
      <c r="X568" s="11">
        <v>0.28389572785952877</v>
      </c>
      <c r="Y568" s="11">
        <v>0.19062611443841881</v>
      </c>
      <c r="Z568" s="11">
        <v>0.179515396726339</v>
      </c>
    </row>
    <row r="569" ht="22.5" customHeight="1">
      <c r="Q569" s="9" t="s">
        <v>607</v>
      </c>
      <c r="R569" s="10">
        <v>0.5920611507963738</v>
      </c>
      <c r="S569" s="10">
        <v>0.025503891365938662</v>
      </c>
      <c r="T569" s="10">
        <v>21.646153634957475</v>
      </c>
      <c r="U569" s="11">
        <v>0.19687644293211715</v>
      </c>
      <c r="V569" s="11">
        <v>0.15303718404658812</v>
      </c>
      <c r="W569" s="11">
        <v>0.16602985105489737</v>
      </c>
      <c r="X569" s="11">
        <v>0.23526525407390597</v>
      </c>
      <c r="Y569" s="11">
        <v>0.22570060336382006</v>
      </c>
      <c r="Z569" s="11">
        <v>0.023090664528671367</v>
      </c>
    </row>
    <row r="570" ht="22.5" customHeight="1">
      <c r="Q570" s="9" t="s">
        <v>608</v>
      </c>
      <c r="R570" s="10">
        <v>0.3995156020984428</v>
      </c>
      <c r="S570" s="10">
        <v>0.01661012877211068</v>
      </c>
      <c r="T570" s="10">
        <v>21.64435971755314</v>
      </c>
      <c r="U570" s="11">
        <v>0.13660408818917028</v>
      </c>
      <c r="V570" s="11">
        <v>0.12314761424042961</v>
      </c>
      <c r="W570" s="11">
        <v>0.04939587802419941</v>
      </c>
      <c r="X570" s="11">
        <v>0.26696797502156444</v>
      </c>
      <c r="Y570" s="11">
        <v>0.2974202017104129</v>
      </c>
      <c r="Z570" s="11">
        <v>0.1264642428142233</v>
      </c>
    </row>
    <row r="571" ht="22.5" customHeight="1">
      <c r="Q571" s="9" t="s">
        <v>609</v>
      </c>
      <c r="R571" s="10">
        <v>0.5134005303212026</v>
      </c>
      <c r="S571" s="10">
        <v>0.021873223616622334</v>
      </c>
      <c r="T571" s="10">
        <v>21.642924637841066</v>
      </c>
      <c r="U571" s="11">
        <v>0.2061547552848077</v>
      </c>
      <c r="V571" s="11">
        <v>0.15851528329636963</v>
      </c>
      <c r="W571" s="11">
        <v>0.1160462666106908</v>
      </c>
      <c r="X571" s="11">
        <v>0.17393152414254143</v>
      </c>
      <c r="Y571" s="11">
        <v>0.14376733116867516</v>
      </c>
      <c r="Z571" s="11">
        <v>0.20158483949691536</v>
      </c>
    </row>
    <row r="572" ht="22.5" customHeight="1">
      <c r="Q572" s="9" t="s">
        <v>610</v>
      </c>
      <c r="R572" s="10">
        <v>0.4425645685837523</v>
      </c>
      <c r="S572" s="10">
        <v>0.01860050179237834</v>
      </c>
      <c r="T572" s="10">
        <v>21.642672497615386</v>
      </c>
      <c r="U572" s="11">
        <v>0.12039766212813822</v>
      </c>
      <c r="V572" s="11">
        <v>0.1474185887618024</v>
      </c>
      <c r="W572" s="11">
        <v>0.06844730192890766</v>
      </c>
      <c r="X572" s="11">
        <v>0.23594726935298116</v>
      </c>
      <c r="Y572" s="11">
        <v>0.19091528028762292</v>
      </c>
      <c r="Z572" s="11">
        <v>0.23687389754054763</v>
      </c>
    </row>
    <row r="573" ht="22.5" customHeight="1">
      <c r="Q573" s="9" t="s">
        <v>611</v>
      </c>
      <c r="R573" s="10">
        <v>0.3655384097583109</v>
      </c>
      <c r="S573" s="10">
        <v>0.015041555573821494</v>
      </c>
      <c r="T573" s="10">
        <v>21.642602599220652</v>
      </c>
      <c r="U573" s="11">
        <v>0.15269734728527204</v>
      </c>
      <c r="V573" s="11">
        <v>0.10314511171152535</v>
      </c>
      <c r="W573" s="11">
        <v>0.048171532121343875</v>
      </c>
      <c r="X573" s="11">
        <v>0.2299472454418706</v>
      </c>
      <c r="Y573" s="11">
        <v>0.31481021172885587</v>
      </c>
      <c r="Z573" s="11">
        <v>0.1512285517111323</v>
      </c>
    </row>
    <row r="574" ht="22.5" customHeight="1">
      <c r="Q574" s="9" t="s">
        <v>612</v>
      </c>
      <c r="R574" s="10">
        <v>0.5231160029950538</v>
      </c>
      <c r="S574" s="10">
        <v>0.02232271018732075</v>
      </c>
      <c r="T574" s="10">
        <v>21.642354308280304</v>
      </c>
      <c r="U574" s="11">
        <v>0.2474143003498379</v>
      </c>
      <c r="V574" s="11">
        <v>0.1538182366017565</v>
      </c>
      <c r="W574" s="11">
        <v>0.12504981390669506</v>
      </c>
      <c r="X574" s="11">
        <v>0.15972818028886762</v>
      </c>
      <c r="Y574" s="11">
        <v>0.18116049850256902</v>
      </c>
      <c r="Z574" s="11">
        <v>0.1328289703502739</v>
      </c>
    </row>
    <row r="575" ht="22.5" customHeight="1">
      <c r="Q575" s="9" t="s">
        <v>613</v>
      </c>
      <c r="R575" s="10">
        <v>0.5879799767597346</v>
      </c>
      <c r="S575" s="10">
        <v>0.025320587711428824</v>
      </c>
      <c r="T575" s="10">
        <v>21.6416768443489</v>
      </c>
      <c r="U575" s="11">
        <v>0.25444493954466446</v>
      </c>
      <c r="V575" s="11">
        <v>0.1651070031741296</v>
      </c>
      <c r="W575" s="11">
        <v>0.15673270587413837</v>
      </c>
      <c r="X575" s="11">
        <v>0.21390452175667046</v>
      </c>
      <c r="Y575" s="11">
        <v>0.13486319024762486</v>
      </c>
      <c r="Z575" s="11">
        <v>0.07494763940277217</v>
      </c>
    </row>
    <row r="576" ht="22.5" customHeight="1">
      <c r="Q576" s="9" t="s">
        <v>614</v>
      </c>
      <c r="R576" s="10">
        <v>0.5560727716463744</v>
      </c>
      <c r="S576" s="10">
        <v>0.023847008922714123</v>
      </c>
      <c r="T576" s="10">
        <v>21.64098538810116</v>
      </c>
      <c r="U576" s="11">
        <v>0.09514748304653939</v>
      </c>
      <c r="V576" s="11">
        <v>0.1788030605628918</v>
      </c>
      <c r="W576" s="11">
        <v>0.12464660705263766</v>
      </c>
      <c r="X576" s="11">
        <v>0.25419669403268474</v>
      </c>
      <c r="Y576" s="11">
        <v>0.10049798706193859</v>
      </c>
      <c r="Z576" s="11">
        <v>0.2467081682433079</v>
      </c>
    </row>
    <row r="577" ht="22.5" customHeight="1">
      <c r="Q577" s="9" t="s">
        <v>615</v>
      </c>
      <c r="R577" s="10">
        <v>0.522331348251574</v>
      </c>
      <c r="S577" s="10">
        <v>0.023508289585410184</v>
      </c>
      <c r="T577" s="10">
        <v>21.640609129424252</v>
      </c>
      <c r="U577" s="11">
        <v>0.015108249382238386</v>
      </c>
      <c r="V577" s="11">
        <v>0.16747096611023848</v>
      </c>
      <c r="W577" s="11">
        <v>0.13156606134735724</v>
      </c>
      <c r="X577" s="11">
        <v>0.2388484144376742</v>
      </c>
      <c r="Y577" s="11">
        <v>0.18207357103408844</v>
      </c>
      <c r="Z577" s="11">
        <v>0.2649327376884031</v>
      </c>
    </row>
    <row r="578" ht="22.5" customHeight="1">
      <c r="Q578" s="9" t="s">
        <v>616</v>
      </c>
      <c r="R578" s="10">
        <v>0.5369173771968054</v>
      </c>
      <c r="S578" s="10">
        <v>0.022963452002844935</v>
      </c>
      <c r="T578" s="10">
        <v>21.639489443278933</v>
      </c>
      <c r="U578" s="11">
        <v>0.18401522679486773</v>
      </c>
      <c r="V578" s="11">
        <v>0.17539931369292616</v>
      </c>
      <c r="W578" s="11">
        <v>0.10449819864447438</v>
      </c>
      <c r="X578" s="11">
        <v>0.21805768233803038</v>
      </c>
      <c r="Y578" s="11">
        <v>0.23183477702688154</v>
      </c>
      <c r="Z578" s="11">
        <v>0.08619480150281968</v>
      </c>
    </row>
    <row r="579" ht="22.5" customHeight="1">
      <c r="Q579" s="9" t="s">
        <v>617</v>
      </c>
      <c r="R579" s="10">
        <v>0.47418605890843796</v>
      </c>
      <c r="S579" s="10">
        <v>0.020064692540676412</v>
      </c>
      <c r="T579" s="10">
        <v>21.639307855240173</v>
      </c>
      <c r="U579" s="11">
        <v>0.29951408767529347</v>
      </c>
      <c r="V579" s="11">
        <v>0.15644690794856833</v>
      </c>
      <c r="W579" s="11">
        <v>0.07750954717634755</v>
      </c>
      <c r="X579" s="11">
        <v>0.22210743958215015</v>
      </c>
      <c r="Y579" s="11">
        <v>0.1480713865585512</v>
      </c>
      <c r="Z579" s="11">
        <v>0.09635063105908917</v>
      </c>
    </row>
    <row r="580" ht="22.5" customHeight="1">
      <c r="Q580" s="9" t="s">
        <v>618</v>
      </c>
      <c r="R580" s="10">
        <v>0.4997356794631586</v>
      </c>
      <c r="S580" s="10">
        <v>0.02124607801561625</v>
      </c>
      <c r="T580" s="10">
        <v>21.638613918542738</v>
      </c>
      <c r="U580" s="11">
        <v>0.29738363461036904</v>
      </c>
      <c r="V580" s="11">
        <v>0.15636496067091987</v>
      </c>
      <c r="W580" s="11">
        <v>0.10242230961406891</v>
      </c>
      <c r="X580" s="11">
        <v>0.16807695212816548</v>
      </c>
      <c r="Y580" s="11">
        <v>0.16620000345874214</v>
      </c>
      <c r="Z580" s="11">
        <v>0.10955213951773443</v>
      </c>
    </row>
    <row r="581" ht="22.5" customHeight="1">
      <c r="Q581" s="9" t="s">
        <v>619</v>
      </c>
      <c r="R581" s="10">
        <v>0.4980247419048623</v>
      </c>
      <c r="S581" s="10">
        <v>0.021170649049224947</v>
      </c>
      <c r="T581" s="10">
        <v>21.63489370778788</v>
      </c>
      <c r="U581" s="11">
        <v>0.21685033349735344</v>
      </c>
      <c r="V581" s="11">
        <v>0.1636230853761886</v>
      </c>
      <c r="W581" s="11">
        <v>0.09726483760771107</v>
      </c>
      <c r="X581" s="11">
        <v>0.21211006105772504</v>
      </c>
      <c r="Y581" s="11">
        <v>0.09475860315776985</v>
      </c>
      <c r="Z581" s="11">
        <v>0.21539307930325216</v>
      </c>
    </row>
    <row r="582" ht="22.5" customHeight="1">
      <c r="Q582" s="9" t="s">
        <v>620</v>
      </c>
      <c r="R582" s="10">
        <v>0.46889310763554365</v>
      </c>
      <c r="S582" s="10">
        <v>0.019825768474333694</v>
      </c>
      <c r="T582" s="10">
        <v>21.63311390379575</v>
      </c>
      <c r="U582" s="11">
        <v>0.16691993220831125</v>
      </c>
      <c r="V582" s="11">
        <v>0.11699647607978385</v>
      </c>
      <c r="W582" s="11">
        <v>0.1251657858149266</v>
      </c>
      <c r="X582" s="11">
        <v>0.15719762920030106</v>
      </c>
      <c r="Y582" s="11">
        <v>0.22646266128041337</v>
      </c>
      <c r="Z582" s="11">
        <v>0.2072575154162638</v>
      </c>
    </row>
    <row r="583" ht="22.5" customHeight="1">
      <c r="Q583" s="9" t="s">
        <v>621</v>
      </c>
      <c r="R583" s="10">
        <v>0.6426120829495559</v>
      </c>
      <c r="S583" s="10">
        <v>0.02785655141101722</v>
      </c>
      <c r="T583" s="10">
        <v>21.632687910938742</v>
      </c>
      <c r="U583" s="11">
        <v>0.1593946243051801</v>
      </c>
      <c r="V583" s="11">
        <v>0.18969436393964914</v>
      </c>
      <c r="W583" s="11">
        <v>0.1645078996266316</v>
      </c>
      <c r="X583" s="11">
        <v>0.25578222782311605</v>
      </c>
      <c r="Y583" s="11">
        <v>0.21976119476138897</v>
      </c>
      <c r="Z583" s="11">
        <v>0.010859689544034089</v>
      </c>
    </row>
    <row r="584" ht="22.5" customHeight="1">
      <c r="Q584" s="9" t="s">
        <v>622</v>
      </c>
      <c r="R584" s="10">
        <v>0.5592921224777492</v>
      </c>
      <c r="S584" s="10">
        <v>0.024006036542133628</v>
      </c>
      <c r="T584" s="10">
        <v>21.631730900947595</v>
      </c>
      <c r="U584" s="11">
        <v>0.2257169485465998</v>
      </c>
      <c r="V584" s="11">
        <v>0.16489562666726995</v>
      </c>
      <c r="W584" s="11">
        <v>0.1317283341324923</v>
      </c>
      <c r="X584" s="11">
        <v>0.1816466422721756</v>
      </c>
      <c r="Y584" s="11">
        <v>0.2710826715411115</v>
      </c>
      <c r="Z584" s="11">
        <v>0.024929776840350817</v>
      </c>
    </row>
    <row r="585" ht="22.5" customHeight="1">
      <c r="Q585" s="9" t="s">
        <v>623</v>
      </c>
      <c r="R585" s="10">
        <v>0.45094909585007814</v>
      </c>
      <c r="S585" s="10">
        <v>0.018998257707680606</v>
      </c>
      <c r="T585" s="10">
        <v>21.63088332483983</v>
      </c>
      <c r="U585" s="11">
        <v>0.048818337607105</v>
      </c>
      <c r="V585" s="11">
        <v>0.0814699741710513</v>
      </c>
      <c r="W585" s="11">
        <v>0.1368700685354922</v>
      </c>
      <c r="X585" s="11">
        <v>0.3345454168516837</v>
      </c>
      <c r="Y585" s="11">
        <v>0.1593013582287029</v>
      </c>
      <c r="Z585" s="11">
        <v>0.23899484460596482</v>
      </c>
    </row>
    <row r="586" ht="22.5" customHeight="1">
      <c r="Q586" s="9" t="s">
        <v>624</v>
      </c>
      <c r="R586" s="10">
        <v>0.4096970354111178</v>
      </c>
      <c r="S586" s="10">
        <v>0.017093196120879606</v>
      </c>
      <c r="T586" s="10">
        <v>21.62831531310444</v>
      </c>
      <c r="U586" s="11">
        <v>0.24987109115359335</v>
      </c>
      <c r="V586" s="11">
        <v>0.1341528157498163</v>
      </c>
      <c r="W586" s="11">
        <v>0.05464576846179733</v>
      </c>
      <c r="X586" s="11">
        <v>0.2396313294151934</v>
      </c>
      <c r="Y586" s="11">
        <v>0.136182131055748</v>
      </c>
      <c r="Z586" s="11">
        <v>0.18551686416385157</v>
      </c>
    </row>
    <row r="587" ht="22.5" customHeight="1">
      <c r="Q587" s="9" t="s">
        <v>625</v>
      </c>
      <c r="R587" s="10">
        <v>0.5236778619533722</v>
      </c>
      <c r="S587" s="10">
        <v>0.022363683028291517</v>
      </c>
      <c r="T587" s="10">
        <v>21.627826746671744</v>
      </c>
      <c r="U587" s="11">
        <v>0.19285492031771945</v>
      </c>
      <c r="V587" s="11">
        <v>0.17026482649801186</v>
      </c>
      <c r="W587" s="11">
        <v>0.11067156750489772</v>
      </c>
      <c r="X587" s="11">
        <v>0.23363651136358302</v>
      </c>
      <c r="Y587" s="11">
        <v>0.052958721908070445</v>
      </c>
      <c r="Z587" s="11">
        <v>0.23961345240771753</v>
      </c>
    </row>
    <row r="588" ht="22.5" customHeight="1">
      <c r="Q588" s="9" t="s">
        <v>626</v>
      </c>
      <c r="R588" s="10">
        <v>0.5981341292295167</v>
      </c>
      <c r="S588" s="10">
        <v>0.02580891199506032</v>
      </c>
      <c r="T588" s="10">
        <v>21.625635723673295</v>
      </c>
      <c r="U588" s="11">
        <v>0.16837004754351298</v>
      </c>
      <c r="V588" s="11">
        <v>0.18313944694568823</v>
      </c>
      <c r="W588" s="11">
        <v>0.14767053425871543</v>
      </c>
      <c r="X588" s="11">
        <v>0.23301165588026787</v>
      </c>
      <c r="Y588" s="11">
        <v>0.1312517250738907</v>
      </c>
      <c r="Z588" s="11">
        <v>0.13655659029792475</v>
      </c>
    </row>
    <row r="589" ht="22.5" customHeight="1">
      <c r="Q589" s="9" t="s">
        <v>627</v>
      </c>
      <c r="R589" s="10">
        <v>0.2948024633752947</v>
      </c>
      <c r="S589" s="10">
        <v>0.01178308001175546</v>
      </c>
      <c r="T589" s="10">
        <v>21.62443632064702</v>
      </c>
      <c r="U589" s="11">
        <v>0.0418699244056688</v>
      </c>
      <c r="V589" s="11">
        <v>0.06746316948192081</v>
      </c>
      <c r="W589" s="11">
        <v>0.03953983257021762</v>
      </c>
      <c r="X589" s="11">
        <v>0.2649841800993513</v>
      </c>
      <c r="Y589" s="11">
        <v>0.2510816345044977</v>
      </c>
      <c r="Z589" s="11">
        <v>0.3350612589383437</v>
      </c>
    </row>
    <row r="590" ht="22.5" customHeight="1">
      <c r="Q590" s="9" t="s">
        <v>628</v>
      </c>
      <c r="R590" s="10">
        <v>0.5059773490226815</v>
      </c>
      <c r="S590" s="10">
        <v>0.021548898013192718</v>
      </c>
      <c r="T590" s="10">
        <v>21.624184621292457</v>
      </c>
      <c r="U590" s="11">
        <v>0.08141589334718814</v>
      </c>
      <c r="V590" s="11">
        <v>0.1724040970991329</v>
      </c>
      <c r="W590" s="11">
        <v>0.09030814702746061</v>
      </c>
      <c r="X590" s="11">
        <v>0.29042884447861816</v>
      </c>
      <c r="Y590" s="11">
        <v>0.10140719189833905</v>
      </c>
      <c r="Z590" s="11">
        <v>0.26403582614926113</v>
      </c>
    </row>
    <row r="591" ht="22.5" customHeight="1">
      <c r="Q591" s="9" t="s">
        <v>629</v>
      </c>
      <c r="R591" s="10">
        <v>0.6089943704655161</v>
      </c>
      <c r="S591" s="10">
        <v>0.02631349516338925</v>
      </c>
      <c r="T591" s="10">
        <v>21.62367131133438</v>
      </c>
      <c r="U591" s="11">
        <v>0.22984000369947144</v>
      </c>
      <c r="V591" s="11">
        <v>0.1952927732597209</v>
      </c>
      <c r="W591" s="11">
        <v>0.13882614078321295</v>
      </c>
      <c r="X591" s="11">
        <v>0.249428981936361</v>
      </c>
      <c r="Y591" s="11">
        <v>0.11144172049322117</v>
      </c>
      <c r="Z591" s="11">
        <v>0.07517037982801254</v>
      </c>
    </row>
    <row r="592" ht="22.5" customHeight="1">
      <c r="Q592" s="9" t="s">
        <v>630</v>
      </c>
      <c r="R592" s="10">
        <v>0.41057180611528205</v>
      </c>
      <c r="S592" s="10">
        <v>0.01713736818700105</v>
      </c>
      <c r="T592" s="10">
        <v>21.623612334848843</v>
      </c>
      <c r="U592" s="11">
        <v>0.19096590104432704</v>
      </c>
      <c r="V592" s="11">
        <v>0.07586036819047835</v>
      </c>
      <c r="W592" s="11">
        <v>0.1193359816877321</v>
      </c>
      <c r="X592" s="11">
        <v>0.22023377805086106</v>
      </c>
      <c r="Y592" s="11">
        <v>0.17628699155986816</v>
      </c>
      <c r="Z592" s="11">
        <v>0.2173169794667332</v>
      </c>
    </row>
    <row r="593" ht="22.5" customHeight="1">
      <c r="Q593" s="9" t="s">
        <v>631</v>
      </c>
      <c r="R593" s="10">
        <v>0.4659499474411998</v>
      </c>
      <c r="S593" s="10">
        <v>0.019698493436656674</v>
      </c>
      <c r="T593" s="10">
        <v>21.623478405133003</v>
      </c>
      <c r="U593" s="11">
        <v>0.10569739718932933</v>
      </c>
      <c r="V593" s="11">
        <v>0.1490525303647687</v>
      </c>
      <c r="W593" s="11">
        <v>0.09570962030754916</v>
      </c>
      <c r="X593" s="11">
        <v>0.21866889399943465</v>
      </c>
      <c r="Y593" s="11">
        <v>0.07281246273072241</v>
      </c>
      <c r="Z593" s="11">
        <v>0.35805909540819575</v>
      </c>
    </row>
    <row r="594" ht="22.5" customHeight="1">
      <c r="Q594" s="9" t="s">
        <v>632</v>
      </c>
      <c r="R594" s="10">
        <v>0.4694059263488116</v>
      </c>
      <c r="S594" s="10">
        <v>0.019858607529955104</v>
      </c>
      <c r="T594" s="10">
        <v>21.623163945462313</v>
      </c>
      <c r="U594" s="11">
        <v>0.04209759934451249</v>
      </c>
      <c r="V594" s="11">
        <v>0.1349555647589274</v>
      </c>
      <c r="W594" s="11">
        <v>0.11267734275560373</v>
      </c>
      <c r="X594" s="11">
        <v>0.1754338451281883</v>
      </c>
      <c r="Y594" s="11">
        <v>0.20407826093814618</v>
      </c>
      <c r="Z594" s="11">
        <v>0.3307573870746218</v>
      </c>
    </row>
    <row r="595" ht="22.5" customHeight="1">
      <c r="Q595" s="9" t="s">
        <v>633</v>
      </c>
      <c r="R595" s="10">
        <v>0.44151644496379977</v>
      </c>
      <c r="S595" s="10">
        <v>0.018569666384969305</v>
      </c>
      <c r="T595" s="10">
        <v>21.622167929133933</v>
      </c>
      <c r="U595" s="11">
        <v>0.20838956246505105</v>
      </c>
      <c r="V595" s="11">
        <v>0.10392883950853847</v>
      </c>
      <c r="W595" s="11">
        <v>0.11785192688810073</v>
      </c>
      <c r="X595" s="11">
        <v>0.14898103459082876</v>
      </c>
      <c r="Y595" s="11">
        <v>0.22256176668933522</v>
      </c>
      <c r="Z595" s="11">
        <v>0.1982868698581458</v>
      </c>
    </row>
    <row r="596" ht="22.5" customHeight="1">
      <c r="Q596" s="9" t="s">
        <v>634</v>
      </c>
      <c r="R596" s="10">
        <v>0.3829932432648637</v>
      </c>
      <c r="S596" s="10">
        <v>0.015863280773286033</v>
      </c>
      <c r="T596" s="10">
        <v>21.621835241198575</v>
      </c>
      <c r="U596" s="11">
        <v>0.21129870013806804</v>
      </c>
      <c r="V596" s="11">
        <v>0.11605375363133821</v>
      </c>
      <c r="W596" s="11">
        <v>0.058351831902131016</v>
      </c>
      <c r="X596" s="11">
        <v>0.17281876935611523</v>
      </c>
      <c r="Y596" s="11">
        <v>0.2270741697397083</v>
      </c>
      <c r="Z596" s="11">
        <v>0.2144027752326393</v>
      </c>
    </row>
    <row r="597" ht="22.5" customHeight="1">
      <c r="Q597" s="9" t="s">
        <v>635</v>
      </c>
      <c r="R597" s="10">
        <v>0.5291355263007452</v>
      </c>
      <c r="S597" s="10">
        <v>0.02262235185308351</v>
      </c>
      <c r="T597" s="10">
        <v>21.621780506171124</v>
      </c>
      <c r="U597" s="11">
        <v>0.164533002840529</v>
      </c>
      <c r="V597" s="11">
        <v>0.1624557573269801</v>
      </c>
      <c r="W597" s="11">
        <v>0.12124851039418318</v>
      </c>
      <c r="X597" s="11">
        <v>0.17450559924863954</v>
      </c>
      <c r="Y597" s="11">
        <v>0.2043338951816689</v>
      </c>
      <c r="Z597" s="11">
        <v>0.17292323500799944</v>
      </c>
    </row>
    <row r="598" ht="22.5" customHeight="1">
      <c r="Q598" s="9" t="s">
        <v>636</v>
      </c>
      <c r="R598" s="10">
        <v>0.48494925592861704</v>
      </c>
      <c r="S598" s="10">
        <v>0.02057917990605692</v>
      </c>
      <c r="T598" s="10">
        <v>21.62133077993348</v>
      </c>
      <c r="U598" s="11">
        <v>0.20901983013743886</v>
      </c>
      <c r="V598" s="11">
        <v>0.15954957915528067</v>
      </c>
      <c r="W598" s="11">
        <v>0.08815574898184668</v>
      </c>
      <c r="X598" s="11">
        <v>0.19669049743244083</v>
      </c>
      <c r="Y598" s="11">
        <v>0.1800226171058642</v>
      </c>
      <c r="Z598" s="11">
        <v>0.16656172718712875</v>
      </c>
    </row>
    <row r="599" ht="22.5" customHeight="1">
      <c r="Q599" s="9" t="s">
        <v>637</v>
      </c>
      <c r="R599" s="10">
        <v>0.48657686926127874</v>
      </c>
      <c r="S599" s="10">
        <v>0.02065539126702236</v>
      </c>
      <c r="T599" s="10">
        <v>21.62035390606553</v>
      </c>
      <c r="U599" s="11">
        <v>0.23214919867503395</v>
      </c>
      <c r="V599" s="11">
        <v>0.0965090541941024</v>
      </c>
      <c r="W599" s="11">
        <v>0.1447627351323543</v>
      </c>
      <c r="X599" s="11">
        <v>0.24295020828619807</v>
      </c>
      <c r="Y599" s="11">
        <v>0.2253959355677631</v>
      </c>
      <c r="Z599" s="11">
        <v>0.05823286814454805</v>
      </c>
    </row>
    <row r="600" ht="22.5" customHeight="1">
      <c r="Q600" s="9" t="s">
        <v>638</v>
      </c>
      <c r="R600" s="10">
        <v>0.5363025689610503</v>
      </c>
      <c r="S600" s="10">
        <v>0.022955965053652827</v>
      </c>
      <c r="T600" s="10">
        <v>21.61976496309734</v>
      </c>
      <c r="U600" s="11">
        <v>0.17462964173500295</v>
      </c>
      <c r="V600" s="11">
        <v>0.1376231503079123</v>
      </c>
      <c r="W600" s="11">
        <v>0.15022945871906387</v>
      </c>
      <c r="X600" s="11">
        <v>0.19732571495114393</v>
      </c>
      <c r="Y600" s="11">
        <v>0.1874474098269174</v>
      </c>
      <c r="Z600" s="11">
        <v>0.15274462445995932</v>
      </c>
    </row>
    <row r="601" ht="22.5" customHeight="1">
      <c r="Q601" s="9" t="s">
        <v>639</v>
      </c>
      <c r="R601" s="10">
        <v>0.6174996419164865</v>
      </c>
      <c r="S601" s="10">
        <v>0.02671449491205312</v>
      </c>
      <c r="T601" s="10">
        <v>21.617464369724193</v>
      </c>
      <c r="U601" s="11">
        <v>0.14647732692982962</v>
      </c>
      <c r="V601" s="11">
        <v>0.19247400190548197</v>
      </c>
      <c r="W601" s="11">
        <v>0.1514485916817997</v>
      </c>
      <c r="X601" s="11">
        <v>0.30476150773162897</v>
      </c>
      <c r="Y601" s="11">
        <v>0.025852612576284715</v>
      </c>
      <c r="Z601" s="11">
        <v>0.1789859591749751</v>
      </c>
    </row>
    <row r="602" ht="22.5" customHeight="1">
      <c r="Q602" s="9" t="s">
        <v>640</v>
      </c>
      <c r="R602" s="10">
        <v>0.5868101841566258</v>
      </c>
      <c r="S602" s="10">
        <v>0.02529498563290965</v>
      </c>
      <c r="T602" s="10">
        <v>21.617335233636457</v>
      </c>
      <c r="U602" s="11">
        <v>0.049697998790750826</v>
      </c>
      <c r="V602" s="11">
        <v>0.1996136038039345</v>
      </c>
      <c r="W602" s="11">
        <v>0.10937575628374498</v>
      </c>
      <c r="X602" s="11">
        <v>0.44217751338181494</v>
      </c>
      <c r="Y602" s="11">
        <v>0.01038938389906163</v>
      </c>
      <c r="Z602" s="11">
        <v>0.18874574384069304</v>
      </c>
    </row>
    <row r="603" ht="22.5" customHeight="1">
      <c r="Q603" s="9" t="s">
        <v>641</v>
      </c>
      <c r="R603" s="10">
        <v>0.6745098554424036</v>
      </c>
      <c r="S603" s="10">
        <v>0.029352222996002895</v>
      </c>
      <c r="T603" s="10">
        <v>21.61709712851423</v>
      </c>
      <c r="U603" s="11">
        <v>0.12629137345138608</v>
      </c>
      <c r="V603" s="11">
        <v>0.22382125238584205</v>
      </c>
      <c r="W603" s="11">
        <v>0.14748583035158883</v>
      </c>
      <c r="X603" s="11">
        <v>0.4062294446274405</v>
      </c>
      <c r="Y603" s="11">
        <v>0.03369952750303597</v>
      </c>
      <c r="Z603" s="11">
        <v>0.06247257168070653</v>
      </c>
    </row>
    <row r="604" ht="22.5" customHeight="1">
      <c r="Q604" s="9" t="s">
        <v>642</v>
      </c>
      <c r="R604" s="10">
        <v>0.5998363142204312</v>
      </c>
      <c r="S604" s="10">
        <v>0.02589839550596872</v>
      </c>
      <c r="T604" s="10">
        <v>21.61664084909845</v>
      </c>
      <c r="U604" s="11">
        <v>0.14572862259484956</v>
      </c>
      <c r="V604" s="11">
        <v>0.1822225683372917</v>
      </c>
      <c r="W604" s="11">
        <v>0.1505761032281204</v>
      </c>
      <c r="X604" s="11">
        <v>0.2386623099473661</v>
      </c>
      <c r="Y604" s="11">
        <v>0.12832229152651245</v>
      </c>
      <c r="Z604" s="11">
        <v>0.15448810436585986</v>
      </c>
    </row>
    <row r="605" ht="22.5" customHeight="1">
      <c r="Q605" s="9" t="s">
        <v>643</v>
      </c>
      <c r="R605" s="10">
        <v>0.4846735086949201</v>
      </c>
      <c r="S605" s="10">
        <v>0.020572480954721892</v>
      </c>
      <c r="T605" s="10">
        <v>21.614967571174567</v>
      </c>
      <c r="U605" s="11">
        <v>0.2000749692329558</v>
      </c>
      <c r="V605" s="11">
        <v>0.12162001137509902</v>
      </c>
      <c r="W605" s="11">
        <v>0.1325586474699034</v>
      </c>
      <c r="X605" s="11">
        <v>0.16234247234386762</v>
      </c>
      <c r="Y605" s="11">
        <v>0.18392138357319487</v>
      </c>
      <c r="Z605" s="11">
        <v>0.19948251600497927</v>
      </c>
    </row>
    <row r="606" ht="22.5" customHeight="1">
      <c r="Q606" s="9" t="s">
        <v>644</v>
      </c>
      <c r="R606" s="10">
        <v>0.5753774567483667</v>
      </c>
      <c r="S606" s="10">
        <v>0.02476909896852573</v>
      </c>
      <c r="T606" s="10">
        <v>21.614732834192903</v>
      </c>
      <c r="U606" s="11">
        <v>0.1959308099164116</v>
      </c>
      <c r="V606" s="11">
        <v>0.16624922079621254</v>
      </c>
      <c r="W606" s="11">
        <v>0.14991641706117015</v>
      </c>
      <c r="X606" s="11">
        <v>0.2023314016422865</v>
      </c>
      <c r="Y606" s="11">
        <v>0.14939393745290097</v>
      </c>
      <c r="Z606" s="11">
        <v>0.13617821313101827</v>
      </c>
    </row>
    <row r="607" ht="22.5" customHeight="1">
      <c r="Q607" s="9" t="s">
        <v>645</v>
      </c>
      <c r="R607" s="10">
        <v>0.49828930353240586</v>
      </c>
      <c r="S607" s="10">
        <v>0.021205808948585685</v>
      </c>
      <c r="T607" s="10">
        <v>21.611498275946285</v>
      </c>
      <c r="U607" s="11">
        <v>0.040304993146560095</v>
      </c>
      <c r="V607" s="11">
        <v>0.10821557044111088</v>
      </c>
      <c r="W607" s="11">
        <v>0.14503866745223673</v>
      </c>
      <c r="X607" s="11">
        <v>0.26319717258354525</v>
      </c>
      <c r="Y607" s="11">
        <v>0.2770402441112511</v>
      </c>
      <c r="Z607" s="11">
        <v>0.16620335226529584</v>
      </c>
    </row>
    <row r="608" ht="22.5" customHeight="1">
      <c r="Q608" s="9" t="s">
        <v>646</v>
      </c>
      <c r="R608" s="10">
        <v>0.612518197399932</v>
      </c>
      <c r="S608" s="10">
        <v>0.026491399613260698</v>
      </c>
      <c r="T608" s="10">
        <v>21.611474129639745</v>
      </c>
      <c r="U608" s="11">
        <v>0.022736538903641374</v>
      </c>
      <c r="V608" s="11">
        <v>0.15031875542294734</v>
      </c>
      <c r="W608" s="11">
        <v>0.1809293073143634</v>
      </c>
      <c r="X608" s="11">
        <v>0.34067138039958456</v>
      </c>
      <c r="Y608" s="11">
        <v>0.20374204324602624</v>
      </c>
      <c r="Z608" s="11">
        <v>0.10160197471343708</v>
      </c>
    </row>
    <row r="609" ht="22.5" customHeight="1">
      <c r="Q609" s="9" t="s">
        <v>647</v>
      </c>
      <c r="R609" s="10">
        <v>0.4789279710839939</v>
      </c>
      <c r="S609" s="10">
        <v>0.020309952422944845</v>
      </c>
      <c r="T609" s="10">
        <v>21.61147214643999</v>
      </c>
      <c r="U609" s="11">
        <v>0.19658439332333835</v>
      </c>
      <c r="V609" s="11">
        <v>0.10925697783560213</v>
      </c>
      <c r="W609" s="11">
        <v>0.13964842812185546</v>
      </c>
      <c r="X609" s="11">
        <v>0.20457228544190437</v>
      </c>
      <c r="Y609" s="11">
        <v>0.13202709441066282</v>
      </c>
      <c r="Z609" s="11">
        <v>0.2179108208666368</v>
      </c>
    </row>
    <row r="610" ht="22.5" customHeight="1">
      <c r="Q610" s="9" t="s">
        <v>648</v>
      </c>
      <c r="R610" s="10">
        <v>0.53240945244403</v>
      </c>
      <c r="S610" s="10">
        <v>0.022784780456691932</v>
      </c>
      <c r="T610" s="10">
        <v>21.61133188796684</v>
      </c>
      <c r="U610" s="11">
        <v>0.21974722240497674</v>
      </c>
      <c r="V610" s="11">
        <v>0.1750456381095156</v>
      </c>
      <c r="W610" s="11">
        <v>0.09589601047526243</v>
      </c>
      <c r="X610" s="11">
        <v>0.23124316329561742</v>
      </c>
      <c r="Y610" s="11">
        <v>0.2584544504254002</v>
      </c>
      <c r="Z610" s="11">
        <v>0.01961351528922753</v>
      </c>
    </row>
    <row r="611" ht="22.5" customHeight="1">
      <c r="Q611" s="9" t="s">
        <v>649</v>
      </c>
      <c r="R611" s="10">
        <v>0.6358913955327099</v>
      </c>
      <c r="S611" s="10">
        <v>0.027574299054071067</v>
      </c>
      <c r="T611" s="10">
        <v>21.610391414273593</v>
      </c>
      <c r="U611" s="11">
        <v>0.06917103544178287</v>
      </c>
      <c r="V611" s="11">
        <v>0.2132806457025976</v>
      </c>
      <c r="W611" s="11">
        <v>0.1272701287378574</v>
      </c>
      <c r="X611" s="11">
        <v>0.3427224667039789</v>
      </c>
      <c r="Y611" s="11">
        <v>0.23084863708270847</v>
      </c>
      <c r="Z611" s="11">
        <v>0.016707086331074643</v>
      </c>
    </row>
    <row r="612" ht="22.5" customHeight="1">
      <c r="Q612" s="9" t="s">
        <v>650</v>
      </c>
      <c r="R612" s="10">
        <v>0.29780990524433865</v>
      </c>
      <c r="S612" s="10">
        <v>0.011930055007258644</v>
      </c>
      <c r="T612" s="10">
        <v>21.61011873687745</v>
      </c>
      <c r="U612" s="11">
        <v>0.21100714425190692</v>
      </c>
      <c r="V612" s="11">
        <v>0.07126480324106332</v>
      </c>
      <c r="W612" s="11">
        <v>0.030820717183694894</v>
      </c>
      <c r="X612" s="11">
        <v>0.26011100200012294</v>
      </c>
      <c r="Y612" s="11">
        <v>0.22926182545590726</v>
      </c>
      <c r="Z612" s="11">
        <v>0.19753450786730464</v>
      </c>
    </row>
    <row r="613" ht="22.5" customHeight="1">
      <c r="Q613" s="9" t="s">
        <v>651</v>
      </c>
      <c r="R613" s="10">
        <v>0.6042453832230024</v>
      </c>
      <c r="S613" s="10">
        <v>0.026110505545884226</v>
      </c>
      <c r="T613" s="10">
        <v>21.609898829091946</v>
      </c>
      <c r="U613" s="11">
        <v>0.18221014710142702</v>
      </c>
      <c r="V613" s="11">
        <v>0.18442371662326834</v>
      </c>
      <c r="W613" s="11">
        <v>0.14268473860168474</v>
      </c>
      <c r="X613" s="11">
        <v>0.21694689292636887</v>
      </c>
      <c r="Y613" s="11">
        <v>0.26146173427990627</v>
      </c>
      <c r="Z613" s="11">
        <v>0.012272770467344703</v>
      </c>
    </row>
    <row r="614" ht="22.5" customHeight="1">
      <c r="Q614" s="9" t="s">
        <v>652</v>
      </c>
      <c r="R614" s="10">
        <v>0.5237297702464323</v>
      </c>
      <c r="S614" s="10">
        <v>0.0223869035828961</v>
      </c>
      <c r="T614" s="10">
        <v>21.60771222582155</v>
      </c>
      <c r="U614" s="11">
        <v>0.13220815977164754</v>
      </c>
      <c r="V614" s="11">
        <v>0.15723855802526676</v>
      </c>
      <c r="W614" s="11">
        <v>0.12486762533718661</v>
      </c>
      <c r="X614" s="11">
        <v>0.17204233279898637</v>
      </c>
      <c r="Y614" s="11">
        <v>0.20382074358408195</v>
      </c>
      <c r="Z614" s="11">
        <v>0.20982258048283087</v>
      </c>
    </row>
    <row r="615" ht="22.5" customHeight="1">
      <c r="Q615" s="9" t="s">
        <v>653</v>
      </c>
      <c r="R615" s="10">
        <v>0.5626754172364871</v>
      </c>
      <c r="S615" s="10">
        <v>0.02418949550944469</v>
      </c>
      <c r="T615" s="10">
        <v>21.607536917519035</v>
      </c>
      <c r="U615" s="11">
        <v>0.17140762552220978</v>
      </c>
      <c r="V615" s="11">
        <v>0.13084491358660522</v>
      </c>
      <c r="W615" s="11">
        <v>0.17080657393698878</v>
      </c>
      <c r="X615" s="11">
        <v>0.313439118214848</v>
      </c>
      <c r="Y615" s="11">
        <v>0.05922545425207838</v>
      </c>
      <c r="Z615" s="11">
        <v>0.15427631448726978</v>
      </c>
    </row>
    <row r="616" ht="22.5" customHeight="1">
      <c r="Q616" s="9" t="s">
        <v>654</v>
      </c>
      <c r="R616" s="10">
        <v>0.4266384440293957</v>
      </c>
      <c r="S616" s="10">
        <v>0.017894187376653773</v>
      </c>
      <c r="T616" s="10">
        <v>21.606929439770816</v>
      </c>
      <c r="U616" s="11">
        <v>0.12292710633515226</v>
      </c>
      <c r="V616" s="11">
        <v>0.09455324037725907</v>
      </c>
      <c r="W616" s="11">
        <v>0.11591412254058724</v>
      </c>
      <c r="X616" s="11">
        <v>0.172883424905884</v>
      </c>
      <c r="Y616" s="11">
        <v>0.25359346525850535</v>
      </c>
      <c r="Z616" s="11">
        <v>0.24012864058261205</v>
      </c>
    </row>
    <row r="617" ht="22.5" customHeight="1">
      <c r="Q617" s="9" t="s">
        <v>655</v>
      </c>
      <c r="R617" s="10">
        <v>0.5081657846885393</v>
      </c>
      <c r="S617" s="10">
        <v>0.021667855640317358</v>
      </c>
      <c r="T617" s="10">
        <v>21.60646593091675</v>
      </c>
      <c r="U617" s="11">
        <v>0.22525169411623353</v>
      </c>
      <c r="V617" s="11">
        <v>0.1720377454948418</v>
      </c>
      <c r="W617" s="11">
        <v>0.09131192951944139</v>
      </c>
      <c r="X617" s="11">
        <v>0.2474117334823504</v>
      </c>
      <c r="Y617" s="11">
        <v>0.08673469707462071</v>
      </c>
      <c r="Z617" s="11">
        <v>0.17725220031251213</v>
      </c>
    </row>
    <row r="618" ht="22.5" customHeight="1">
      <c r="Q618" s="9" t="s">
        <v>656</v>
      </c>
      <c r="R618" s="10">
        <v>0.5632033492089257</v>
      </c>
      <c r="S618" s="10">
        <v>0.024215240798894373</v>
      </c>
      <c r="T618" s="10">
        <v>21.60636574106726</v>
      </c>
      <c r="U618" s="11">
        <v>0.19321643178348</v>
      </c>
      <c r="V618" s="11">
        <v>0.17433211283904612</v>
      </c>
      <c r="W618" s="11">
        <v>0.1320361993085596</v>
      </c>
      <c r="X618" s="11">
        <v>0.19113236098583133</v>
      </c>
      <c r="Y618" s="11">
        <v>0.17773752362612025</v>
      </c>
      <c r="Z618" s="11">
        <v>0.13154537145696288</v>
      </c>
    </row>
    <row r="619" ht="22.5" customHeight="1">
      <c r="Q619" s="9" t="s">
        <v>657</v>
      </c>
      <c r="R619" s="10">
        <v>0.5345459099196476</v>
      </c>
      <c r="S619" s="10">
        <v>0.022889208739909957</v>
      </c>
      <c r="T619" s="10">
        <v>21.606072780373143</v>
      </c>
      <c r="U619" s="11">
        <v>0.12858505555112124</v>
      </c>
      <c r="V619" s="11">
        <v>0.17313921787492717</v>
      </c>
      <c r="W619" s="11">
        <v>0.11329801954565444</v>
      </c>
      <c r="X619" s="11">
        <v>0.20551728085044643</v>
      </c>
      <c r="Y619" s="11">
        <v>0.18423874782952138</v>
      </c>
      <c r="Z619" s="11">
        <v>0.19522167834832943</v>
      </c>
    </row>
    <row r="620" ht="22.5" customHeight="1">
      <c r="Q620" s="9" t="s">
        <v>658</v>
      </c>
      <c r="R620" s="10">
        <v>0.34782492149104743</v>
      </c>
      <c r="S620" s="10">
        <v>0.0142475703425176</v>
      </c>
      <c r="T620" s="10">
        <v>21.605432652080776</v>
      </c>
      <c r="U620" s="11">
        <v>0.23842700542487105</v>
      </c>
      <c r="V620" s="11">
        <v>0.04773306519905746</v>
      </c>
      <c r="W620" s="11">
        <v>0.08771885539602434</v>
      </c>
      <c r="X620" s="11">
        <v>0.26717085301364013</v>
      </c>
      <c r="Y620" s="11">
        <v>0.25931629217329266</v>
      </c>
      <c r="Z620" s="11">
        <v>0.09963392879311428</v>
      </c>
    </row>
    <row r="621" ht="22.5" customHeight="1">
      <c r="Q621" s="9" t="s">
        <v>659</v>
      </c>
      <c r="R621" s="10">
        <v>0.5795130866187905</v>
      </c>
      <c r="S621" s="10">
        <v>0.024971200148389477</v>
      </c>
      <c r="T621" s="10">
        <v>21.605412772024355</v>
      </c>
      <c r="U621" s="11">
        <v>0.12906723582091217</v>
      </c>
      <c r="V621" s="11">
        <v>0.15621372997599164</v>
      </c>
      <c r="W621" s="11">
        <v>0.16078685487391173</v>
      </c>
      <c r="X621" s="11">
        <v>0.22535019593687577</v>
      </c>
      <c r="Y621" s="11">
        <v>0.19399842438488324</v>
      </c>
      <c r="Z621" s="11">
        <v>0.13458355900742558</v>
      </c>
    </row>
    <row r="622" ht="22.5" customHeight="1">
      <c r="Q622" s="9" t="s">
        <v>660</v>
      </c>
      <c r="R622" s="10">
        <v>0.5150227161626554</v>
      </c>
      <c r="S622" s="10">
        <v>0.021989086321778144</v>
      </c>
      <c r="T622" s="10">
        <v>21.602658210140802</v>
      </c>
      <c r="U622" s="11">
        <v>0.249937957283362</v>
      </c>
      <c r="V622" s="11">
        <v>0.1564222822776449</v>
      </c>
      <c r="W622" s="11">
        <v>0.11436353953550718</v>
      </c>
      <c r="X622" s="11">
        <v>0.15357180113169405</v>
      </c>
      <c r="Y622" s="11">
        <v>0.21774578591156188</v>
      </c>
      <c r="Z622" s="11">
        <v>0.10795863386022997</v>
      </c>
    </row>
    <row r="623" ht="22.5" customHeight="1">
      <c r="Q623" s="9" t="s">
        <v>661</v>
      </c>
      <c r="R623" s="10">
        <v>0.3320833894975175</v>
      </c>
      <c r="S623" s="10">
        <v>0.013520915744275263</v>
      </c>
      <c r="T623" s="10">
        <v>21.60233781659243</v>
      </c>
      <c r="U623" s="11">
        <v>0.18962267109492267</v>
      </c>
      <c r="V623" s="11">
        <v>0.09695496260816931</v>
      </c>
      <c r="W623" s="11">
        <v>0.03364051090481765</v>
      </c>
      <c r="X623" s="11">
        <v>0.341690053545095</v>
      </c>
      <c r="Y623" s="11">
        <v>0.034091416079265094</v>
      </c>
      <c r="Z623" s="11">
        <v>0.3040003857677303</v>
      </c>
    </row>
    <row r="624" ht="22.5" customHeight="1">
      <c r="Q624" s="9" t="s">
        <v>662</v>
      </c>
      <c r="R624" s="10">
        <v>0.3159582884364003</v>
      </c>
      <c r="S624" s="10">
        <v>0.012774619166788924</v>
      </c>
      <c r="T624" s="10">
        <v>21.60207555571038</v>
      </c>
      <c r="U624" s="11">
        <v>0.324402138636272</v>
      </c>
      <c r="V624" s="11">
        <v>0.06156888662525307</v>
      </c>
      <c r="W624" s="11">
        <v>0.04335915822018334</v>
      </c>
      <c r="X624" s="11">
        <v>0.27297177007847795</v>
      </c>
      <c r="Y624" s="11">
        <v>0.2718985472294087</v>
      </c>
      <c r="Z624" s="11">
        <v>0.025799499210404996</v>
      </c>
    </row>
    <row r="625" ht="22.5" customHeight="1">
      <c r="Q625" s="9" t="s">
        <v>663</v>
      </c>
      <c r="R625" s="10">
        <v>0.4751664592711661</v>
      </c>
      <c r="S625" s="10">
        <v>0.020144816110766496</v>
      </c>
      <c r="T625" s="10">
        <v>21.601907750281683</v>
      </c>
      <c r="U625" s="11">
        <v>0.22526962057609942</v>
      </c>
      <c r="V625" s="11">
        <v>0.15596298132447797</v>
      </c>
      <c r="W625" s="11">
        <v>0.0904669665375382</v>
      </c>
      <c r="X625" s="11">
        <v>0.22270294832901077</v>
      </c>
      <c r="Y625" s="11">
        <v>0.04192180095003361</v>
      </c>
      <c r="Z625" s="11">
        <v>0.26367568228284</v>
      </c>
    </row>
    <row r="626" ht="22.5" customHeight="1">
      <c r="Q626" s="9" t="s">
        <v>664</v>
      </c>
      <c r="R626" s="10">
        <v>0.3800012071379023</v>
      </c>
      <c r="S626" s="10">
        <v>0.015740347639112993</v>
      </c>
      <c r="T626" s="10">
        <v>21.600616132075608</v>
      </c>
      <c r="U626" s="11">
        <v>0.25475828933547323</v>
      </c>
      <c r="V626" s="11">
        <v>0.09545633155399298</v>
      </c>
      <c r="W626" s="11">
        <v>0.08230869513065671</v>
      </c>
      <c r="X626" s="11">
        <v>0.1208684143349537</v>
      </c>
      <c r="Y626" s="11">
        <v>0.22766349228726895</v>
      </c>
      <c r="Z626" s="11">
        <v>0.21894477735765447</v>
      </c>
    </row>
    <row r="627" ht="22.5" customHeight="1">
      <c r="Q627" s="9" t="s">
        <v>665</v>
      </c>
      <c r="R627" s="10">
        <v>0.49661026649035445</v>
      </c>
      <c r="S627" s="10">
        <v>0.021138963645199262</v>
      </c>
      <c r="T627" s="10">
        <v>21.60040927995315</v>
      </c>
      <c r="U627" s="11">
        <v>0.11245556441200177</v>
      </c>
      <c r="V627" s="11">
        <v>0.13441384477415053</v>
      </c>
      <c r="W627" s="11">
        <v>0.12493594856435064</v>
      </c>
      <c r="X627" s="11">
        <v>0.16281722523789371</v>
      </c>
      <c r="Y627" s="11">
        <v>0.2888484465745749</v>
      </c>
      <c r="Z627" s="11">
        <v>0.1765289704370282</v>
      </c>
    </row>
    <row r="628" ht="22.5" customHeight="1">
      <c r="Q628" s="9" t="s">
        <v>666</v>
      </c>
      <c r="R628" s="10">
        <v>0.5825305953880271</v>
      </c>
      <c r="S628" s="10">
        <v>0.025117208965160048</v>
      </c>
      <c r="T628" s="10">
        <v>21.599955478356232</v>
      </c>
      <c r="U628" s="11">
        <v>0.11348641279326535</v>
      </c>
      <c r="V628" s="11">
        <v>0.18643449258634778</v>
      </c>
      <c r="W628" s="11">
        <v>0.13509897811520735</v>
      </c>
      <c r="X628" s="11">
        <v>0.297737328535395</v>
      </c>
      <c r="Y628" s="11">
        <v>0.021334447400796663</v>
      </c>
      <c r="Z628" s="11">
        <v>0.2459083405689879</v>
      </c>
    </row>
    <row r="629" ht="22.5" customHeight="1">
      <c r="Q629" s="9" t="s">
        <v>667</v>
      </c>
      <c r="R629" s="10">
        <v>0.6158587841281503</v>
      </c>
      <c r="S629" s="10">
        <v>0.026660202824844756</v>
      </c>
      <c r="T629" s="10">
        <v>21.599940102162503</v>
      </c>
      <c r="U629" s="11">
        <v>0.2061774082989378</v>
      </c>
      <c r="V629" s="11">
        <v>0.1848113466215955</v>
      </c>
      <c r="W629" s="11">
        <v>0.15486806705641543</v>
      </c>
      <c r="X629" s="11">
        <v>0.2204718905010052</v>
      </c>
      <c r="Y629" s="11">
        <v>0.18208559494882817</v>
      </c>
      <c r="Z629" s="11">
        <v>0.05158569257321793</v>
      </c>
    </row>
    <row r="630" ht="22.5" customHeight="1">
      <c r="Q630" s="9" t="s">
        <v>668</v>
      </c>
      <c r="R630" s="10">
        <v>0.4952222152429737</v>
      </c>
      <c r="S630" s="10">
        <v>0.021076095843614136</v>
      </c>
      <c r="T630" s="10">
        <v>21.59898202308194</v>
      </c>
      <c r="U630" s="11">
        <v>0.1949799028483046</v>
      </c>
      <c r="V630" s="11">
        <v>0.15246295642080654</v>
      </c>
      <c r="W630" s="11">
        <v>0.1095612852758519</v>
      </c>
      <c r="X630" s="11">
        <v>0.15391083024382723</v>
      </c>
      <c r="Y630" s="11">
        <v>0.18111938078032191</v>
      </c>
      <c r="Z630" s="11">
        <v>0.20796564443088783</v>
      </c>
    </row>
    <row r="631" ht="22.5" customHeight="1">
      <c r="Q631" s="9" t="s">
        <v>669</v>
      </c>
      <c r="R631" s="10">
        <v>0.5573118460137103</v>
      </c>
      <c r="S631" s="10">
        <v>0.023951404196117795</v>
      </c>
      <c r="T631" s="10">
        <v>21.598393220617925</v>
      </c>
      <c r="U631" s="11">
        <v>0.17644305277780775</v>
      </c>
      <c r="V631" s="11">
        <v>0.17088984634630816</v>
      </c>
      <c r="W631" s="11">
        <v>0.13369134168013003</v>
      </c>
      <c r="X631" s="11">
        <v>0.19013582815442023</v>
      </c>
      <c r="Y631" s="11">
        <v>0.1594946225276396</v>
      </c>
      <c r="Z631" s="11">
        <v>0.16934530851369436</v>
      </c>
    </row>
    <row r="632" ht="22.5" customHeight="1">
      <c r="Q632" s="9" t="s">
        <v>670</v>
      </c>
      <c r="R632" s="10">
        <v>0.3442535914512521</v>
      </c>
      <c r="S632" s="10">
        <v>0.014087017808872851</v>
      </c>
      <c r="T632" s="10">
        <v>21.59815481028319</v>
      </c>
      <c r="U632" s="11">
        <v>0.24669183664657066</v>
      </c>
      <c r="V632" s="11">
        <v>0.09590753559580772</v>
      </c>
      <c r="W632" s="11">
        <v>0.04033764360673446</v>
      </c>
      <c r="X632" s="11">
        <v>0.2237664828002712</v>
      </c>
      <c r="Y632" s="11">
        <v>0.25299555314389355</v>
      </c>
      <c r="Z632" s="11">
        <v>0.14030094820672248</v>
      </c>
    </row>
    <row r="633" ht="22.5" customHeight="1">
      <c r="Q633" s="9" t="s">
        <v>671</v>
      </c>
      <c r="R633" s="10">
        <v>0.5401103016438134</v>
      </c>
      <c r="S633" s="10">
        <v>0.023159109024102183</v>
      </c>
      <c r="T633" s="10">
        <v>21.594539803899096</v>
      </c>
      <c r="U633" s="11">
        <v>0.014689170570540876</v>
      </c>
      <c r="V633" s="11">
        <v>0.16972740191413066</v>
      </c>
      <c r="W633" s="11">
        <v>0.12547512096097224</v>
      </c>
      <c r="X633" s="11">
        <v>0.2917366937378732</v>
      </c>
      <c r="Y633" s="11">
        <v>0.04992468251987557</v>
      </c>
      <c r="Z633" s="11">
        <v>0.34844693029660756</v>
      </c>
    </row>
    <row r="634" ht="22.5" customHeight="1">
      <c r="Q634" s="9" t="s">
        <v>672</v>
      </c>
      <c r="R634" s="10">
        <v>0.6019083437917552</v>
      </c>
      <c r="S634" s="10">
        <v>0.026022209875545495</v>
      </c>
      <c r="T634" s="10">
        <v>21.593413721553734</v>
      </c>
      <c r="U634" s="11">
        <v>0.043190098806874876</v>
      </c>
      <c r="V634" s="11">
        <v>0.1840696535156777</v>
      </c>
      <c r="W634" s="11">
        <v>0.1462390439169853</v>
      </c>
      <c r="X634" s="11">
        <v>0.24670248974788356</v>
      </c>
      <c r="Y634" s="11">
        <v>0.24335213624672727</v>
      </c>
      <c r="Z634" s="11">
        <v>0.13644657776585128</v>
      </c>
    </row>
    <row r="635" ht="22.5" customHeight="1">
      <c r="Q635" s="9" t="s">
        <v>673</v>
      </c>
      <c r="R635" s="10">
        <v>0.5804672718217108</v>
      </c>
      <c r="S635" s="10">
        <v>0.02502932429353971</v>
      </c>
      <c r="T635" s="10">
        <v>21.59336246888655</v>
      </c>
      <c r="U635" s="11">
        <v>0.30797558086505455</v>
      </c>
      <c r="V635" s="11">
        <v>0.13797446704317562</v>
      </c>
      <c r="W635" s="11">
        <v>0.17347519552515997</v>
      </c>
      <c r="X635" s="11">
        <v>0.28066564434937863</v>
      </c>
      <c r="Y635" s="11">
        <v>0.057981831717620655</v>
      </c>
      <c r="Z635" s="11">
        <v>0.041927280499610475</v>
      </c>
    </row>
    <row r="636" ht="22.5" customHeight="1">
      <c r="Q636" s="9" t="s">
        <v>674</v>
      </c>
      <c r="R636" s="10">
        <v>0.522331348251574</v>
      </c>
      <c r="S636" s="10">
        <v>0.015584961644452137</v>
      </c>
      <c r="T636" s="10">
        <v>21.592974376829893</v>
      </c>
      <c r="U636" s="11">
        <v>0.049724905127246775</v>
      </c>
      <c r="V636" s="11">
        <v>0.1173829696598305</v>
      </c>
      <c r="W636" s="11">
        <v>0.04627913685733358</v>
      </c>
      <c r="X636" s="11">
        <v>0.2662701502896539</v>
      </c>
      <c r="Y636" s="11">
        <v>0.2571636141789088</v>
      </c>
      <c r="Z636" s="11">
        <v>0.2631792238870264</v>
      </c>
    </row>
    <row r="637" ht="22.5" customHeight="1">
      <c r="Q637" s="9" t="s">
        <v>675</v>
      </c>
      <c r="R637" s="10">
        <v>0.5304383540756915</v>
      </c>
      <c r="S637" s="10">
        <v>0.022713646817987238</v>
      </c>
      <c r="T637" s="10">
        <v>21.592232986880244</v>
      </c>
      <c r="U637" s="11">
        <v>0.3233343246092838</v>
      </c>
      <c r="V637" s="11">
        <v>0.12404470386807818</v>
      </c>
      <c r="W637" s="11">
        <v>0.15128527219707544</v>
      </c>
      <c r="X637" s="11">
        <v>0.19746853671652867</v>
      </c>
      <c r="Y637" s="11">
        <v>0.19806625379718765</v>
      </c>
      <c r="Z637" s="11">
        <v>0.00580090881184644</v>
      </c>
    </row>
    <row r="638" ht="22.5" customHeight="1">
      <c r="Q638" s="9" t="s">
        <v>676</v>
      </c>
      <c r="R638" s="10">
        <v>0.47008675422217777</v>
      </c>
      <c r="S638" s="10">
        <v>0.01991912575903404</v>
      </c>
      <c r="T638" s="10">
        <v>21.591648118749287</v>
      </c>
      <c r="U638" s="11">
        <v>0.24280668278066503</v>
      </c>
      <c r="V638" s="11">
        <v>0.15838653880758077</v>
      </c>
      <c r="W638" s="11">
        <v>0.06689130332272512</v>
      </c>
      <c r="X638" s="11">
        <v>0.26105451198010826</v>
      </c>
      <c r="Y638" s="11">
        <v>0.19503942871039995</v>
      </c>
      <c r="Z638" s="11">
        <v>0.07582153439852077</v>
      </c>
    </row>
    <row r="639" ht="22.5" customHeight="1">
      <c r="Q639" s="9" t="s">
        <v>677</v>
      </c>
      <c r="R639" s="10">
        <v>0.5148468378352427</v>
      </c>
      <c r="S639" s="10">
        <v>0.021992542352304686</v>
      </c>
      <c r="T639" s="10">
        <v>21.591266267834722</v>
      </c>
      <c r="U639" s="11">
        <v>0.22386436340983656</v>
      </c>
      <c r="V639" s="11">
        <v>0.17424921845904504</v>
      </c>
      <c r="W639" s="11">
        <v>0.09260032269698458</v>
      </c>
      <c r="X639" s="11">
        <v>0.2341434684923012</v>
      </c>
      <c r="Y639" s="11">
        <v>0.1298873699782289</v>
      </c>
      <c r="Z639" s="11">
        <v>0.14525525696360359</v>
      </c>
    </row>
    <row r="640" ht="22.5" customHeight="1">
      <c r="Q640" s="9" t="s">
        <v>678</v>
      </c>
      <c r="R640" s="10">
        <v>0.6058503151026854</v>
      </c>
      <c r="S640" s="10">
        <v>0.026208906160431793</v>
      </c>
      <c r="T640" s="10">
        <v>21.590001186579965</v>
      </c>
      <c r="U640" s="11">
        <v>0.11408326387337264</v>
      </c>
      <c r="V640" s="11">
        <v>0.19052078017453125</v>
      </c>
      <c r="W640" s="11">
        <v>0.1469998784461468</v>
      </c>
      <c r="X640" s="11">
        <v>0.2713616547090737</v>
      </c>
      <c r="Y640" s="11">
        <v>0.08247520386678985</v>
      </c>
      <c r="Z640" s="11">
        <v>0.19455921893008565</v>
      </c>
    </row>
    <row r="641" ht="22.5" customHeight="1">
      <c r="Q641" s="9" t="s">
        <v>679</v>
      </c>
      <c r="R641" s="10">
        <v>0.522331348251574</v>
      </c>
      <c r="S641" s="10">
        <v>0.020254228804959855</v>
      </c>
      <c r="T641" s="10">
        <v>21.58919331997269</v>
      </c>
      <c r="U641" s="11">
        <v>0.12535092154936694</v>
      </c>
      <c r="V641" s="11">
        <v>0.10646518771157597</v>
      </c>
      <c r="W641" s="11">
        <v>0.14093460243612688</v>
      </c>
      <c r="X641" s="11">
        <v>0.2216329999464787</v>
      </c>
      <c r="Y641" s="11">
        <v>0.15955977087385065</v>
      </c>
      <c r="Z641" s="11">
        <v>0.2460565174826009</v>
      </c>
    </row>
    <row r="642" ht="22.5" customHeight="1">
      <c r="Q642" s="9" t="s">
        <v>680</v>
      </c>
      <c r="R642" s="10">
        <v>0.5655264592805253</v>
      </c>
      <c r="S642" s="10">
        <v>0.024343046979986002</v>
      </c>
      <c r="T642" s="10">
        <v>21.58835990057426</v>
      </c>
      <c r="U642" s="11">
        <v>0.1035466135693593</v>
      </c>
      <c r="V642" s="11">
        <v>0.19635456280499047</v>
      </c>
      <c r="W642" s="11">
        <v>0.08813255490541404</v>
      </c>
      <c r="X642" s="11">
        <v>0.37993448837343574</v>
      </c>
      <c r="Y642" s="11">
        <v>0.2068542840497145</v>
      </c>
      <c r="Z642" s="11">
        <v>0.025177496297085978</v>
      </c>
    </row>
    <row r="643" ht="22.5" customHeight="1">
      <c r="Q643" s="9" t="s">
        <v>681</v>
      </c>
      <c r="R643" s="10">
        <v>0.46413376064029094</v>
      </c>
      <c r="S643" s="10">
        <v>0.019646815178700514</v>
      </c>
      <c r="T643" s="10">
        <v>21.58791421319535</v>
      </c>
      <c r="U643" s="11">
        <v>0.17253891108772235</v>
      </c>
      <c r="V643" s="11">
        <v>0.11691742857133434</v>
      </c>
      <c r="W643" s="11">
        <v>0.12690379089514806</v>
      </c>
      <c r="X643" s="11">
        <v>0.1641338776441911</v>
      </c>
      <c r="Y643" s="11">
        <v>0.1391528931394557</v>
      </c>
      <c r="Z643" s="11">
        <v>0.28035309866214847</v>
      </c>
    </row>
    <row r="644" ht="22.5" customHeight="1">
      <c r="Q644" s="9" t="s">
        <v>682</v>
      </c>
      <c r="R644" s="10">
        <v>0.3854065156633978</v>
      </c>
      <c r="S644" s="10">
        <v>0.01600041690356098</v>
      </c>
      <c r="T644" s="10">
        <v>21.587344738906506</v>
      </c>
      <c r="U644" s="11">
        <v>0.1745670419753772</v>
      </c>
      <c r="V644" s="11">
        <v>0.07687111147277977</v>
      </c>
      <c r="W644" s="11">
        <v>0.10261789642269392</v>
      </c>
      <c r="X644" s="11">
        <v>0.16993624108873534</v>
      </c>
      <c r="Y644" s="11">
        <v>0.24102743887168035</v>
      </c>
      <c r="Z644" s="11">
        <v>0.23498027016873346</v>
      </c>
    </row>
    <row r="645" ht="22.5" customHeight="1">
      <c r="Q645" s="9" t="s">
        <v>683</v>
      </c>
      <c r="R645" s="10">
        <v>0.5826783441622181</v>
      </c>
      <c r="S645" s="10">
        <v>0.025139994338064336</v>
      </c>
      <c r="T645" s="10">
        <v>21.586255623795093</v>
      </c>
      <c r="U645" s="11">
        <v>0.13161135337846203</v>
      </c>
      <c r="V645" s="11">
        <v>0.15670124589582662</v>
      </c>
      <c r="W645" s="11">
        <v>0.16492264973997706</v>
      </c>
      <c r="X645" s="11">
        <v>0.24751634926837063</v>
      </c>
      <c r="Y645" s="11">
        <v>0.11999811318266135</v>
      </c>
      <c r="Z645" s="11">
        <v>0.17925028853470237</v>
      </c>
    </row>
    <row r="646" ht="22.5" customHeight="1">
      <c r="Q646" s="9" t="s">
        <v>684</v>
      </c>
      <c r="R646" s="10">
        <v>0.43095511661732366</v>
      </c>
      <c r="S646" s="10">
        <v>0.018111875363680707</v>
      </c>
      <c r="T646" s="10">
        <v>21.58556796395012</v>
      </c>
      <c r="U646" s="11">
        <v>0.15112820741762975</v>
      </c>
      <c r="V646" s="11">
        <v>0.08592196919771189</v>
      </c>
      <c r="W646" s="11">
        <v>0.12622680886018012</v>
      </c>
      <c r="X646" s="11">
        <v>0.21217362037425314</v>
      </c>
      <c r="Y646" s="11">
        <v>0.18722946512969935</v>
      </c>
      <c r="Z646" s="11">
        <v>0.2373199290205258</v>
      </c>
    </row>
    <row r="647" ht="22.5" customHeight="1">
      <c r="Q647" s="9" t="s">
        <v>685</v>
      </c>
      <c r="R647" s="10">
        <v>0.522331348251574</v>
      </c>
      <c r="S647" s="10">
        <v>0.02683159305219219</v>
      </c>
      <c r="T647" s="10">
        <v>21.584636311567984</v>
      </c>
      <c r="U647" s="11">
        <v>0.19778103058104976</v>
      </c>
      <c r="V647" s="11">
        <v>0.1729921163670835</v>
      </c>
      <c r="W647" s="11">
        <v>0.1660721044032358</v>
      </c>
      <c r="X647" s="11">
        <v>0.2228983359798167</v>
      </c>
      <c r="Y647" s="11">
        <v>0.23341321283880156</v>
      </c>
      <c r="Z647" s="11">
        <v>0.006843199830012705</v>
      </c>
    </row>
    <row r="648" ht="22.5" customHeight="1">
      <c r="Q648" s="9" t="s">
        <v>686</v>
      </c>
      <c r="R648" s="10">
        <v>0.40925757349739716</v>
      </c>
      <c r="S648" s="10">
        <v>0.017108132479012092</v>
      </c>
      <c r="T648" s="10">
        <v>21.583745271460508</v>
      </c>
      <c r="U648" s="11">
        <v>0.12759296257112113</v>
      </c>
      <c r="V648" s="11">
        <v>0.12511300506090478</v>
      </c>
      <c r="W648" s="11">
        <v>0.06953356565569226</v>
      </c>
      <c r="X648" s="11">
        <v>0.16966674418449212</v>
      </c>
      <c r="Y648" s="11">
        <v>0.27653480311476314</v>
      </c>
      <c r="Z648" s="11">
        <v>0.2315589194130265</v>
      </c>
    </row>
    <row r="649" ht="22.5" customHeight="1">
      <c r="Q649" s="9" t="s">
        <v>687</v>
      </c>
      <c r="R649" s="10">
        <v>0.40575177954898956</v>
      </c>
      <c r="S649" s="10">
        <v>0.016946592598929288</v>
      </c>
      <c r="T649" s="10">
        <v>21.58261475950619</v>
      </c>
      <c r="U649" s="11">
        <v>0.13489048088935124</v>
      </c>
      <c r="V649" s="11">
        <v>0.1322558818631421</v>
      </c>
      <c r="W649" s="11">
        <v>0.06081020048966892</v>
      </c>
      <c r="X649" s="11">
        <v>0.20566848470321805</v>
      </c>
      <c r="Y649" s="11">
        <v>0.1868631701967929</v>
      </c>
      <c r="Z649" s="11">
        <v>0.2795117818578269</v>
      </c>
    </row>
    <row r="650" ht="22.5" customHeight="1">
      <c r="Q650" s="9" t="s">
        <v>688</v>
      </c>
      <c r="R650" s="10">
        <v>0.5086257098503207</v>
      </c>
      <c r="S650" s="10">
        <v>0.021713585075734638</v>
      </c>
      <c r="T650" s="10">
        <v>21.582143538978244</v>
      </c>
      <c r="U650" s="11">
        <v>0.05048149713668598</v>
      </c>
      <c r="V650" s="11">
        <v>0.10870366959436921</v>
      </c>
      <c r="W650" s="11">
        <v>0.1530941713600047</v>
      </c>
      <c r="X650" s="11">
        <v>0.28148562218587986</v>
      </c>
      <c r="Y650" s="11">
        <v>0.22303852616217532</v>
      </c>
      <c r="Z650" s="11">
        <v>0.18319651356088493</v>
      </c>
    </row>
    <row r="651" ht="22.5" customHeight="1">
      <c r="Q651" s="9" t="s">
        <v>689</v>
      </c>
      <c r="R651" s="10">
        <v>0.5703117937800543</v>
      </c>
      <c r="S651" s="10">
        <v>0.024573879468313034</v>
      </c>
      <c r="T651" s="10">
        <v>21.580304178828115</v>
      </c>
      <c r="U651" s="11">
        <v>0.19988845629446877</v>
      </c>
      <c r="V651" s="11">
        <v>0.15959778748294792</v>
      </c>
      <c r="W651" s="11">
        <v>0.14574422340525495</v>
      </c>
      <c r="X651" s="11">
        <v>0.1831894084405251</v>
      </c>
      <c r="Y651" s="11">
        <v>0.282797461252806</v>
      </c>
      <c r="Z651" s="11">
        <v>0.02878266312399716</v>
      </c>
    </row>
    <row r="652" ht="22.5" customHeight="1">
      <c r="Q652" s="9" t="s">
        <v>690</v>
      </c>
      <c r="R652" s="10">
        <v>0.6348024024742198</v>
      </c>
      <c r="S652" s="10">
        <v>0.027563172810483955</v>
      </c>
      <c r="T652" s="10">
        <v>21.5796057501762</v>
      </c>
      <c r="U652" s="11">
        <v>0.10705392991333779</v>
      </c>
      <c r="V652" s="11">
        <v>0.1877919213599124</v>
      </c>
      <c r="W652" s="11">
        <v>0.16284768587694975</v>
      </c>
      <c r="X652" s="11">
        <v>0.24816352651797982</v>
      </c>
      <c r="Y652" s="11">
        <v>0.24392356138098187</v>
      </c>
      <c r="Z652" s="11">
        <v>0.05021937495083838</v>
      </c>
    </row>
    <row r="653" ht="22.5" customHeight="1">
      <c r="Q653" s="9" t="s">
        <v>691</v>
      </c>
      <c r="R653" s="10">
        <v>0.43082952633954397</v>
      </c>
      <c r="S653" s="10">
        <v>0.018112183396317465</v>
      </c>
      <c r="T653" s="10">
        <v>21.578266837724637</v>
      </c>
      <c r="U653" s="11">
        <v>0.18484875820663915</v>
      </c>
      <c r="V653" s="11">
        <v>0.146319889121701</v>
      </c>
      <c r="W653" s="11">
        <v>0.056577670593000624</v>
      </c>
      <c r="X653" s="11">
        <v>0.27591415429166055</v>
      </c>
      <c r="Y653" s="11">
        <v>0.1299348288593482</v>
      </c>
      <c r="Z653" s="11">
        <v>0.20640469892765057</v>
      </c>
    </row>
    <row r="654" ht="22.5" customHeight="1">
      <c r="Q654" s="9" t="s">
        <v>692</v>
      </c>
      <c r="R654" s="10">
        <v>0.5590097540529662</v>
      </c>
      <c r="S654" s="10">
        <v>0.02405445799144469</v>
      </c>
      <c r="T654" s="10">
        <v>21.57644766876723</v>
      </c>
      <c r="U654" s="11">
        <v>0.16918932763291028</v>
      </c>
      <c r="V654" s="11">
        <v>0.16315594927986932</v>
      </c>
      <c r="W654" s="11">
        <v>0.14386794271160552</v>
      </c>
      <c r="X654" s="11">
        <v>0.18679637537689664</v>
      </c>
      <c r="Y654" s="11">
        <v>0.1599381384324703</v>
      </c>
      <c r="Z654" s="11">
        <v>0.17705226656624795</v>
      </c>
    </row>
    <row r="655" ht="22.5" customHeight="1">
      <c r="Q655" s="9" t="s">
        <v>693</v>
      </c>
      <c r="R655" s="10">
        <v>0.5466328091156669</v>
      </c>
      <c r="S655" s="10">
        <v>0.02348102407942619</v>
      </c>
      <c r="T655" s="10">
        <v>21.57626547300264</v>
      </c>
      <c r="U655" s="11">
        <v>0.057649256691018544</v>
      </c>
      <c r="V655" s="11">
        <v>0.17287779192931776</v>
      </c>
      <c r="W655" s="11">
        <v>0.12142173246258725</v>
      </c>
      <c r="X655" s="11">
        <v>0.21030253225064244</v>
      </c>
      <c r="Y655" s="11">
        <v>0.24252203776663372</v>
      </c>
      <c r="Z655" s="11">
        <v>0.1952266488998002</v>
      </c>
    </row>
    <row r="656" ht="22.5" customHeight="1">
      <c r="Q656" s="9" t="s">
        <v>694</v>
      </c>
      <c r="R656" s="10">
        <v>0.4091252531404256</v>
      </c>
      <c r="S656" s="10">
        <v>0.017108157447860883</v>
      </c>
      <c r="T656" s="10">
        <v>21.575979427672333</v>
      </c>
      <c r="U656" s="11">
        <v>0.2628879840196012</v>
      </c>
      <c r="V656" s="11">
        <v>0.13328078070161517</v>
      </c>
      <c r="W656" s="11">
        <v>0.061764651998923115</v>
      </c>
      <c r="X656" s="11">
        <v>0.2316622229947374</v>
      </c>
      <c r="Y656" s="11">
        <v>0.050591109682267404</v>
      </c>
      <c r="Z656" s="11">
        <v>0.25981325060285565</v>
      </c>
    </row>
    <row r="657" ht="22.5" customHeight="1">
      <c r="Q657" s="9" t="s">
        <v>695</v>
      </c>
      <c r="R657" s="10">
        <v>0.3655287508361562</v>
      </c>
      <c r="S657" s="10">
        <v>0.015088025867107363</v>
      </c>
      <c r="T657" s="10">
        <v>21.575304397232305</v>
      </c>
      <c r="U657" s="11">
        <v>0.17282748108627333</v>
      </c>
      <c r="V657" s="11">
        <v>0.10580395277598564</v>
      </c>
      <c r="W657" s="11">
        <v>0.06347156501364987</v>
      </c>
      <c r="X657" s="11">
        <v>0.14346020922058333</v>
      </c>
      <c r="Y657" s="11">
        <v>0.2105968589040076</v>
      </c>
      <c r="Z657" s="11">
        <v>0.30383993299950024</v>
      </c>
    </row>
    <row r="658" ht="22.5" customHeight="1">
      <c r="Q658" s="9" t="s">
        <v>696</v>
      </c>
      <c r="R658" s="10">
        <v>0.4557024755012688</v>
      </c>
      <c r="S658" s="10">
        <v>0.019267710941001923</v>
      </c>
      <c r="T658" s="10">
        <v>21.57508366064642</v>
      </c>
      <c r="U658" s="11">
        <v>0.10973353829097043</v>
      </c>
      <c r="V658" s="11">
        <v>0.15725999412275612</v>
      </c>
      <c r="W658" s="11">
        <v>0.06040474147416659</v>
      </c>
      <c r="X658" s="11">
        <v>0.3243956963201639</v>
      </c>
      <c r="Y658" s="11">
        <v>0.13823419926946554</v>
      </c>
      <c r="Z658" s="11">
        <v>0.20997183052247748</v>
      </c>
    </row>
    <row r="659" ht="22.5" customHeight="1">
      <c r="Q659" s="9" t="s">
        <v>697</v>
      </c>
      <c r="R659" s="10">
        <v>0.6137277631182787</v>
      </c>
      <c r="S659" s="10">
        <v>0.026593382981172597</v>
      </c>
      <c r="T659" s="10">
        <v>21.574079669535184</v>
      </c>
      <c r="U659" s="11">
        <v>0.14318365761056154</v>
      </c>
      <c r="V659" s="11">
        <v>0.2004419594540386</v>
      </c>
      <c r="W659" s="11">
        <v>0.13931167544606468</v>
      </c>
      <c r="X659" s="11">
        <v>0.2734668447427068</v>
      </c>
      <c r="Y659" s="11">
        <v>0.09903360049812894</v>
      </c>
      <c r="Z659" s="11">
        <v>0.1445622622484994</v>
      </c>
    </row>
    <row r="660" ht="22.5" customHeight="1">
      <c r="Q660" s="9" t="s">
        <v>698</v>
      </c>
      <c r="R660" s="10">
        <v>0.4864723508642289</v>
      </c>
      <c r="S660" s="10">
        <v>0.020697631271970617</v>
      </c>
      <c r="T660" s="10">
        <v>21.571181020547787</v>
      </c>
      <c r="U660" s="11">
        <v>0.23710488343985225</v>
      </c>
      <c r="V660" s="11">
        <v>0.16662705417309323</v>
      </c>
      <c r="W660" s="11">
        <v>0.07628114820432051</v>
      </c>
      <c r="X660" s="11">
        <v>0.2554082369549552</v>
      </c>
      <c r="Y660" s="11">
        <v>0.1280023825658254</v>
      </c>
      <c r="Z660" s="11">
        <v>0.13657629466195337</v>
      </c>
    </row>
    <row r="661" ht="22.5" customHeight="1">
      <c r="Q661" s="9" t="s">
        <v>699</v>
      </c>
      <c r="R661" s="10">
        <v>0.35185741612070376</v>
      </c>
      <c r="S661" s="10">
        <v>0.014457289108063756</v>
      </c>
      <c r="T661" s="10">
        <v>21.570946931313763</v>
      </c>
      <c r="U661" s="11">
        <v>0.27032769846280513</v>
      </c>
      <c r="V661" s="11">
        <v>0.09225207077730346</v>
      </c>
      <c r="W661" s="11">
        <v>0.03619840975018029</v>
      </c>
      <c r="X661" s="11">
        <v>0.29315647879043044</v>
      </c>
      <c r="Y661" s="11">
        <v>0.2941742495162958</v>
      </c>
      <c r="Z661" s="11">
        <v>0.013891092702985025</v>
      </c>
    </row>
    <row r="662" ht="22.5" customHeight="1">
      <c r="Q662" s="9" t="s">
        <v>700</v>
      </c>
      <c r="R662" s="10">
        <v>0.6247018158316617</v>
      </c>
      <c r="S662" s="10">
        <v>0.027106655972645676</v>
      </c>
      <c r="T662" s="10">
        <v>21.570414898160283</v>
      </c>
      <c r="U662" s="11">
        <v>0.08990656880785071</v>
      </c>
      <c r="V662" s="11">
        <v>0.19747059526867214</v>
      </c>
      <c r="W662" s="11">
        <v>0.14641927768854499</v>
      </c>
      <c r="X662" s="11">
        <v>0.25341043470829583</v>
      </c>
      <c r="Y662" s="11">
        <v>0.23110182703704693</v>
      </c>
      <c r="Z662" s="11">
        <v>0.0816912964895893</v>
      </c>
    </row>
    <row r="663" ht="22.5" customHeight="1">
      <c r="Q663" s="9" t="s">
        <v>701</v>
      </c>
      <c r="R663" s="10">
        <v>0.5579903042971677</v>
      </c>
      <c r="S663" s="10">
        <v>0.024014067833477593</v>
      </c>
      <c r="T663" s="10">
        <v>21.570285712903935</v>
      </c>
      <c r="U663" s="11">
        <v>0.05315100632813562</v>
      </c>
      <c r="V663" s="11">
        <v>0.1709815602275339</v>
      </c>
      <c r="W663" s="11">
        <v>0.13797650476769927</v>
      </c>
      <c r="X663" s="11">
        <v>0.24930123811857294</v>
      </c>
      <c r="Y663" s="11">
        <v>0.08996922643901724</v>
      </c>
      <c r="Z663" s="11">
        <v>0.298620464119041</v>
      </c>
    </row>
    <row r="664" ht="22.5" customHeight="1">
      <c r="Q664" s="9" t="s">
        <v>702</v>
      </c>
      <c r="R664" s="10">
        <v>0.35534722659116463</v>
      </c>
      <c r="S664" s="10">
        <v>0.014619606409182468</v>
      </c>
      <c r="T664" s="10">
        <v>21.570158441002718</v>
      </c>
      <c r="U664" s="11">
        <v>0.21985801100910032</v>
      </c>
      <c r="V664" s="11">
        <v>0.08033083646423571</v>
      </c>
      <c r="W664" s="11">
        <v>0.08571385291286504</v>
      </c>
      <c r="X664" s="11">
        <v>0.14130412581831023</v>
      </c>
      <c r="Y664" s="11">
        <v>0.13862373187161162</v>
      </c>
      <c r="Z664" s="11">
        <v>0.3341694419238772</v>
      </c>
    </row>
    <row r="665" ht="22.5" customHeight="1">
      <c r="Q665" s="9" t="s">
        <v>703</v>
      </c>
      <c r="R665" s="10">
        <v>0.6228290771976316</v>
      </c>
      <c r="S665" s="10">
        <v>0.027021627010297516</v>
      </c>
      <c r="T665" s="10">
        <v>21.568985352936913</v>
      </c>
      <c r="U665" s="11">
        <v>0.11631381155189331</v>
      </c>
      <c r="V665" s="11">
        <v>0.21778317758279883</v>
      </c>
      <c r="W665" s="11">
        <v>0.1032620741675975</v>
      </c>
      <c r="X665" s="11">
        <v>0.4758551464986662</v>
      </c>
      <c r="Y665" s="11">
        <v>0.08474446137968777</v>
      </c>
      <c r="Z665" s="11">
        <v>0.002041328819356298</v>
      </c>
    </row>
    <row r="666" ht="22.5" customHeight="1">
      <c r="Q666" s="9" t="s">
        <v>704</v>
      </c>
      <c r="R666" s="10">
        <v>0.5520087450660581</v>
      </c>
      <c r="S666" s="10">
        <v>0.023738721868479175</v>
      </c>
      <c r="T666" s="10">
        <v>21.56850515806056</v>
      </c>
      <c r="U666" s="11">
        <v>0.17927469716375996</v>
      </c>
      <c r="V666" s="11">
        <v>0.1613888278843429</v>
      </c>
      <c r="W666" s="11">
        <v>0.14088163835115844</v>
      </c>
      <c r="X666" s="11">
        <v>0.1773038905312794</v>
      </c>
      <c r="Y666" s="11">
        <v>0.16548828432324375</v>
      </c>
      <c r="Z666" s="11">
        <v>0.1756626617462156</v>
      </c>
    </row>
    <row r="667" ht="22.5" customHeight="1">
      <c r="Q667" s="9" t="s">
        <v>705</v>
      </c>
      <c r="R667" s="10">
        <v>0.5384249146236446</v>
      </c>
      <c r="S667" s="10">
        <v>0.023111420849743436</v>
      </c>
      <c r="T667" s="10">
        <v>21.566173618839958</v>
      </c>
      <c r="U667" s="11">
        <v>0.15260533423744646</v>
      </c>
      <c r="V667" s="11">
        <v>0.1482356444212044</v>
      </c>
      <c r="W667" s="11">
        <v>0.14759613700767488</v>
      </c>
      <c r="X667" s="11">
        <v>0.24407483244422046</v>
      </c>
      <c r="Y667" s="11">
        <v>0.023606626446617224</v>
      </c>
      <c r="Z667" s="11">
        <v>0.28388142544283657</v>
      </c>
    </row>
    <row r="668" ht="22.5" customHeight="1">
      <c r="Q668" s="9" t="s">
        <v>706</v>
      </c>
      <c r="R668" s="10">
        <v>0.5444465329947594</v>
      </c>
      <c r="S668" s="10">
        <v>0.023390943507537537</v>
      </c>
      <c r="T668" s="10">
        <v>21.565890782994952</v>
      </c>
      <c r="U668" s="11">
        <v>0.19094593852744787</v>
      </c>
      <c r="V668" s="11">
        <v>0.12691166793715128</v>
      </c>
      <c r="W668" s="11">
        <v>0.15931635531528315</v>
      </c>
      <c r="X668" s="11">
        <v>0.2220351431609091</v>
      </c>
      <c r="Y668" s="11">
        <v>0.24158756787886101</v>
      </c>
      <c r="Z668" s="11">
        <v>0.05920332718034748</v>
      </c>
    </row>
    <row r="669" ht="22.5" customHeight="1">
      <c r="Q669" s="9" t="s">
        <v>707</v>
      </c>
      <c r="R669" s="10">
        <v>0.5570028546791032</v>
      </c>
      <c r="S669" s="10">
        <v>0.02397374397084354</v>
      </c>
      <c r="T669" s="10">
        <v>21.56537816153677</v>
      </c>
      <c r="U669" s="11">
        <v>0.22261412416855642</v>
      </c>
      <c r="V669" s="11">
        <v>0.1703976974330773</v>
      </c>
      <c r="W669" s="11">
        <v>0.1358249760362103</v>
      </c>
      <c r="X669" s="11">
        <v>0.194163480964932</v>
      </c>
      <c r="Y669" s="11">
        <v>0.09267449257520705</v>
      </c>
      <c r="Z669" s="11">
        <v>0.18432522882201693</v>
      </c>
    </row>
    <row r="670" ht="22.5" customHeight="1">
      <c r="Q670" s="9" t="s">
        <v>708</v>
      </c>
      <c r="R670" s="10">
        <v>0.639988857399674</v>
      </c>
      <c r="S670" s="10">
        <v>0.027821870984150548</v>
      </c>
      <c r="T670" s="10">
        <v>21.56536696405045</v>
      </c>
      <c r="U670" s="11">
        <v>0.2129121897996448</v>
      </c>
      <c r="V670" s="11">
        <v>0.18314455858542272</v>
      </c>
      <c r="W670" s="11">
        <v>0.17487227806109812</v>
      </c>
      <c r="X670" s="11">
        <v>0.2611473416230152</v>
      </c>
      <c r="Y670" s="11">
        <v>0.09619841107199541</v>
      </c>
      <c r="Z670" s="11">
        <v>0.07172522085882387</v>
      </c>
    </row>
    <row r="671" ht="22.5" customHeight="1">
      <c r="Q671" s="9" t="s">
        <v>709</v>
      </c>
      <c r="R671" s="10">
        <v>0.37976078612723574</v>
      </c>
      <c r="S671" s="10">
        <v>0.015755885170532558</v>
      </c>
      <c r="T671" s="10">
        <v>21.564055744876416</v>
      </c>
      <c r="U671" s="11">
        <v>0.31939266742116484</v>
      </c>
      <c r="V671" s="11">
        <v>0.11731151763184304</v>
      </c>
      <c r="W671" s="11">
        <v>0.05366203571699858</v>
      </c>
      <c r="X671" s="11">
        <v>0.19711727880525037</v>
      </c>
      <c r="Y671" s="11">
        <v>0.11597971920080039</v>
      </c>
      <c r="Z671" s="11">
        <v>0.1965367812239428</v>
      </c>
    </row>
    <row r="672" ht="22.5" customHeight="1">
      <c r="Q672" s="9" t="s">
        <v>710</v>
      </c>
      <c r="R672" s="10">
        <v>0.5752720435903076</v>
      </c>
      <c r="S672" s="10">
        <v>0.024823521359854397</v>
      </c>
      <c r="T672" s="10">
        <v>21.56309879773831</v>
      </c>
      <c r="U672" s="11">
        <v>0.05721946424473191</v>
      </c>
      <c r="V672" s="11">
        <v>0.17166188840728763</v>
      </c>
      <c r="W672" s="11">
        <v>0.14725051292200173</v>
      </c>
      <c r="X672" s="11">
        <v>0.2288813523629678</v>
      </c>
      <c r="Y672" s="11">
        <v>0.16163560877679645</v>
      </c>
      <c r="Z672" s="11">
        <v>0.2333511732862146</v>
      </c>
    </row>
    <row r="673" ht="22.5" customHeight="1">
      <c r="Q673" s="9" t="s">
        <v>711</v>
      </c>
      <c r="R673" s="10">
        <v>0.44003763777240584</v>
      </c>
      <c r="S673" s="10">
        <v>0.018553017063122595</v>
      </c>
      <c r="T673" s="10">
        <v>21.56186438094489</v>
      </c>
      <c r="U673" s="11">
        <v>0.26151730884101826</v>
      </c>
      <c r="V673" s="11">
        <v>0.13014810576937874</v>
      </c>
      <c r="W673" s="11">
        <v>0.07452017726657471</v>
      </c>
      <c r="X673" s="11">
        <v>0.18147061632819553</v>
      </c>
      <c r="Y673" s="11">
        <v>0.32486569060730286</v>
      </c>
      <c r="Z673" s="11">
        <v>0.02747810118752978</v>
      </c>
    </row>
    <row r="674" ht="22.5" customHeight="1">
      <c r="Q674" s="9" t="s">
        <v>712</v>
      </c>
      <c r="R674" s="10">
        <v>0.5171134587499605</v>
      </c>
      <c r="S674" s="10">
        <v>0.02212853501688329</v>
      </c>
      <c r="T674" s="10">
        <v>21.56100520824988</v>
      </c>
      <c r="U674" s="11">
        <v>0.15253792019555162</v>
      </c>
      <c r="V674" s="11">
        <v>0.17978523289917223</v>
      </c>
      <c r="W674" s="11">
        <v>0.06954073065945136</v>
      </c>
      <c r="X674" s="11">
        <v>0.37254596480308366</v>
      </c>
      <c r="Y674" s="11">
        <v>0.18850979205099605</v>
      </c>
      <c r="Z674" s="11">
        <v>0.03708035939174502</v>
      </c>
    </row>
    <row r="675" ht="22.5" customHeight="1">
      <c r="Q675" s="9" t="s">
        <v>713</v>
      </c>
      <c r="R675" s="10">
        <v>0.521799650028765</v>
      </c>
      <c r="S675" s="10">
        <v>0.0223471041591537</v>
      </c>
      <c r="T675" s="10">
        <v>21.559824780760817</v>
      </c>
      <c r="U675" s="11">
        <v>0.0808479183891471</v>
      </c>
      <c r="V675" s="11">
        <v>0.10089119619432069</v>
      </c>
      <c r="W675" s="11">
        <v>0.16369942460814926</v>
      </c>
      <c r="X675" s="11">
        <v>0.3592330894071288</v>
      </c>
      <c r="Y675" s="11">
        <v>0.1582022201908401</v>
      </c>
      <c r="Z675" s="11">
        <v>0.13712615121041416</v>
      </c>
    </row>
    <row r="676" ht="22.5" customHeight="1">
      <c r="Q676" s="9" t="s">
        <v>714</v>
      </c>
      <c r="R676" s="10">
        <v>0.6453792359379587</v>
      </c>
      <c r="S676" s="10">
        <v>0.0280791520240697</v>
      </c>
      <c r="T676" s="10">
        <v>21.559740672333056</v>
      </c>
      <c r="U676" s="11">
        <v>0.023163742490486496</v>
      </c>
      <c r="V676" s="11">
        <v>0.19088734743059596</v>
      </c>
      <c r="W676" s="11">
        <v>0.16134725987702786</v>
      </c>
      <c r="X676" s="11">
        <v>0.2834678667053662</v>
      </c>
      <c r="Y676" s="11">
        <v>0.32423263845185735</v>
      </c>
      <c r="Z676" s="11">
        <v>0.016901145044666065</v>
      </c>
    </row>
    <row r="677" ht="22.5" customHeight="1">
      <c r="Q677" s="9" t="s">
        <v>715</v>
      </c>
      <c r="R677" s="10">
        <v>0.6033776262935359</v>
      </c>
      <c r="S677" s="10">
        <v>0.0261311846247462</v>
      </c>
      <c r="T677" s="10">
        <v>21.559589983533233</v>
      </c>
      <c r="U677" s="11">
        <v>0.2508506828236087</v>
      </c>
      <c r="V677" s="11">
        <v>0.19490506642002717</v>
      </c>
      <c r="W677" s="11">
        <v>0.13671372483332334</v>
      </c>
      <c r="X677" s="11">
        <v>0.23227598769492372</v>
      </c>
      <c r="Y677" s="11">
        <v>0.10508056671773396</v>
      </c>
      <c r="Z677" s="11">
        <v>0.08017397151038294</v>
      </c>
    </row>
    <row r="678" ht="22.5" customHeight="1">
      <c r="Q678" s="9" t="s">
        <v>716</v>
      </c>
      <c r="R678" s="10">
        <v>0.5784819078464807</v>
      </c>
      <c r="S678" s="10">
        <v>0.024978076756099407</v>
      </c>
      <c r="T678" s="10">
        <v>21.558181324548478</v>
      </c>
      <c r="U678" s="11">
        <v>0.20217638993413314</v>
      </c>
      <c r="V678" s="11">
        <v>0.15689505530826756</v>
      </c>
      <c r="W678" s="11">
        <v>0.16051114224511911</v>
      </c>
      <c r="X678" s="11">
        <v>0.2026989008778327</v>
      </c>
      <c r="Y678" s="11">
        <v>0.16471372029273232</v>
      </c>
      <c r="Z678" s="11">
        <v>0.11300479134191498</v>
      </c>
    </row>
    <row r="679" ht="22.5" customHeight="1">
      <c r="Q679" s="9" t="s">
        <v>717</v>
      </c>
      <c r="R679" s="10">
        <v>0.41081869604584864</v>
      </c>
      <c r="S679" s="10">
        <v>0.017201129872146965</v>
      </c>
      <c r="T679" s="10">
        <v>21.55781037653225</v>
      </c>
      <c r="U679" s="11">
        <v>0.0874550128316097</v>
      </c>
      <c r="V679" s="11">
        <v>0.1231237416198948</v>
      </c>
      <c r="W679" s="11">
        <v>0.06169421429141025</v>
      </c>
      <c r="X679" s="11">
        <v>0.22779864178912898</v>
      </c>
      <c r="Y679" s="11">
        <v>0.3514795730513825</v>
      </c>
      <c r="Z679" s="11">
        <v>0.14844881641657376</v>
      </c>
    </row>
    <row r="680" ht="22.5" customHeight="1">
      <c r="Q680" s="9" t="s">
        <v>718</v>
      </c>
      <c r="R680" s="10">
        <v>0.46273690480119545</v>
      </c>
      <c r="S680" s="10">
        <v>0.01960945728658035</v>
      </c>
      <c r="T680" s="10">
        <v>21.557807471321183</v>
      </c>
      <c r="U680" s="11">
        <v>0.1570480302966978</v>
      </c>
      <c r="V680" s="11">
        <v>0.09450764544778535</v>
      </c>
      <c r="W680" s="11">
        <v>0.1352448517688989</v>
      </c>
      <c r="X680" s="11">
        <v>0.2135405479094255</v>
      </c>
      <c r="Y680" s="11">
        <v>0.2537460517763149</v>
      </c>
      <c r="Z680" s="11">
        <v>0.14591287280087747</v>
      </c>
    </row>
    <row r="681" ht="22.5" customHeight="1">
      <c r="Q681" s="9" t="s">
        <v>719</v>
      </c>
      <c r="R681" s="10">
        <v>0.5148509063872444</v>
      </c>
      <c r="S681" s="10">
        <v>0.022029634272546224</v>
      </c>
      <c r="T681" s="10">
        <v>21.555097125648302</v>
      </c>
      <c r="U681" s="11">
        <v>0.1283434035156474</v>
      </c>
      <c r="V681" s="11">
        <v>0.16450197344754708</v>
      </c>
      <c r="W681" s="11">
        <v>0.11352097395008201</v>
      </c>
      <c r="X681" s="11">
        <v>0.18679296605736453</v>
      </c>
      <c r="Y681" s="11">
        <v>0.141294460930031</v>
      </c>
      <c r="Z681" s="11">
        <v>0.2655462220993278</v>
      </c>
    </row>
    <row r="682" ht="22.5" customHeight="1">
      <c r="Q682" s="9" t="s">
        <v>720</v>
      </c>
      <c r="R682" s="10">
        <v>0.6001461447312664</v>
      </c>
      <c r="S682" s="10">
        <v>0.02598775831932639</v>
      </c>
      <c r="T682" s="10">
        <v>21.554230951682385</v>
      </c>
      <c r="U682" s="11">
        <v>0.22171409126163055</v>
      </c>
      <c r="V682" s="11">
        <v>0.16602085157576493</v>
      </c>
      <c r="W682" s="11">
        <v>0.167721882273379</v>
      </c>
      <c r="X682" s="11">
        <v>0.25783624540357103</v>
      </c>
      <c r="Y682" s="11">
        <v>0.038122714967741035</v>
      </c>
      <c r="Z682" s="11">
        <v>0.1485842145179134</v>
      </c>
    </row>
    <row r="683" ht="22.5" customHeight="1">
      <c r="Q683" s="9" t="s">
        <v>721</v>
      </c>
      <c r="R683" s="10">
        <v>0.5146452408794286</v>
      </c>
      <c r="S683" s="10">
        <v>0.022021044431345737</v>
      </c>
      <c r="T683" s="10">
        <v>21.554165714492516</v>
      </c>
      <c r="U683" s="11">
        <v>0.08990373224617057</v>
      </c>
      <c r="V683" s="11">
        <v>0.13791876533569816</v>
      </c>
      <c r="W683" s="11">
        <v>0.14263584988358002</v>
      </c>
      <c r="X683" s="11">
        <v>0.24218376153215837</v>
      </c>
      <c r="Y683" s="11">
        <v>0.05008021137034493</v>
      </c>
      <c r="Z683" s="11">
        <v>0.3372776796320481</v>
      </c>
    </row>
    <row r="684" ht="22.5" customHeight="1">
      <c r="Q684" s="9" t="s">
        <v>722</v>
      </c>
      <c r="R684" s="10">
        <v>0.48126124213150506</v>
      </c>
      <c r="S684" s="10">
        <v>0.020472262996324965</v>
      </c>
      <c r="T684" s="10">
        <v>21.55410186996509</v>
      </c>
      <c r="U684" s="11">
        <v>0.19409058845372681</v>
      </c>
      <c r="V684" s="11">
        <v>0.12075186736451093</v>
      </c>
      <c r="W684" s="11">
        <v>0.13087640249569293</v>
      </c>
      <c r="X684" s="11">
        <v>0.14941222877986962</v>
      </c>
      <c r="Y684" s="11">
        <v>0.21307375902708017</v>
      </c>
      <c r="Z684" s="11">
        <v>0.1917951538791194</v>
      </c>
    </row>
    <row r="685" ht="22.5" customHeight="1">
      <c r="Q685" s="9" t="s">
        <v>723</v>
      </c>
      <c r="R685" s="10">
        <v>0.4702659482435012</v>
      </c>
      <c r="S685" s="10">
        <v>0.01996256434134404</v>
      </c>
      <c r="T685" s="10">
        <v>21.553641149818947</v>
      </c>
      <c r="U685" s="11">
        <v>0.04501172135080203</v>
      </c>
      <c r="V685" s="11">
        <v>0.11376537642987973</v>
      </c>
      <c r="W685" s="11">
        <v>0.10369317945392117</v>
      </c>
      <c r="X685" s="11">
        <v>0.2683406649881571</v>
      </c>
      <c r="Y685" s="11">
        <v>0.4674278503702844</v>
      </c>
      <c r="Z685" s="11">
        <v>0.0017612074069555277</v>
      </c>
    </row>
    <row r="686" ht="22.5" customHeight="1">
      <c r="Q686" s="9" t="s">
        <v>724</v>
      </c>
      <c r="R686" s="10">
        <v>0.5101962958612426</v>
      </c>
      <c r="S686" s="10">
        <v>0.02181663082552135</v>
      </c>
      <c r="T686" s="10">
        <v>21.552195644764797</v>
      </c>
      <c r="U686" s="11">
        <v>0.20755772045799772</v>
      </c>
      <c r="V686" s="11">
        <v>0.17064314028084454</v>
      </c>
      <c r="W686" s="11">
        <v>0.0987107564368204</v>
      </c>
      <c r="X686" s="11">
        <v>0.21137932408534363</v>
      </c>
      <c r="Y686" s="11">
        <v>0.10502217840165178</v>
      </c>
      <c r="Z686" s="11">
        <v>0.20668688033734184</v>
      </c>
    </row>
    <row r="687" ht="22.5" customHeight="1">
      <c r="Q687" s="9" t="s">
        <v>725</v>
      </c>
      <c r="R687" s="10">
        <v>0.5456828649204074</v>
      </c>
      <c r="S687" s="10">
        <v>0.023463379607123948</v>
      </c>
      <c r="T687" s="10">
        <v>21.552004587049005</v>
      </c>
      <c r="U687" s="11">
        <v>0.26401173376517323</v>
      </c>
      <c r="V687" s="11">
        <v>0.15952593282112293</v>
      </c>
      <c r="W687" s="11">
        <v>0.13420117915131702</v>
      </c>
      <c r="X687" s="11">
        <v>0.15376499543975847</v>
      </c>
      <c r="Y687" s="11">
        <v>0.19988953338728366</v>
      </c>
      <c r="Z687" s="11">
        <v>0.08860662543534478</v>
      </c>
    </row>
    <row r="688" ht="22.5" customHeight="1">
      <c r="Q688" s="9" t="s">
        <v>726</v>
      </c>
      <c r="R688" s="10">
        <v>0.4103511069264083</v>
      </c>
      <c r="S688" s="10">
        <v>0.017184137613385712</v>
      </c>
      <c r="T688" s="10">
        <v>21.551916963113737</v>
      </c>
      <c r="U688" s="11">
        <v>0.04372746810821854</v>
      </c>
      <c r="V688" s="11">
        <v>0.08038828035453494</v>
      </c>
      <c r="W688" s="11">
        <v>0.12000939493974022</v>
      </c>
      <c r="X688" s="11">
        <v>0.27766850166290913</v>
      </c>
      <c r="Y688" s="11">
        <v>0.10438343105734253</v>
      </c>
      <c r="Z688" s="11">
        <v>0.37382292387725474</v>
      </c>
    </row>
    <row r="689" ht="22.5" customHeight="1">
      <c r="Q689" s="9" t="s">
        <v>727</v>
      </c>
      <c r="R689" s="10">
        <v>0.563002781586568</v>
      </c>
      <c r="S689" s="10">
        <v>0.024267260522921517</v>
      </c>
      <c r="T689" s="10">
        <v>21.55178501061413</v>
      </c>
      <c r="U689" s="11">
        <v>0.012799591202487692</v>
      </c>
      <c r="V689" s="11">
        <v>0.18156692266575547</v>
      </c>
      <c r="W689" s="11">
        <v>0.1273743708945423</v>
      </c>
      <c r="X689" s="11">
        <v>0.2553499965759808</v>
      </c>
      <c r="Y689" s="11">
        <v>0.15234183002758683</v>
      </c>
      <c r="Z689" s="11">
        <v>0.27056728863364693</v>
      </c>
    </row>
    <row r="690" ht="22.5" customHeight="1">
      <c r="Q690" s="9" t="s">
        <v>728</v>
      </c>
      <c r="R690" s="10">
        <v>0.3862408316784298</v>
      </c>
      <c r="S690" s="10">
        <v>0.016066241136340354</v>
      </c>
      <c r="T690" s="10">
        <v>21.55083001308035</v>
      </c>
      <c r="U690" s="11">
        <v>0.27182157060199363</v>
      </c>
      <c r="V690" s="11">
        <v>0.11227676415991732</v>
      </c>
      <c r="W690" s="11">
        <v>0.07452808787910709</v>
      </c>
      <c r="X690" s="11">
        <v>0.13488780247045334</v>
      </c>
      <c r="Y690" s="11">
        <v>0.11728172430753121</v>
      </c>
      <c r="Z690" s="11">
        <v>0.2892040505809974</v>
      </c>
    </row>
    <row r="691" ht="22.5" customHeight="1">
      <c r="Q691" s="9" t="s">
        <v>729</v>
      </c>
      <c r="R691" s="10">
        <v>0.6415971148289907</v>
      </c>
      <c r="S691" s="10">
        <v>0.027920303538775938</v>
      </c>
      <c r="T691" s="10">
        <v>21.546940347317065</v>
      </c>
      <c r="U691" s="11">
        <v>0.24183509925575733</v>
      </c>
      <c r="V691" s="11">
        <v>0.20077334862070662</v>
      </c>
      <c r="W691" s="11">
        <v>0.15577261815206814</v>
      </c>
      <c r="X691" s="11">
        <v>0.2375531046501303</v>
      </c>
      <c r="Y691" s="11">
        <v>0.14211456628982724</v>
      </c>
      <c r="Z691" s="11">
        <v>0.021951263031510317</v>
      </c>
    </row>
    <row r="692" ht="22.5" customHeight="1">
      <c r="Q692" s="9" t="s">
        <v>730</v>
      </c>
      <c r="R692" s="10">
        <v>0.5874094426020116</v>
      </c>
      <c r="S692" s="10">
        <v>0.025406196388007146</v>
      </c>
      <c r="T692" s="10">
        <v>21.54629659008749</v>
      </c>
      <c r="U692" s="11">
        <v>0.03747752804111225</v>
      </c>
      <c r="V692" s="11">
        <v>0.1678632327054424</v>
      </c>
      <c r="W692" s="11">
        <v>0.1558147141251201</v>
      </c>
      <c r="X692" s="11">
        <v>0.23109929316960434</v>
      </c>
      <c r="Y692" s="11">
        <v>0.231808093249439</v>
      </c>
      <c r="Z692" s="11">
        <v>0.1759371387092819</v>
      </c>
    </row>
    <row r="693" ht="22.5" customHeight="1">
      <c r="Q693" s="9" t="s">
        <v>731</v>
      </c>
      <c r="R693" s="10">
        <v>0.588392421205744</v>
      </c>
      <c r="S693" s="10">
        <v>0.025452649522425003</v>
      </c>
      <c r="T693" s="10">
        <v>21.545592757350622</v>
      </c>
      <c r="U693" s="11">
        <v>0.14658661798909522</v>
      </c>
      <c r="V693" s="11">
        <v>0.1850173326054765</v>
      </c>
      <c r="W693" s="11">
        <v>0.13973411076132267</v>
      </c>
      <c r="X693" s="11">
        <v>0.2091801108460589</v>
      </c>
      <c r="Y693" s="11">
        <v>0.17442554897043155</v>
      </c>
      <c r="Z693" s="11">
        <v>0.14505627882761507</v>
      </c>
    </row>
    <row r="694" ht="22.5" customHeight="1">
      <c r="Q694" s="9" t="s">
        <v>732</v>
      </c>
      <c r="R694" s="10">
        <v>0.3687036982293896</v>
      </c>
      <c r="S694" s="10">
        <v>0.015256221087559575</v>
      </c>
      <c r="T694" s="10">
        <v>21.545551571576624</v>
      </c>
      <c r="U694" s="11">
        <v>0.2835574539299418</v>
      </c>
      <c r="V694" s="11">
        <v>0.11520148299806171</v>
      </c>
      <c r="W694" s="11">
        <v>0.044689381326128735</v>
      </c>
      <c r="X694" s="11">
        <v>0.2894466925822987</v>
      </c>
      <c r="Y694" s="11">
        <v>0.015586328299587858</v>
      </c>
      <c r="Z694" s="11">
        <v>0.25151866086398117</v>
      </c>
    </row>
    <row r="695" ht="22.5" customHeight="1">
      <c r="Q695" s="9" t="s">
        <v>733</v>
      </c>
      <c r="R695" s="10">
        <v>0.6597854004277833</v>
      </c>
      <c r="S695" s="10">
        <v>0.028766685091423858</v>
      </c>
      <c r="T695" s="10">
        <v>21.545249251279163</v>
      </c>
      <c r="U695" s="11">
        <v>0.17650276876457044</v>
      </c>
      <c r="V695" s="11">
        <v>0.196180866012275</v>
      </c>
      <c r="W695" s="11">
        <v>0.17479338793952143</v>
      </c>
      <c r="X695" s="11">
        <v>0.2671253732320458</v>
      </c>
      <c r="Y695" s="11">
        <v>0.12560857968126377</v>
      </c>
      <c r="Z695" s="11">
        <v>0.059789024370323456</v>
      </c>
    </row>
    <row r="696" ht="22.5" customHeight="1">
      <c r="Q696" s="9" t="s">
        <v>734</v>
      </c>
      <c r="R696" s="10">
        <v>0.6406293445031951</v>
      </c>
      <c r="S696" s="10">
        <v>0.027877764953462416</v>
      </c>
      <c r="T696" s="10">
        <v>21.545103974649766</v>
      </c>
      <c r="U696" s="11">
        <v>0.1577817403619967</v>
      </c>
      <c r="V696" s="11">
        <v>0.1985593919136627</v>
      </c>
      <c r="W696" s="11">
        <v>0.15844166991979414</v>
      </c>
      <c r="X696" s="11">
        <v>0.2420026729616747</v>
      </c>
      <c r="Y696" s="11">
        <v>0.18193547063511262</v>
      </c>
      <c r="Z696" s="11">
        <v>0.06127905420775926</v>
      </c>
    </row>
    <row r="697" ht="22.5" customHeight="1">
      <c r="Q697" s="9" t="s">
        <v>735</v>
      </c>
      <c r="R697" s="10">
        <v>0.3887462752060975</v>
      </c>
      <c r="S697" s="10">
        <v>0.016187684986056262</v>
      </c>
      <c r="T697" s="10">
        <v>21.54392524357253</v>
      </c>
      <c r="U697" s="11">
        <v>0.15438597643393534</v>
      </c>
      <c r="V697" s="11">
        <v>0.0562552271758115</v>
      </c>
      <c r="W697" s="11">
        <v>0.11613490467293396</v>
      </c>
      <c r="X697" s="11">
        <v>0.33541235858342533</v>
      </c>
      <c r="Y697" s="11">
        <v>0.09840613379946268</v>
      </c>
      <c r="Z697" s="11">
        <v>0.23940539933443114</v>
      </c>
    </row>
    <row r="698" ht="22.5" customHeight="1">
      <c r="Q698" s="9" t="s">
        <v>736</v>
      </c>
      <c r="R698" s="10">
        <v>0.5108234752105959</v>
      </c>
      <c r="S698" s="10">
        <v>0.02185432180109277</v>
      </c>
      <c r="T698" s="10">
        <v>21.5437239140065</v>
      </c>
      <c r="U698" s="11">
        <v>0.24889553614448584</v>
      </c>
      <c r="V698" s="11">
        <v>0.12954782084027455</v>
      </c>
      <c r="W698" s="11">
        <v>0.14453890178421344</v>
      </c>
      <c r="X698" s="11">
        <v>0.18541958988831103</v>
      </c>
      <c r="Y698" s="11">
        <v>0.09128142810361568</v>
      </c>
      <c r="Z698" s="11">
        <v>0.20031672323909946</v>
      </c>
    </row>
    <row r="699" ht="22.5" customHeight="1">
      <c r="Q699" s="9" t="s">
        <v>737</v>
      </c>
      <c r="R699" s="10">
        <v>0.5892537256295662</v>
      </c>
      <c r="S699" s="10">
        <v>0.025496690538904215</v>
      </c>
      <c r="T699" s="10">
        <v>21.542157590667912</v>
      </c>
      <c r="U699" s="11">
        <v>0.21450546511783194</v>
      </c>
      <c r="V699" s="11">
        <v>0.14468367004700655</v>
      </c>
      <c r="W699" s="11">
        <v>0.1738721034739701</v>
      </c>
      <c r="X699" s="11">
        <v>0.23962698564409068</v>
      </c>
      <c r="Y699" s="11">
        <v>0.18906316879994017</v>
      </c>
      <c r="Z699" s="11">
        <v>0.03824860691716042</v>
      </c>
    </row>
    <row r="700" ht="22.5" customHeight="1">
      <c r="Q700" s="9" t="s">
        <v>738</v>
      </c>
      <c r="R700" s="10">
        <v>0.3917772761657954</v>
      </c>
      <c r="S700" s="10">
        <v>0.016329829065140147</v>
      </c>
      <c r="T700" s="10">
        <v>21.542006028510524</v>
      </c>
      <c r="U700" s="11">
        <v>0.26367520184367743</v>
      </c>
      <c r="V700" s="11">
        <v>0.06940639738194072</v>
      </c>
      <c r="W700" s="11">
        <v>0.1129519058857957</v>
      </c>
      <c r="X700" s="11">
        <v>0.28137605701566254</v>
      </c>
      <c r="Y700" s="11">
        <v>0.0013620824654067755</v>
      </c>
      <c r="Z700" s="11">
        <v>0.2712283554075168</v>
      </c>
    </row>
    <row r="701" ht="22.5" customHeight="1">
      <c r="Q701" s="9" t="s">
        <v>739</v>
      </c>
      <c r="R701" s="10">
        <v>0.6475528787679258</v>
      </c>
      <c r="S701" s="10">
        <v>0.02820337058263709</v>
      </c>
      <c r="T701" s="10">
        <v>21.541853552140857</v>
      </c>
      <c r="U701" s="11">
        <v>0.028665721849768754</v>
      </c>
      <c r="V701" s="11">
        <v>0.1775381525780539</v>
      </c>
      <c r="W701" s="11">
        <v>0.184378347402795</v>
      </c>
      <c r="X701" s="11">
        <v>0.3868960390169199</v>
      </c>
      <c r="Y701" s="11">
        <v>0.029986804626241346</v>
      </c>
      <c r="Z701" s="11">
        <v>0.19253493452622125</v>
      </c>
    </row>
    <row r="702" ht="22.5" customHeight="1">
      <c r="Q702" s="9" t="s">
        <v>740</v>
      </c>
      <c r="R702" s="10">
        <v>0.3146945498273764</v>
      </c>
      <c r="S702" s="10">
        <v>0.012751722010376408</v>
      </c>
      <c r="T702" s="10">
        <v>21.541761152246757</v>
      </c>
      <c r="U702" s="11">
        <v>0.29221108080421676</v>
      </c>
      <c r="V702" s="11">
        <v>0.08508677076746896</v>
      </c>
      <c r="W702" s="11">
        <v>0.02642810850225398</v>
      </c>
      <c r="X702" s="11">
        <v>0.3091522448077458</v>
      </c>
      <c r="Y702" s="11">
        <v>0.11110567977187868</v>
      </c>
      <c r="Z702" s="11">
        <v>0.1760161153464358</v>
      </c>
    </row>
    <row r="703" ht="22.5" customHeight="1">
      <c r="Q703" s="9" t="s">
        <v>741</v>
      </c>
      <c r="R703" s="10">
        <v>0.5920535820094702</v>
      </c>
      <c r="S703" s="10">
        <v>0.025627334723405972</v>
      </c>
      <c r="T703" s="10">
        <v>21.541591740528066</v>
      </c>
      <c r="U703" s="11">
        <v>0.24585411532688983</v>
      </c>
      <c r="V703" s="11">
        <v>0.1862729164355968</v>
      </c>
      <c r="W703" s="11">
        <v>0.1407846843202527</v>
      </c>
      <c r="X703" s="11">
        <v>0.21043352137580315</v>
      </c>
      <c r="Y703" s="11">
        <v>0.10292555872888484</v>
      </c>
      <c r="Z703" s="11">
        <v>0.11372920381257273</v>
      </c>
    </row>
    <row r="704" ht="22.5" customHeight="1">
      <c r="Q704" s="9" t="s">
        <v>742</v>
      </c>
      <c r="R704" s="10">
        <v>0.6053778053892804</v>
      </c>
      <c r="S704" s="10">
        <v>0.02624609366249295</v>
      </c>
      <c r="T704" s="10">
        <v>21.541407748507545</v>
      </c>
      <c r="U704" s="11">
        <v>0.12593602817354052</v>
      </c>
      <c r="V704" s="11">
        <v>0.19049702162427057</v>
      </c>
      <c r="W704" s="11">
        <v>0.14373650752793452</v>
      </c>
      <c r="X704" s="11">
        <v>0.22130984339162796</v>
      </c>
      <c r="Y704" s="11">
        <v>0.20522346511534612</v>
      </c>
      <c r="Z704" s="11">
        <v>0.11329713416728024</v>
      </c>
    </row>
    <row r="705" ht="22.5" customHeight="1">
      <c r="Q705" s="9" t="s">
        <v>743</v>
      </c>
      <c r="R705" s="10">
        <v>0.5589045820114041</v>
      </c>
      <c r="S705" s="10">
        <v>0.024089927579531593</v>
      </c>
      <c r="T705" s="10">
        <v>21.540313074759926</v>
      </c>
      <c r="U705" s="11">
        <v>0.21873929127168606</v>
      </c>
      <c r="V705" s="11">
        <v>0.18573889264768403</v>
      </c>
      <c r="W705" s="11">
        <v>0.11006854724062126</v>
      </c>
      <c r="X705" s="11">
        <v>0.21474003837397465</v>
      </c>
      <c r="Y705" s="11">
        <v>0.20895286639581426</v>
      </c>
      <c r="Z705" s="11">
        <v>0.06176036407021975</v>
      </c>
    </row>
    <row r="706" ht="22.5" customHeight="1">
      <c r="Q706" s="9" t="s">
        <v>744</v>
      </c>
      <c r="R706" s="10">
        <v>0.6081051605098187</v>
      </c>
      <c r="S706" s="10">
        <v>0.02637483990272416</v>
      </c>
      <c r="T706" s="10">
        <v>21.539662898622606</v>
      </c>
      <c r="U706" s="11">
        <v>0.08168262047257534</v>
      </c>
      <c r="V706" s="11">
        <v>0.20837105881236537</v>
      </c>
      <c r="W706" s="11">
        <v>0.11700749297232378</v>
      </c>
      <c r="X706" s="11">
        <v>0.3151989392153272</v>
      </c>
      <c r="Y706" s="11">
        <v>0.2028928191645017</v>
      </c>
      <c r="Z706" s="11">
        <v>0.07484706936290658</v>
      </c>
    </row>
    <row r="707" ht="22.5" customHeight="1">
      <c r="Q707" s="9" t="s">
        <v>745</v>
      </c>
      <c r="R707" s="10">
        <v>0.48915296615696585</v>
      </c>
      <c r="S707" s="10">
        <v>0.02085393147271048</v>
      </c>
      <c r="T707" s="10">
        <v>21.538047477749164</v>
      </c>
      <c r="U707" s="11">
        <v>0.10090218735756536</v>
      </c>
      <c r="V707" s="11">
        <v>0.16142935114249737</v>
      </c>
      <c r="W707" s="11">
        <v>0.09320802073667848</v>
      </c>
      <c r="X707" s="11">
        <v>0.19457764298515653</v>
      </c>
      <c r="Y707" s="11">
        <v>0.21046411184529581</v>
      </c>
      <c r="Z707" s="11">
        <v>0.23941868593280632</v>
      </c>
    </row>
    <row r="708" ht="22.5" customHeight="1">
      <c r="Q708" s="9" t="s">
        <v>746</v>
      </c>
      <c r="R708" s="10">
        <v>0.3223135588442544</v>
      </c>
      <c r="S708" s="10">
        <v>0.013107728151288908</v>
      </c>
      <c r="T708" s="10">
        <v>21.537947353332466</v>
      </c>
      <c r="U708" s="11">
        <v>0.2066508804183466</v>
      </c>
      <c r="V708" s="11">
        <v>0.07738412031406718</v>
      </c>
      <c r="W708" s="11">
        <v>0.05192072824738568</v>
      </c>
      <c r="X708" s="11">
        <v>0.16777483991440606</v>
      </c>
      <c r="Y708" s="11">
        <v>0.27163365408797213</v>
      </c>
      <c r="Z708" s="11">
        <v>0.2246357770178224</v>
      </c>
    </row>
    <row r="709" ht="22.5" customHeight="1">
      <c r="Q709" s="9" t="s">
        <v>747</v>
      </c>
      <c r="R709" s="10">
        <v>0.43032862482644907</v>
      </c>
      <c r="S709" s="10">
        <v>0.018122933065018176</v>
      </c>
      <c r="T709" s="10">
        <v>21.537828530630158</v>
      </c>
      <c r="U709" s="11">
        <v>0.20983243762273793</v>
      </c>
      <c r="V709" s="11">
        <v>0.07690171316713712</v>
      </c>
      <c r="W709" s="11">
        <v>0.12699793839482004</v>
      </c>
      <c r="X709" s="11">
        <v>0.2286291882546569</v>
      </c>
      <c r="Y709" s="11">
        <v>0.22609245291273633</v>
      </c>
      <c r="Z709" s="11">
        <v>0.13154626964791177</v>
      </c>
    </row>
    <row r="710" ht="22.5" customHeight="1">
      <c r="Q710" s="9" t="s">
        <v>748</v>
      </c>
      <c r="R710" s="10">
        <v>0.5307102448969888</v>
      </c>
      <c r="S710" s="10">
        <v>0.02278380065992711</v>
      </c>
      <c r="T710" s="10">
        <v>21.537681628336312</v>
      </c>
      <c r="U710" s="11">
        <v>0.15179295230221926</v>
      </c>
      <c r="V710" s="11">
        <v>0.17134663946216686</v>
      </c>
      <c r="W710" s="11">
        <v>0.11480651141417395</v>
      </c>
      <c r="X710" s="11">
        <v>0.18363523970750906</v>
      </c>
      <c r="Y710" s="11">
        <v>0.17348172417622149</v>
      </c>
      <c r="Z710" s="11">
        <v>0.20493693293770943</v>
      </c>
    </row>
    <row r="711" ht="22.5" customHeight="1">
      <c r="Q711" s="9" t="s">
        <v>749</v>
      </c>
      <c r="R711" s="10">
        <v>0.5270037273723615</v>
      </c>
      <c r="S711" s="10">
        <v>0.02261321100380809</v>
      </c>
      <c r="T711" s="10">
        <v>21.5362483147727</v>
      </c>
      <c r="U711" s="11">
        <v>0.18795100638719203</v>
      </c>
      <c r="V711" s="11">
        <v>0.14710847332386412</v>
      </c>
      <c r="W711" s="11">
        <v>0.1330157067757148</v>
      </c>
      <c r="X711" s="11">
        <v>0.15011996903440356</v>
      </c>
      <c r="Y711" s="11">
        <v>0.26934182292762143</v>
      </c>
      <c r="Z711" s="11">
        <v>0.11246302155120402</v>
      </c>
    </row>
    <row r="712" ht="22.5" customHeight="1">
      <c r="Q712" s="9" t="s">
        <v>750</v>
      </c>
      <c r="R712" s="10">
        <v>0.5644870202288675</v>
      </c>
      <c r="S712" s="10">
        <v>0.024354685943200928</v>
      </c>
      <c r="T712" s="10">
        <v>21.53536372639155</v>
      </c>
      <c r="U712" s="11">
        <v>0.14330558950751754</v>
      </c>
      <c r="V712" s="11">
        <v>0.15707208883922266</v>
      </c>
      <c r="W712" s="11">
        <v>0.15494023401764076</v>
      </c>
      <c r="X712" s="11">
        <v>0.2049901072159899</v>
      </c>
      <c r="Y712" s="11">
        <v>0.13701831270903528</v>
      </c>
      <c r="Z712" s="11">
        <v>0.2026736677105939</v>
      </c>
    </row>
    <row r="713" ht="22.5" customHeight="1">
      <c r="Q713" s="9" t="s">
        <v>751</v>
      </c>
      <c r="R713" s="10">
        <v>0.5317064367897811</v>
      </c>
      <c r="S713" s="10">
        <v>0.022832647394321042</v>
      </c>
      <c r="T713" s="10">
        <v>21.535235415236116</v>
      </c>
      <c r="U713" s="11">
        <v>0.19994450131961405</v>
      </c>
      <c r="V713" s="11">
        <v>0.15219044810025043</v>
      </c>
      <c r="W713" s="11">
        <v>0.13651235337500206</v>
      </c>
      <c r="X713" s="11">
        <v>0.15465718618327276</v>
      </c>
      <c r="Y713" s="11">
        <v>0.17884036902570702</v>
      </c>
      <c r="Z713" s="11">
        <v>0.17785514199615388</v>
      </c>
    </row>
    <row r="714" ht="22.5" customHeight="1">
      <c r="Q714" s="9" t="s">
        <v>752</v>
      </c>
      <c r="R714" s="10">
        <v>0.4050631323030373</v>
      </c>
      <c r="S714" s="10">
        <v>0.01695211572425641</v>
      </c>
      <c r="T714" s="10">
        <v>21.534959897700354</v>
      </c>
      <c r="U714" s="11">
        <v>0.1724953887307552</v>
      </c>
      <c r="V714" s="11">
        <v>0.13349959054605973</v>
      </c>
      <c r="W714" s="11">
        <v>0.048806272649415706</v>
      </c>
      <c r="X714" s="11">
        <v>0.25392445623386195</v>
      </c>
      <c r="Y714" s="11">
        <v>0.21003375352218226</v>
      </c>
      <c r="Z714" s="11">
        <v>0.18124053831772519</v>
      </c>
    </row>
    <row r="715" ht="22.5" customHeight="1">
      <c r="Q715" s="9" t="s">
        <v>753</v>
      </c>
      <c r="R715" s="10">
        <v>0.43656416790405306</v>
      </c>
      <c r="S715" s="10">
        <v>0.018415228301338713</v>
      </c>
      <c r="T715" s="10">
        <v>21.534577872989196</v>
      </c>
      <c r="U715" s="11">
        <v>0.10376742930006834</v>
      </c>
      <c r="V715" s="11">
        <v>0.15000748229378577</v>
      </c>
      <c r="W715" s="11">
        <v>0.058058799197470055</v>
      </c>
      <c r="X715" s="11">
        <v>0.32366016355076055</v>
      </c>
      <c r="Y715" s="11">
        <v>0.08752751388901288</v>
      </c>
      <c r="Z715" s="11">
        <v>0.2769786117689024</v>
      </c>
    </row>
    <row r="716" ht="22.5" customHeight="1">
      <c r="Q716" s="9" t="s">
        <v>754</v>
      </c>
      <c r="R716" s="10">
        <v>0.5135571124465166</v>
      </c>
      <c r="S716" s="10">
        <v>0.021991004961823064</v>
      </c>
      <c r="T716" s="10">
        <v>21.534127852211558</v>
      </c>
      <c r="U716" s="11">
        <v>0.19438180236835326</v>
      </c>
      <c r="V716" s="11">
        <v>0.12069757115168843</v>
      </c>
      <c r="W716" s="11">
        <v>0.14843749061866918</v>
      </c>
      <c r="X716" s="11">
        <v>0.1885293158286881</v>
      </c>
      <c r="Y716" s="11">
        <v>0.22719790127706266</v>
      </c>
      <c r="Z716" s="11">
        <v>0.12075591875553848</v>
      </c>
    </row>
    <row r="717" ht="22.5" customHeight="1">
      <c r="Q717" s="9" t="s">
        <v>755</v>
      </c>
      <c r="R717" s="10">
        <v>0.4532512754447618</v>
      </c>
      <c r="S717" s="10">
        <v>0.019191937541211502</v>
      </c>
      <c r="T717" s="10">
        <v>21.532545870231875</v>
      </c>
      <c r="U717" s="11">
        <v>0.15304520744793554</v>
      </c>
      <c r="V717" s="11">
        <v>0.07152173446430496</v>
      </c>
      <c r="W717" s="11">
        <v>0.14193174590403898</v>
      </c>
      <c r="X717" s="11">
        <v>0.38107845419356745</v>
      </c>
      <c r="Y717" s="11">
        <v>0.09361610918428839</v>
      </c>
      <c r="Z717" s="11">
        <v>0.15880674880586473</v>
      </c>
    </row>
    <row r="718" ht="22.5" customHeight="1">
      <c r="Q718" s="9" t="s">
        <v>756</v>
      </c>
      <c r="R718" s="10">
        <v>0.592755554976121</v>
      </c>
      <c r="S718" s="10">
        <v>0.025672630585476048</v>
      </c>
      <c r="T718" s="10">
        <v>21.53092777679102</v>
      </c>
      <c r="U718" s="11">
        <v>0.1539663453275478</v>
      </c>
      <c r="V718" s="11">
        <v>0.19652031014793397</v>
      </c>
      <c r="W718" s="11">
        <v>0.12810996057535226</v>
      </c>
      <c r="X718" s="11">
        <v>0.23843208162457932</v>
      </c>
      <c r="Y718" s="11">
        <v>0.1532739099943748</v>
      </c>
      <c r="Z718" s="11">
        <v>0.12969739233021185</v>
      </c>
    </row>
    <row r="719" ht="22.5" customHeight="1">
      <c r="Q719" s="9" t="s">
        <v>757</v>
      </c>
      <c r="R719" s="10">
        <v>0.5187252000301897</v>
      </c>
      <c r="S719" s="10">
        <v>0.0222344393585154</v>
      </c>
      <c r="T719" s="10">
        <v>21.530796990698416</v>
      </c>
      <c r="U719" s="11">
        <v>0.269496262769521</v>
      </c>
      <c r="V719" s="11">
        <v>0.1748005532694523</v>
      </c>
      <c r="W719" s="11">
        <v>0.09051503013440226</v>
      </c>
      <c r="X719" s="11">
        <v>0.21960084638801222</v>
      </c>
      <c r="Y719" s="11">
        <v>0.1821530884219628</v>
      </c>
      <c r="Z719" s="11">
        <v>0.06343421901664938</v>
      </c>
    </row>
    <row r="720" ht="22.5" customHeight="1">
      <c r="Q720" s="9" t="s">
        <v>758</v>
      </c>
      <c r="R720" s="10">
        <v>0.56946008589101</v>
      </c>
      <c r="S720" s="10">
        <v>0.024591069688609</v>
      </c>
      <c r="T720" s="10">
        <v>21.530583768637968</v>
      </c>
      <c r="U720" s="11">
        <v>0.10781092115675049</v>
      </c>
      <c r="V720" s="11">
        <v>0.19073855805153114</v>
      </c>
      <c r="W720" s="11">
        <v>0.11502741731411889</v>
      </c>
      <c r="X720" s="11">
        <v>0.23929035387854444</v>
      </c>
      <c r="Y720" s="11">
        <v>0.21323202771756516</v>
      </c>
      <c r="Z720" s="11">
        <v>0.13390072188149002</v>
      </c>
    </row>
    <row r="721" ht="22.5" customHeight="1">
      <c r="Q721" s="9" t="s">
        <v>759</v>
      </c>
      <c r="R721" s="10">
        <v>0.4925322638542931</v>
      </c>
      <c r="S721" s="10">
        <v>0.021018118900443066</v>
      </c>
      <c r="T721" s="10">
        <v>21.530578735319345</v>
      </c>
      <c r="U721" s="11">
        <v>0.1720022940364746</v>
      </c>
      <c r="V721" s="11">
        <v>0.1542853127143364</v>
      </c>
      <c r="W721" s="11">
        <v>0.103635705627323</v>
      </c>
      <c r="X721" s="11">
        <v>0.1498638337873645</v>
      </c>
      <c r="Y721" s="11">
        <v>0.23331484936290672</v>
      </c>
      <c r="Z721" s="11">
        <v>0.18689800447159477</v>
      </c>
    </row>
    <row r="722" ht="22.5" customHeight="1">
      <c r="Q722" s="9" t="s">
        <v>760</v>
      </c>
      <c r="R722" s="10">
        <v>0.5704620249093204</v>
      </c>
      <c r="S722" s="10">
        <v>0.024639448828118457</v>
      </c>
      <c r="T722" s="10">
        <v>21.528972852020896</v>
      </c>
      <c r="U722" s="11">
        <v>0.1177099798009879</v>
      </c>
      <c r="V722" s="11">
        <v>0.1249190572728084</v>
      </c>
      <c r="W722" s="11">
        <v>0.17248993080386957</v>
      </c>
      <c r="X722" s="11">
        <v>0.29356430719184273</v>
      </c>
      <c r="Y722" s="11">
        <v>0.27565601127240286</v>
      </c>
      <c r="Z722" s="11">
        <v>0.015660713658088642</v>
      </c>
    </row>
    <row r="723" ht="22.5" customHeight="1">
      <c r="Q723" s="9" t="s">
        <v>761</v>
      </c>
      <c r="R723" s="10">
        <v>0.4965015108145179</v>
      </c>
      <c r="S723" s="10">
        <v>0.02120406207299199</v>
      </c>
      <c r="T723" s="10">
        <v>21.528965027694973</v>
      </c>
      <c r="U723" s="11">
        <v>0.22949169115594523</v>
      </c>
      <c r="V723" s="11">
        <v>0.16482620801891668</v>
      </c>
      <c r="W723" s="11">
        <v>0.09705213886347293</v>
      </c>
      <c r="X723" s="11">
        <v>0.22575954560194492</v>
      </c>
      <c r="Y723" s="11">
        <v>0.030788801003988484</v>
      </c>
      <c r="Z723" s="11">
        <v>0.25208161535573176</v>
      </c>
    </row>
    <row r="724" ht="22.5" customHeight="1">
      <c r="Q724" s="9" t="s">
        <v>762</v>
      </c>
      <c r="R724" s="10">
        <v>0.6020010248665819</v>
      </c>
      <c r="S724" s="10">
        <v>0.026104657242057173</v>
      </c>
      <c r="T724" s="10">
        <v>21.52876475854059</v>
      </c>
      <c r="U724" s="11">
        <v>0.182656411149104</v>
      </c>
      <c r="V724" s="11">
        <v>0.18640259644440615</v>
      </c>
      <c r="W724" s="11">
        <v>0.15041263167728383</v>
      </c>
      <c r="X724" s="11">
        <v>0.24023742481772137</v>
      </c>
      <c r="Y724" s="11">
        <v>0.062113764869796424</v>
      </c>
      <c r="Z724" s="11">
        <v>0.17817717104168818</v>
      </c>
    </row>
    <row r="725" ht="22.5" customHeight="1">
      <c r="Q725" s="9" t="s">
        <v>763</v>
      </c>
      <c r="R725" s="10">
        <v>0.6404221951338533</v>
      </c>
      <c r="S725" s="10">
        <v>0.027890311275039884</v>
      </c>
      <c r="T725" s="10">
        <v>21.527984726050523</v>
      </c>
      <c r="U725" s="11">
        <v>0.10705113521739394</v>
      </c>
      <c r="V725" s="11">
        <v>0.20646302553031423</v>
      </c>
      <c r="W725" s="11">
        <v>0.15120475242880915</v>
      </c>
      <c r="X725" s="11">
        <v>0.27041592151835564</v>
      </c>
      <c r="Y725" s="11">
        <v>0.15116311874164876</v>
      </c>
      <c r="Z725" s="11">
        <v>0.11370204656347833</v>
      </c>
    </row>
    <row r="726" ht="22.5" customHeight="1">
      <c r="Q726" s="9" t="s">
        <v>764</v>
      </c>
      <c r="R726" s="10">
        <v>0.31652829543786115</v>
      </c>
      <c r="S726" s="10">
        <v>0.012845354281565295</v>
      </c>
      <c r="T726" s="10">
        <v>21.527494639421054</v>
      </c>
      <c r="U726" s="11">
        <v>0.30221934905203385</v>
      </c>
      <c r="V726" s="11">
        <v>0.03487724826917514</v>
      </c>
      <c r="W726" s="11">
        <v>0.07573993788659349</v>
      </c>
      <c r="X726" s="11">
        <v>0.3138095137721982</v>
      </c>
      <c r="Y726" s="11">
        <v>0.1599390485405417</v>
      </c>
      <c r="Z726" s="11">
        <v>0.11341490247945779</v>
      </c>
    </row>
    <row r="727" ht="22.5" customHeight="1">
      <c r="Q727" s="9" t="s">
        <v>765</v>
      </c>
      <c r="R727" s="10">
        <v>0.42840405289763756</v>
      </c>
      <c r="S727" s="10">
        <v>0.018042300975274733</v>
      </c>
      <c r="T727" s="10">
        <v>21.527412353330575</v>
      </c>
      <c r="U727" s="11">
        <v>0.3014780498032608</v>
      </c>
      <c r="V727" s="11">
        <v>0.09133815449599411</v>
      </c>
      <c r="W727" s="11">
        <v>0.11870839545048316</v>
      </c>
      <c r="X727" s="11">
        <v>0.15550731130798623</v>
      </c>
      <c r="Y727" s="11">
        <v>0.17846841975266828</v>
      </c>
      <c r="Z727" s="11">
        <v>0.15449966918960742</v>
      </c>
    </row>
    <row r="728" ht="22.5" customHeight="1">
      <c r="Q728" s="9" t="s">
        <v>766</v>
      </c>
      <c r="R728" s="10">
        <v>0.522331348251574</v>
      </c>
      <c r="S728" s="10">
        <v>0.01998364565392568</v>
      </c>
      <c r="T728" s="10">
        <v>21.52632039673083</v>
      </c>
      <c r="U728" s="11">
        <v>0.401416193023765</v>
      </c>
      <c r="V728" s="11">
        <v>0.09773359506635462</v>
      </c>
      <c r="W728" s="11">
        <v>0.13579323345332353</v>
      </c>
      <c r="X728" s="11">
        <v>0.20282770144031242</v>
      </c>
      <c r="Y728" s="11">
        <v>0.1129795874993802</v>
      </c>
      <c r="Z728" s="11">
        <v>0.04924968951686433</v>
      </c>
    </row>
    <row r="729" ht="22.5" customHeight="1">
      <c r="Q729" s="9" t="s">
        <v>767</v>
      </c>
      <c r="R729" s="10">
        <v>0.6222299019953059</v>
      </c>
      <c r="S729" s="10">
        <v>0.02704756647413619</v>
      </c>
      <c r="T729" s="10">
        <v>21.526147372705566</v>
      </c>
      <c r="U729" s="11">
        <v>0.13536388741334027</v>
      </c>
      <c r="V729" s="11">
        <v>0.19227100654610335</v>
      </c>
      <c r="W729" s="11">
        <v>0.15229420619050965</v>
      </c>
      <c r="X729" s="11">
        <v>0.22233738641907114</v>
      </c>
      <c r="Y729" s="11">
        <v>0.22353457758256295</v>
      </c>
      <c r="Z729" s="11">
        <v>0.07419893584841265</v>
      </c>
    </row>
    <row r="730" ht="22.5" customHeight="1">
      <c r="Q730" s="9" t="s">
        <v>768</v>
      </c>
      <c r="R730" s="10">
        <v>0.6105062222921508</v>
      </c>
      <c r="S730" s="10">
        <v>0.026503115021205382</v>
      </c>
      <c r="T730" s="10">
        <v>21.526006351920653</v>
      </c>
      <c r="U730" s="11">
        <v>0.01695234146067427</v>
      </c>
      <c r="V730" s="11">
        <v>0.19310091693852854</v>
      </c>
      <c r="W730" s="11">
        <v>0.1403224828524968</v>
      </c>
      <c r="X730" s="11">
        <v>0.2573165902428651</v>
      </c>
      <c r="Y730" s="11">
        <v>0.28125923529918817</v>
      </c>
      <c r="Z730" s="11">
        <v>0.11104843320624722</v>
      </c>
    </row>
    <row r="731" ht="22.5" customHeight="1">
      <c r="Q731" s="9" t="s">
        <v>769</v>
      </c>
      <c r="R731" s="10">
        <v>0.408881182492815</v>
      </c>
      <c r="S731" s="10">
        <v>0.017137322265230192</v>
      </c>
      <c r="T731" s="10">
        <v>21.52501871551052</v>
      </c>
      <c r="U731" s="11">
        <v>0.1789074372494319</v>
      </c>
      <c r="V731" s="11">
        <v>0.09637355994543516</v>
      </c>
      <c r="W731" s="11">
        <v>0.11055025783148895</v>
      </c>
      <c r="X731" s="11">
        <v>0.16079084367128454</v>
      </c>
      <c r="Y731" s="11">
        <v>0.10267794867816327</v>
      </c>
      <c r="Z731" s="11">
        <v>0.3506999526241961</v>
      </c>
    </row>
    <row r="732" ht="22.5" customHeight="1">
      <c r="Q732" s="9" t="s">
        <v>770</v>
      </c>
      <c r="R732" s="10">
        <v>0.631788920590656</v>
      </c>
      <c r="S732" s="10">
        <v>0.02749333310542572</v>
      </c>
      <c r="T732" s="10">
        <v>21.524815427848882</v>
      </c>
      <c r="U732" s="11">
        <v>0.19903376264720313</v>
      </c>
      <c r="V732" s="11">
        <v>0.2074414444705695</v>
      </c>
      <c r="W732" s="11">
        <v>0.14096074772796502</v>
      </c>
      <c r="X732" s="11">
        <v>0.2500577207655317</v>
      </c>
      <c r="Y732" s="11">
        <v>0.15910732492403867</v>
      </c>
      <c r="Z732" s="11">
        <v>0.04339899946469193</v>
      </c>
    </row>
    <row r="733" ht="22.5" customHeight="1">
      <c r="Q733" s="9" t="s">
        <v>771</v>
      </c>
      <c r="R733" s="10">
        <v>0.6145326653721319</v>
      </c>
      <c r="S733" s="10">
        <v>0.02669227659645363</v>
      </c>
      <c r="T733" s="10">
        <v>21.524303605053493</v>
      </c>
      <c r="U733" s="11">
        <v>0.07618014110425832</v>
      </c>
      <c r="V733" s="11">
        <v>0.16594946886315073</v>
      </c>
      <c r="W733" s="11">
        <v>0.17511629214394991</v>
      </c>
      <c r="X733" s="11">
        <v>0.26197759915039454</v>
      </c>
      <c r="Y733" s="11">
        <v>0.18332191642965556</v>
      </c>
      <c r="Z733" s="11">
        <v>0.13745458230859095</v>
      </c>
    </row>
    <row r="734" ht="22.5" customHeight="1">
      <c r="Q734" s="9" t="s">
        <v>772</v>
      </c>
      <c r="R734" s="10">
        <v>0.5638625908131115</v>
      </c>
      <c r="S734" s="10">
        <v>0.024338918798945647</v>
      </c>
      <c r="T734" s="10">
        <v>21.52365908857895</v>
      </c>
      <c r="U734" s="11">
        <v>0.17106033417177952</v>
      </c>
      <c r="V734" s="11">
        <v>0.18033094994296006</v>
      </c>
      <c r="W734" s="11">
        <v>0.1305729517830993</v>
      </c>
      <c r="X734" s="11">
        <v>0.206157238381026</v>
      </c>
      <c r="Y734" s="11">
        <v>0.10736477410621531</v>
      </c>
      <c r="Z734" s="11">
        <v>0.20451375161491978</v>
      </c>
    </row>
    <row r="735" ht="22.5" customHeight="1">
      <c r="Q735" s="9" t="s">
        <v>773</v>
      </c>
      <c r="R735" s="10">
        <v>0.32158238302873915</v>
      </c>
      <c r="S735" s="10">
        <v>0.013082479544033129</v>
      </c>
      <c r="T735" s="10">
        <v>21.523624942885377</v>
      </c>
      <c r="U735" s="11">
        <v>0.1783956963434164</v>
      </c>
      <c r="V735" s="11">
        <v>0.05229545426290426</v>
      </c>
      <c r="W735" s="11">
        <v>0.07849184613529583</v>
      </c>
      <c r="X735" s="11">
        <v>0.20092992866740372</v>
      </c>
      <c r="Y735" s="11">
        <v>0.22148933974707335</v>
      </c>
      <c r="Z735" s="11">
        <v>0.26839773484390644</v>
      </c>
    </row>
    <row r="736" ht="22.5" customHeight="1">
      <c r="Q736" s="9" t="s">
        <v>774</v>
      </c>
      <c r="R736" s="10">
        <v>0.5259717140249105</v>
      </c>
      <c r="S736" s="10">
        <v>0.02257900729418415</v>
      </c>
      <c r="T736" s="10">
        <v>21.523165642011463</v>
      </c>
      <c r="U736" s="11">
        <v>0.29090434571002</v>
      </c>
      <c r="V736" s="11">
        <v>0.17212707518562512</v>
      </c>
      <c r="W736" s="11">
        <v>0.10183843767893248</v>
      </c>
      <c r="X736" s="11">
        <v>0.18408656093750078</v>
      </c>
      <c r="Y736" s="11">
        <v>0.1876643710172869</v>
      </c>
      <c r="Z736" s="11">
        <v>0.06337920947063487</v>
      </c>
    </row>
    <row r="737" ht="22.5" customHeight="1">
      <c r="Q737" s="9" t="s">
        <v>775</v>
      </c>
      <c r="R737" s="10">
        <v>0.28095174630681846</v>
      </c>
      <c r="S737" s="10">
        <v>0.011195434032158145</v>
      </c>
      <c r="T737" s="10">
        <v>21.52232290545418</v>
      </c>
      <c r="U737" s="11">
        <v>0.30352287534155137</v>
      </c>
      <c r="V737" s="11">
        <v>0.0462572906600371</v>
      </c>
      <c r="W737" s="11">
        <v>0.038919553543109185</v>
      </c>
      <c r="X737" s="11">
        <v>0.2817271714199248</v>
      </c>
      <c r="Y737" s="11">
        <v>0.19946280931005886</v>
      </c>
      <c r="Z737" s="11">
        <v>0.13011029972531857</v>
      </c>
    </row>
    <row r="738" ht="22.5" customHeight="1">
      <c r="Q738" s="9" t="s">
        <v>776</v>
      </c>
      <c r="R738" s="10">
        <v>0.6020446558690531</v>
      </c>
      <c r="S738" s="10">
        <v>0.026115117312529593</v>
      </c>
      <c r="T738" s="10">
        <v>21.52181241013968</v>
      </c>
      <c r="U738" s="11">
        <v>0.22608802438211242</v>
      </c>
      <c r="V738" s="11">
        <v>0.20002041138933568</v>
      </c>
      <c r="W738" s="11">
        <v>0.13005081249858277</v>
      </c>
      <c r="X738" s="11">
        <v>0.2433190838892549</v>
      </c>
      <c r="Y738" s="11">
        <v>0.10755825062202569</v>
      </c>
      <c r="Z738" s="11">
        <v>0.09296341721868867</v>
      </c>
    </row>
    <row r="739" ht="22.5" customHeight="1">
      <c r="Q739" s="9" t="s">
        <v>777</v>
      </c>
      <c r="R739" s="10">
        <v>0.4651759415221409</v>
      </c>
      <c r="S739" s="10">
        <v>0.019755713176089162</v>
      </c>
      <c r="T739" s="10">
        <v>21.521670097779214</v>
      </c>
      <c r="U739" s="11">
        <v>0.17637020220509345</v>
      </c>
      <c r="V739" s="11">
        <v>0.12020275889773425</v>
      </c>
      <c r="W739" s="11">
        <v>0.12727812727078458</v>
      </c>
      <c r="X739" s="11">
        <v>0.19878705088477766</v>
      </c>
      <c r="Y739" s="11">
        <v>0.03130708445674004</v>
      </c>
      <c r="Z739" s="11">
        <v>0.34605477628486997</v>
      </c>
    </row>
    <row r="740" ht="22.5" customHeight="1">
      <c r="Q740" s="9" t="s">
        <v>778</v>
      </c>
      <c r="R740" s="10">
        <v>0.6097655916917075</v>
      </c>
      <c r="S740" s="10">
        <v>0.026475975953640946</v>
      </c>
      <c r="T740" s="10">
        <v>21.520097793160065</v>
      </c>
      <c r="U740" s="11">
        <v>0.2304152267320138</v>
      </c>
      <c r="V740" s="11">
        <v>0.20727240109393621</v>
      </c>
      <c r="W740" s="11">
        <v>0.12498499466413267</v>
      </c>
      <c r="X740" s="11">
        <v>0.2934993686395144</v>
      </c>
      <c r="Y740" s="11">
        <v>0.05560346355379234</v>
      </c>
      <c r="Z740" s="11">
        <v>0.0882245453166105</v>
      </c>
    </row>
    <row r="741" ht="22.5" customHeight="1">
      <c r="Q741" s="9" t="s">
        <v>779</v>
      </c>
      <c r="R741" s="10">
        <v>0.5064485759310243</v>
      </c>
      <c r="S741" s="10">
        <v>0.021675822181856177</v>
      </c>
      <c r="T741" s="10">
        <v>21.519302567515375</v>
      </c>
      <c r="U741" s="11">
        <v>0.12286399807754675</v>
      </c>
      <c r="V741" s="11">
        <v>0.16897791563975498</v>
      </c>
      <c r="W741" s="11">
        <v>0.09608922344558818</v>
      </c>
      <c r="X741" s="11">
        <v>0.20054553209675208</v>
      </c>
      <c r="Y741" s="11">
        <v>0.2096547804320356</v>
      </c>
      <c r="Z741" s="11">
        <v>0.20186855030832238</v>
      </c>
    </row>
    <row r="742" ht="22.5" customHeight="1">
      <c r="Q742" s="9" t="s">
        <v>780</v>
      </c>
      <c r="R742" s="10">
        <v>0.42489815288007404</v>
      </c>
      <c r="S742" s="10">
        <v>0.017886311267870447</v>
      </c>
      <c r="T742" s="10">
        <v>21.5191465202484</v>
      </c>
      <c r="U742" s="11">
        <v>0.22996021736145983</v>
      </c>
      <c r="V742" s="11">
        <v>0.05970070177425087</v>
      </c>
      <c r="W742" s="11">
        <v>0.1286823835978303</v>
      </c>
      <c r="X742" s="11">
        <v>0.33228157468522496</v>
      </c>
      <c r="Y742" s="11">
        <v>0.19087188827196103</v>
      </c>
      <c r="Z742" s="11">
        <v>0.05850323430927322</v>
      </c>
    </row>
    <row r="743" ht="22.5" customHeight="1">
      <c r="Q743" s="9" t="s">
        <v>781</v>
      </c>
      <c r="R743" s="10">
        <v>0.41863338442045744</v>
      </c>
      <c r="S743" s="10">
        <v>0.017595576955830042</v>
      </c>
      <c r="T743" s="10">
        <v>21.51866832050669</v>
      </c>
      <c r="U743" s="11">
        <v>0.1654976747197296</v>
      </c>
      <c r="V743" s="11">
        <v>0.11014800385509826</v>
      </c>
      <c r="W743" s="11">
        <v>0.08106112779217957</v>
      </c>
      <c r="X743" s="11">
        <v>0.1755758018398488</v>
      </c>
      <c r="Y743" s="11">
        <v>0.3890120978148942</v>
      </c>
      <c r="Z743" s="11">
        <v>0.07870529397824942</v>
      </c>
    </row>
    <row r="744" ht="22.5" customHeight="1">
      <c r="Q744" s="9" t="s">
        <v>782</v>
      </c>
      <c r="R744" s="10">
        <v>0.5366559970175071</v>
      </c>
      <c r="S744" s="10">
        <v>0.02308044429752396</v>
      </c>
      <c r="T744" s="10">
        <v>21.5184764476474</v>
      </c>
      <c r="U744" s="11">
        <v>0.015680332118157787</v>
      </c>
      <c r="V744" s="11">
        <v>0.13640803668476462</v>
      </c>
      <c r="W744" s="11">
        <v>0.15050350214894442</v>
      </c>
      <c r="X744" s="11">
        <v>0.22476118431197628</v>
      </c>
      <c r="Y744" s="11">
        <v>0.27257463197770454</v>
      </c>
      <c r="Z744" s="11">
        <v>0.20007231275845241</v>
      </c>
    </row>
    <row r="745" ht="22.5" customHeight="1">
      <c r="Q745" s="9" t="s">
        <v>783</v>
      </c>
      <c r="R745" s="10">
        <v>0.5438075912849952</v>
      </c>
      <c r="S745" s="10">
        <v>0.023412829857714212</v>
      </c>
      <c r="T745" s="10">
        <v>21.518440715913602</v>
      </c>
      <c r="U745" s="11">
        <v>0.18829132579704325</v>
      </c>
      <c r="V745" s="11">
        <v>0.12887908227712164</v>
      </c>
      <c r="W745" s="11">
        <v>0.15660160129117157</v>
      </c>
      <c r="X745" s="11">
        <v>0.20545315314580592</v>
      </c>
      <c r="Y745" s="11">
        <v>0.2762803880968376</v>
      </c>
      <c r="Z745" s="11">
        <v>0.04449444939202014</v>
      </c>
    </row>
    <row r="746" ht="22.5" customHeight="1">
      <c r="Q746" s="9" t="s">
        <v>784</v>
      </c>
      <c r="R746" s="10">
        <v>0.5135340757868996</v>
      </c>
      <c r="S746" s="10">
        <v>0.022006009016560045</v>
      </c>
      <c r="T746" s="10">
        <v>21.518398698762415</v>
      </c>
      <c r="U746" s="11">
        <v>0.09873628302637186</v>
      </c>
      <c r="V746" s="11">
        <v>0.12606905274860886</v>
      </c>
      <c r="W746" s="11">
        <v>0.14573507369172975</v>
      </c>
      <c r="X746" s="11">
        <v>0.19213723336172614</v>
      </c>
      <c r="Y746" s="11">
        <v>0.2512783036483364</v>
      </c>
      <c r="Z746" s="11">
        <v>0.186044053523227</v>
      </c>
    </row>
    <row r="747" ht="22.5" customHeight="1">
      <c r="Q747" s="9" t="s">
        <v>785</v>
      </c>
      <c r="R747" s="10">
        <v>0.5869994263647399</v>
      </c>
      <c r="S747" s="10">
        <v>0.025421628457523694</v>
      </c>
      <c r="T747" s="10">
        <v>21.517088383173654</v>
      </c>
      <c r="U747" s="11">
        <v>0.09105352141809016</v>
      </c>
      <c r="V747" s="11">
        <v>0.20359597264969712</v>
      </c>
      <c r="W747" s="11">
        <v>0.1119740805675497</v>
      </c>
      <c r="X747" s="11">
        <v>0.34726444648210536</v>
      </c>
      <c r="Y747" s="11">
        <v>0.062311205650666834</v>
      </c>
      <c r="Z747" s="11">
        <v>0.18380077323189076</v>
      </c>
    </row>
    <row r="748" ht="22.5" customHeight="1">
      <c r="Q748" s="9" t="s">
        <v>786</v>
      </c>
      <c r="R748" s="10">
        <v>0.4661062102407418</v>
      </c>
      <c r="S748" s="10">
        <v>0.019803739243661963</v>
      </c>
      <c r="T748" s="10">
        <v>21.51645227186648</v>
      </c>
      <c r="U748" s="11">
        <v>0.19959471628542608</v>
      </c>
      <c r="V748" s="11">
        <v>0.09376183390678808</v>
      </c>
      <c r="W748" s="11">
        <v>0.1415220156214111</v>
      </c>
      <c r="X748" s="11">
        <v>0.22512236918455442</v>
      </c>
      <c r="Y748" s="11">
        <v>0.1598642178832399</v>
      </c>
      <c r="Z748" s="11">
        <v>0.18013484711858035</v>
      </c>
    </row>
    <row r="749" ht="22.5" customHeight="1">
      <c r="Q749" s="9" t="s">
        <v>787</v>
      </c>
      <c r="R749" s="10">
        <v>0.522331348251574</v>
      </c>
      <c r="S749" s="10">
        <v>0.017053038543621953</v>
      </c>
      <c r="T749" s="10">
        <v>21.51596861277698</v>
      </c>
      <c r="U749" s="11">
        <v>0.22478937527657425</v>
      </c>
      <c r="V749" s="11">
        <v>0.0883705599234939</v>
      </c>
      <c r="W749" s="11">
        <v>0.1109257180085163</v>
      </c>
      <c r="X749" s="11">
        <v>0.14585387801885272</v>
      </c>
      <c r="Y749" s="11">
        <v>0.18569898842328758</v>
      </c>
      <c r="Z749" s="11">
        <v>0.24436148034927516</v>
      </c>
    </row>
    <row r="750" ht="22.5" customHeight="1">
      <c r="Q750" s="9" t="s">
        <v>788</v>
      </c>
      <c r="R750" s="10">
        <v>0.5841116808258966</v>
      </c>
      <c r="S750" s="10">
        <v>0.02529005701337752</v>
      </c>
      <c r="T750" s="10">
        <v>21.514845954601103</v>
      </c>
      <c r="U750" s="11">
        <v>0.17567151016367447</v>
      </c>
      <c r="V750" s="11">
        <v>0.1837754048888052</v>
      </c>
      <c r="W750" s="11">
        <v>0.14168258637310807</v>
      </c>
      <c r="X750" s="11">
        <v>0.22538959280323942</v>
      </c>
      <c r="Y750" s="11">
        <v>0.07137621216575457</v>
      </c>
      <c r="Z750" s="11">
        <v>0.20210469360541827</v>
      </c>
    </row>
    <row r="751" ht="22.5" customHeight="1">
      <c r="Q751" s="9" t="s">
        <v>789</v>
      </c>
      <c r="R751" s="10">
        <v>0.42516532451380923</v>
      </c>
      <c r="S751" s="10">
        <v>0.01790273460386712</v>
      </c>
      <c r="T751" s="10">
        <v>21.51432912548515</v>
      </c>
      <c r="U751" s="11">
        <v>0.032292853862902315</v>
      </c>
      <c r="V751" s="11">
        <v>0.14011743139235475</v>
      </c>
      <c r="W751" s="11">
        <v>0.06339771544159933</v>
      </c>
      <c r="X751" s="11">
        <v>0.37174262978208084</v>
      </c>
      <c r="Y751" s="11">
        <v>0.007010081107005915</v>
      </c>
      <c r="Z751" s="11">
        <v>0.3854392884140567</v>
      </c>
    </row>
    <row r="752" ht="22.5" customHeight="1">
      <c r="Q752" s="9" t="s">
        <v>790</v>
      </c>
      <c r="R752" s="10">
        <v>0.5008460558899513</v>
      </c>
      <c r="S752" s="10">
        <v>0.021420478012118244</v>
      </c>
      <c r="T752" s="10">
        <v>21.51427506095971</v>
      </c>
      <c r="U752" s="11">
        <v>0.20886558818649875</v>
      </c>
      <c r="V752" s="11">
        <v>0.11746654753648958</v>
      </c>
      <c r="W752" s="11">
        <v>0.13518614961038428</v>
      </c>
      <c r="X752" s="11">
        <v>0.17804534096731864</v>
      </c>
      <c r="Y752" s="11">
        <v>0.33504858032513796</v>
      </c>
      <c r="Z752" s="11">
        <v>0.025387793374170704</v>
      </c>
    </row>
    <row r="753" ht="22.5" customHeight="1">
      <c r="Q753" s="9" t="s">
        <v>791</v>
      </c>
      <c r="R753" s="10">
        <v>0.6245606495200029</v>
      </c>
      <c r="S753" s="10">
        <v>0.027172355098246614</v>
      </c>
      <c r="T753" s="10">
        <v>21.513065297668053</v>
      </c>
      <c r="U753" s="11">
        <v>0.1350864424436281</v>
      </c>
      <c r="V753" s="11">
        <v>0.18574454840498358</v>
      </c>
      <c r="W753" s="11">
        <v>0.1572101566662416</v>
      </c>
      <c r="X753" s="11">
        <v>0.2173474803409444</v>
      </c>
      <c r="Y753" s="11">
        <v>0.28271794465456956</v>
      </c>
      <c r="Z753" s="11">
        <v>0.021893427489632907</v>
      </c>
    </row>
    <row r="754" ht="22.5" customHeight="1">
      <c r="Q754" s="9" t="s">
        <v>792</v>
      </c>
      <c r="R754" s="10">
        <v>0.5592492382419657</v>
      </c>
      <c r="S754" s="10">
        <v>0.024137623528184153</v>
      </c>
      <c r="T754" s="10">
        <v>21.512028209225626</v>
      </c>
      <c r="U754" s="11">
        <v>0.20613393677587832</v>
      </c>
      <c r="V754" s="11">
        <v>0.1530604704766489</v>
      </c>
      <c r="W754" s="11">
        <v>0.15567983464683374</v>
      </c>
      <c r="X754" s="11">
        <v>0.2018003447646346</v>
      </c>
      <c r="Y754" s="11">
        <v>0.09093364729819989</v>
      </c>
      <c r="Z754" s="11">
        <v>0.19239176603780447</v>
      </c>
    </row>
    <row r="755" ht="22.5" customHeight="1">
      <c r="Q755" s="9" t="s">
        <v>793</v>
      </c>
      <c r="R755" s="10">
        <v>0.5299426510288621</v>
      </c>
      <c r="S755" s="10">
        <v>0.022775976489859198</v>
      </c>
      <c r="T755" s="10">
        <v>21.511378502125023</v>
      </c>
      <c r="U755" s="11">
        <v>0.09017243934513997</v>
      </c>
      <c r="V755" s="11">
        <v>0.1437775394589349</v>
      </c>
      <c r="W755" s="11">
        <v>0.14631911377682807</v>
      </c>
      <c r="X755" s="11">
        <v>0.19471018146874772</v>
      </c>
      <c r="Y755" s="11">
        <v>0.15612295955955016</v>
      </c>
      <c r="Z755" s="11">
        <v>0.2688977663907992</v>
      </c>
    </row>
    <row r="756" ht="22.5" customHeight="1">
      <c r="Q756" s="9" t="s">
        <v>794</v>
      </c>
      <c r="R756" s="10">
        <v>0.4724115772748553</v>
      </c>
      <c r="S756" s="10">
        <v>0.020102492859499343</v>
      </c>
      <c r="T756" s="10">
        <v>21.510346020121634</v>
      </c>
      <c r="U756" s="11">
        <v>0.19153646524337126</v>
      </c>
      <c r="V756" s="11">
        <v>0.16416213844776945</v>
      </c>
      <c r="W756" s="11">
        <v>0.06595120387004966</v>
      </c>
      <c r="X756" s="11">
        <v>0.2828493362499989</v>
      </c>
      <c r="Y756" s="11">
        <v>0.14672493002497974</v>
      </c>
      <c r="Z756" s="11">
        <v>0.14877592616383095</v>
      </c>
    </row>
    <row r="757" ht="22.5" customHeight="1">
      <c r="Q757" s="9" t="s">
        <v>795</v>
      </c>
      <c r="R757" s="10">
        <v>0.31279061785765727</v>
      </c>
      <c r="S757" s="10">
        <v>0.012682535822732832</v>
      </c>
      <c r="T757" s="10">
        <v>21.509154136879577</v>
      </c>
      <c r="U757" s="11">
        <v>0.4497779380497105</v>
      </c>
      <c r="V757" s="11">
        <v>0.043747140103039574</v>
      </c>
      <c r="W757" s="11">
        <v>0.05899835134230551</v>
      </c>
      <c r="X757" s="11">
        <v>0.3241134499396179</v>
      </c>
      <c r="Y757" s="11">
        <v>0.09549354604785129</v>
      </c>
      <c r="Z757" s="11">
        <v>0.027869574517475338</v>
      </c>
    </row>
    <row r="758" ht="22.5" customHeight="1">
      <c r="Q758" s="9" t="s">
        <v>796</v>
      </c>
      <c r="R758" s="10">
        <v>0.35365379057665325</v>
      </c>
      <c r="S758" s="10">
        <v>0.014582368739184557</v>
      </c>
      <c r="T758" s="10">
        <v>21.5091111867051</v>
      </c>
      <c r="U758" s="11">
        <v>0.34303238167919037</v>
      </c>
      <c r="V758" s="11">
        <v>0.04994894089398346</v>
      </c>
      <c r="W758" s="11">
        <v>0.09637100201212596</v>
      </c>
      <c r="X758" s="11">
        <v>0.2646125921488058</v>
      </c>
      <c r="Y758" s="11">
        <v>0.09502693452881998</v>
      </c>
      <c r="Z758" s="11">
        <v>0.15100814873707447</v>
      </c>
    </row>
    <row r="759" ht="22.5" customHeight="1">
      <c r="Q759" s="9" t="s">
        <v>797</v>
      </c>
      <c r="R759" s="10">
        <v>0.5269670999946572</v>
      </c>
      <c r="S759" s="10">
        <v>0.022640577667110962</v>
      </c>
      <c r="T759" s="10">
        <v>21.50859872723364</v>
      </c>
      <c r="U759" s="11">
        <v>0.09068113332057658</v>
      </c>
      <c r="V759" s="11">
        <v>0.09317237228852648</v>
      </c>
      <c r="W759" s="11">
        <v>0.16656380157200223</v>
      </c>
      <c r="X759" s="11">
        <v>0.39976338767927594</v>
      </c>
      <c r="Y759" s="11">
        <v>0.20041355110615566</v>
      </c>
      <c r="Z759" s="11">
        <v>0.04940575403346318</v>
      </c>
    </row>
    <row r="760" ht="22.5" customHeight="1">
      <c r="Q760" s="9" t="s">
        <v>798</v>
      </c>
      <c r="R760" s="10">
        <v>0.6193784834597802</v>
      </c>
      <c r="S760" s="10">
        <v>0.02693747720111504</v>
      </c>
      <c r="T760" s="10">
        <v>21.50826816981204</v>
      </c>
      <c r="U760" s="11">
        <v>0.17736251946366524</v>
      </c>
      <c r="V760" s="11">
        <v>0.190980237999259</v>
      </c>
      <c r="W760" s="11">
        <v>0.1572067075952252</v>
      </c>
      <c r="X760" s="11">
        <v>0.2426175277533838</v>
      </c>
      <c r="Y760" s="11">
        <v>0.07806062153436391</v>
      </c>
      <c r="Z760" s="11">
        <v>0.15377238565410264</v>
      </c>
    </row>
    <row r="761" ht="22.5" customHeight="1">
      <c r="Q761" s="9" t="s">
        <v>799</v>
      </c>
      <c r="R761" s="10">
        <v>0.4647297631954971</v>
      </c>
      <c r="S761" s="10">
        <v>0.019748594681733445</v>
      </c>
      <c r="T761" s="10">
        <v>21.50683479206512</v>
      </c>
      <c r="U761" s="11">
        <v>0.007413689727355574</v>
      </c>
      <c r="V761" s="11">
        <v>0.13519177058460644</v>
      </c>
      <c r="W761" s="11">
        <v>0.1016069037055892</v>
      </c>
      <c r="X761" s="11">
        <v>0.17570489529259295</v>
      </c>
      <c r="Y761" s="11">
        <v>0.3301100368799716</v>
      </c>
      <c r="Z761" s="11">
        <v>0.2499727038098842</v>
      </c>
    </row>
    <row r="762" ht="22.5" customHeight="1">
      <c r="Q762" s="9" t="s">
        <v>800</v>
      </c>
      <c r="R762" s="10">
        <v>0.4959501107314765</v>
      </c>
      <c r="S762" s="10">
        <v>0.02120064305271518</v>
      </c>
      <c r="T762" s="10">
        <v>21.50642834737424</v>
      </c>
      <c r="U762" s="11">
        <v>0.18050215936959027</v>
      </c>
      <c r="V762" s="11">
        <v>0.13580629655766596</v>
      </c>
      <c r="W762" s="11">
        <v>0.12253608665323971</v>
      </c>
      <c r="X762" s="11">
        <v>0.13580083877390936</v>
      </c>
      <c r="Y762" s="11">
        <v>0.29384014473156844</v>
      </c>
      <c r="Z762" s="11">
        <v>0.13151447391402624</v>
      </c>
    </row>
    <row r="763" ht="22.5" customHeight="1">
      <c r="Q763" s="9" t="s">
        <v>801</v>
      </c>
      <c r="R763" s="10">
        <v>0.5521709148780896</v>
      </c>
      <c r="S763" s="10">
        <v>0.02381550192186366</v>
      </c>
      <c r="T763" s="10">
        <v>21.505778738507058</v>
      </c>
      <c r="U763" s="11">
        <v>0.1303887332422175</v>
      </c>
      <c r="V763" s="11">
        <v>0.1613369811834508</v>
      </c>
      <c r="W763" s="11">
        <v>0.14056385007182265</v>
      </c>
      <c r="X763" s="11">
        <v>0.1687845341300374</v>
      </c>
      <c r="Y763" s="11">
        <v>0.22404622039422756</v>
      </c>
      <c r="Z763" s="11">
        <v>0.17487968097824405</v>
      </c>
    </row>
    <row r="764" ht="22.5" customHeight="1">
      <c r="Q764" s="9" t="s">
        <v>802</v>
      </c>
      <c r="R764" s="10">
        <v>0.6234999572796621</v>
      </c>
      <c r="S764" s="10">
        <v>0.027134190041679197</v>
      </c>
      <c r="T764" s="10">
        <v>21.504233455407473</v>
      </c>
      <c r="U764" s="11">
        <v>0.18070297118064002</v>
      </c>
      <c r="V764" s="11">
        <v>0.17607489376382957</v>
      </c>
      <c r="W764" s="11">
        <v>0.1700603940557777</v>
      </c>
      <c r="X764" s="11">
        <v>0.21560000950610608</v>
      </c>
      <c r="Y764" s="11">
        <v>0.20449820136454427</v>
      </c>
      <c r="Z764" s="11">
        <v>0.05306353012910237</v>
      </c>
    </row>
    <row r="765" ht="22.5" customHeight="1">
      <c r="Q765" s="9" t="s">
        <v>803</v>
      </c>
      <c r="R765" s="10">
        <v>0.5427833510116213</v>
      </c>
      <c r="S765" s="10">
        <v>0.023382121696461623</v>
      </c>
      <c r="T765" s="10">
        <v>21.502896851644845</v>
      </c>
      <c r="U765" s="11">
        <v>0.1942736206092158</v>
      </c>
      <c r="V765" s="11">
        <v>0.14751910310129016</v>
      </c>
      <c r="W765" s="11">
        <v>0.14820423106488587</v>
      </c>
      <c r="X765" s="11">
        <v>0.16570751701010475</v>
      </c>
      <c r="Y765" s="11">
        <v>0.18156819912395775</v>
      </c>
      <c r="Z765" s="11">
        <v>0.16272732909054574</v>
      </c>
    </row>
    <row r="766" ht="22.5" customHeight="1">
      <c r="Q766" s="9" t="s">
        <v>804</v>
      </c>
      <c r="R766" s="10">
        <v>0.549429456789073</v>
      </c>
      <c r="S766" s="10">
        <v>0.023691701495223455</v>
      </c>
      <c r="T766" s="10">
        <v>21.50244282335654</v>
      </c>
      <c r="U766" s="11">
        <v>0.10662337416117379</v>
      </c>
      <c r="V766" s="11">
        <v>0.16873597795527523</v>
      </c>
      <c r="W766" s="11">
        <v>0.1317932530604028</v>
      </c>
      <c r="X766" s="11">
        <v>0.17592145502753473</v>
      </c>
      <c r="Y766" s="11">
        <v>0.2147965123119827</v>
      </c>
      <c r="Z766" s="11">
        <v>0.20212942748363072</v>
      </c>
    </row>
    <row r="767" ht="22.5" customHeight="1">
      <c r="Q767" s="9" t="s">
        <v>805</v>
      </c>
      <c r="R767" s="10">
        <v>0.453407268722512</v>
      </c>
      <c r="S767" s="10">
        <v>0.01922606192364491</v>
      </c>
      <c r="T767" s="10">
        <v>21.50244134052688</v>
      </c>
      <c r="U767" s="11">
        <v>0.09707985559295801</v>
      </c>
      <c r="V767" s="11">
        <v>0.10383469543362468</v>
      </c>
      <c r="W767" s="11">
        <v>0.13039989508987546</v>
      </c>
      <c r="X767" s="11">
        <v>0.18613068628631024</v>
      </c>
      <c r="Y767" s="11">
        <v>0.18692503216567433</v>
      </c>
      <c r="Z767" s="11">
        <v>0.29562983543155735</v>
      </c>
    </row>
    <row r="768" ht="22.5" customHeight="1">
      <c r="Q768" s="9" t="s">
        <v>806</v>
      </c>
      <c r="R768" s="10">
        <v>0.5199286372885779</v>
      </c>
      <c r="S768" s="10">
        <v>0.022321049346318587</v>
      </c>
      <c r="T768" s="10">
        <v>21.50116824000179</v>
      </c>
      <c r="U768" s="11">
        <v>0.19502601258967295</v>
      </c>
      <c r="V768" s="11">
        <v>0.14130894166575725</v>
      </c>
      <c r="W768" s="11">
        <v>0.12671685520853349</v>
      </c>
      <c r="X768" s="11">
        <v>0.15708433519520815</v>
      </c>
      <c r="Y768" s="11">
        <v>0.3493867188305801</v>
      </c>
      <c r="Z768" s="11">
        <v>0.03047713651024792</v>
      </c>
    </row>
    <row r="769" ht="22.5" customHeight="1">
      <c r="Q769" s="9" t="s">
        <v>807</v>
      </c>
      <c r="R769" s="10">
        <v>0.5346569248829294</v>
      </c>
      <c r="S769" s="10">
        <v>0.023006807036024066</v>
      </c>
      <c r="T769" s="10">
        <v>21.50045958608665</v>
      </c>
      <c r="U769" s="11">
        <v>0.21056122691497015</v>
      </c>
      <c r="V769" s="11">
        <v>0.12796434141286664</v>
      </c>
      <c r="W769" s="11">
        <v>0.15581327172281897</v>
      </c>
      <c r="X769" s="11">
        <v>0.19177344118342143</v>
      </c>
      <c r="Y769" s="11">
        <v>0.21656979960430442</v>
      </c>
      <c r="Z769" s="11">
        <v>0.09731791916161853</v>
      </c>
    </row>
    <row r="770" ht="22.5" customHeight="1">
      <c r="Q770" s="9" t="s">
        <v>808</v>
      </c>
      <c r="R770" s="10">
        <v>0.5974084996010687</v>
      </c>
      <c r="S770" s="10">
        <v>0.025925583182320317</v>
      </c>
      <c r="T770" s="10">
        <v>21.500326364160156</v>
      </c>
      <c r="U770" s="11">
        <v>0.13641082907074475</v>
      </c>
      <c r="V770" s="11">
        <v>0.18598589467808724</v>
      </c>
      <c r="W770" s="11">
        <v>0.14694881522262843</v>
      </c>
      <c r="X770" s="11">
        <v>0.2093682533227843</v>
      </c>
      <c r="Y770" s="11">
        <v>0.1598954806128433</v>
      </c>
      <c r="Z770" s="11">
        <v>0.16139072709291208</v>
      </c>
    </row>
    <row r="771" ht="22.5" customHeight="1">
      <c r="Q771" s="9" t="s">
        <v>809</v>
      </c>
      <c r="R771" s="10">
        <v>0.44760130141550203</v>
      </c>
      <c r="S771" s="10">
        <v>0.018958245684979676</v>
      </c>
      <c r="T771" s="10">
        <v>21.49994826464551</v>
      </c>
      <c r="U771" s="11">
        <v>0.15263548372202201</v>
      </c>
      <c r="V771" s="11">
        <v>0.15069504586833266</v>
      </c>
      <c r="W771" s="11">
        <v>0.07164851191734907</v>
      </c>
      <c r="X771" s="11">
        <v>0.20362030639544887</v>
      </c>
      <c r="Y771" s="11">
        <v>0.1859744075792303</v>
      </c>
      <c r="Z771" s="11">
        <v>0.23542624451761696</v>
      </c>
    </row>
    <row r="772" ht="22.5" customHeight="1">
      <c r="Q772" s="9" t="s">
        <v>810</v>
      </c>
      <c r="R772" s="10">
        <v>0.4800566957329231</v>
      </c>
      <c r="S772" s="10">
        <v>0.020468232616176973</v>
      </c>
      <c r="T772" s="10">
        <v>21.499496511737235</v>
      </c>
      <c r="U772" s="11">
        <v>0.19436201737177652</v>
      </c>
      <c r="V772" s="11">
        <v>0.11388070617763972</v>
      </c>
      <c r="W772" s="11">
        <v>0.12418291422206912</v>
      </c>
      <c r="X772" s="11">
        <v>0.1677930506123754</v>
      </c>
      <c r="Y772" s="11">
        <v>0.35712368543422945</v>
      </c>
      <c r="Z772" s="11">
        <v>0.04265762618190983</v>
      </c>
    </row>
    <row r="773" ht="22.5" customHeight="1">
      <c r="Q773" s="9" t="s">
        <v>811</v>
      </c>
      <c r="R773" s="10">
        <v>0.45352103679773176</v>
      </c>
      <c r="S773" s="10">
        <v>0.01923403403439395</v>
      </c>
      <c r="T773" s="10">
        <v>21.499443957428845</v>
      </c>
      <c r="U773" s="11">
        <v>0.1815249739849353</v>
      </c>
      <c r="V773" s="11">
        <v>0.15363955714805091</v>
      </c>
      <c r="W773" s="11">
        <v>0.06870021363766886</v>
      </c>
      <c r="X773" s="11">
        <v>0.21850239514217998</v>
      </c>
      <c r="Y773" s="11">
        <v>0.19495243868517959</v>
      </c>
      <c r="Z773" s="11">
        <v>0.1826804214019854</v>
      </c>
    </row>
    <row r="774" ht="22.5" customHeight="1">
      <c r="Q774" s="9" t="s">
        <v>812</v>
      </c>
      <c r="R774" s="10">
        <v>0.633910088408855</v>
      </c>
      <c r="S774" s="10">
        <v>0.027624621520608305</v>
      </c>
      <c r="T774" s="10">
        <v>21.49930227879469</v>
      </c>
      <c r="U774" s="11">
        <v>0.08042711610726948</v>
      </c>
      <c r="V774" s="11">
        <v>0.1652113552050747</v>
      </c>
      <c r="W774" s="11">
        <v>0.18465930598770908</v>
      </c>
      <c r="X774" s="11">
        <v>0.27999218988181007</v>
      </c>
      <c r="Y774" s="11">
        <v>0.22241980260809113</v>
      </c>
      <c r="Z774" s="11">
        <v>0.06729023021004553</v>
      </c>
    </row>
    <row r="775" ht="22.5" customHeight="1">
      <c r="Q775" s="9" t="s">
        <v>813</v>
      </c>
      <c r="R775" s="10">
        <v>0.5410800565401246</v>
      </c>
      <c r="S775" s="10">
        <v>0.023307409327267926</v>
      </c>
      <c r="T775" s="10">
        <v>21.498745291862978</v>
      </c>
      <c r="U775" s="11">
        <v>0.1967507194390059</v>
      </c>
      <c r="V775" s="11">
        <v>0.1428234105499956</v>
      </c>
      <c r="W775" s="11">
        <v>0.1510112753590902</v>
      </c>
      <c r="X775" s="11">
        <v>0.17106103719853732</v>
      </c>
      <c r="Y775" s="11">
        <v>0.18180354763514006</v>
      </c>
      <c r="Z775" s="11">
        <v>0.15655000981823075</v>
      </c>
    </row>
    <row r="776" ht="22.5" customHeight="1">
      <c r="Q776" s="9" t="s">
        <v>814</v>
      </c>
      <c r="R776" s="10">
        <v>0.44650363983236624</v>
      </c>
      <c r="S776" s="10">
        <v>0.018908303791591117</v>
      </c>
      <c r="T776" s="10">
        <v>21.498683557916294</v>
      </c>
      <c r="U776" s="11">
        <v>0.21974431959162036</v>
      </c>
      <c r="V776" s="11">
        <v>0.12643460448143726</v>
      </c>
      <c r="W776" s="11">
        <v>0.10340644544803461</v>
      </c>
      <c r="X776" s="11">
        <v>0.11095798411383243</v>
      </c>
      <c r="Y776" s="11">
        <v>0.20836409545686174</v>
      </c>
      <c r="Z776" s="11">
        <v>0.2310925509082136</v>
      </c>
    </row>
    <row r="777" ht="22.5" customHeight="1">
      <c r="Q777" s="9" t="s">
        <v>815</v>
      </c>
      <c r="R777" s="10">
        <v>0.5814738644730332</v>
      </c>
      <c r="S777" s="10">
        <v>0.025186627309237743</v>
      </c>
      <c r="T777" s="10">
        <v>21.498466540394467</v>
      </c>
      <c r="U777" s="11">
        <v>0.1872327248857692</v>
      </c>
      <c r="V777" s="11">
        <v>0.20014046559702145</v>
      </c>
      <c r="W777" s="11">
        <v>0.1108466568534486</v>
      </c>
      <c r="X777" s="11">
        <v>0.2627862639246867</v>
      </c>
      <c r="Y777" s="11">
        <v>0.15452370637291413</v>
      </c>
      <c r="Z777" s="11">
        <v>0.08447018236615994</v>
      </c>
    </row>
    <row r="778" ht="22.5" customHeight="1">
      <c r="Q778" s="9" t="s">
        <v>816</v>
      </c>
      <c r="R778" s="10">
        <v>0.534044208725243</v>
      </c>
      <c r="S778" s="10">
        <v>0.022980915807175213</v>
      </c>
      <c r="T778" s="10">
        <v>21.498020917468843</v>
      </c>
      <c r="U778" s="11">
        <v>0.25406514828340615</v>
      </c>
      <c r="V778" s="11">
        <v>0.17998952678761299</v>
      </c>
      <c r="W778" s="11">
        <v>0.10485113085818833</v>
      </c>
      <c r="X778" s="11">
        <v>0.2610420503485388</v>
      </c>
      <c r="Y778" s="11">
        <v>0.0018275255498890173</v>
      </c>
      <c r="Z778" s="11">
        <v>0.19822461817236478</v>
      </c>
    </row>
    <row r="779" ht="22.5" customHeight="1">
      <c r="Q779" s="9" t="s">
        <v>817</v>
      </c>
      <c r="R779" s="10">
        <v>0.363242507691073</v>
      </c>
      <c r="S779" s="10">
        <v>0.01503759667197012</v>
      </c>
      <c r="T779" s="10">
        <v>21.4956229204892</v>
      </c>
      <c r="U779" s="11">
        <v>0.3418153628971923</v>
      </c>
      <c r="V779" s="11">
        <v>0.08281812460354888</v>
      </c>
      <c r="W779" s="11">
        <v>0.07598825446527363</v>
      </c>
      <c r="X779" s="11">
        <v>0.13378469288319403</v>
      </c>
      <c r="Y779" s="11">
        <v>0.2384089351021879</v>
      </c>
      <c r="Z779" s="11">
        <v>0.12718463004860325</v>
      </c>
    </row>
    <row r="780" ht="22.5" customHeight="1">
      <c r="Q780" s="9" t="s">
        <v>818</v>
      </c>
      <c r="R780" s="10">
        <v>0.5372438007607262</v>
      </c>
      <c r="S780" s="10">
        <v>0.023134694333372022</v>
      </c>
      <c r="T780" s="10">
        <v>21.493424274184044</v>
      </c>
      <c r="U780" s="11">
        <v>0.31434123524883045</v>
      </c>
      <c r="V780" s="11">
        <v>0.10904868706356699</v>
      </c>
      <c r="W780" s="11">
        <v>0.16816393604016763</v>
      </c>
      <c r="X780" s="11">
        <v>0.29639412756353833</v>
      </c>
      <c r="Y780" s="11">
        <v>0.07702751748256395</v>
      </c>
      <c r="Z780" s="11">
        <v>0.03502449660133272</v>
      </c>
    </row>
    <row r="781" ht="22.5" customHeight="1">
      <c r="Q781" s="9" t="s">
        <v>819</v>
      </c>
      <c r="R781" s="10">
        <v>0.5558073484485778</v>
      </c>
      <c r="S781" s="10">
        <v>0.023998457433027566</v>
      </c>
      <c r="T781" s="10">
        <v>21.49335430779416</v>
      </c>
      <c r="U781" s="11">
        <v>0.17411051267361996</v>
      </c>
      <c r="V781" s="11">
        <v>0.1385975047604652</v>
      </c>
      <c r="W781" s="11">
        <v>0.16546365645927744</v>
      </c>
      <c r="X781" s="11">
        <v>0.256324334464126</v>
      </c>
      <c r="Y781" s="11">
        <v>0.05425235390910171</v>
      </c>
      <c r="Z781" s="11">
        <v>0.21125163773340977</v>
      </c>
    </row>
    <row r="782" ht="22.5" customHeight="1">
      <c r="Q782" s="9" t="s">
        <v>820</v>
      </c>
      <c r="R782" s="10">
        <v>0.5300715601054312</v>
      </c>
      <c r="S782" s="10">
        <v>0.022801807365102414</v>
      </c>
      <c r="T782" s="10">
        <v>21.492662939319157</v>
      </c>
      <c r="U782" s="11">
        <v>0.20323156563177291</v>
      </c>
      <c r="V782" s="11">
        <v>0.13531076476429102</v>
      </c>
      <c r="W782" s="11">
        <v>0.15028035659839467</v>
      </c>
      <c r="X782" s="11">
        <v>0.17099668922762187</v>
      </c>
      <c r="Y782" s="11">
        <v>0.18407345128723526</v>
      </c>
      <c r="Z782" s="11">
        <v>0.15610717249068437</v>
      </c>
    </row>
    <row r="783" ht="22.5" customHeight="1">
      <c r="Q783" s="9" t="s">
        <v>821</v>
      </c>
      <c r="R783" s="10">
        <v>0.5266346689486756</v>
      </c>
      <c r="S783" s="10">
        <v>0.02264221637800832</v>
      </c>
      <c r="T783" s="10">
        <v>21.492360148157967</v>
      </c>
      <c r="U783" s="11">
        <v>0.09972760592703102</v>
      </c>
      <c r="V783" s="11">
        <v>0.17975797585782013</v>
      </c>
      <c r="W783" s="11">
        <v>0.08690626705944907</v>
      </c>
      <c r="X783" s="11">
        <v>0.2698517450055356</v>
      </c>
      <c r="Y783" s="11">
        <v>0.27419241816070955</v>
      </c>
      <c r="Z783" s="11">
        <v>0.08956398798945467</v>
      </c>
    </row>
    <row r="784" ht="22.5" customHeight="1">
      <c r="Q784" s="9" t="s">
        <v>822</v>
      </c>
      <c r="R784" s="10">
        <v>0.398226428899421</v>
      </c>
      <c r="S784" s="10">
        <v>0.016667697551538557</v>
      </c>
      <c r="T784" s="10">
        <v>21.492256371447894</v>
      </c>
      <c r="U784" s="11">
        <v>0.24593245932731492</v>
      </c>
      <c r="V784" s="11">
        <v>0.11475300800622333</v>
      </c>
      <c r="W784" s="11">
        <v>0.08520229027185162</v>
      </c>
      <c r="X784" s="11">
        <v>0.1485596106235652</v>
      </c>
      <c r="Y784" s="11">
        <v>0.05079942214178634</v>
      </c>
      <c r="Z784" s="11">
        <v>0.3547532096292585</v>
      </c>
    </row>
    <row r="785" ht="22.5" customHeight="1">
      <c r="Q785" s="9" t="s">
        <v>823</v>
      </c>
      <c r="R785" s="10">
        <v>0.34489493541155164</v>
      </c>
      <c r="S785" s="10">
        <v>0.014186405199247593</v>
      </c>
      <c r="T785" s="10">
        <v>21.492050391153526</v>
      </c>
      <c r="U785" s="11">
        <v>0.03646034337748877</v>
      </c>
      <c r="V785" s="11">
        <v>0.06309667839240926</v>
      </c>
      <c r="W785" s="11">
        <v>0.040132898680047324</v>
      </c>
      <c r="X785" s="11">
        <v>0.5689112606104209</v>
      </c>
      <c r="Y785" s="11">
        <v>0.2585031097263684</v>
      </c>
      <c r="Z785" s="11">
        <v>0.032895709213265324</v>
      </c>
    </row>
    <row r="786" ht="22.5" customHeight="1">
      <c r="Q786" s="9" t="s">
        <v>824</v>
      </c>
      <c r="R786" s="10">
        <v>0.512193387700115</v>
      </c>
      <c r="S786" s="10">
        <v>0.02197165100410063</v>
      </c>
      <c r="T786" s="10">
        <v>21.49102894507055</v>
      </c>
      <c r="U786" s="11">
        <v>0.011965822888835426</v>
      </c>
      <c r="V786" s="11">
        <v>0.1130265071520081</v>
      </c>
      <c r="W786" s="11">
        <v>0.15658472884995572</v>
      </c>
      <c r="X786" s="11">
        <v>0.3292264799294672</v>
      </c>
      <c r="Y786" s="11">
        <v>0.0906967450782849</v>
      </c>
      <c r="Z786" s="11">
        <v>0.2984997161014486</v>
      </c>
    </row>
    <row r="787" ht="22.5" customHeight="1">
      <c r="Q787" s="9" t="s">
        <v>825</v>
      </c>
      <c r="R787" s="10">
        <v>0.5883994011453753</v>
      </c>
      <c r="S787" s="10">
        <v>0.025517716534113652</v>
      </c>
      <c r="T787" s="10">
        <v>21.49092770163197</v>
      </c>
      <c r="U787" s="11">
        <v>0.2832151292212934</v>
      </c>
      <c r="V787" s="11">
        <v>0.16324848171656323</v>
      </c>
      <c r="W787" s="11">
        <v>0.16142055806376845</v>
      </c>
      <c r="X787" s="11">
        <v>0.18916871646159988</v>
      </c>
      <c r="Y787" s="11">
        <v>0.12550738404718376</v>
      </c>
      <c r="Z787" s="11">
        <v>0.07743973048959134</v>
      </c>
    </row>
    <row r="788" ht="22.5" customHeight="1">
      <c r="Q788" s="9" t="s">
        <v>826</v>
      </c>
      <c r="R788" s="10">
        <v>0.5848899370850839</v>
      </c>
      <c r="S788" s="10">
        <v>0.025355382037447142</v>
      </c>
      <c r="T788" s="10">
        <v>21.49010952705586</v>
      </c>
      <c r="U788" s="11">
        <v>0.31000219299681536</v>
      </c>
      <c r="V788" s="11">
        <v>0.1916760311698331</v>
      </c>
      <c r="W788" s="11">
        <v>0.1225622606871109</v>
      </c>
      <c r="X788" s="11">
        <v>0.2031916032066755</v>
      </c>
      <c r="Y788" s="11">
        <v>0.16789971918065186</v>
      </c>
      <c r="Z788" s="11">
        <v>0.004668192758913229</v>
      </c>
    </row>
    <row r="789" ht="22.5" customHeight="1">
      <c r="Q789" s="9" t="s">
        <v>827</v>
      </c>
      <c r="R789" s="10">
        <v>0.37330827802132033</v>
      </c>
      <c r="S789" s="10">
        <v>0.01551002566626828</v>
      </c>
      <c r="T789" s="10">
        <v>21.489859861818946</v>
      </c>
      <c r="U789" s="11">
        <v>0.06577930699649877</v>
      </c>
      <c r="V789" s="11">
        <v>0.11508807043898082</v>
      </c>
      <c r="W789" s="11">
        <v>0.047419325384850664</v>
      </c>
      <c r="X789" s="11">
        <v>0.23675157948851533</v>
      </c>
      <c r="Y789" s="11">
        <v>0.2841101379042674</v>
      </c>
      <c r="Z789" s="11">
        <v>0.25085157978688705</v>
      </c>
    </row>
    <row r="790" ht="22.5" customHeight="1">
      <c r="Q790" s="9" t="s">
        <v>828</v>
      </c>
      <c r="R790" s="10">
        <v>0.6255870172638631</v>
      </c>
      <c r="S790" s="10">
        <v>0.02724974713483378</v>
      </c>
      <c r="T790" s="10">
        <v>21.48963123827663</v>
      </c>
      <c r="U790" s="11">
        <v>0.17464225553005266</v>
      </c>
      <c r="V790" s="11">
        <v>0.20410674790257907</v>
      </c>
      <c r="W790" s="11">
        <v>0.14232158255896687</v>
      </c>
      <c r="X790" s="11">
        <v>0.2327123268109185</v>
      </c>
      <c r="Y790" s="11">
        <v>0.17572547083708567</v>
      </c>
      <c r="Z790" s="11">
        <v>0.07049161636039722</v>
      </c>
    </row>
    <row r="791" ht="22.5" customHeight="1">
      <c r="Q791" s="9" t="s">
        <v>829</v>
      </c>
      <c r="R791" s="10">
        <v>0.5885310519578236</v>
      </c>
      <c r="S791" s="10">
        <v>0.025526560264673127</v>
      </c>
      <c r="T791" s="10">
        <v>21.488639529586365</v>
      </c>
      <c r="U791" s="11">
        <v>0.22670012690381483</v>
      </c>
      <c r="V791" s="11">
        <v>0.18115114317459036</v>
      </c>
      <c r="W791" s="11">
        <v>0.14766946288651045</v>
      </c>
      <c r="X791" s="11">
        <v>0.227768993432444</v>
      </c>
      <c r="Y791" s="11">
        <v>0.0294571016173103</v>
      </c>
      <c r="Z791" s="11">
        <v>0.18725317198533006</v>
      </c>
    </row>
    <row r="792" ht="22.5" customHeight="1">
      <c r="Q792" s="9" t="s">
        <v>830</v>
      </c>
      <c r="R792" s="10">
        <v>0.6731176531706524</v>
      </c>
      <c r="S792" s="10">
        <v>0.02946407012649736</v>
      </c>
      <c r="T792" s="10">
        <v>21.48778666533524</v>
      </c>
      <c r="U792" s="11">
        <v>0.23081420030882527</v>
      </c>
      <c r="V792" s="11">
        <v>0.20204969690175434</v>
      </c>
      <c r="W792" s="11">
        <v>0.1791575043834003</v>
      </c>
      <c r="X792" s="11">
        <v>0.2860125728119447</v>
      </c>
      <c r="Y792" s="11">
        <v>0.0411613483002994</v>
      </c>
      <c r="Z792" s="11">
        <v>0.06080467729377595</v>
      </c>
    </row>
    <row r="793" ht="22.5" customHeight="1">
      <c r="Q793" s="9" t="s">
        <v>831</v>
      </c>
      <c r="R793" s="10">
        <v>0.46743375161067385</v>
      </c>
      <c r="S793" s="10">
        <v>0.01989233102566794</v>
      </c>
      <c r="T793" s="10">
        <v>21.48736370107342</v>
      </c>
      <c r="U793" s="11">
        <v>0.23430041930214954</v>
      </c>
      <c r="V793" s="11">
        <v>0.15222686660617557</v>
      </c>
      <c r="W793" s="11">
        <v>0.08732711851118957</v>
      </c>
      <c r="X793" s="11">
        <v>0.1566363837585999</v>
      </c>
      <c r="Y793" s="11">
        <v>0.17451669610400314</v>
      </c>
      <c r="Z793" s="11">
        <v>0.19499251571788231</v>
      </c>
    </row>
    <row r="794" ht="22.5" customHeight="1">
      <c r="Q794" s="9" t="s">
        <v>832</v>
      </c>
      <c r="R794" s="10">
        <v>0.3075571183037397</v>
      </c>
      <c r="S794" s="10">
        <v>0.01245212769451173</v>
      </c>
      <c r="T794" s="10">
        <v>21.486859504473717</v>
      </c>
      <c r="U794" s="11">
        <v>0.2649457121379563</v>
      </c>
      <c r="V794" s="11">
        <v>0.05748200815664057</v>
      </c>
      <c r="W794" s="11">
        <v>0.06752069936869776</v>
      </c>
      <c r="X794" s="11">
        <v>0.17030362002767174</v>
      </c>
      <c r="Y794" s="11">
        <v>0.14758311553383224</v>
      </c>
      <c r="Z794" s="11">
        <v>0.29216484477520144</v>
      </c>
    </row>
    <row r="795" ht="22.5" customHeight="1">
      <c r="Q795" s="9" t="s">
        <v>833</v>
      </c>
      <c r="R795" s="10">
        <v>0.5725674098507125</v>
      </c>
      <c r="S795" s="10">
        <v>0.02478589779964013</v>
      </c>
      <c r="T795" s="10">
        <v>21.486710473664782</v>
      </c>
      <c r="U795" s="11">
        <v>0.12934872475013362</v>
      </c>
      <c r="V795" s="11">
        <v>0.1911434267083749</v>
      </c>
      <c r="W795" s="11">
        <v>0.11757884634288653</v>
      </c>
      <c r="X795" s="11">
        <v>0.22088478105569054</v>
      </c>
      <c r="Y795" s="11">
        <v>0.22145221715439</v>
      </c>
      <c r="Z795" s="11">
        <v>0.11959200398852435</v>
      </c>
    </row>
    <row r="796" ht="22.5" customHeight="1">
      <c r="Q796" s="9" t="s">
        <v>834</v>
      </c>
      <c r="R796" s="10">
        <v>0.6409606080121709</v>
      </c>
      <c r="S796" s="10">
        <v>0.02797034361932838</v>
      </c>
      <c r="T796" s="10">
        <v>21.485635507062145</v>
      </c>
      <c r="U796" s="11">
        <v>0.08367866074764915</v>
      </c>
      <c r="V796" s="11">
        <v>0.18036390197337135</v>
      </c>
      <c r="W796" s="11">
        <v>0.17790239405146005</v>
      </c>
      <c r="X796" s="11">
        <v>0.25429415849296894</v>
      </c>
      <c r="Y796" s="11">
        <v>0.2128945719746931</v>
      </c>
      <c r="Z796" s="11">
        <v>0.09086631275985742</v>
      </c>
    </row>
    <row r="797" ht="22.5" customHeight="1">
      <c r="Q797" s="9" t="s">
        <v>835</v>
      </c>
      <c r="R797" s="10">
        <v>0.510925163222721</v>
      </c>
      <c r="S797" s="10">
        <v>0.021918620586723444</v>
      </c>
      <c r="T797" s="10">
        <v>21.485164240124217</v>
      </c>
      <c r="U797" s="11">
        <v>0.1918830295691955</v>
      </c>
      <c r="V797" s="11">
        <v>0.11414710468347368</v>
      </c>
      <c r="W797" s="11">
        <v>0.15270001176473405</v>
      </c>
      <c r="X797" s="11">
        <v>0.20477669483926556</v>
      </c>
      <c r="Y797" s="11">
        <v>0.2086076385015147</v>
      </c>
      <c r="Z797" s="11">
        <v>0.12788552064181638</v>
      </c>
    </row>
    <row r="798" ht="22.5" customHeight="1">
      <c r="Q798" s="9" t="s">
        <v>836</v>
      </c>
      <c r="R798" s="10">
        <v>0.4657752486684264</v>
      </c>
      <c r="S798" s="10">
        <v>0.019817411924188594</v>
      </c>
      <c r="T798" s="10">
        <v>21.484906823213215</v>
      </c>
      <c r="U798" s="11">
        <v>0.2827494393497953</v>
      </c>
      <c r="V798" s="11">
        <v>0.1328668742805116</v>
      </c>
      <c r="W798" s="11">
        <v>0.10137261864535278</v>
      </c>
      <c r="X798" s="11">
        <v>0.11955112365309455</v>
      </c>
      <c r="Y798" s="11">
        <v>0.2753028902771903</v>
      </c>
      <c r="Z798" s="11">
        <v>0.08815705379405547</v>
      </c>
    </row>
    <row r="799" ht="22.5" customHeight="1">
      <c r="Q799" s="9" t="s">
        <v>837</v>
      </c>
      <c r="R799" s="10">
        <v>0.5871634031348784</v>
      </c>
      <c r="S799" s="10">
        <v>0.02546737772945679</v>
      </c>
      <c r="T799" s="10">
        <v>21.484874059177397</v>
      </c>
      <c r="U799" s="11">
        <v>0.1722097687100557</v>
      </c>
      <c r="V799" s="11">
        <v>0.19856844326075354</v>
      </c>
      <c r="W799" s="11">
        <v>0.12347700330312185</v>
      </c>
      <c r="X799" s="11">
        <v>0.2947734426907775</v>
      </c>
      <c r="Y799" s="11">
        <v>0.01452867538564347</v>
      </c>
      <c r="Z799" s="11">
        <v>0.19644266664964807</v>
      </c>
    </row>
    <row r="800" ht="22.5" customHeight="1">
      <c r="Q800" s="9" t="s">
        <v>838</v>
      </c>
      <c r="R800" s="10">
        <v>0.51172985449033</v>
      </c>
      <c r="S800" s="10">
        <v>0.02195663814721821</v>
      </c>
      <c r="T800" s="10">
        <v>21.484612139955303</v>
      </c>
      <c r="U800" s="11">
        <v>0.15520584754740932</v>
      </c>
      <c r="V800" s="11">
        <v>0.15803169642878984</v>
      </c>
      <c r="W800" s="11">
        <v>0.1165658123125504</v>
      </c>
      <c r="X800" s="11">
        <v>0.14536672724719915</v>
      </c>
      <c r="Y800" s="11">
        <v>0.2167750608980003</v>
      </c>
      <c r="Z800" s="11">
        <v>0.20805485556605102</v>
      </c>
    </row>
    <row r="801" ht="22.5" customHeight="1">
      <c r="Q801" s="9" t="s">
        <v>839</v>
      </c>
      <c r="R801" s="10">
        <v>0.5357232457863291</v>
      </c>
      <c r="S801" s="10">
        <v>0.023073490052096687</v>
      </c>
      <c r="T801" s="10">
        <v>21.4845367851615</v>
      </c>
      <c r="U801" s="11">
        <v>0.2160044733755115</v>
      </c>
      <c r="V801" s="11">
        <v>0.13997263504913998</v>
      </c>
      <c r="W801" s="11">
        <v>0.15075165651154593</v>
      </c>
      <c r="X801" s="11">
        <v>0.1691425212512665</v>
      </c>
      <c r="Y801" s="11">
        <v>0.16155105525676114</v>
      </c>
      <c r="Z801" s="11">
        <v>0.16257765855577502</v>
      </c>
    </row>
    <row r="802" ht="22.5" customHeight="1">
      <c r="Q802" s="9" t="s">
        <v>840</v>
      </c>
      <c r="R802" s="10">
        <v>0.5526547848864042</v>
      </c>
      <c r="S802" s="10">
        <v>0.023861584034876</v>
      </c>
      <c r="T802" s="10">
        <v>21.48452441954859</v>
      </c>
      <c r="U802" s="11">
        <v>0.05411028695128685</v>
      </c>
      <c r="V802" s="11">
        <v>0.17897245680966598</v>
      </c>
      <c r="W802" s="11">
        <v>0.11771331865814519</v>
      </c>
      <c r="X802" s="11">
        <v>0.20906065530000012</v>
      </c>
      <c r="Y802" s="11">
        <v>0.2712598792869769</v>
      </c>
      <c r="Z802" s="11">
        <v>0.1688834029939249</v>
      </c>
    </row>
    <row r="803" ht="22.5" customHeight="1">
      <c r="Q803" s="9" t="s">
        <v>841</v>
      </c>
      <c r="R803" s="10">
        <v>0.40147982330701176</v>
      </c>
      <c r="S803" s="10">
        <v>0.016825209889367206</v>
      </c>
      <c r="T803" s="10">
        <v>21.484416877048954</v>
      </c>
      <c r="U803" s="11">
        <v>0.019914048538837943</v>
      </c>
      <c r="V803" s="11">
        <v>0.1225407042735954</v>
      </c>
      <c r="W803" s="11">
        <v>0.08026895066491432</v>
      </c>
      <c r="X803" s="11">
        <v>0.18547617409604925</v>
      </c>
      <c r="Y803" s="11">
        <v>0.13962361026777956</v>
      </c>
      <c r="Z803" s="11">
        <v>0.45217651215882343</v>
      </c>
    </row>
    <row r="804" ht="22.5" customHeight="1">
      <c r="Q804" s="9" t="s">
        <v>842</v>
      </c>
      <c r="R804" s="10">
        <v>0.3574155077526797</v>
      </c>
      <c r="S804" s="10">
        <v>0.014774454000204666</v>
      </c>
      <c r="T804" s="10">
        <v>21.484077025674363</v>
      </c>
      <c r="U804" s="11">
        <v>0.170217119771296</v>
      </c>
      <c r="V804" s="11">
        <v>0.04649805127604216</v>
      </c>
      <c r="W804" s="11">
        <v>0.10001593676966289</v>
      </c>
      <c r="X804" s="11">
        <v>0.28903518808548534</v>
      </c>
      <c r="Y804" s="11">
        <v>0.2162419768393585</v>
      </c>
      <c r="Z804" s="11">
        <v>0.1779917272581551</v>
      </c>
    </row>
    <row r="805" ht="22.5" customHeight="1">
      <c r="Q805" s="9" t="s">
        <v>843</v>
      </c>
      <c r="R805" s="10">
        <v>0.41489222463870384</v>
      </c>
      <c r="S805" s="10">
        <v>0.01745088376450384</v>
      </c>
      <c r="T805" s="10">
        <v>21.48270710514143</v>
      </c>
      <c r="U805" s="11">
        <v>0.2114531790478215</v>
      </c>
      <c r="V805" s="11">
        <v>0.06610962676925063</v>
      </c>
      <c r="W805" s="11">
        <v>0.12701965367920012</v>
      </c>
      <c r="X805" s="11">
        <v>0.27886422162264435</v>
      </c>
      <c r="Y805" s="11">
        <v>0.13233046453718061</v>
      </c>
      <c r="Z805" s="11">
        <v>0.18422285434390284</v>
      </c>
    </row>
    <row r="806" ht="22.5" customHeight="1">
      <c r="Q806" s="9" t="s">
        <v>844</v>
      </c>
      <c r="R806" s="10">
        <v>0.5253298029039509</v>
      </c>
      <c r="S806" s="10">
        <v>0.02259166442309166</v>
      </c>
      <c r="T806" s="10">
        <v>21.482693519822288</v>
      </c>
      <c r="U806" s="11">
        <v>0.2658685887559864</v>
      </c>
      <c r="V806" s="11">
        <v>0.11730842511796401</v>
      </c>
      <c r="W806" s="11">
        <v>0.15979246894157464</v>
      </c>
      <c r="X806" s="11">
        <v>0.22603722368394444</v>
      </c>
      <c r="Y806" s="11">
        <v>0.11756130298819335</v>
      </c>
      <c r="Z806" s="11">
        <v>0.11343199051233704</v>
      </c>
    </row>
    <row r="807" ht="22.5" customHeight="1">
      <c r="Q807" s="9" t="s">
        <v>845</v>
      </c>
      <c r="R807" s="10">
        <v>0.522331348251574</v>
      </c>
      <c r="S807" s="10">
        <v>0.021510312428595774</v>
      </c>
      <c r="T807" s="10">
        <v>21.47957583886566</v>
      </c>
      <c r="U807" s="11">
        <v>0.1426191017567808</v>
      </c>
      <c r="V807" s="11">
        <v>0.17208719026807695</v>
      </c>
      <c r="W807" s="11">
        <v>0.09032670153431913</v>
      </c>
      <c r="X807" s="11">
        <v>0.22097404774035523</v>
      </c>
      <c r="Y807" s="11">
        <v>0.1474016097806003</v>
      </c>
      <c r="Z807" s="11">
        <v>0.22659134891986765</v>
      </c>
    </row>
    <row r="808" ht="22.5" customHeight="1">
      <c r="Q808" s="9" t="s">
        <v>846</v>
      </c>
      <c r="R808" s="10">
        <v>0.5446188925396609</v>
      </c>
      <c r="S808" s="10">
        <v>0.023494172539829394</v>
      </c>
      <c r="T808" s="10">
        <v>21.47847053068953</v>
      </c>
      <c r="U808" s="11">
        <v>0.09379093486015053</v>
      </c>
      <c r="V808" s="11">
        <v>0.09509355858500682</v>
      </c>
      <c r="W808" s="11">
        <v>0.1740107022979831</v>
      </c>
      <c r="X808" s="11">
        <v>0.483207035825734</v>
      </c>
      <c r="Y808" s="11">
        <v>0.09403910716533155</v>
      </c>
      <c r="Z808" s="11">
        <v>0.05985866126579378</v>
      </c>
    </row>
    <row r="809" ht="22.5" customHeight="1">
      <c r="Q809" s="9" t="s">
        <v>847</v>
      </c>
      <c r="R809" s="10">
        <v>0.6046508975576649</v>
      </c>
      <c r="S809" s="10">
        <v>0.026290868648764867</v>
      </c>
      <c r="T809" s="10">
        <v>21.477072709204375</v>
      </c>
      <c r="U809" s="11">
        <v>0.16847065916980367</v>
      </c>
      <c r="V809" s="11">
        <v>0.18667714488879394</v>
      </c>
      <c r="W809" s="11">
        <v>0.14698675333961272</v>
      </c>
      <c r="X809" s="11">
        <v>0.1911864271396736</v>
      </c>
      <c r="Y809" s="11">
        <v>0.23171105931711028</v>
      </c>
      <c r="Z809" s="11">
        <v>0.07496795614500584</v>
      </c>
    </row>
    <row r="810" ht="22.5" customHeight="1">
      <c r="Q810" s="9" t="s">
        <v>848</v>
      </c>
      <c r="R810" s="10">
        <v>0.3850081838651874</v>
      </c>
      <c r="S810" s="10">
        <v>0.016065625854213558</v>
      </c>
      <c r="T810" s="10">
        <v>21.474929579210983</v>
      </c>
      <c r="U810" s="11">
        <v>0.3231024241259367</v>
      </c>
      <c r="V810" s="11">
        <v>0.09330419961070813</v>
      </c>
      <c r="W810" s="11">
        <v>0.07639093006860974</v>
      </c>
      <c r="X810" s="11">
        <v>0.14141271654534418</v>
      </c>
      <c r="Y810" s="11">
        <v>0.3014599273233764</v>
      </c>
      <c r="Z810" s="11">
        <v>0.06432980232602478</v>
      </c>
    </row>
    <row r="811" ht="22.5" customHeight="1">
      <c r="Q811" s="9" t="s">
        <v>849</v>
      </c>
      <c r="R811" s="10">
        <v>0.6284149930607398</v>
      </c>
      <c r="S811" s="10">
        <v>0.027400696600833056</v>
      </c>
      <c r="T811" s="10">
        <v>21.474453793369996</v>
      </c>
      <c r="U811" s="11">
        <v>0.1542386991431774</v>
      </c>
      <c r="V811" s="11">
        <v>0.19049375026930412</v>
      </c>
      <c r="W811" s="11">
        <v>0.1646406837895912</v>
      </c>
      <c r="X811" s="11">
        <v>0.24378557501097856</v>
      </c>
      <c r="Y811" s="11">
        <v>0.08942357762705652</v>
      </c>
      <c r="Z811" s="11">
        <v>0.1574177141598922</v>
      </c>
    </row>
    <row r="812" ht="22.5" customHeight="1">
      <c r="Q812" s="9" t="s">
        <v>850</v>
      </c>
      <c r="R812" s="10">
        <v>0.5947052908211997</v>
      </c>
      <c r="S812" s="10">
        <v>0.02583240516376824</v>
      </c>
      <c r="T812" s="10">
        <v>21.473234385438207</v>
      </c>
      <c r="U812" s="11">
        <v>0.11890398236245829</v>
      </c>
      <c r="V812" s="11">
        <v>0.16877842114057623</v>
      </c>
      <c r="W812" s="11">
        <v>0.16016923427410043</v>
      </c>
      <c r="X812" s="11">
        <v>0.19746853823635308</v>
      </c>
      <c r="Y812" s="11">
        <v>0.23355748988844416</v>
      </c>
      <c r="Z812" s="11">
        <v>0.12112233409806786</v>
      </c>
    </row>
    <row r="813" ht="22.5" customHeight="1">
      <c r="Q813" s="9" t="s">
        <v>851</v>
      </c>
      <c r="R813" s="10">
        <v>0.6101563040886719</v>
      </c>
      <c r="S813" s="10">
        <v>0.02655297729989208</v>
      </c>
      <c r="T813" s="10">
        <v>21.47240581156936</v>
      </c>
      <c r="U813" s="11">
        <v>0.2940094787161675</v>
      </c>
      <c r="V813" s="11">
        <v>0.14868949732280867</v>
      </c>
      <c r="W813" s="11">
        <v>0.1846073949502118</v>
      </c>
      <c r="X813" s="11">
        <v>0.26899459573377865</v>
      </c>
      <c r="Y813" s="11">
        <v>0.08261367700317185</v>
      </c>
      <c r="Z813" s="11">
        <v>0.021085356273861412</v>
      </c>
    </row>
    <row r="814" ht="22.5" customHeight="1">
      <c r="Q814" s="9" t="s">
        <v>852</v>
      </c>
      <c r="R814" s="10">
        <v>0.5534379286242722</v>
      </c>
      <c r="S814" s="10">
        <v>0.023911672630451082</v>
      </c>
      <c r="T814" s="10">
        <v>21.472271578794462</v>
      </c>
      <c r="U814" s="11">
        <v>0.23567227682662029</v>
      </c>
      <c r="V814" s="11">
        <v>0.16833031718906427</v>
      </c>
      <c r="W814" s="11">
        <v>0.1344536253921537</v>
      </c>
      <c r="X814" s="11">
        <v>0.1529840135805634</v>
      </c>
      <c r="Y814" s="11">
        <v>0.17068163006468526</v>
      </c>
      <c r="Z814" s="11">
        <v>0.13787813694691323</v>
      </c>
    </row>
    <row r="815" ht="22.5" customHeight="1">
      <c r="Q815" s="9" t="s">
        <v>853</v>
      </c>
      <c r="R815" s="10">
        <v>0.5823398206833326</v>
      </c>
      <c r="S815" s="10">
        <v>0.025261707954439418</v>
      </c>
      <c r="T815" s="10">
        <v>21.46885007385351</v>
      </c>
      <c r="U815" s="11">
        <v>0.28883733683997176</v>
      </c>
      <c r="V815" s="11">
        <v>0.19455612685817453</v>
      </c>
      <c r="W815" s="11">
        <v>0.11828327863372991</v>
      </c>
      <c r="X815" s="11">
        <v>0.21288039643457346</v>
      </c>
      <c r="Y815" s="11">
        <v>0.15742306378242574</v>
      </c>
      <c r="Z815" s="11">
        <v>0.02801979745112482</v>
      </c>
    </row>
    <row r="816" ht="22.5" customHeight="1">
      <c r="Q816" s="9" t="s">
        <v>854</v>
      </c>
      <c r="R816" s="10">
        <v>0.4488193392166453</v>
      </c>
      <c r="S816" s="10">
        <v>0.019044011252135035</v>
      </c>
      <c r="T816" s="10">
        <v>21.46708137293357</v>
      </c>
      <c r="U816" s="11">
        <v>0.3048324170488126</v>
      </c>
      <c r="V816" s="11">
        <v>0.11041949821731058</v>
      </c>
      <c r="W816" s="11">
        <v>0.11479957108706196</v>
      </c>
      <c r="X816" s="11">
        <v>0.11704808599571336</v>
      </c>
      <c r="Y816" s="11">
        <v>0.23136646177468664</v>
      </c>
      <c r="Z816" s="11">
        <v>0.12153396587641495</v>
      </c>
    </row>
    <row r="817" ht="22.5" customHeight="1">
      <c r="Q817" s="9" t="s">
        <v>855</v>
      </c>
      <c r="R817" s="10">
        <v>0.4769320349300897</v>
      </c>
      <c r="S817" s="10">
        <v>0.020354392296049007</v>
      </c>
      <c r="T817" s="10">
        <v>21.466228447159416</v>
      </c>
      <c r="U817" s="11">
        <v>0.18089339650156044</v>
      </c>
      <c r="V817" s="11">
        <v>0.15909134369278133</v>
      </c>
      <c r="W817" s="11">
        <v>0.08814677787729658</v>
      </c>
      <c r="X817" s="11">
        <v>0.17488116934086115</v>
      </c>
      <c r="Y817" s="11">
        <v>0.16677585894336114</v>
      </c>
      <c r="Z817" s="11">
        <v>0.23021145364413947</v>
      </c>
    </row>
    <row r="818" ht="22.5" customHeight="1">
      <c r="Q818" s="9" t="s">
        <v>856</v>
      </c>
      <c r="R818" s="10">
        <v>0.6879089178394192</v>
      </c>
      <c r="S818" s="10">
        <v>0.030183375211794403</v>
      </c>
      <c r="T818" s="10">
        <v>21.465754352953986</v>
      </c>
      <c r="U818" s="11">
        <v>0.06892589277848364</v>
      </c>
      <c r="V818" s="11">
        <v>0.2078627419446318</v>
      </c>
      <c r="W818" s="11">
        <v>0.18397398169884735</v>
      </c>
      <c r="X818" s="11">
        <v>0.35516298595379303</v>
      </c>
      <c r="Y818" s="11">
        <v>0.03472218927152372</v>
      </c>
      <c r="Z818" s="11">
        <v>0.14935220835272048</v>
      </c>
    </row>
    <row r="819" ht="22.5" customHeight="1">
      <c r="Q819" s="9" t="s">
        <v>857</v>
      </c>
      <c r="R819" s="10">
        <v>0.4378261281577426</v>
      </c>
      <c r="S819" s="10">
        <v>0.01853315896370758</v>
      </c>
      <c r="T819" s="10">
        <v>21.46564052770403</v>
      </c>
      <c r="U819" s="11">
        <v>0.2415529783661291</v>
      </c>
      <c r="V819" s="11">
        <v>0.12024183850411521</v>
      </c>
      <c r="W819" s="11">
        <v>0.10004644067374191</v>
      </c>
      <c r="X819" s="11">
        <v>0.10525335999482319</v>
      </c>
      <c r="Y819" s="11">
        <v>0.2499854277860959</v>
      </c>
      <c r="Z819" s="11">
        <v>0.18291995467509478</v>
      </c>
    </row>
    <row r="820" ht="22.5" customHeight="1">
      <c r="Q820" s="9" t="s">
        <v>858</v>
      </c>
      <c r="R820" s="10">
        <v>0.5545017296321693</v>
      </c>
      <c r="S820" s="10">
        <v>0.02396894076471124</v>
      </c>
      <c r="T820" s="10">
        <v>21.465351125972777</v>
      </c>
      <c r="U820" s="11">
        <v>0.29171673754802807</v>
      </c>
      <c r="V820" s="11">
        <v>0.19384008234209324</v>
      </c>
      <c r="W820" s="11">
        <v>0.09253514673857265</v>
      </c>
      <c r="X820" s="11">
        <v>0.2932075133381826</v>
      </c>
      <c r="Y820" s="11">
        <v>0.09055694893032955</v>
      </c>
      <c r="Z820" s="11">
        <v>0.03814357110279392</v>
      </c>
    </row>
    <row r="821" ht="22.5" customHeight="1">
      <c r="Q821" s="9" t="s">
        <v>859</v>
      </c>
      <c r="R821" s="10">
        <v>0.4886451245489771</v>
      </c>
      <c r="S821" s="10">
        <v>0.02090131015643381</v>
      </c>
      <c r="T821" s="10">
        <v>21.46492833181923</v>
      </c>
      <c r="U821" s="11">
        <v>0.011245025227637914</v>
      </c>
      <c r="V821" s="11">
        <v>0.08993912014597086</v>
      </c>
      <c r="W821" s="11">
        <v>0.14935618073434953</v>
      </c>
      <c r="X821" s="11">
        <v>0.3367664561130114</v>
      </c>
      <c r="Y821" s="11">
        <v>0.27033286163950665</v>
      </c>
      <c r="Z821" s="11">
        <v>0.14236035613952358</v>
      </c>
    </row>
    <row r="822" ht="22.5" customHeight="1">
      <c r="Q822" s="9" t="s">
        <v>860</v>
      </c>
      <c r="R822" s="10">
        <v>0.48627891830533493</v>
      </c>
      <c r="S822" s="10">
        <v>0.02079110634781236</v>
      </c>
      <c r="T822" s="10">
        <v>21.46489517390653</v>
      </c>
      <c r="U822" s="11">
        <v>0.24248343990773208</v>
      </c>
      <c r="V822" s="11">
        <v>0.1634605619656453</v>
      </c>
      <c r="W822" s="11">
        <v>0.08689256448346608</v>
      </c>
      <c r="X822" s="11">
        <v>0.18474333738393528</v>
      </c>
      <c r="Y822" s="11">
        <v>0.15155333307268515</v>
      </c>
      <c r="Z822" s="11">
        <v>0.17086676318653615</v>
      </c>
    </row>
    <row r="823" ht="22.5" customHeight="1">
      <c r="Q823" s="9" t="s">
        <v>861</v>
      </c>
      <c r="R823" s="10">
        <v>0.5166904482761253</v>
      </c>
      <c r="S823" s="10">
        <v>0.022208318226450113</v>
      </c>
      <c r="T823" s="10">
        <v>21.464500076749932</v>
      </c>
      <c r="U823" s="11">
        <v>0.11754528904152842</v>
      </c>
      <c r="V823" s="11">
        <v>0.13449671578060504</v>
      </c>
      <c r="W823" s="11">
        <v>0.1451635342739044</v>
      </c>
      <c r="X823" s="11">
        <v>0.17226163075643303</v>
      </c>
      <c r="Y823" s="11">
        <v>0.1923370252867291</v>
      </c>
      <c r="Z823" s="11">
        <v>0.2381958048608</v>
      </c>
    </row>
    <row r="824" ht="22.5" customHeight="1">
      <c r="Q824" s="9" t="s">
        <v>862</v>
      </c>
      <c r="R824" s="10">
        <v>0.5259276260443346</v>
      </c>
      <c r="S824" s="10">
        <v>0.022639367881131633</v>
      </c>
      <c r="T824" s="10">
        <v>21.463833645696536</v>
      </c>
      <c r="U824" s="11">
        <v>0.236149252603664</v>
      </c>
      <c r="V824" s="11">
        <v>0.14870975985771862</v>
      </c>
      <c r="W824" s="11">
        <v>0.13329645749162725</v>
      </c>
      <c r="X824" s="11">
        <v>0.13141596076068995</v>
      </c>
      <c r="Y824" s="11">
        <v>0.23010037076011786</v>
      </c>
      <c r="Z824" s="11">
        <v>0.12032819852618236</v>
      </c>
    </row>
    <row r="825" ht="22.5" customHeight="1">
      <c r="Q825" s="9" t="s">
        <v>863</v>
      </c>
      <c r="R825" s="10">
        <v>0.4803834414765615</v>
      </c>
      <c r="S825" s="10">
        <v>0.020518822173654527</v>
      </c>
      <c r="T825" s="10">
        <v>21.46241327838003</v>
      </c>
      <c r="U825" s="11">
        <v>0.06141936989844631</v>
      </c>
      <c r="V825" s="11">
        <v>0.11773185406687009</v>
      </c>
      <c r="W825" s="11">
        <v>0.13431870775643284</v>
      </c>
      <c r="X825" s="11">
        <v>0.17584304854382474</v>
      </c>
      <c r="Y825" s="11">
        <v>0.25074891657210713</v>
      </c>
      <c r="Z825" s="11">
        <v>0.25993810316231897</v>
      </c>
    </row>
    <row r="826" ht="22.5" customHeight="1">
      <c r="Q826" s="9" t="s">
        <v>864</v>
      </c>
      <c r="R826" s="10">
        <v>0.5213407363829125</v>
      </c>
      <c r="S826" s="10">
        <v>0.02242805490681979</v>
      </c>
      <c r="T826" s="10">
        <v>21.461546192155488</v>
      </c>
      <c r="U826" s="11">
        <v>0.039990102190404976</v>
      </c>
      <c r="V826" s="11">
        <v>0.12502343411269262</v>
      </c>
      <c r="W826" s="11">
        <v>0.15333669975448275</v>
      </c>
      <c r="X826" s="11">
        <v>0.22574683145404723</v>
      </c>
      <c r="Y826" s="11">
        <v>0.2232064773585154</v>
      </c>
      <c r="Z826" s="11">
        <v>0.23269645512985704</v>
      </c>
    </row>
    <row r="827" ht="22.5" customHeight="1">
      <c r="Q827" s="9" t="s">
        <v>865</v>
      </c>
      <c r="R827" s="10">
        <v>0.4420128842895453</v>
      </c>
      <c r="S827" s="10">
        <v>0.018732301955724645</v>
      </c>
      <c r="T827" s="10">
        <v>21.460944054806305</v>
      </c>
      <c r="U827" s="11">
        <v>0.31496206748150674</v>
      </c>
      <c r="V827" s="11">
        <v>0.07561561359905479</v>
      </c>
      <c r="W827" s="11">
        <v>0.13281733784385086</v>
      </c>
      <c r="X827" s="11">
        <v>0.24041265384554855</v>
      </c>
      <c r="Y827" s="11">
        <v>0.18301731054052442</v>
      </c>
      <c r="Z827" s="11">
        <v>0.05317501668951459</v>
      </c>
    </row>
    <row r="828" ht="22.5" customHeight="1">
      <c r="Q828" s="9" t="s">
        <v>866</v>
      </c>
      <c r="R828" s="10">
        <v>0.5657127069951932</v>
      </c>
      <c r="S828" s="10">
        <v>0.02449628570286414</v>
      </c>
      <c r="T828" s="10">
        <v>21.460915069819176</v>
      </c>
      <c r="U828" s="11">
        <v>0.1612897716984386</v>
      </c>
      <c r="V828" s="11">
        <v>0.1527747393481014</v>
      </c>
      <c r="W828" s="11">
        <v>0.15925233780946033</v>
      </c>
      <c r="X828" s="11">
        <v>0.18735324492110053</v>
      </c>
      <c r="Y828" s="11">
        <v>0.17091275601717373</v>
      </c>
      <c r="Z828" s="11">
        <v>0.16841715020572542</v>
      </c>
    </row>
    <row r="829" ht="22.5" customHeight="1">
      <c r="Q829" s="9" t="s">
        <v>867</v>
      </c>
      <c r="R829" s="10">
        <v>0.4512651407913937</v>
      </c>
      <c r="S829" s="10">
        <v>0.01916390718806749</v>
      </c>
      <c r="T829" s="10">
        <v>21.46040140746821</v>
      </c>
      <c r="U829" s="11">
        <v>0.4546027230257649</v>
      </c>
      <c r="V829" s="11">
        <v>0.14366526847749475</v>
      </c>
      <c r="W829" s="11">
        <v>0.06902937183589844</v>
      </c>
      <c r="X829" s="11">
        <v>0.2227899423808841</v>
      </c>
      <c r="Y829" s="11">
        <v>0.1002281355329126</v>
      </c>
      <c r="Z829" s="11">
        <v>0.00968455874704533</v>
      </c>
    </row>
    <row r="830" ht="22.5" customHeight="1">
      <c r="Q830" s="9" t="s">
        <v>868</v>
      </c>
      <c r="R830" s="10">
        <v>0.5281275368174763</v>
      </c>
      <c r="S830" s="10">
        <v>0.022745578534351857</v>
      </c>
      <c r="T830" s="10">
        <v>21.460326281887014</v>
      </c>
      <c r="U830" s="11">
        <v>0.22466160225540033</v>
      </c>
      <c r="V830" s="11">
        <v>0.10498713937003637</v>
      </c>
      <c r="W830" s="11">
        <v>0.1637918705841061</v>
      </c>
      <c r="X830" s="11">
        <v>0.26716097685972884</v>
      </c>
      <c r="Y830" s="11">
        <v>0.22322205197371603</v>
      </c>
      <c r="Z830" s="11">
        <v>0.0161763589570124</v>
      </c>
    </row>
    <row r="831" ht="22.5" customHeight="1">
      <c r="Q831" s="9" t="s">
        <v>869</v>
      </c>
      <c r="R831" s="10">
        <v>0.5969831219171565</v>
      </c>
      <c r="S831" s="10">
        <v>0.025955574409064718</v>
      </c>
      <c r="T831" s="10">
        <v>21.459094417985057</v>
      </c>
      <c r="U831" s="11">
        <v>0.09472127061658538</v>
      </c>
      <c r="V831" s="11">
        <v>0.19649490707013942</v>
      </c>
      <c r="W831" s="11">
        <v>0.13553218759165836</v>
      </c>
      <c r="X831" s="11">
        <v>0.23624896953044855</v>
      </c>
      <c r="Y831" s="11">
        <v>0.14274997994145336</v>
      </c>
      <c r="Z831" s="11">
        <v>0.19425268524971498</v>
      </c>
    </row>
    <row r="832" ht="22.5" customHeight="1">
      <c r="Q832" s="9" t="s">
        <v>870</v>
      </c>
      <c r="R832" s="10">
        <v>0.3600365496421564</v>
      </c>
      <c r="S832" s="10">
        <v>0.014914542291096528</v>
      </c>
      <c r="T832" s="10">
        <v>21.458020192359996</v>
      </c>
      <c r="U832" s="11">
        <v>0.24559623397984154</v>
      </c>
      <c r="V832" s="11">
        <v>0.09529863462047415</v>
      </c>
      <c r="W832" s="11">
        <v>0.07015238474144482</v>
      </c>
      <c r="X832" s="11">
        <v>0.11350038180779624</v>
      </c>
      <c r="Y832" s="11">
        <v>0.2154037207572947</v>
      </c>
      <c r="Z832" s="11">
        <v>0.2600486440931485</v>
      </c>
    </row>
    <row r="833" ht="22.5" customHeight="1">
      <c r="Q833" s="9" t="s">
        <v>871</v>
      </c>
      <c r="R833" s="10">
        <v>0.3483268515538021</v>
      </c>
      <c r="S833" s="10">
        <v>0.014368958132491274</v>
      </c>
      <c r="T833" s="10">
        <v>21.457843269555465</v>
      </c>
      <c r="U833" s="11">
        <v>0.29062270509030147</v>
      </c>
      <c r="V833" s="11">
        <v>0.06591919670095346</v>
      </c>
      <c r="W833" s="11">
        <v>0.08411074238119352</v>
      </c>
      <c r="X833" s="11">
        <v>0.15264850327729168</v>
      </c>
      <c r="Y833" s="11">
        <v>0.2232769480118242</v>
      </c>
      <c r="Z833" s="11">
        <v>0.18342190453843568</v>
      </c>
    </row>
    <row r="834" ht="22.5" customHeight="1">
      <c r="Q834" s="9" t="s">
        <v>872</v>
      </c>
      <c r="R834" s="10">
        <v>0.6116293758109409</v>
      </c>
      <c r="S834" s="10">
        <v>0.026640116196959693</v>
      </c>
      <c r="T834" s="10">
        <v>21.45746556001051</v>
      </c>
      <c r="U834" s="11">
        <v>0.20271457651251962</v>
      </c>
      <c r="V834" s="11">
        <v>0.17236978968698258</v>
      </c>
      <c r="W834" s="11">
        <v>0.17147066282560428</v>
      </c>
      <c r="X834" s="11">
        <v>0.23743650138849043</v>
      </c>
      <c r="Y834" s="11">
        <v>0.06275015334744992</v>
      </c>
      <c r="Z834" s="11">
        <v>0.15325831623895322</v>
      </c>
    </row>
    <row r="835" ht="22.5" customHeight="1">
      <c r="Q835" s="9" t="s">
        <v>873</v>
      </c>
      <c r="R835" s="10">
        <v>0.485391164486016</v>
      </c>
      <c r="S835" s="10">
        <v>0.020756953245497894</v>
      </c>
      <c r="T835" s="10">
        <v>21.457444125747102</v>
      </c>
      <c r="U835" s="11">
        <v>0.26526500725819535</v>
      </c>
      <c r="V835" s="11">
        <v>0.0946767489113261</v>
      </c>
      <c r="W835" s="11">
        <v>0.14344701767604998</v>
      </c>
      <c r="X835" s="11">
        <v>0.22133663761369998</v>
      </c>
      <c r="Y835" s="11">
        <v>0.272590162603714</v>
      </c>
      <c r="Z835" s="11">
        <v>0.002684425937014673</v>
      </c>
    </row>
    <row r="836" ht="22.5" customHeight="1">
      <c r="Q836" s="9" t="s">
        <v>874</v>
      </c>
      <c r="R836" s="10">
        <v>0.5030104946349734</v>
      </c>
      <c r="S836" s="10">
        <v>0.021578535785168017</v>
      </c>
      <c r="T836" s="10">
        <v>21.456993154893446</v>
      </c>
      <c r="U836" s="11">
        <v>0.25084807076497095</v>
      </c>
      <c r="V836" s="11">
        <v>0.15814467263257873</v>
      </c>
      <c r="W836" s="11">
        <v>0.11302501215072808</v>
      </c>
      <c r="X836" s="11">
        <v>0.15433976323192453</v>
      </c>
      <c r="Y836" s="11">
        <v>0.08843718706770964</v>
      </c>
      <c r="Z836" s="11">
        <v>0.23520529415208818</v>
      </c>
    </row>
    <row r="837" ht="22.5" customHeight="1">
      <c r="Q837" s="9" t="s">
        <v>875</v>
      </c>
      <c r="R837" s="10">
        <v>0.6105091108098963</v>
      </c>
      <c r="S837" s="10">
        <v>0.026588697901105404</v>
      </c>
      <c r="T837" s="10">
        <v>21.456827744324322</v>
      </c>
      <c r="U837" s="11">
        <v>0.20395994070843806</v>
      </c>
      <c r="V837" s="11">
        <v>0.15954083793276097</v>
      </c>
      <c r="W837" s="11">
        <v>0.1798246521518992</v>
      </c>
      <c r="X837" s="11">
        <v>0.24331403072466237</v>
      </c>
      <c r="Y837" s="11">
        <v>0.10964859998990191</v>
      </c>
      <c r="Z837" s="11">
        <v>0.10371193849233741</v>
      </c>
    </row>
    <row r="838" ht="22.5" customHeight="1">
      <c r="Q838" s="9" t="s">
        <v>876</v>
      </c>
      <c r="R838" s="10">
        <v>0.6414221525906683</v>
      </c>
      <c r="S838" s="10">
        <v>0.028031549958739816</v>
      </c>
      <c r="T838" s="10">
        <v>21.45518722567654</v>
      </c>
      <c r="U838" s="11">
        <v>0.30150057457492657</v>
      </c>
      <c r="V838" s="11">
        <v>0.18210300610119</v>
      </c>
      <c r="W838" s="11">
        <v>0.1766694908107069</v>
      </c>
      <c r="X838" s="11">
        <v>0.22080247941304892</v>
      </c>
      <c r="Y838" s="11">
        <v>0.10890497733713392</v>
      </c>
      <c r="Z838" s="11">
        <v>0.010019471762993781</v>
      </c>
    </row>
    <row r="839" ht="22.5" customHeight="1">
      <c r="Q839" s="9" t="s">
        <v>877</v>
      </c>
      <c r="R839" s="10">
        <v>0.6146228776663271</v>
      </c>
      <c r="S839" s="10">
        <v>0.02678317510549159</v>
      </c>
      <c r="T839" s="10">
        <v>21.45462124647451</v>
      </c>
      <c r="U839" s="11">
        <v>0.047890377556829004</v>
      </c>
      <c r="V839" s="11">
        <v>0.19046210521647153</v>
      </c>
      <c r="W839" s="11">
        <v>0.15413548062663002</v>
      </c>
      <c r="X839" s="11">
        <v>0.232102214749501</v>
      </c>
      <c r="Y839" s="11">
        <v>0.19491014966331707</v>
      </c>
      <c r="Z839" s="11">
        <v>0.18049967218725138</v>
      </c>
    </row>
    <row r="840" ht="22.5" customHeight="1">
      <c r="Q840" s="9" t="s">
        <v>878</v>
      </c>
      <c r="R840" s="10">
        <v>0.49620190293463284</v>
      </c>
      <c r="S840" s="10">
        <v>0.021264197544429514</v>
      </c>
      <c r="T840" s="10">
        <v>21.45399100913366</v>
      </c>
      <c r="U840" s="11">
        <v>0.03546665620636526</v>
      </c>
      <c r="V840" s="11">
        <v>0.11191748709955147</v>
      </c>
      <c r="W840" s="11">
        <v>0.1494919204675325</v>
      </c>
      <c r="X840" s="11">
        <v>0.24672574354773624</v>
      </c>
      <c r="Y840" s="11">
        <v>0.1758162125168396</v>
      </c>
      <c r="Z840" s="11">
        <v>0.28058198016197494</v>
      </c>
    </row>
    <row r="841" ht="22.5" customHeight="1">
      <c r="Q841" s="9" t="s">
        <v>879</v>
      </c>
      <c r="R841" s="10">
        <v>0.5343050296724211</v>
      </c>
      <c r="S841" s="10">
        <v>0.023041151520838</v>
      </c>
      <c r="T841" s="10">
        <v>21.453139146512733</v>
      </c>
      <c r="U841" s="11">
        <v>0.24332940432148187</v>
      </c>
      <c r="V841" s="11">
        <v>0.13638370117155577</v>
      </c>
      <c r="W841" s="11">
        <v>0.15166898466506215</v>
      </c>
      <c r="X841" s="11">
        <v>0.1622055971206187</v>
      </c>
      <c r="Y841" s="11">
        <v>0.17859258177871462</v>
      </c>
      <c r="Z841" s="11">
        <v>0.1278197309425669</v>
      </c>
    </row>
    <row r="842" ht="22.5" customHeight="1">
      <c r="Q842" s="9" t="s">
        <v>880</v>
      </c>
      <c r="R842" s="10">
        <v>0.5451628149899792</v>
      </c>
      <c r="S842" s="10">
        <v>0.02354796125770856</v>
      </c>
      <c r="T842" s="10">
        <v>21.45250747873603</v>
      </c>
      <c r="U842" s="11">
        <v>0.10854289660856993</v>
      </c>
      <c r="V842" s="11">
        <v>0.14827997914490124</v>
      </c>
      <c r="W842" s="11">
        <v>0.14772399907390668</v>
      </c>
      <c r="X842" s="11">
        <v>0.16956019282337592</v>
      </c>
      <c r="Y842" s="11">
        <v>0.2577552905111465</v>
      </c>
      <c r="Z842" s="11">
        <v>0.16813764183809968</v>
      </c>
    </row>
    <row r="843" ht="22.5" customHeight="1">
      <c r="Q843" s="9" t="s">
        <v>881</v>
      </c>
      <c r="R843" s="10">
        <v>0.5569756548063031</v>
      </c>
      <c r="S843" s="10">
        <v>0.024098777360341217</v>
      </c>
      <c r="T843" s="10">
        <v>21.452360303435043</v>
      </c>
      <c r="U843" s="11">
        <v>0.1833838093195979</v>
      </c>
      <c r="V843" s="11">
        <v>0.17397229096059486</v>
      </c>
      <c r="W843" s="11">
        <v>0.1349391904944331</v>
      </c>
      <c r="X843" s="11">
        <v>0.17834102717813008</v>
      </c>
      <c r="Y843" s="11">
        <v>0.11126234988633552</v>
      </c>
      <c r="Z843" s="11">
        <v>0.21810133216090846</v>
      </c>
    </row>
    <row r="844" ht="22.5" customHeight="1">
      <c r="Q844" s="9" t="s">
        <v>882</v>
      </c>
      <c r="R844" s="10">
        <v>0.5734968862757741</v>
      </c>
      <c r="S844" s="10">
        <v>0.02486967396233833</v>
      </c>
      <c r="T844" s="10">
        <v>21.451704074757117</v>
      </c>
      <c r="U844" s="11">
        <v>0.09078706821430284</v>
      </c>
      <c r="V844" s="11">
        <v>0.1789843762100617</v>
      </c>
      <c r="W844" s="11">
        <v>0.1425338902740275</v>
      </c>
      <c r="X844" s="11">
        <v>0.22660503983389227</v>
      </c>
      <c r="Y844" s="11">
        <v>0.08246153488737104</v>
      </c>
      <c r="Z844" s="11">
        <v>0.27862809058034466</v>
      </c>
    </row>
    <row r="845" ht="22.5" customHeight="1">
      <c r="Q845" s="9" t="s">
        <v>883</v>
      </c>
      <c r="R845" s="10">
        <v>0.6246226342754598</v>
      </c>
      <c r="S845" s="10">
        <v>0.02725325909683275</v>
      </c>
      <c r="T845" s="10">
        <v>21.451476030747532</v>
      </c>
      <c r="U845" s="11">
        <v>0.1397944411117303</v>
      </c>
      <c r="V845" s="11">
        <v>0.18832822342431416</v>
      </c>
      <c r="W845" s="11">
        <v>0.1656822879459731</v>
      </c>
      <c r="X845" s="11">
        <v>0.26659800678240547</v>
      </c>
      <c r="Y845" s="11">
        <v>0.03716924206913333</v>
      </c>
      <c r="Z845" s="11">
        <v>0.20242779866644373</v>
      </c>
    </row>
    <row r="846" ht="22.5" customHeight="1">
      <c r="Q846" s="9" t="s">
        <v>884</v>
      </c>
      <c r="R846" s="10">
        <v>0.5166766130968464</v>
      </c>
      <c r="S846" s="10">
        <v>0.022223033527644074</v>
      </c>
      <c r="T846" s="10">
        <v>21.449664489048732</v>
      </c>
      <c r="U846" s="11">
        <v>0.1715338057055617</v>
      </c>
      <c r="V846" s="11">
        <v>0.10560678438169954</v>
      </c>
      <c r="W846" s="11">
        <v>0.16010670574842026</v>
      </c>
      <c r="X846" s="11">
        <v>0.2531524894141942</v>
      </c>
      <c r="Y846" s="11">
        <v>0.2145108335790088</v>
      </c>
      <c r="Z846" s="11">
        <v>0.09508938117111543</v>
      </c>
    </row>
    <row r="847" ht="22.5" customHeight="1">
      <c r="Q847" s="9" t="s">
        <v>885</v>
      </c>
      <c r="R847" s="10">
        <v>0.45992939869358995</v>
      </c>
      <c r="S847" s="10">
        <v>0.019577472407026852</v>
      </c>
      <c r="T847" s="10">
        <v>21.449622809472924</v>
      </c>
      <c r="U847" s="11">
        <v>0.24986269622157067</v>
      </c>
      <c r="V847" s="11">
        <v>0.1034079405439812</v>
      </c>
      <c r="W847" s="11">
        <v>0.13332579597043726</v>
      </c>
      <c r="X847" s="11">
        <v>0.16126069603953294</v>
      </c>
      <c r="Y847" s="11">
        <v>0.1506793244364131</v>
      </c>
      <c r="Z847" s="11">
        <v>0.2014635467880648</v>
      </c>
    </row>
    <row r="848" ht="22.5" customHeight="1">
      <c r="Q848" s="9" t="s">
        <v>886</v>
      </c>
      <c r="R848" s="10">
        <v>0.4612842139389131</v>
      </c>
      <c r="S848" s="10">
        <v>0.019640956434340977</v>
      </c>
      <c r="T848" s="10">
        <v>21.44927184922238</v>
      </c>
      <c r="U848" s="11">
        <v>0.05977934337354403</v>
      </c>
      <c r="V848" s="11">
        <v>0.08862218399460402</v>
      </c>
      <c r="W848" s="11">
        <v>0.140547452254082</v>
      </c>
      <c r="X848" s="11">
        <v>0.26369149801311415</v>
      </c>
      <c r="Y848" s="11">
        <v>0.2317223924504075</v>
      </c>
      <c r="Z848" s="11">
        <v>0.2156371299142483</v>
      </c>
    </row>
    <row r="849" ht="22.5" customHeight="1">
      <c r="Q849" s="9" t="s">
        <v>887</v>
      </c>
      <c r="R849" s="10">
        <v>0.4793604751994487</v>
      </c>
      <c r="S849" s="10">
        <v>0.020483898733206714</v>
      </c>
      <c r="T849" s="10">
        <v>21.4490649910896</v>
      </c>
      <c r="U849" s="11">
        <v>0.276838055178111</v>
      </c>
      <c r="V849" s="11">
        <v>0.13066898286340584</v>
      </c>
      <c r="W849" s="11">
        <v>0.12611030819773328</v>
      </c>
      <c r="X849" s="11">
        <v>0.15572222690246149</v>
      </c>
      <c r="Y849" s="11">
        <v>0.043930775809251255</v>
      </c>
      <c r="Z849" s="11">
        <v>0.2667296510490373</v>
      </c>
    </row>
    <row r="850" ht="22.5" customHeight="1">
      <c r="Q850" s="9" t="s">
        <v>888</v>
      </c>
      <c r="R850" s="10">
        <v>0.6606241005101987</v>
      </c>
      <c r="S850" s="10">
        <v>0.02893483190070362</v>
      </c>
      <c r="T850" s="10">
        <v>21.449030795824555</v>
      </c>
      <c r="U850" s="11">
        <v>0.12126046778100852</v>
      </c>
      <c r="V850" s="11">
        <v>0.169624419616594</v>
      </c>
      <c r="W850" s="11">
        <v>0.19668101463834917</v>
      </c>
      <c r="X850" s="11">
        <v>0.2938491701514739</v>
      </c>
      <c r="Y850" s="11">
        <v>0.2080392015346663</v>
      </c>
      <c r="Z850" s="11">
        <v>0.010545726277908151</v>
      </c>
    </row>
    <row r="851" ht="22.5" customHeight="1">
      <c r="Q851" s="9" t="s">
        <v>889</v>
      </c>
      <c r="R851" s="10">
        <v>0.6038316203802664</v>
      </c>
      <c r="S851" s="10">
        <v>0.026287853757843784</v>
      </c>
      <c r="T851" s="10">
        <v>21.448370246354933</v>
      </c>
      <c r="U851" s="11">
        <v>0.21876971326423256</v>
      </c>
      <c r="V851" s="11">
        <v>0.2067527280773497</v>
      </c>
      <c r="W851" s="11">
        <v>0.12408201554367004</v>
      </c>
      <c r="X851" s="11">
        <v>0.29710114791379016</v>
      </c>
      <c r="Y851" s="11">
        <v>0.017770543916037735</v>
      </c>
      <c r="Z851" s="11">
        <v>0.13552385128491973</v>
      </c>
    </row>
    <row r="852" ht="22.5" customHeight="1">
      <c r="Q852" s="9" t="s">
        <v>890</v>
      </c>
      <c r="R852" s="10">
        <v>0.4959510950402494</v>
      </c>
      <c r="S852" s="10">
        <v>0.02125818964271112</v>
      </c>
      <c r="T852" s="10">
        <v>21.448256069941646</v>
      </c>
      <c r="U852" s="11">
        <v>0.2075124383018889</v>
      </c>
      <c r="V852" s="11">
        <v>0.0986589732341128</v>
      </c>
      <c r="W852" s="11">
        <v>0.15185239570028863</v>
      </c>
      <c r="X852" s="11">
        <v>0.23394211038571835</v>
      </c>
      <c r="Y852" s="11">
        <v>0.22676495530063343</v>
      </c>
      <c r="Z852" s="11">
        <v>0.08126912707735792</v>
      </c>
    </row>
    <row r="853" ht="22.5" customHeight="1">
      <c r="Q853" s="9" t="s">
        <v>891</v>
      </c>
      <c r="R853" s="10">
        <v>0.614679885257585</v>
      </c>
      <c r="S853" s="10">
        <v>0.026795091388489036</v>
      </c>
      <c r="T853" s="10">
        <v>21.447207509971882</v>
      </c>
      <c r="U853" s="11">
        <v>0.18360155909585998</v>
      </c>
      <c r="V853" s="11">
        <v>0.19197763144273494</v>
      </c>
      <c r="W853" s="11">
        <v>0.1525949277141626</v>
      </c>
      <c r="X853" s="11">
        <v>0.20274854329926947</v>
      </c>
      <c r="Y853" s="11">
        <v>0.14765431155204803</v>
      </c>
      <c r="Z853" s="11">
        <v>0.12142302689592505</v>
      </c>
    </row>
    <row r="854" ht="22.5" customHeight="1">
      <c r="Q854" s="9" t="s">
        <v>892</v>
      </c>
      <c r="R854" s="10">
        <v>0.5993129150030683</v>
      </c>
      <c r="S854" s="10">
        <v>0.026079097027486186</v>
      </c>
      <c r="T854" s="10">
        <v>21.446789910462687</v>
      </c>
      <c r="U854" s="11">
        <v>0.23867170504326451</v>
      </c>
      <c r="V854" s="11">
        <v>0.15443744574718732</v>
      </c>
      <c r="W854" s="11">
        <v>0.17713728676564572</v>
      </c>
      <c r="X854" s="11">
        <v>0.2325287828477031</v>
      </c>
      <c r="Y854" s="11">
        <v>0.10083074748122996</v>
      </c>
      <c r="Z854" s="11">
        <v>0.09639403211496948</v>
      </c>
    </row>
    <row r="855" ht="22.5" customHeight="1">
      <c r="Q855" s="9" t="s">
        <v>893</v>
      </c>
      <c r="R855" s="10">
        <v>0.522331348251574</v>
      </c>
      <c r="S855" s="10">
        <v>0.021752133596224393</v>
      </c>
      <c r="T855" s="10">
        <v>21.44676471348319</v>
      </c>
      <c r="U855" s="11">
        <v>0.24371859787717587</v>
      </c>
      <c r="V855" s="11">
        <v>0.15530096157669512</v>
      </c>
      <c r="W855" s="11">
        <v>0.11522217755446044</v>
      </c>
      <c r="X855" s="11">
        <v>0.1271719616323155</v>
      </c>
      <c r="Y855" s="11">
        <v>0.18932080334489915</v>
      </c>
      <c r="Z855" s="11">
        <v>0.1692654980144539</v>
      </c>
    </row>
    <row r="856" ht="22.5" customHeight="1">
      <c r="Q856" s="9" t="s">
        <v>894</v>
      </c>
      <c r="R856" s="10">
        <v>0.5987339468737705</v>
      </c>
      <c r="S856" s="10">
        <v>0.026052163621052317</v>
      </c>
      <c r="T856" s="10">
        <v>21.446738743121777</v>
      </c>
      <c r="U856" s="11">
        <v>0.1792810569381349</v>
      </c>
      <c r="V856" s="11">
        <v>0.1802707840634675</v>
      </c>
      <c r="W856" s="11">
        <v>0.15680637346300016</v>
      </c>
      <c r="X856" s="11">
        <v>0.21203871821404854</v>
      </c>
      <c r="Y856" s="11">
        <v>0.08382786307392197</v>
      </c>
      <c r="Z856" s="11">
        <v>0.187775204247427</v>
      </c>
    </row>
    <row r="857" ht="22.5" customHeight="1">
      <c r="Q857" s="9" t="s">
        <v>895</v>
      </c>
      <c r="R857" s="10">
        <v>0.5354796647465163</v>
      </c>
      <c r="S857" s="10">
        <v>0.0231038229297143</v>
      </c>
      <c r="T857" s="10">
        <v>21.445786970141196</v>
      </c>
      <c r="U857" s="11">
        <v>0.09228132856960404</v>
      </c>
      <c r="V857" s="11">
        <v>0.16323412433266435</v>
      </c>
      <c r="W857" s="11">
        <v>0.13358921997447273</v>
      </c>
      <c r="X857" s="11">
        <v>0.18370361725728118</v>
      </c>
      <c r="Y857" s="11">
        <v>0.12527318668661347</v>
      </c>
      <c r="Z857" s="11">
        <v>0.30191852317936424</v>
      </c>
    </row>
    <row r="858" ht="22.5" customHeight="1">
      <c r="Q858" s="9" t="s">
        <v>896</v>
      </c>
      <c r="R858" s="10">
        <v>0.6210006110143641</v>
      </c>
      <c r="S858" s="10">
        <v>0.027091725039800386</v>
      </c>
      <c r="T858" s="10">
        <v>21.44568535819766</v>
      </c>
      <c r="U858" s="11">
        <v>0.1329947750010317</v>
      </c>
      <c r="V858" s="11">
        <v>0.19443218481463603</v>
      </c>
      <c r="W858" s="11">
        <v>0.1516491875626909</v>
      </c>
      <c r="X858" s="11">
        <v>0.20668180105633308</v>
      </c>
      <c r="Y858" s="11">
        <v>0.21933986691244747</v>
      </c>
      <c r="Z858" s="11">
        <v>0.09490218465286093</v>
      </c>
    </row>
    <row r="859" ht="22.5" customHeight="1">
      <c r="Q859" s="9" t="s">
        <v>897</v>
      </c>
      <c r="R859" s="10">
        <v>0.5038800896289841</v>
      </c>
      <c r="S859" s="10">
        <v>0.02163101805579579</v>
      </c>
      <c r="T859" s="10">
        <v>21.445134409875482</v>
      </c>
      <c r="U859" s="11">
        <v>0.20569901586203512</v>
      </c>
      <c r="V859" s="11">
        <v>0.12093570394384925</v>
      </c>
      <c r="W859" s="11">
        <v>0.14666877570873205</v>
      </c>
      <c r="X859" s="11">
        <v>0.1686000548228959</v>
      </c>
      <c r="Y859" s="11">
        <v>0.17859620006493626</v>
      </c>
      <c r="Z859" s="11">
        <v>0.1795002495975514</v>
      </c>
    </row>
    <row r="860" ht="22.5" customHeight="1">
      <c r="Q860" s="9" t="s">
        <v>898</v>
      </c>
      <c r="R860" s="10">
        <v>0.6519268790697613</v>
      </c>
      <c r="S860" s="10">
        <v>0.028536893023893686</v>
      </c>
      <c r="T860" s="10">
        <v>21.443360304059745</v>
      </c>
      <c r="U860" s="11">
        <v>0.16090205391871099</v>
      </c>
      <c r="V860" s="11">
        <v>0.2021511023764987</v>
      </c>
      <c r="W860" s="11">
        <v>0.16541206418262194</v>
      </c>
      <c r="X860" s="11">
        <v>0.2289009094687178</v>
      </c>
      <c r="Y860" s="11">
        <v>0.1704784274851233</v>
      </c>
      <c r="Z860" s="11">
        <v>0.07215544256832718</v>
      </c>
    </row>
    <row r="861" ht="22.5" customHeight="1">
      <c r="Q861" s="9" t="s">
        <v>899</v>
      </c>
      <c r="R861" s="10">
        <v>0.5413452363728547</v>
      </c>
      <c r="S861" s="10">
        <v>0.023380361204006522</v>
      </c>
      <c r="T861" s="10">
        <v>21.443006461634255</v>
      </c>
      <c r="U861" s="11">
        <v>0.22970297819301463</v>
      </c>
      <c r="V861" s="11">
        <v>0.12940817366148935</v>
      </c>
      <c r="W861" s="11">
        <v>0.16357636330377068</v>
      </c>
      <c r="X861" s="11">
        <v>0.2298061155501423</v>
      </c>
      <c r="Y861" s="11">
        <v>0.07346235923619482</v>
      </c>
      <c r="Z861" s="11">
        <v>0.1740440100553881</v>
      </c>
    </row>
    <row r="862" ht="22.5" customHeight="1">
      <c r="Q862" s="9" t="s">
        <v>900</v>
      </c>
      <c r="R862" s="10">
        <v>0.4808415648567971</v>
      </c>
      <c r="S862" s="10">
        <v>0.020559907757017076</v>
      </c>
      <c r="T862" s="10">
        <v>21.441806552188364</v>
      </c>
      <c r="U862" s="11">
        <v>0.14078491907138652</v>
      </c>
      <c r="V862" s="11">
        <v>0.1554535215093002</v>
      </c>
      <c r="W862" s="11">
        <v>0.09580612711480492</v>
      </c>
      <c r="X862" s="11">
        <v>0.15133950972772026</v>
      </c>
      <c r="Y862" s="11">
        <v>0.22639606042982732</v>
      </c>
      <c r="Z862" s="11">
        <v>0.23021986214696077</v>
      </c>
    </row>
    <row r="863" ht="22.5" customHeight="1">
      <c r="Q863" s="9" t="s">
        <v>901</v>
      </c>
      <c r="R863" s="10">
        <v>0.5256759805794325</v>
      </c>
      <c r="S863" s="10">
        <v>0.022652299944615706</v>
      </c>
      <c r="T863" s="10">
        <v>21.440471023556015</v>
      </c>
      <c r="U863" s="11">
        <v>0.22623570458293224</v>
      </c>
      <c r="V863" s="11">
        <v>0.12588030348672408</v>
      </c>
      <c r="W863" s="11">
        <v>0.1578592572895426</v>
      </c>
      <c r="X863" s="11">
        <v>0.24010300713095847</v>
      </c>
      <c r="Y863" s="11">
        <v>0.028294553956421303</v>
      </c>
      <c r="Z863" s="11">
        <v>0.22162717355342137</v>
      </c>
    </row>
    <row r="864" ht="22.5" customHeight="1">
      <c r="Q864" s="9" t="s">
        <v>902</v>
      </c>
      <c r="R864" s="10">
        <v>0.40653273962006936</v>
      </c>
      <c r="S864" s="10">
        <v>0.01709558989698505</v>
      </c>
      <c r="T864" s="10">
        <v>21.440192577660657</v>
      </c>
      <c r="U864" s="11">
        <v>0.24090019108083333</v>
      </c>
      <c r="V864" s="11">
        <v>0.07010945779701568</v>
      </c>
      <c r="W864" s="11">
        <v>0.1056492487922841</v>
      </c>
      <c r="X864" s="11">
        <v>0.22929091159035364</v>
      </c>
      <c r="Y864" s="11">
        <v>0.3514395849936932</v>
      </c>
      <c r="Z864" s="11">
        <v>0.00261060574581997</v>
      </c>
    </row>
    <row r="865" ht="22.5" customHeight="1">
      <c r="Q865" s="9" t="s">
        <v>903</v>
      </c>
      <c r="R865" s="10">
        <v>0.6225811958341212</v>
      </c>
      <c r="S865" s="10">
        <v>0.027173433118957657</v>
      </c>
      <c r="T865" s="10">
        <v>21.43936665211732</v>
      </c>
      <c r="U865" s="11">
        <v>0.20571383421046466</v>
      </c>
      <c r="V865" s="11">
        <v>0.18510779570211722</v>
      </c>
      <c r="W865" s="11">
        <v>0.161929892101192</v>
      </c>
      <c r="X865" s="11">
        <v>0.1895052789069207</v>
      </c>
      <c r="Y865" s="11">
        <v>0.20588407310353646</v>
      </c>
      <c r="Z865" s="11">
        <v>0.051859125975768916</v>
      </c>
    </row>
    <row r="866" ht="22.5" customHeight="1">
      <c r="Q866" s="9" t="s">
        <v>904</v>
      </c>
      <c r="R866" s="10">
        <v>0.5748033404942681</v>
      </c>
      <c r="S866" s="10">
        <v>0.02494615297845149</v>
      </c>
      <c r="T866" s="10">
        <v>21.438309183633713</v>
      </c>
      <c r="U866" s="11">
        <v>0.2331744861152985</v>
      </c>
      <c r="V866" s="11">
        <v>0.14673935772172117</v>
      </c>
      <c r="W866" s="11">
        <v>0.16533550135745845</v>
      </c>
      <c r="X866" s="11">
        <v>0.1850643895453229</v>
      </c>
      <c r="Y866" s="11">
        <v>0.21660762172587358</v>
      </c>
      <c r="Z866" s="11">
        <v>0.05307864353432537</v>
      </c>
    </row>
    <row r="867" ht="22.5" customHeight="1">
      <c r="Q867" s="9" t="s">
        <v>905</v>
      </c>
      <c r="R867" s="10">
        <v>0.3727924677651942</v>
      </c>
      <c r="S867" s="10">
        <v>0.015523607784045037</v>
      </c>
      <c r="T867" s="10">
        <v>21.437830199963827</v>
      </c>
      <c r="U867" s="11">
        <v>0.12866315275704326</v>
      </c>
      <c r="V867" s="11">
        <v>0.11715678210097584</v>
      </c>
      <c r="W867" s="11">
        <v>0.041171633868128346</v>
      </c>
      <c r="X867" s="11">
        <v>0.24945919683617004</v>
      </c>
      <c r="Y867" s="11">
        <v>0.2647143280811641</v>
      </c>
      <c r="Z867" s="11">
        <v>0.19883490635651843</v>
      </c>
    </row>
    <row r="868" ht="22.5" customHeight="1">
      <c r="Q868" s="9" t="s">
        <v>906</v>
      </c>
      <c r="R868" s="10">
        <v>0.4576914074646386</v>
      </c>
      <c r="S868" s="10">
        <v>0.019484364778171042</v>
      </c>
      <c r="T868" s="10">
        <v>21.437260707241105</v>
      </c>
      <c r="U868" s="11">
        <v>0.19678997831033937</v>
      </c>
      <c r="V868" s="11">
        <v>0.1566832319085782</v>
      </c>
      <c r="W868" s="11">
        <v>0.068557559141352</v>
      </c>
      <c r="X868" s="11">
        <v>0.2174074842673426</v>
      </c>
      <c r="Y868" s="11">
        <v>0.1858792189601454</v>
      </c>
      <c r="Z868" s="11">
        <v>0.17468252741224236</v>
      </c>
    </row>
    <row r="869" ht="22.5" customHeight="1">
      <c r="Q869" s="9" t="s">
        <v>907</v>
      </c>
      <c r="R869" s="10">
        <v>0.572556576402728</v>
      </c>
      <c r="S869" s="10">
        <v>0.02484360754341083</v>
      </c>
      <c r="T869" s="10">
        <v>21.436362471599892</v>
      </c>
      <c r="U869" s="11">
        <v>0.1572229675364494</v>
      </c>
      <c r="V869" s="11">
        <v>0.13998622238479883</v>
      </c>
      <c r="W869" s="11">
        <v>0.1742615327594524</v>
      </c>
      <c r="X869" s="11">
        <v>0.2629388366672182</v>
      </c>
      <c r="Y869" s="11">
        <v>0.08310476444295611</v>
      </c>
      <c r="Z869" s="11">
        <v>0.18248567620912504</v>
      </c>
    </row>
    <row r="870" ht="22.5" customHeight="1">
      <c r="Q870" s="9" t="s">
        <v>908</v>
      </c>
      <c r="R870" s="10">
        <v>0.5807504660928944</v>
      </c>
      <c r="S870" s="10">
        <v>0.02522610611267776</v>
      </c>
      <c r="T870" s="10">
        <v>21.436144907879065</v>
      </c>
      <c r="U870" s="11">
        <v>0.19982437842345763</v>
      </c>
      <c r="V870" s="11">
        <v>0.17636759279020037</v>
      </c>
      <c r="W870" s="11">
        <v>0.1495864879733549</v>
      </c>
      <c r="X870" s="11">
        <v>0.21168985855800998</v>
      </c>
      <c r="Y870" s="11">
        <v>0.04290371507438553</v>
      </c>
      <c r="Z870" s="11">
        <v>0.21962796718059163</v>
      </c>
    </row>
    <row r="871" ht="22.5" customHeight="1">
      <c r="Q871" s="9" t="s">
        <v>909</v>
      </c>
      <c r="R871" s="10">
        <v>0.5892207608363258</v>
      </c>
      <c r="S871" s="10">
        <v>0.025621909826716718</v>
      </c>
      <c r="T871" s="10">
        <v>21.43559026437745</v>
      </c>
      <c r="U871" s="11">
        <v>0.05902691889347845</v>
      </c>
      <c r="V871" s="11">
        <v>0.20270550293540662</v>
      </c>
      <c r="W871" s="11">
        <v>0.1007005327615374</v>
      </c>
      <c r="X871" s="11">
        <v>0.33039061071854386</v>
      </c>
      <c r="Y871" s="11">
        <v>0.30597647087118085</v>
      </c>
      <c r="Z871" s="11">
        <v>0.0011999638198528422</v>
      </c>
    </row>
    <row r="872" ht="22.5" customHeight="1">
      <c r="Q872" s="9" t="s">
        <v>910</v>
      </c>
      <c r="R872" s="10">
        <v>0.42590767072760394</v>
      </c>
      <c r="S872" s="10">
        <v>0.018003989269645682</v>
      </c>
      <c r="T872" s="10">
        <v>21.434564581652776</v>
      </c>
      <c r="U872" s="11">
        <v>0.1451642637636647</v>
      </c>
      <c r="V872" s="11">
        <v>0.14295701248834203</v>
      </c>
      <c r="W872" s="11">
        <v>0.05374863163883379</v>
      </c>
      <c r="X872" s="11">
        <v>0.25007479521218673</v>
      </c>
      <c r="Y872" s="11">
        <v>0.24391786483483888</v>
      </c>
      <c r="Z872" s="11">
        <v>0.16413743206213383</v>
      </c>
    </row>
    <row r="873" ht="22.5" customHeight="1">
      <c r="Q873" s="9" t="s">
        <v>911</v>
      </c>
      <c r="R873" s="10">
        <v>0.528421834797649</v>
      </c>
      <c r="S873" s="10">
        <v>0.02278714171357672</v>
      </c>
      <c r="T873" s="10">
        <v>21.434098270720998</v>
      </c>
      <c r="U873" s="11">
        <v>0.13150382055708326</v>
      </c>
      <c r="V873" s="11">
        <v>0.13157266612625612</v>
      </c>
      <c r="W873" s="11">
        <v>0.15401524375164172</v>
      </c>
      <c r="X873" s="11">
        <v>0.18654063286836095</v>
      </c>
      <c r="Y873" s="11">
        <v>0.19492270865771086</v>
      </c>
      <c r="Z873" s="11">
        <v>0.20144492803894704</v>
      </c>
    </row>
    <row r="874" ht="22.5" customHeight="1">
      <c r="Q874" s="9" t="s">
        <v>912</v>
      </c>
      <c r="R874" s="10">
        <v>0.6545098530123983</v>
      </c>
      <c r="S874" s="10">
        <v>0.02867024383262104</v>
      </c>
      <c r="T874" s="10">
        <v>21.43371561818418</v>
      </c>
      <c r="U874" s="11">
        <v>0.11434358586649301</v>
      </c>
      <c r="V874" s="11">
        <v>0.17840099105125137</v>
      </c>
      <c r="W874" s="11">
        <v>0.19154839757131362</v>
      </c>
      <c r="X874" s="11">
        <v>0.3222765500346935</v>
      </c>
      <c r="Y874" s="11">
        <v>0.044048831166756716</v>
      </c>
      <c r="Z874" s="11">
        <v>0.1493816443094917</v>
      </c>
    </row>
    <row r="875" ht="22.5" customHeight="1">
      <c r="Q875" s="9" t="s">
        <v>913</v>
      </c>
      <c r="R875" s="10">
        <v>0.650770751571786</v>
      </c>
      <c r="S875" s="10">
        <v>0.028496259777702027</v>
      </c>
      <c r="T875" s="10">
        <v>21.43336551310171</v>
      </c>
      <c r="U875" s="11">
        <v>0.1375168081390285</v>
      </c>
      <c r="V875" s="11">
        <v>0.17435417215179966</v>
      </c>
      <c r="W875" s="11">
        <v>0.1910909898350913</v>
      </c>
      <c r="X875" s="11">
        <v>0.2720416282253079</v>
      </c>
      <c r="Y875" s="11">
        <v>0.1452250039421424</v>
      </c>
      <c r="Z875" s="11">
        <v>0.07977139770663019</v>
      </c>
    </row>
    <row r="876" ht="22.5" customHeight="1">
      <c r="Q876" s="9" t="s">
        <v>914</v>
      </c>
      <c r="R876" s="10">
        <v>0.5669970836960917</v>
      </c>
      <c r="S876" s="10">
        <v>0.024588060822170625</v>
      </c>
      <c r="T876" s="10">
        <v>21.433047831934253</v>
      </c>
      <c r="U876" s="11">
        <v>0.08922776350982693</v>
      </c>
      <c r="V876" s="11">
        <v>0.18974727724930207</v>
      </c>
      <c r="W876" s="11">
        <v>0.12201314083972739</v>
      </c>
      <c r="X876" s="11">
        <v>0.22143615237387676</v>
      </c>
      <c r="Y876" s="11">
        <v>0.15365274016620012</v>
      </c>
      <c r="Z876" s="11">
        <v>0.22392292586106657</v>
      </c>
    </row>
    <row r="877" ht="22.5" customHeight="1">
      <c r="Q877" s="9" t="s">
        <v>915</v>
      </c>
      <c r="R877" s="10">
        <v>0.5823668448651087</v>
      </c>
      <c r="S877" s="10">
        <v>0.025305575680300885</v>
      </c>
      <c r="T877" s="10">
        <v>21.43270130334612</v>
      </c>
      <c r="U877" s="11">
        <v>0.1709883955155474</v>
      </c>
      <c r="V877" s="11">
        <v>0.18845376344811332</v>
      </c>
      <c r="W877" s="11">
        <v>0.1349879130314142</v>
      </c>
      <c r="X877" s="11">
        <v>0.19296998699263912</v>
      </c>
      <c r="Y877" s="11">
        <v>0.14086144305713935</v>
      </c>
      <c r="Z877" s="11">
        <v>0.1717384979551467</v>
      </c>
    </row>
    <row r="878" ht="22.5" customHeight="1">
      <c r="Q878" s="9" t="s">
        <v>916</v>
      </c>
      <c r="R878" s="10">
        <v>0.6111851784873543</v>
      </c>
      <c r="S878" s="10">
        <v>0.026650251550488658</v>
      </c>
      <c r="T878" s="10">
        <v>21.432637414519302</v>
      </c>
      <c r="U878" s="11">
        <v>0.08275536364430217</v>
      </c>
      <c r="V878" s="11">
        <v>0.18530355281818234</v>
      </c>
      <c r="W878" s="11">
        <v>0.15568163842960775</v>
      </c>
      <c r="X878" s="11">
        <v>0.20540339276039218</v>
      </c>
      <c r="Y878" s="11">
        <v>0.23603908060077</v>
      </c>
      <c r="Z878" s="11">
        <v>0.13481697174674548</v>
      </c>
    </row>
    <row r="879" ht="22.5" customHeight="1">
      <c r="Q879" s="9" t="s">
        <v>917</v>
      </c>
      <c r="R879" s="10">
        <v>0.5396999071554902</v>
      </c>
      <c r="S879" s="10">
        <v>0.023315443241999603</v>
      </c>
      <c r="T879" s="10">
        <v>21.432142720553077</v>
      </c>
      <c r="U879" s="11">
        <v>0.059347528741532644</v>
      </c>
      <c r="V879" s="11">
        <v>0.17605070262086484</v>
      </c>
      <c r="W879" s="11">
        <v>0.1120540951386388</v>
      </c>
      <c r="X879" s="11">
        <v>0.195988607374845</v>
      </c>
      <c r="Y879" s="11">
        <v>0.2801202685240826</v>
      </c>
      <c r="Z879" s="11">
        <v>0.17643879760003614</v>
      </c>
    </row>
    <row r="880" ht="22.5" customHeight="1">
      <c r="Q880" s="9" t="s">
        <v>918</v>
      </c>
      <c r="R880" s="10">
        <v>0.4521855631660788</v>
      </c>
      <c r="S880" s="10">
        <v>0.019232316129659803</v>
      </c>
      <c r="T880" s="10">
        <v>21.431925327517476</v>
      </c>
      <c r="U880" s="11">
        <v>0.19641264570610614</v>
      </c>
      <c r="V880" s="11">
        <v>0.08208892524184305</v>
      </c>
      <c r="W880" s="11">
        <v>0.14153703116968713</v>
      </c>
      <c r="X880" s="11">
        <v>0.2674233275166986</v>
      </c>
      <c r="Y880" s="11">
        <v>0.11211867834917214</v>
      </c>
      <c r="Z880" s="11">
        <v>0.20041939201649298</v>
      </c>
    </row>
    <row r="881" ht="22.5" customHeight="1">
      <c r="Q881" s="9" t="s">
        <v>919</v>
      </c>
      <c r="R881" s="10">
        <v>0.3319656030809139</v>
      </c>
      <c r="S881" s="10">
        <v>0.013623053708553259</v>
      </c>
      <c r="T881" s="10">
        <v>21.431729575990936</v>
      </c>
      <c r="U881" s="11">
        <v>0.09934218014364732</v>
      </c>
      <c r="V881" s="11">
        <v>0.0672263335908512</v>
      </c>
      <c r="W881" s="11">
        <v>0.03211577797467404</v>
      </c>
      <c r="X881" s="11">
        <v>0.4705041333132036</v>
      </c>
      <c r="Y881" s="11">
        <v>0.3117526143422545</v>
      </c>
      <c r="Z881" s="11">
        <v>0.019058960635369403</v>
      </c>
    </row>
    <row r="882" ht="22.5" customHeight="1">
      <c r="Q882" s="9" t="s">
        <v>920</v>
      </c>
      <c r="R882" s="10">
        <v>0.4700480600277022</v>
      </c>
      <c r="S882" s="10">
        <v>0.020066837991205917</v>
      </c>
      <c r="T882" s="10">
        <v>21.430783475511504</v>
      </c>
      <c r="U882" s="11">
        <v>0.1485547389251937</v>
      </c>
      <c r="V882" s="11">
        <v>0.16072858165464915</v>
      </c>
      <c r="W882" s="11">
        <v>0.07683387365347784</v>
      </c>
      <c r="X882" s="11">
        <v>0.20554730761620366</v>
      </c>
      <c r="Y882" s="11">
        <v>0.19658929407039943</v>
      </c>
      <c r="Z882" s="11">
        <v>0.2117462040800761</v>
      </c>
    </row>
    <row r="883" ht="22.5" customHeight="1">
      <c r="Q883" s="9" t="s">
        <v>921</v>
      </c>
      <c r="R883" s="10">
        <v>0.3025961281039697</v>
      </c>
      <c r="S883" s="10">
        <v>0.012253222697527363</v>
      </c>
      <c r="T883" s="10">
        <v>21.430780667763447</v>
      </c>
      <c r="U883" s="11">
        <v>0.13751898954567673</v>
      </c>
      <c r="V883" s="11">
        <v>0.045742114295574635</v>
      </c>
      <c r="W883" s="11">
        <v>0.07250753338845785</v>
      </c>
      <c r="X883" s="11">
        <v>0.22393915853914717</v>
      </c>
      <c r="Y883" s="11">
        <v>0.19454099722279683</v>
      </c>
      <c r="Z883" s="11">
        <v>0.3257512070083467</v>
      </c>
    </row>
    <row r="884" ht="22.5" customHeight="1">
      <c r="Q884" s="9" t="s">
        <v>922</v>
      </c>
      <c r="R884" s="10">
        <v>0.5512504545543461</v>
      </c>
      <c r="S884" s="10">
        <v>0.023856188815912432</v>
      </c>
      <c r="T884" s="10">
        <v>21.43051677279375</v>
      </c>
      <c r="U884" s="11">
        <v>0.19345959760576656</v>
      </c>
      <c r="V884" s="11">
        <v>0.18809318719821227</v>
      </c>
      <c r="W884" s="11">
        <v>0.10466264688105073</v>
      </c>
      <c r="X884" s="11">
        <v>0.21123922281923657</v>
      </c>
      <c r="Y884" s="11">
        <v>0.19720610192082583</v>
      </c>
      <c r="Z884" s="11">
        <v>0.10533924357490806</v>
      </c>
    </row>
    <row r="885" ht="22.5" customHeight="1">
      <c r="Q885" s="9" t="s">
        <v>923</v>
      </c>
      <c r="R885" s="10">
        <v>0.5748012649449636</v>
      </c>
      <c r="S885" s="10">
        <v>0.024955942832157258</v>
      </c>
      <c r="T885" s="10">
        <v>21.42981607794996</v>
      </c>
      <c r="U885" s="11">
        <v>0.2168247476670431</v>
      </c>
      <c r="V885" s="11">
        <v>0.16840495953988854</v>
      </c>
      <c r="W885" s="11">
        <v>0.15161548178950685</v>
      </c>
      <c r="X885" s="11">
        <v>0.16892657778673634</v>
      </c>
      <c r="Y885" s="11">
        <v>0.13496994031115084</v>
      </c>
      <c r="Z885" s="11">
        <v>0.15925829290567442</v>
      </c>
    </row>
    <row r="886" ht="22.5" customHeight="1">
      <c r="Q886" s="9" t="s">
        <v>924</v>
      </c>
      <c r="R886" s="10">
        <v>0.5931894007474431</v>
      </c>
      <c r="S886" s="10">
        <v>0.02581442813149555</v>
      </c>
      <c r="T886" s="10">
        <v>21.42946564338221</v>
      </c>
      <c r="U886" s="11">
        <v>0.28062031359917916</v>
      </c>
      <c r="V886" s="11">
        <v>0.16885057208873422</v>
      </c>
      <c r="W886" s="11">
        <v>0.15950395748135887</v>
      </c>
      <c r="X886" s="11">
        <v>0.16925679005037933</v>
      </c>
      <c r="Y886" s="11">
        <v>0.15783101595709445</v>
      </c>
      <c r="Z886" s="11">
        <v>0.0639373508232539</v>
      </c>
    </row>
    <row r="887" ht="22.5" customHeight="1">
      <c r="Q887" s="9" t="s">
        <v>925</v>
      </c>
      <c r="R887" s="10">
        <v>0.43312763185215786</v>
      </c>
      <c r="S887" s="10">
        <v>0.018345695119809748</v>
      </c>
      <c r="T887" s="10">
        <v>21.428876326831425</v>
      </c>
      <c r="U887" s="11">
        <v>0.2625389213229237</v>
      </c>
      <c r="V887" s="11">
        <v>0.08673395932279238</v>
      </c>
      <c r="W887" s="11">
        <v>0.12620519168165248</v>
      </c>
      <c r="X887" s="11">
        <v>0.17153688636453657</v>
      </c>
      <c r="Y887" s="11">
        <v>0.18923151842902097</v>
      </c>
      <c r="Z887" s="11">
        <v>0.16375352287907396</v>
      </c>
    </row>
    <row r="888" ht="22.5" customHeight="1">
      <c r="Q888" s="9" t="s">
        <v>926</v>
      </c>
      <c r="R888" s="10">
        <v>0.32553351092629607</v>
      </c>
      <c r="S888" s="10">
        <v>0.013324882248462556</v>
      </c>
      <c r="T888" s="10">
        <v>21.428595435373648</v>
      </c>
      <c r="U888" s="11">
        <v>0.40916337367617817</v>
      </c>
      <c r="V888" s="11">
        <v>0.03975987343280098</v>
      </c>
      <c r="W888" s="11">
        <v>0.07273135254113024</v>
      </c>
      <c r="X888" s="11">
        <v>0.30110838279558194</v>
      </c>
      <c r="Y888" s="11">
        <v>0.1654118632811691</v>
      </c>
      <c r="Z888" s="11">
        <v>0.011825154273139387</v>
      </c>
    </row>
    <row r="889" ht="22.5" customHeight="1">
      <c r="Q889" s="9" t="s">
        <v>927</v>
      </c>
      <c r="R889" s="10">
        <v>0.6652564781428681</v>
      </c>
      <c r="S889" s="10">
        <v>0.029178619810616716</v>
      </c>
      <c r="T889" s="10">
        <v>21.428583058454567</v>
      </c>
      <c r="U889" s="11">
        <v>0.027752918558261504</v>
      </c>
      <c r="V889" s="11">
        <v>0.21450142172884734</v>
      </c>
      <c r="W889" s="11">
        <v>0.15846653386970092</v>
      </c>
      <c r="X889" s="11">
        <v>0.27896821612109035</v>
      </c>
      <c r="Y889" s="11">
        <v>0.2297723380191556</v>
      </c>
      <c r="Z889" s="11">
        <v>0.09053857170294438</v>
      </c>
    </row>
    <row r="890" ht="22.5" customHeight="1">
      <c r="Q890" s="9" t="s">
        <v>928</v>
      </c>
      <c r="R890" s="10">
        <v>0.6311437273555927</v>
      </c>
      <c r="S890" s="10">
        <v>0.02758709087181931</v>
      </c>
      <c r="T890" s="10">
        <v>21.428273466828507</v>
      </c>
      <c r="U890" s="11">
        <v>0.20226811124340216</v>
      </c>
      <c r="V890" s="11">
        <v>0.1806558337395968</v>
      </c>
      <c r="W890" s="11">
        <v>0.1749498714632852</v>
      </c>
      <c r="X890" s="11">
        <v>0.21754401050298264</v>
      </c>
      <c r="Y890" s="11">
        <v>0.12936762602289986</v>
      </c>
      <c r="Z890" s="11">
        <v>0.09521454702783337</v>
      </c>
    </row>
    <row r="891" ht="22.5" customHeight="1">
      <c r="Q891" s="9" t="s">
        <v>929</v>
      </c>
      <c r="R891" s="10">
        <v>0.6465546702357905</v>
      </c>
      <c r="S891" s="10">
        <v>0.028307142555557083</v>
      </c>
      <c r="T891" s="10">
        <v>21.427619161677463</v>
      </c>
      <c r="U891" s="11">
        <v>0.18388914259717828</v>
      </c>
      <c r="V891" s="11">
        <v>0.17312057016134372</v>
      </c>
      <c r="W891" s="11">
        <v>0.18994951470832855</v>
      </c>
      <c r="X891" s="11">
        <v>0.26146669228889335</v>
      </c>
      <c r="Y891" s="11">
        <v>0.12098121955390828</v>
      </c>
      <c r="Z891" s="11">
        <v>0.07059286069034786</v>
      </c>
    </row>
    <row r="892" ht="22.5" customHeight="1">
      <c r="Q892" s="9" t="s">
        <v>930</v>
      </c>
      <c r="R892" s="10">
        <v>0.5865055025993609</v>
      </c>
      <c r="S892" s="10">
        <v>0.025505201595578265</v>
      </c>
      <c r="T892" s="10">
        <v>21.427217524683524</v>
      </c>
      <c r="U892" s="11">
        <v>0.1645845430901524</v>
      </c>
      <c r="V892" s="11">
        <v>0.1721717107990973</v>
      </c>
      <c r="W892" s="11">
        <v>0.1550200401142265</v>
      </c>
      <c r="X892" s="11">
        <v>0.17637546524060377</v>
      </c>
      <c r="Y892" s="11">
        <v>0.17736796864096313</v>
      </c>
      <c r="Z892" s="11">
        <v>0.15448027211495685</v>
      </c>
    </row>
    <row r="893" ht="22.5" customHeight="1">
      <c r="Q893" s="9" t="s">
        <v>931</v>
      </c>
      <c r="R893" s="10">
        <v>0.5980098651548614</v>
      </c>
      <c r="S893" s="10">
        <v>0.026042170466770452</v>
      </c>
      <c r="T893" s="10">
        <v>21.427164293655032</v>
      </c>
      <c r="U893" s="11">
        <v>0.11450197830234368</v>
      </c>
      <c r="V893" s="11">
        <v>0.16957720547247182</v>
      </c>
      <c r="W893" s="11">
        <v>0.16420079837282195</v>
      </c>
      <c r="X893" s="11">
        <v>0.19850629107393444</v>
      </c>
      <c r="Y893" s="11">
        <v>0.20165303976440802</v>
      </c>
      <c r="Z893" s="11">
        <v>0.15156068701402006</v>
      </c>
    </row>
    <row r="894" ht="22.5" customHeight="1">
      <c r="Q894" s="9" t="s">
        <v>932</v>
      </c>
      <c r="R894" s="10">
        <v>0.367712900549249</v>
      </c>
      <c r="S894" s="10">
        <v>0.015295895767381055</v>
      </c>
      <c r="T894" s="10">
        <v>21.424891064445298</v>
      </c>
      <c r="U894" s="11">
        <v>0.2211398520265574</v>
      </c>
      <c r="V894" s="11">
        <v>0.07973374867994247</v>
      </c>
      <c r="W894" s="11">
        <v>0.09617217476493585</v>
      </c>
      <c r="X894" s="11">
        <v>0.14104885359612052</v>
      </c>
      <c r="Y894" s="11">
        <v>0.12823309204536734</v>
      </c>
      <c r="Z894" s="11">
        <v>0.33367227888707623</v>
      </c>
    </row>
    <row r="895" ht="22.5" customHeight="1">
      <c r="Q895" s="9" t="s">
        <v>933</v>
      </c>
      <c r="R895" s="10">
        <v>0.6256133539309303</v>
      </c>
      <c r="S895" s="10">
        <v>0.027333980673172564</v>
      </c>
      <c r="T895" s="10">
        <v>21.42437140543131</v>
      </c>
      <c r="U895" s="11">
        <v>0.15062706426826572</v>
      </c>
      <c r="V895" s="11">
        <v>0.19790695386108884</v>
      </c>
      <c r="W895" s="11">
        <v>0.14770005058640978</v>
      </c>
      <c r="X895" s="11">
        <v>0.20376928173360281</v>
      </c>
      <c r="Y895" s="11">
        <v>0.2620861645685198</v>
      </c>
      <c r="Z895" s="11">
        <v>0.037910484982113093</v>
      </c>
    </row>
    <row r="896" ht="22.5" customHeight="1">
      <c r="Q896" s="9" t="s">
        <v>934</v>
      </c>
      <c r="R896" s="10">
        <v>0.557083624094974</v>
      </c>
      <c r="S896" s="10">
        <v>0.024135666548077066</v>
      </c>
      <c r="T896" s="10">
        <v>21.424045740148454</v>
      </c>
      <c r="U896" s="11">
        <v>0.17422113353465857</v>
      </c>
      <c r="V896" s="11">
        <v>0.15583812091138105</v>
      </c>
      <c r="W896" s="11">
        <v>0.1523619398863928</v>
      </c>
      <c r="X896" s="11">
        <v>0.1651425559624567</v>
      </c>
      <c r="Y896" s="11">
        <v>0.16526679580604428</v>
      </c>
      <c r="Z896" s="11">
        <v>0.1871694538990667</v>
      </c>
    </row>
    <row r="897" ht="22.5" customHeight="1">
      <c r="Q897" s="9" t="s">
        <v>935</v>
      </c>
      <c r="R897" s="10">
        <v>0.5504948317989716</v>
      </c>
      <c r="S897" s="10">
        <v>0.023828579333101476</v>
      </c>
      <c r="T897" s="10">
        <v>21.423636913587107</v>
      </c>
      <c r="U897" s="11">
        <v>0.2488136166732617</v>
      </c>
      <c r="V897" s="11">
        <v>0.16001773846893003</v>
      </c>
      <c r="W897" s="11">
        <v>0.13868427027283975</v>
      </c>
      <c r="X897" s="11">
        <v>0.1350821594850398</v>
      </c>
      <c r="Y897" s="11">
        <v>0.22540140580539067</v>
      </c>
      <c r="Z897" s="11">
        <v>0.09200080929453817</v>
      </c>
    </row>
    <row r="898" ht="22.5" customHeight="1">
      <c r="Q898" s="9" t="s">
        <v>936</v>
      </c>
      <c r="R898" s="10">
        <v>0.5626720210168693</v>
      </c>
      <c r="S898" s="10">
        <v>0.024397142756017887</v>
      </c>
      <c r="T898" s="10">
        <v>21.423493162450143</v>
      </c>
      <c r="U898" s="11">
        <v>0.223226313718809</v>
      </c>
      <c r="V898" s="11">
        <v>0.15003174995591634</v>
      </c>
      <c r="W898" s="11">
        <v>0.16150131138814772</v>
      </c>
      <c r="X898" s="11">
        <v>0.19652809925255288</v>
      </c>
      <c r="Y898" s="11">
        <v>0.08620998592272895</v>
      </c>
      <c r="Z898" s="11">
        <v>0.18250253976184513</v>
      </c>
    </row>
    <row r="899" ht="22.5" customHeight="1">
      <c r="Q899" s="9" t="s">
        <v>937</v>
      </c>
      <c r="R899" s="10">
        <v>0.6056389524040563</v>
      </c>
      <c r="S899" s="10">
        <v>0.026404483256241507</v>
      </c>
      <c r="T899" s="10">
        <v>21.42207998978167</v>
      </c>
      <c r="U899" s="11">
        <v>0.008327786775281095</v>
      </c>
      <c r="V899" s="11">
        <v>0.16078033397844924</v>
      </c>
      <c r="W899" s="11">
        <v>0.17339931639525255</v>
      </c>
      <c r="X899" s="11">
        <v>0.25313595311253356</v>
      </c>
      <c r="Y899" s="11">
        <v>0.2579361237394594</v>
      </c>
      <c r="Z899" s="11">
        <v>0.14642048599902413</v>
      </c>
    </row>
    <row r="900" ht="22.5" customHeight="1">
      <c r="Q900" s="9" t="s">
        <v>938</v>
      </c>
      <c r="R900" s="10">
        <v>0.5492981676486729</v>
      </c>
      <c r="S900" s="10">
        <v>0.02377475408851718</v>
      </c>
      <c r="T900" s="10">
        <v>21.42180591027251</v>
      </c>
      <c r="U900" s="11">
        <v>0.02032816939458768</v>
      </c>
      <c r="V900" s="11">
        <v>0.16611588990622292</v>
      </c>
      <c r="W900" s="11">
        <v>0.13302716673649156</v>
      </c>
      <c r="X900" s="11">
        <v>0.1836651830828899</v>
      </c>
      <c r="Y900" s="11">
        <v>0.28410386013058675</v>
      </c>
      <c r="Z900" s="11">
        <v>0.21275973074922117</v>
      </c>
    </row>
    <row r="901" ht="22.5" customHeight="1">
      <c r="Q901" s="9" t="s">
        <v>939</v>
      </c>
      <c r="R901" s="10">
        <v>0.522331348251574</v>
      </c>
      <c r="S901" s="10">
        <v>0.013217851939818389</v>
      </c>
      <c r="T901" s="10">
        <v>21.420447230038263</v>
      </c>
      <c r="U901" s="11">
        <v>0.14875590257268803</v>
      </c>
      <c r="V901" s="11">
        <v>0.042674402958189486</v>
      </c>
      <c r="W901" s="11">
        <v>0.08458178879960698</v>
      </c>
      <c r="X901" s="11">
        <v>0.25932017598718704</v>
      </c>
      <c r="Y901" s="11">
        <v>0.20722275339416457</v>
      </c>
      <c r="Z901" s="11">
        <v>0.2574449762881638</v>
      </c>
    </row>
    <row r="902" ht="22.5" customHeight="1">
      <c r="Q902" s="9" t="s">
        <v>940</v>
      </c>
      <c r="R902" s="10">
        <v>0.47094453566146566</v>
      </c>
      <c r="S902" s="10">
        <v>0.020118470329886392</v>
      </c>
      <c r="T902" s="10">
        <v>21.420343027833926</v>
      </c>
      <c r="U902" s="11">
        <v>0.29970473184181784</v>
      </c>
      <c r="V902" s="11">
        <v>0.1262027683292971</v>
      </c>
      <c r="W902" s="11">
        <v>0.12238893846721463</v>
      </c>
      <c r="X902" s="11">
        <v>0.11920991871263897</v>
      </c>
      <c r="Y902" s="11">
        <v>0.12383098291313036</v>
      </c>
      <c r="Z902" s="11">
        <v>0.2086626597359011</v>
      </c>
    </row>
    <row r="903" ht="22.5" customHeight="1">
      <c r="Q903" s="9" t="s">
        <v>941</v>
      </c>
      <c r="R903" s="10">
        <v>0.4970428837804983</v>
      </c>
      <c r="S903" s="10">
        <v>0.02133692575153828</v>
      </c>
      <c r="T903" s="10">
        <v>21.42027811797339</v>
      </c>
      <c r="U903" s="11">
        <v>0.21317303887757913</v>
      </c>
      <c r="V903" s="11">
        <v>0.16058368250604357</v>
      </c>
      <c r="W903" s="11">
        <v>0.10709175647769384</v>
      </c>
      <c r="X903" s="11">
        <v>0.1599114544231157</v>
      </c>
      <c r="Y903" s="11">
        <v>0.09227760256553107</v>
      </c>
      <c r="Z903" s="11">
        <v>0.26696246515003674</v>
      </c>
    </row>
    <row r="904" ht="22.5" customHeight="1">
      <c r="Q904" s="9" t="s">
        <v>942</v>
      </c>
      <c r="R904" s="10">
        <v>0.5757456063029577</v>
      </c>
      <c r="S904" s="10">
        <v>0.025013450018440353</v>
      </c>
      <c r="T904" s="10">
        <v>21.418301190279493</v>
      </c>
      <c r="U904" s="11">
        <v>0.06946434221338592</v>
      </c>
      <c r="V904" s="11">
        <v>0.1332957727556666</v>
      </c>
      <c r="W904" s="11">
        <v>0.17891900556250062</v>
      </c>
      <c r="X904" s="11">
        <v>0.2987598396939606</v>
      </c>
      <c r="Y904" s="11">
        <v>0.14722465943845997</v>
      </c>
      <c r="Z904" s="11">
        <v>0.1723363803360263</v>
      </c>
    </row>
    <row r="905" ht="22.5" customHeight="1">
      <c r="Q905" s="9" t="s">
        <v>943</v>
      </c>
      <c r="R905" s="10">
        <v>0.2645889659678969</v>
      </c>
      <c r="S905" s="10">
        <v>0.010485971644474894</v>
      </c>
      <c r="T905" s="10">
        <v>21.418040557665805</v>
      </c>
      <c r="U905" s="11">
        <v>0.09295868565743451</v>
      </c>
      <c r="V905" s="11">
        <v>0.04975796483056987</v>
      </c>
      <c r="W905" s="11">
        <v>0.030636269671818504</v>
      </c>
      <c r="X905" s="11">
        <v>0.3183712342101373</v>
      </c>
      <c r="Y905" s="11">
        <v>0.1872263745359969</v>
      </c>
      <c r="Z905" s="11">
        <v>0.3210494710940429</v>
      </c>
    </row>
    <row r="906" ht="22.5" customHeight="1">
      <c r="Q906" s="9" t="s">
        <v>944</v>
      </c>
      <c r="R906" s="10">
        <v>0.5309426117629723</v>
      </c>
      <c r="S906" s="10">
        <v>0.02292222777400263</v>
      </c>
      <c r="T906" s="10">
        <v>21.41775296028502</v>
      </c>
      <c r="U906" s="11">
        <v>0.1464222875310616</v>
      </c>
      <c r="V906" s="11">
        <v>0.17315015072225126</v>
      </c>
      <c r="W906" s="11">
        <v>0.11386349462240034</v>
      </c>
      <c r="X906" s="11">
        <v>0.16354621219049148</v>
      </c>
      <c r="Y906" s="11">
        <v>0.20350904292041525</v>
      </c>
      <c r="Z906" s="11">
        <v>0.19950881201338017</v>
      </c>
    </row>
    <row r="907" ht="22.5" customHeight="1">
      <c r="Q907" s="9" t="s">
        <v>945</v>
      </c>
      <c r="R907" s="10">
        <v>0.47799875919459806</v>
      </c>
      <c r="S907" s="10">
        <v>0.02045106202844596</v>
      </c>
      <c r="T907" s="10">
        <v>21.416919991019206</v>
      </c>
      <c r="U907" s="11">
        <v>0.27447561265742365</v>
      </c>
      <c r="V907" s="11">
        <v>0.11605019952187336</v>
      </c>
      <c r="W907" s="11">
        <v>0.13082886761356302</v>
      </c>
      <c r="X907" s="11">
        <v>0.12807274035427324</v>
      </c>
      <c r="Y907" s="11">
        <v>0.2276067243068697</v>
      </c>
      <c r="Z907" s="11">
        <v>0.12296585554599687</v>
      </c>
    </row>
    <row r="908" ht="22.5" customHeight="1">
      <c r="Q908" s="9" t="s">
        <v>946</v>
      </c>
      <c r="R908" s="10">
        <v>0.36811502557062364</v>
      </c>
      <c r="S908" s="10">
        <v>0.015320950132881586</v>
      </c>
      <c r="T908" s="10">
        <v>21.416101659806873</v>
      </c>
      <c r="U908" s="11">
        <v>0.14538906642175198</v>
      </c>
      <c r="V908" s="11">
        <v>0.05659000581504153</v>
      </c>
      <c r="W908" s="11">
        <v>0.10543612286201742</v>
      </c>
      <c r="X908" s="11">
        <v>0.23777315904247817</v>
      </c>
      <c r="Y908" s="11">
        <v>0.21717387242274225</v>
      </c>
      <c r="Z908" s="11">
        <v>0.23763777343596856</v>
      </c>
    </row>
    <row r="909" ht="22.5" customHeight="1">
      <c r="Q909" s="9" t="s">
        <v>947</v>
      </c>
      <c r="R909" s="10">
        <v>0.6118671642122526</v>
      </c>
      <c r="S909" s="10">
        <v>0.026704134941081942</v>
      </c>
      <c r="T909" s="10">
        <v>21.41492939104669</v>
      </c>
      <c r="U909" s="11">
        <v>0.06357146129697863</v>
      </c>
      <c r="V909" s="11">
        <v>0.1898195904810108</v>
      </c>
      <c r="W909" s="11">
        <v>0.1538057339840469</v>
      </c>
      <c r="X909" s="11">
        <v>0.21499111756027586</v>
      </c>
      <c r="Y909" s="11">
        <v>0.200510363282063</v>
      </c>
      <c r="Z909" s="11">
        <v>0.1773017333956248</v>
      </c>
    </row>
    <row r="910" ht="22.5" customHeight="1">
      <c r="Q910" s="9" t="s">
        <v>948</v>
      </c>
      <c r="R910" s="10">
        <v>0.3996941690899626</v>
      </c>
      <c r="S910" s="10">
        <v>0.016796458570876232</v>
      </c>
      <c r="T910" s="10">
        <v>21.414881450881833</v>
      </c>
      <c r="U910" s="11">
        <v>0.22638741181717525</v>
      </c>
      <c r="V910" s="11">
        <v>0.07010347689025069</v>
      </c>
      <c r="W910" s="11">
        <v>0.1181693477448096</v>
      </c>
      <c r="X910" s="11">
        <v>0.2047596636943435</v>
      </c>
      <c r="Y910" s="11">
        <v>0.16730621274263954</v>
      </c>
      <c r="Z910" s="11">
        <v>0.21327388711078127</v>
      </c>
    </row>
    <row r="911" ht="22.5" customHeight="1">
      <c r="Q911" s="9" t="s">
        <v>949</v>
      </c>
      <c r="R911" s="10">
        <v>0.3080518207220099</v>
      </c>
      <c r="S911" s="10">
        <v>0.01251719038594424</v>
      </c>
      <c r="T911" s="10">
        <v>21.41469550730887</v>
      </c>
      <c r="U911" s="11">
        <v>0.17960769529592732</v>
      </c>
      <c r="V911" s="11">
        <v>0.04195345449229641</v>
      </c>
      <c r="W911" s="11">
        <v>0.07533397291868205</v>
      </c>
      <c r="X911" s="11">
        <v>0.23717474425984114</v>
      </c>
      <c r="Y911" s="11">
        <v>0.2097181328016364</v>
      </c>
      <c r="Z911" s="11">
        <v>0.2562120002316166</v>
      </c>
    </row>
    <row r="912" ht="22.5" customHeight="1">
      <c r="Q912" s="9" t="s">
        <v>950</v>
      </c>
      <c r="R912" s="10">
        <v>0.6390087082535897</v>
      </c>
      <c r="S912" s="10">
        <v>0.027976529239738653</v>
      </c>
      <c r="T912" s="10">
        <v>21.41111583643981</v>
      </c>
      <c r="U912" s="11">
        <v>0.13591214584796069</v>
      </c>
      <c r="V912" s="11">
        <v>0.1876736737692483</v>
      </c>
      <c r="W912" s="11">
        <v>0.17335640174661907</v>
      </c>
      <c r="X912" s="11">
        <v>0.21959487616745693</v>
      </c>
      <c r="Y912" s="11">
        <v>0.17513857065436292</v>
      </c>
      <c r="Z912" s="11">
        <v>0.10832433181435214</v>
      </c>
    </row>
    <row r="913" ht="22.5" customHeight="1">
      <c r="Q913" s="9" t="s">
        <v>951</v>
      </c>
      <c r="R913" s="10">
        <v>0.5909097556016368</v>
      </c>
      <c r="S913" s="10">
        <v>0.02573171577775765</v>
      </c>
      <c r="T913" s="10">
        <v>21.409755974292242</v>
      </c>
      <c r="U913" s="11">
        <v>0.2024883198726669</v>
      </c>
      <c r="V913" s="11">
        <v>0.18346621674986194</v>
      </c>
      <c r="W913" s="11">
        <v>0.1391152123454178</v>
      </c>
      <c r="X913" s="11">
        <v>0.16614618664369796</v>
      </c>
      <c r="Y913" s="11">
        <v>0.2675132043381599</v>
      </c>
      <c r="Z913" s="11">
        <v>0.04127086005019544</v>
      </c>
    </row>
    <row r="914" ht="22.5" customHeight="1">
      <c r="Q914" s="9" t="s">
        <v>952</v>
      </c>
      <c r="R914" s="10">
        <v>0.6886356585896545</v>
      </c>
      <c r="S914" s="10">
        <v>0.03029652045196102</v>
      </c>
      <c r="T914" s="10">
        <v>21.409576047458934</v>
      </c>
      <c r="U914" s="11">
        <v>0.1626289925822742</v>
      </c>
      <c r="V914" s="11">
        <v>0.2216369240108498</v>
      </c>
      <c r="W914" s="11">
        <v>0.1701866949905948</v>
      </c>
      <c r="X914" s="11">
        <v>0.276939210355688</v>
      </c>
      <c r="Y914" s="11">
        <v>0.10613594666341035</v>
      </c>
      <c r="Z914" s="11">
        <v>0.062472231397182824</v>
      </c>
    </row>
    <row r="915" ht="22.5" customHeight="1">
      <c r="Q915" s="9" t="s">
        <v>953</v>
      </c>
      <c r="R915" s="10">
        <v>0.557432387849253</v>
      </c>
      <c r="S915" s="10">
        <v>0.024168920637311006</v>
      </c>
      <c r="T915" s="10">
        <v>21.408998590134043</v>
      </c>
      <c r="U915" s="11">
        <v>0.17357084188210795</v>
      </c>
      <c r="V915" s="11">
        <v>0.12758324236448823</v>
      </c>
      <c r="W915" s="11">
        <v>0.16604155852885527</v>
      </c>
      <c r="X915" s="11">
        <v>0.22017144287885296</v>
      </c>
      <c r="Y915" s="11">
        <v>0.28701949408375454</v>
      </c>
      <c r="Z915" s="11">
        <v>0.02561342026194099</v>
      </c>
    </row>
    <row r="916" ht="22.5" customHeight="1">
      <c r="Q916" s="9" t="s">
        <v>954</v>
      </c>
      <c r="R916" s="10">
        <v>0.45222182095847563</v>
      </c>
      <c r="S916" s="10">
        <v>0.01925489387364051</v>
      </c>
      <c r="T916" s="10">
        <v>21.40867790098794</v>
      </c>
      <c r="U916" s="11">
        <v>0.11089190788635693</v>
      </c>
      <c r="V916" s="11">
        <v>0.08411014670018332</v>
      </c>
      <c r="W916" s="11">
        <v>0.1392921213745161</v>
      </c>
      <c r="X916" s="11">
        <v>0.24934478725354933</v>
      </c>
      <c r="Y916" s="11">
        <v>0.2106581859170411</v>
      </c>
      <c r="Z916" s="11">
        <v>0.20570285086835322</v>
      </c>
    </row>
    <row r="917" ht="22.5" customHeight="1">
      <c r="Q917" s="9" t="s">
        <v>955</v>
      </c>
      <c r="R917" s="10">
        <v>0.40768867476076653</v>
      </c>
      <c r="S917" s="10">
        <v>0.017175656802137753</v>
      </c>
      <c r="T917" s="10">
        <v>21.407546680543973</v>
      </c>
      <c r="U917" s="11">
        <v>0.3349898065634579</v>
      </c>
      <c r="V917" s="11">
        <v>0.0954646515999573</v>
      </c>
      <c r="W917" s="11">
        <v>0.09579755538716642</v>
      </c>
      <c r="X917" s="11">
        <v>0.11765834037584343</v>
      </c>
      <c r="Y917" s="11">
        <v>0.2681004466201082</v>
      </c>
      <c r="Z917" s="11">
        <v>0.08798919945346685</v>
      </c>
    </row>
    <row r="918" ht="22.5" customHeight="1">
      <c r="Q918" s="9" t="s">
        <v>956</v>
      </c>
      <c r="R918" s="10">
        <v>0.5463645304033198</v>
      </c>
      <c r="S918" s="10">
        <v>0.023653796814111654</v>
      </c>
      <c r="T918" s="10">
        <v>21.40732561384086</v>
      </c>
      <c r="U918" s="11">
        <v>0.08218822424946748</v>
      </c>
      <c r="V918" s="11">
        <v>0.16629314051297586</v>
      </c>
      <c r="W918" s="11">
        <v>0.1322819160110986</v>
      </c>
      <c r="X918" s="11">
        <v>0.16041843816680298</v>
      </c>
      <c r="Y918" s="11">
        <v>0.2587611160670581</v>
      </c>
      <c r="Z918" s="11">
        <v>0.200057164992597</v>
      </c>
    </row>
    <row r="919" ht="22.5" customHeight="1">
      <c r="Q919" s="9" t="s">
        <v>957</v>
      </c>
      <c r="R919" s="10">
        <v>0.522331348251574</v>
      </c>
      <c r="S919" s="10">
        <v>0.025472190846048712</v>
      </c>
      <c r="T919" s="10">
        <v>21.407273619888247</v>
      </c>
      <c r="U919" s="11">
        <v>0.16015447264167854</v>
      </c>
      <c r="V919" s="11">
        <v>0.15809610139485292</v>
      </c>
      <c r="W919" s="11">
        <v>0.16800440760252808</v>
      </c>
      <c r="X919" s="11">
        <v>0.19970057648997755</v>
      </c>
      <c r="Y919" s="11">
        <v>0.1502970476977253</v>
      </c>
      <c r="Z919" s="11">
        <v>0.1637473941732375</v>
      </c>
    </row>
    <row r="920" ht="22.5" customHeight="1">
      <c r="Q920" s="9" t="s">
        <v>958</v>
      </c>
      <c r="R920" s="10">
        <v>0.2803422234257902</v>
      </c>
      <c r="S920" s="10">
        <v>0.011227222650435556</v>
      </c>
      <c r="T920" s="10">
        <v>21.407095139105145</v>
      </c>
      <c r="U920" s="11">
        <v>0.3226670094233565</v>
      </c>
      <c r="V920" s="11">
        <v>0.060330306533125565</v>
      </c>
      <c r="W920" s="11">
        <v>0.032379161292145825</v>
      </c>
      <c r="X920" s="11">
        <v>0.28275514743202257</v>
      </c>
      <c r="Y920" s="11">
        <v>0.0648169407676057</v>
      </c>
      <c r="Z920" s="11">
        <v>0.23705143455174393</v>
      </c>
    </row>
    <row r="921" ht="22.5" customHeight="1">
      <c r="Q921" s="9" t="s">
        <v>959</v>
      </c>
      <c r="R921" s="10">
        <v>0.5900177458328391</v>
      </c>
      <c r="S921" s="10">
        <v>0.025693429841252804</v>
      </c>
      <c r="T921" s="10">
        <v>21.40694135548002</v>
      </c>
      <c r="U921" s="11">
        <v>0.2512823914043616</v>
      </c>
      <c r="V921" s="11">
        <v>0.18500620200544035</v>
      </c>
      <c r="W921" s="11">
        <v>0.1434574958878457</v>
      </c>
      <c r="X921" s="11">
        <v>0.17307410704529422</v>
      </c>
      <c r="Y921" s="11">
        <v>0.12828726311323493</v>
      </c>
      <c r="Z921" s="11">
        <v>0.1188925405438232</v>
      </c>
    </row>
    <row r="922" ht="22.5" customHeight="1">
      <c r="Q922" s="9" t="s">
        <v>960</v>
      </c>
      <c r="R922" s="10">
        <v>0.6803935616244917</v>
      </c>
      <c r="S922" s="10">
        <v>0.02991591249330902</v>
      </c>
      <c r="T922" s="10">
        <v>21.40645256158313</v>
      </c>
      <c r="U922" s="11">
        <v>0.12088273147682037</v>
      </c>
      <c r="V922" s="11">
        <v>0.21097175499669665</v>
      </c>
      <c r="W922" s="11">
        <v>0.17480205412684105</v>
      </c>
      <c r="X922" s="11">
        <v>0.24965095503241397</v>
      </c>
      <c r="Y922" s="11">
        <v>0.1939126189577707</v>
      </c>
      <c r="Z922" s="11">
        <v>0.04977988540945731</v>
      </c>
    </row>
    <row r="923" ht="22.5" customHeight="1">
      <c r="Q923" s="9" t="s">
        <v>961</v>
      </c>
      <c r="R923" s="10">
        <v>0.408764810830721</v>
      </c>
      <c r="S923" s="10">
        <v>0.017226812344343916</v>
      </c>
      <c r="T923" s="10">
        <v>21.406444991652663</v>
      </c>
      <c r="U923" s="11">
        <v>0.22788501046695994</v>
      </c>
      <c r="V923" s="11">
        <v>0.1327032649265919</v>
      </c>
      <c r="W923" s="11">
        <v>0.06526919735348408</v>
      </c>
      <c r="X923" s="11">
        <v>0.15733771082622494</v>
      </c>
      <c r="Y923" s="11">
        <v>0.16906856617932697</v>
      </c>
      <c r="Z923" s="11">
        <v>0.24773625024741214</v>
      </c>
    </row>
    <row r="924" ht="22.5" customHeight="1">
      <c r="Q924" s="9" t="s">
        <v>962</v>
      </c>
      <c r="R924" s="10">
        <v>0.6455719270423976</v>
      </c>
      <c r="S924" s="10">
        <v>0.02829072034397548</v>
      </c>
      <c r="T924" s="10">
        <v>21.40532017847168</v>
      </c>
      <c r="U924" s="11">
        <v>0.031335700571753305</v>
      </c>
      <c r="V924" s="11">
        <v>0.2026488660648209</v>
      </c>
      <c r="W924" s="11">
        <v>0.15497584816177606</v>
      </c>
      <c r="X924" s="11">
        <v>0.24619920872886364</v>
      </c>
      <c r="Y924" s="11">
        <v>0.3065548189861481</v>
      </c>
      <c r="Z924" s="11">
        <v>0.058285557486638016</v>
      </c>
    </row>
    <row r="925" ht="22.5" customHeight="1">
      <c r="Q925" s="9" t="s">
        <v>963</v>
      </c>
      <c r="R925" s="10">
        <v>0.5655119880346666</v>
      </c>
      <c r="S925" s="10">
        <v>0.024551442415814924</v>
      </c>
      <c r="T925" s="10">
        <v>21.40452602068527</v>
      </c>
      <c r="U925" s="11">
        <v>0.10394439395866836</v>
      </c>
      <c r="V925" s="11">
        <v>0.1571641094163923</v>
      </c>
      <c r="W925" s="11">
        <v>0.15316367229968259</v>
      </c>
      <c r="X925" s="11">
        <v>0.17139577746147036</v>
      </c>
      <c r="Y925" s="11">
        <v>0.26082874004486056</v>
      </c>
      <c r="Z925" s="11">
        <v>0.15350330681892588</v>
      </c>
    </row>
    <row r="926" ht="22.5" customHeight="1">
      <c r="Q926" s="9" t="s">
        <v>964</v>
      </c>
      <c r="R926" s="10">
        <v>0.4101860277979145</v>
      </c>
      <c r="S926" s="10">
        <v>0.017294784454147782</v>
      </c>
      <c r="T926" s="10">
        <v>21.404489242370023</v>
      </c>
      <c r="U926" s="11">
        <v>0.22156848472753682</v>
      </c>
      <c r="V926" s="11">
        <v>0.1368664421068235</v>
      </c>
      <c r="W926" s="11">
        <v>0.052960233596158625</v>
      </c>
      <c r="X926" s="11">
        <v>0.21500085391900317</v>
      </c>
      <c r="Y926" s="11">
        <v>0.19119856207550226</v>
      </c>
      <c r="Z926" s="11">
        <v>0.18240542357497555</v>
      </c>
    </row>
    <row r="927" ht="22.5" customHeight="1">
      <c r="Q927" s="9" t="s">
        <v>965</v>
      </c>
      <c r="R927" s="10">
        <v>0.42472391481770555</v>
      </c>
      <c r="S927" s="10">
        <v>0.01797398300637029</v>
      </c>
      <c r="T927" s="10">
        <v>21.40448862566259</v>
      </c>
      <c r="U927" s="11">
        <v>0.09050354358449048</v>
      </c>
      <c r="V927" s="11">
        <v>0.14706031909298656</v>
      </c>
      <c r="W927" s="11">
        <v>0.05569881714052951</v>
      </c>
      <c r="X927" s="11">
        <v>0.27856510532315953</v>
      </c>
      <c r="Y927" s="11">
        <v>0.13510478017044858</v>
      </c>
      <c r="Z927" s="11">
        <v>0.2930674346883853</v>
      </c>
    </row>
    <row r="928" ht="22.5" customHeight="1">
      <c r="Q928" s="9" t="s">
        <v>966</v>
      </c>
      <c r="R928" s="10">
        <v>0.37444557331043365</v>
      </c>
      <c r="S928" s="10">
        <v>0.01562537226280266</v>
      </c>
      <c r="T928" s="10">
        <v>21.40400674527325</v>
      </c>
      <c r="U928" s="11">
        <v>0.08458091410728225</v>
      </c>
      <c r="V928" s="11">
        <v>0.07450758493957517</v>
      </c>
      <c r="W928" s="11">
        <v>0.09918767222523599</v>
      </c>
      <c r="X928" s="11">
        <v>0.1728904253707792</v>
      </c>
      <c r="Y928" s="11">
        <v>0.27291902732369056</v>
      </c>
      <c r="Z928" s="11">
        <v>0.29591437603343673</v>
      </c>
    </row>
    <row r="929" ht="22.5" customHeight="1">
      <c r="Q929" s="9" t="s">
        <v>967</v>
      </c>
      <c r="R929" s="10">
        <v>0.48626218456963327</v>
      </c>
      <c r="S929" s="10">
        <v>0.020849566131739775</v>
      </c>
      <c r="T929" s="10">
        <v>21.403907484207938</v>
      </c>
      <c r="U929" s="11">
        <v>0.10681249693892773</v>
      </c>
      <c r="V929" s="11">
        <v>0.16981772778533694</v>
      </c>
      <c r="W929" s="11">
        <v>0.08255777580507302</v>
      </c>
      <c r="X929" s="11">
        <v>0.252987478790879</v>
      </c>
      <c r="Y929" s="11">
        <v>0.09555548635601675</v>
      </c>
      <c r="Z929" s="11">
        <v>0.2922690343237667</v>
      </c>
    </row>
    <row r="930" ht="22.5" customHeight="1">
      <c r="Q930" s="9" t="s">
        <v>968</v>
      </c>
      <c r="R930" s="10">
        <v>0.6229481729268399</v>
      </c>
      <c r="S930" s="10">
        <v>0.027235964883073623</v>
      </c>
      <c r="T930" s="10">
        <v>21.403617438540817</v>
      </c>
      <c r="U930" s="11">
        <v>0.2113980081971915</v>
      </c>
      <c r="V930" s="11">
        <v>0.1790259558235678</v>
      </c>
      <c r="W930" s="11">
        <v>0.17371039443945827</v>
      </c>
      <c r="X930" s="11">
        <v>0.2476455130661339</v>
      </c>
      <c r="Y930" s="11">
        <v>0.0254935899165757</v>
      </c>
      <c r="Z930" s="11">
        <v>0.16272653855707278</v>
      </c>
    </row>
    <row r="931" ht="22.5" customHeight="1">
      <c r="Q931" s="9" t="s">
        <v>969</v>
      </c>
      <c r="R931" s="10">
        <v>0.58101091613063</v>
      </c>
      <c r="S931" s="10">
        <v>0.025277714052961697</v>
      </c>
      <c r="T931" s="10">
        <v>21.402683604898275</v>
      </c>
      <c r="U931" s="11">
        <v>0.2097165904247201</v>
      </c>
      <c r="V931" s="11">
        <v>0.19213053499858646</v>
      </c>
      <c r="W931" s="11">
        <v>0.12613893912006086</v>
      </c>
      <c r="X931" s="11">
        <v>0.18513724000340467</v>
      </c>
      <c r="Y931" s="11">
        <v>0.18092470117122145</v>
      </c>
      <c r="Z931" s="11">
        <v>0.10595199428200645</v>
      </c>
    </row>
    <row r="932" ht="22.5" customHeight="1">
      <c r="Q932" s="9" t="s">
        <v>970</v>
      </c>
      <c r="R932" s="10">
        <v>0.5970724826127214</v>
      </c>
      <c r="S932" s="10">
        <v>0.026028746167546173</v>
      </c>
      <c r="T932" s="10">
        <v>21.402201974189012</v>
      </c>
      <c r="U932" s="11">
        <v>0.2576918467569361</v>
      </c>
      <c r="V932" s="11">
        <v>0.18275449389321458</v>
      </c>
      <c r="W932" s="11">
        <v>0.15091859479186692</v>
      </c>
      <c r="X932" s="11">
        <v>0.1734381645430289</v>
      </c>
      <c r="Y932" s="11">
        <v>0.12419931351650301</v>
      </c>
      <c r="Z932" s="11">
        <v>0.11099758649845035</v>
      </c>
    </row>
    <row r="933" ht="22.5" customHeight="1">
      <c r="Q933" s="9" t="s">
        <v>971</v>
      </c>
      <c r="R933" s="10">
        <v>0.609046421248115</v>
      </c>
      <c r="S933" s="10">
        <v>0.026589469845335195</v>
      </c>
      <c r="T933" s="10">
        <v>21.401194704449793</v>
      </c>
      <c r="U933" s="11">
        <v>0.10330528662311311</v>
      </c>
      <c r="V933" s="11">
        <v>0.19819128208588213</v>
      </c>
      <c r="W933" s="11">
        <v>0.14536185969591436</v>
      </c>
      <c r="X933" s="11">
        <v>0.2817416990711939</v>
      </c>
      <c r="Y933" s="11">
        <v>0.0160745528985569</v>
      </c>
      <c r="Z933" s="11">
        <v>0.2553253196253396</v>
      </c>
    </row>
    <row r="934" ht="22.5" customHeight="1">
      <c r="Q934" s="9" t="s">
        <v>972</v>
      </c>
      <c r="R934" s="10">
        <v>0.5308847799153722</v>
      </c>
      <c r="S934" s="10">
        <v>0.022937284962027443</v>
      </c>
      <c r="T934" s="10">
        <v>21.401171966430613</v>
      </c>
      <c r="U934" s="11">
        <v>0.13191463893982097</v>
      </c>
      <c r="V934" s="11">
        <v>0.18507771338942683</v>
      </c>
      <c r="W934" s="11">
        <v>0.08905351740107563</v>
      </c>
      <c r="X934" s="11">
        <v>0.24814303959338593</v>
      </c>
      <c r="Y934" s="11">
        <v>0.2270916785051646</v>
      </c>
      <c r="Z934" s="11">
        <v>0.11871941217112603</v>
      </c>
    </row>
    <row r="935" ht="22.5" customHeight="1">
      <c r="Q935" s="9" t="s">
        <v>973</v>
      </c>
      <c r="R935" s="10">
        <v>0.6723505620873721</v>
      </c>
      <c r="S935" s="10">
        <v>0.0295477307161706</v>
      </c>
      <c r="T935" s="10">
        <v>21.40098568521559</v>
      </c>
      <c r="U935" s="11">
        <v>0.0645885821485706</v>
      </c>
      <c r="V935" s="11">
        <v>0.21987088608950087</v>
      </c>
      <c r="W935" s="11">
        <v>0.1542286640542381</v>
      </c>
      <c r="X935" s="11">
        <v>0.27162450181137</v>
      </c>
      <c r="Y935" s="11">
        <v>0.2680925498440064</v>
      </c>
      <c r="Z935" s="11">
        <v>0.021594816052313906</v>
      </c>
    </row>
    <row r="936" ht="22.5" customHeight="1">
      <c r="Q936" s="9" t="s">
        <v>974</v>
      </c>
      <c r="R936" s="10">
        <v>0.6237596920705217</v>
      </c>
      <c r="S936" s="10">
        <v>0.027278072349428653</v>
      </c>
      <c r="T936" s="10">
        <v>21.400327874808525</v>
      </c>
      <c r="U936" s="11">
        <v>0.14686845806631887</v>
      </c>
      <c r="V936" s="11">
        <v>0.16108657380079516</v>
      </c>
      <c r="W936" s="11">
        <v>0.18261762399250847</v>
      </c>
      <c r="X936" s="11">
        <v>0.2305301818104852</v>
      </c>
      <c r="Y936" s="11">
        <v>0.24833739830100576</v>
      </c>
      <c r="Z936" s="11">
        <v>0.030559764028886424</v>
      </c>
    </row>
    <row r="937" ht="22.5" customHeight="1">
      <c r="Q937" s="9" t="s">
        <v>975</v>
      </c>
      <c r="R937" s="10">
        <v>0.7009271137461716</v>
      </c>
      <c r="S937" s="10">
        <v>0.030885213186223177</v>
      </c>
      <c r="T937" s="10">
        <v>21.399467433204837</v>
      </c>
      <c r="U937" s="11">
        <v>0.08362159288731696</v>
      </c>
      <c r="V937" s="11">
        <v>0.23776722936465222</v>
      </c>
      <c r="W937" s="11">
        <v>0.15554488324327492</v>
      </c>
      <c r="X937" s="11">
        <v>0.33319464194304227</v>
      </c>
      <c r="Y937" s="11">
        <v>0.15442465002081318</v>
      </c>
      <c r="Z937" s="11">
        <v>0.035447002540900434</v>
      </c>
    </row>
    <row r="938" ht="22.5" customHeight="1">
      <c r="Q938" s="9" t="s">
        <v>976</v>
      </c>
      <c r="R938" s="10">
        <v>0.6308114954548445</v>
      </c>
      <c r="S938" s="10">
        <v>0.027610541356217107</v>
      </c>
      <c r="T938" s="10">
        <v>21.398040981250464</v>
      </c>
      <c r="U938" s="11">
        <v>0.19208537771227027</v>
      </c>
      <c r="V938" s="11">
        <v>0.1933122295823271</v>
      </c>
      <c r="W938" s="11">
        <v>0.16110969370216488</v>
      </c>
      <c r="X938" s="11">
        <v>0.1921380303181037</v>
      </c>
      <c r="Y938" s="11">
        <v>0.1875544887278729</v>
      </c>
      <c r="Z938" s="11">
        <v>0.07380017995726104</v>
      </c>
    </row>
    <row r="939" ht="22.5" customHeight="1">
      <c r="Q939" s="9" t="s">
        <v>977</v>
      </c>
      <c r="R939" s="10">
        <v>0.6010150284979385</v>
      </c>
      <c r="S939" s="10">
        <v>0.026219983828457374</v>
      </c>
      <c r="T939" s="10">
        <v>21.396467372685837</v>
      </c>
      <c r="U939" s="11">
        <v>0.10153334008461498</v>
      </c>
      <c r="V939" s="11">
        <v>0.16551783718955057</v>
      </c>
      <c r="W939" s="11">
        <v>0.17240457434196038</v>
      </c>
      <c r="X939" s="11">
        <v>0.22727971250544793</v>
      </c>
      <c r="Y939" s="11">
        <v>0.13511911160719747</v>
      </c>
      <c r="Z939" s="11">
        <v>0.1981454242712288</v>
      </c>
    </row>
    <row r="940" ht="22.5" customHeight="1">
      <c r="Q940" s="9" t="s">
        <v>978</v>
      </c>
      <c r="R940" s="10">
        <v>0.6400044967347758</v>
      </c>
      <c r="S940" s="10">
        <v>0.028042427155911487</v>
      </c>
      <c r="T940" s="10">
        <v>21.396311146636666</v>
      </c>
      <c r="U940" s="11">
        <v>0.12437799680287147</v>
      </c>
      <c r="V940" s="11">
        <v>0.18298446568429974</v>
      </c>
      <c r="W940" s="11">
        <v>0.17350863955273332</v>
      </c>
      <c r="X940" s="11">
        <v>0.21156637463554828</v>
      </c>
      <c r="Y940" s="11">
        <v>0.2735220471827558</v>
      </c>
      <c r="Z940" s="11">
        <v>0.034040476141791294</v>
      </c>
    </row>
    <row r="941" ht="22.5" customHeight="1">
      <c r="Q941" s="9" t="s">
        <v>979</v>
      </c>
      <c r="R941" s="10">
        <v>0.4285476015351963</v>
      </c>
      <c r="S941" s="10">
        <v>0.018159909954995685</v>
      </c>
      <c r="T941" s="10">
        <v>21.395899126047656</v>
      </c>
      <c r="U941" s="11">
        <v>0.1963921107685748</v>
      </c>
      <c r="V941" s="11">
        <v>0.14849607431744968</v>
      </c>
      <c r="W941" s="11">
        <v>0.04859882803404084</v>
      </c>
      <c r="X941" s="11">
        <v>0.306236810245007</v>
      </c>
      <c r="Y941" s="11">
        <v>0.1208262199471866</v>
      </c>
      <c r="Z941" s="11">
        <v>0.1794499566877413</v>
      </c>
    </row>
    <row r="942" ht="22.5" customHeight="1">
      <c r="Q942" s="9" t="s">
        <v>980</v>
      </c>
      <c r="R942" s="10">
        <v>0.6832865566473677</v>
      </c>
      <c r="S942" s="10">
        <v>0.03006664448692242</v>
      </c>
      <c r="T942" s="10">
        <v>21.395355804574972</v>
      </c>
      <c r="U942" s="11">
        <v>0.23555441013420583</v>
      </c>
      <c r="V942" s="11">
        <v>0.2292824693225139</v>
      </c>
      <c r="W942" s="11">
        <v>0.15550308953585007</v>
      </c>
      <c r="X942" s="11">
        <v>0.31499096958511297</v>
      </c>
      <c r="Y942" s="11">
        <v>0.019664179128355688</v>
      </c>
      <c r="Z942" s="11">
        <v>0.045004882293961546</v>
      </c>
    </row>
    <row r="943" ht="22.5" customHeight="1">
      <c r="Q943" s="9" t="s">
        <v>981</v>
      </c>
      <c r="R943" s="10">
        <v>0.5154176171821486</v>
      </c>
      <c r="S943" s="10">
        <v>0.022220716304277053</v>
      </c>
      <c r="T943" s="10">
        <v>21.39524264978983</v>
      </c>
      <c r="U943" s="11">
        <v>0.18282981668844944</v>
      </c>
      <c r="V943" s="11">
        <v>0.1255481591469952</v>
      </c>
      <c r="W943" s="11">
        <v>0.15398338805515013</v>
      </c>
      <c r="X943" s="11">
        <v>0.212644906137929</v>
      </c>
      <c r="Y943" s="11">
        <v>0.06516850962106202</v>
      </c>
      <c r="Z943" s="11">
        <v>0.2598252203504142</v>
      </c>
    </row>
    <row r="944" ht="22.5" customHeight="1">
      <c r="Q944" s="9" t="s">
        <v>982</v>
      </c>
      <c r="R944" s="10">
        <v>0.5162577269279612</v>
      </c>
      <c r="S944" s="10">
        <v>0.022260422716068404</v>
      </c>
      <c r="T944" s="10">
        <v>21.39481954150766</v>
      </c>
      <c r="U944" s="11">
        <v>0.22627717057606642</v>
      </c>
      <c r="V944" s="11">
        <v>0.1330074999092019</v>
      </c>
      <c r="W944" s="11">
        <v>0.14535281764291844</v>
      </c>
      <c r="X944" s="11">
        <v>0.1428468166979161</v>
      </c>
      <c r="Y944" s="11">
        <v>0.17974490427564763</v>
      </c>
      <c r="Z944" s="11">
        <v>0.1727707908982496</v>
      </c>
    </row>
    <row r="945" ht="22.5" customHeight="1">
      <c r="Q945" s="9" t="s">
        <v>983</v>
      </c>
      <c r="R945" s="10">
        <v>0.6636195332843653</v>
      </c>
      <c r="S945" s="10">
        <v>0.029151585942485375</v>
      </c>
      <c r="T945" s="10">
        <v>21.392302103725523</v>
      </c>
      <c r="U945" s="11">
        <v>0.24894002954349212</v>
      </c>
      <c r="V945" s="11">
        <v>0.18000076252725813</v>
      </c>
      <c r="W945" s="11">
        <v>0.19471354178833356</v>
      </c>
      <c r="X945" s="11">
        <v>0.27036881280261277</v>
      </c>
      <c r="Y945" s="11">
        <v>0.0643749148240832</v>
      </c>
      <c r="Z945" s="11">
        <v>0.0416019385142202</v>
      </c>
    </row>
    <row r="946" ht="22.5" customHeight="1">
      <c r="Q946" s="9" t="s">
        <v>984</v>
      </c>
      <c r="R946" s="10">
        <v>0.31143920919305673</v>
      </c>
      <c r="S946" s="10">
        <v>0.012688695599876032</v>
      </c>
      <c r="T946" s="10">
        <v>21.392207501274495</v>
      </c>
      <c r="U946" s="11">
        <v>0.10137217170780882</v>
      </c>
      <c r="V946" s="11">
        <v>0.04179601154842111</v>
      </c>
      <c r="W946" s="11">
        <v>0.08001339209651934</v>
      </c>
      <c r="X946" s="11">
        <v>0.3188008893046954</v>
      </c>
      <c r="Y946" s="11">
        <v>0.09117106055420458</v>
      </c>
      <c r="Z946" s="11">
        <v>0.36684647478835075</v>
      </c>
    </row>
    <row r="947" ht="22.5" customHeight="1">
      <c r="Q947" s="9" t="s">
        <v>985</v>
      </c>
      <c r="R947" s="10">
        <v>0.4375349572889588</v>
      </c>
      <c r="S947" s="10">
        <v>0.01858345875030336</v>
      </c>
      <c r="T947" s="10">
        <v>21.391871267369392</v>
      </c>
      <c r="U947" s="11">
        <v>0.20294178258071716</v>
      </c>
      <c r="V947" s="11">
        <v>0.15221016352730968</v>
      </c>
      <c r="W947" s="11">
        <v>0.05110823333206483</v>
      </c>
      <c r="X947" s="11">
        <v>0.29914788318627195</v>
      </c>
      <c r="Y947" s="11">
        <v>0.13178288650003905</v>
      </c>
      <c r="Z947" s="11">
        <v>0.16280905087359746</v>
      </c>
    </row>
    <row r="948" ht="22.5" customHeight="1">
      <c r="Q948" s="9" t="s">
        <v>986</v>
      </c>
      <c r="R948" s="10">
        <v>0.4584733557599843</v>
      </c>
      <c r="S948" s="10">
        <v>0.019562684196329956</v>
      </c>
      <c r="T948" s="10">
        <v>21.391407823190836</v>
      </c>
      <c r="U948" s="11">
        <v>0.20055372184943962</v>
      </c>
      <c r="V948" s="11">
        <v>0.08851038378287424</v>
      </c>
      <c r="W948" s="11">
        <v>0.14108135722450646</v>
      </c>
      <c r="X948" s="11">
        <v>0.2165856200139731</v>
      </c>
      <c r="Y948" s="11">
        <v>0.17927295711860125</v>
      </c>
      <c r="Z948" s="11">
        <v>0.17399596001060544</v>
      </c>
    </row>
    <row r="949" ht="22.5" customHeight="1">
      <c r="Q949" s="9" t="s">
        <v>987</v>
      </c>
      <c r="R949" s="10">
        <v>0.5893308349139168</v>
      </c>
      <c r="S949" s="10">
        <v>0.025681266330660566</v>
      </c>
      <c r="T949" s="10">
        <v>21.390332853566377</v>
      </c>
      <c r="U949" s="11">
        <v>0.22667911530104096</v>
      </c>
      <c r="V949" s="11">
        <v>0.1787295678414061</v>
      </c>
      <c r="W949" s="11">
        <v>0.15284688216349762</v>
      </c>
      <c r="X949" s="11">
        <v>0.18970892293838296</v>
      </c>
      <c r="Y949" s="11">
        <v>0.07101249853387387</v>
      </c>
      <c r="Z949" s="11">
        <v>0.18102301322179856</v>
      </c>
    </row>
    <row r="950" ht="22.5" customHeight="1">
      <c r="Q950" s="9" t="s">
        <v>988</v>
      </c>
      <c r="R950" s="10">
        <v>0.5870385985346724</v>
      </c>
      <c r="S950" s="10">
        <v>0.02557424178776326</v>
      </c>
      <c r="T950" s="10">
        <v>21.390217668013875</v>
      </c>
      <c r="U950" s="11">
        <v>0.3973956731056228</v>
      </c>
      <c r="V950" s="11">
        <v>0.17956693724826597</v>
      </c>
      <c r="W950" s="11">
        <v>0.14370933711484196</v>
      </c>
      <c r="X950" s="11">
        <v>0.1819586365600995</v>
      </c>
      <c r="Y950" s="11">
        <v>0.04818087625466398</v>
      </c>
      <c r="Z950" s="11">
        <v>0.04918853971650577</v>
      </c>
    </row>
    <row r="951" ht="22.5" customHeight="1">
      <c r="Q951" s="9" t="s">
        <v>989</v>
      </c>
      <c r="R951" s="10">
        <v>0.5618518278172958</v>
      </c>
      <c r="S951" s="10">
        <v>0.024397467400118344</v>
      </c>
      <c r="T951" s="10">
        <v>21.38959012666882</v>
      </c>
      <c r="U951" s="11">
        <v>0.09771439196198532</v>
      </c>
      <c r="V951" s="11">
        <v>0.17915647413346544</v>
      </c>
      <c r="W951" s="11">
        <v>0.13463745741617808</v>
      </c>
      <c r="X951" s="11">
        <v>0.1895165539928596</v>
      </c>
      <c r="Y951" s="11">
        <v>0.1332932615222707</v>
      </c>
      <c r="Z951" s="11">
        <v>0.2656818609732408</v>
      </c>
    </row>
    <row r="952" ht="22.5" customHeight="1">
      <c r="Q952" s="9" t="s">
        <v>990</v>
      </c>
      <c r="R952" s="10">
        <v>0.5420839146033332</v>
      </c>
      <c r="S952" s="10">
        <v>0.02347400450925572</v>
      </c>
      <c r="T952" s="10">
        <v>21.388933209302365</v>
      </c>
      <c r="U952" s="11">
        <v>0.11041423181500595</v>
      </c>
      <c r="V952" s="11">
        <v>0.18739139392653884</v>
      </c>
      <c r="W952" s="11">
        <v>0.10009519474682553</v>
      </c>
      <c r="X952" s="11">
        <v>0.2256033240840569</v>
      </c>
      <c r="Y952" s="11">
        <v>0.2128699153115734</v>
      </c>
      <c r="Z952" s="11">
        <v>0.1636259401159993</v>
      </c>
    </row>
    <row r="953" ht="22.5" customHeight="1">
      <c r="Q953" s="9" t="s">
        <v>991</v>
      </c>
      <c r="R953" s="10">
        <v>0.5825404027442451</v>
      </c>
      <c r="S953" s="10">
        <v>0.025365576915266367</v>
      </c>
      <c r="T953" s="10">
        <v>21.388845385090182</v>
      </c>
      <c r="U953" s="11">
        <v>0.10287465803299067</v>
      </c>
      <c r="V953" s="11">
        <v>0.13980603947336118</v>
      </c>
      <c r="W953" s="11">
        <v>0.18037131356978173</v>
      </c>
      <c r="X953" s="11">
        <v>0.29169162139697674</v>
      </c>
      <c r="Y953" s="11">
        <v>0.09050269627638284</v>
      </c>
      <c r="Z953" s="11">
        <v>0.19475367125050685</v>
      </c>
    </row>
    <row r="954" ht="22.5" customHeight="1">
      <c r="Q954" s="9" t="s">
        <v>992</v>
      </c>
      <c r="R954" s="10">
        <v>0.5689026120340712</v>
      </c>
      <c r="S954" s="10">
        <v>0.02472805687234696</v>
      </c>
      <c r="T954" s="10">
        <v>21.388765593852042</v>
      </c>
      <c r="U954" s="11">
        <v>0.15305350664787232</v>
      </c>
      <c r="V954" s="11">
        <v>0.18095027398076932</v>
      </c>
      <c r="W954" s="11">
        <v>0.13820249482904526</v>
      </c>
      <c r="X954" s="11">
        <v>0.20652115879402336</v>
      </c>
      <c r="Y954" s="11">
        <v>0.05767628634397003</v>
      </c>
      <c r="Z954" s="11">
        <v>0.2635962794043197</v>
      </c>
    </row>
    <row r="955" ht="22.5" customHeight="1">
      <c r="Q955" s="9" t="s">
        <v>993</v>
      </c>
      <c r="R955" s="10">
        <v>0.6165281339626518</v>
      </c>
      <c r="S955" s="10">
        <v>0.026955056239127324</v>
      </c>
      <c r="T955" s="10">
        <v>21.388496794370518</v>
      </c>
      <c r="U955" s="11">
        <v>0.03832251482222912</v>
      </c>
      <c r="V955" s="11">
        <v>0.16179563971101502</v>
      </c>
      <c r="W955" s="11">
        <v>0.18408346219945262</v>
      </c>
      <c r="X955" s="11">
        <v>0.3108049991951876</v>
      </c>
      <c r="Y955" s="11">
        <v>0.07941966418824929</v>
      </c>
      <c r="Z955" s="11">
        <v>0.22557371988386637</v>
      </c>
    </row>
    <row r="956" ht="22.5" customHeight="1">
      <c r="Q956" s="9" t="s">
        <v>994</v>
      </c>
      <c r="R956" s="10">
        <v>0.44452047955355056</v>
      </c>
      <c r="S956" s="10">
        <v>0.01891299311786294</v>
      </c>
      <c r="T956" s="10">
        <v>21.38849610067743</v>
      </c>
      <c r="U956" s="11">
        <v>0.16108660350660242</v>
      </c>
      <c r="V956" s="11">
        <v>0.1119485002306181</v>
      </c>
      <c r="W956" s="11">
        <v>0.11648396456563384</v>
      </c>
      <c r="X956" s="11">
        <v>0.11610700763515848</v>
      </c>
      <c r="Y956" s="11">
        <v>0.25162326989072825</v>
      </c>
      <c r="Z956" s="11">
        <v>0.24275065417125893</v>
      </c>
    </row>
    <row r="957" ht="22.5" customHeight="1">
      <c r="Q957" s="9" t="s">
        <v>995</v>
      </c>
      <c r="R957" s="10">
        <v>0.522331348251574</v>
      </c>
      <c r="S957" s="10">
        <v>0.02823641408877437</v>
      </c>
      <c r="T957" s="10">
        <v>21.386248383958442</v>
      </c>
      <c r="U957" s="11">
        <v>0.022609789305332233</v>
      </c>
      <c r="V957" s="11">
        <v>0.21845861457737056</v>
      </c>
      <c r="W957" s="11">
        <v>0.13964894655553056</v>
      </c>
      <c r="X957" s="11">
        <v>0.2921938302008116</v>
      </c>
      <c r="Y957" s="11">
        <v>0.19462439596696507</v>
      </c>
      <c r="Z957" s="11">
        <v>0.13246442339398987</v>
      </c>
    </row>
    <row r="958" ht="22.5" customHeight="1">
      <c r="Q958" s="9" t="s">
        <v>996</v>
      </c>
      <c r="R958" s="10">
        <v>0.36870719113978484</v>
      </c>
      <c r="S958" s="10">
        <v>0.015370297047077836</v>
      </c>
      <c r="T958" s="10">
        <v>21.385871081930578</v>
      </c>
      <c r="U958" s="11">
        <v>0.21264279335007694</v>
      </c>
      <c r="V958" s="11">
        <v>0.05718805317047683</v>
      </c>
      <c r="W958" s="11">
        <v>0.10655852383478395</v>
      </c>
      <c r="X958" s="11">
        <v>0.22157321002452438</v>
      </c>
      <c r="Y958" s="11">
        <v>0.17888256999031305</v>
      </c>
      <c r="Z958" s="11">
        <v>0.2231548496298248</v>
      </c>
    </row>
    <row r="959" ht="22.5" customHeight="1">
      <c r="Q959" s="9" t="s">
        <v>997</v>
      </c>
      <c r="R959" s="10">
        <v>0.6400498742865608</v>
      </c>
      <c r="S959" s="10">
        <v>0.028059540223270545</v>
      </c>
      <c r="T959" s="10">
        <v>21.384879064729756</v>
      </c>
      <c r="U959" s="11">
        <v>0.2501753107471043</v>
      </c>
      <c r="V959" s="11">
        <v>0.21555784479081094</v>
      </c>
      <c r="W959" s="11">
        <v>0.1386026892965425</v>
      </c>
      <c r="X959" s="11">
        <v>0.23352420454854997</v>
      </c>
      <c r="Y959" s="11">
        <v>0.1502682796145797</v>
      </c>
      <c r="Z959" s="11">
        <v>0.011871671002412421</v>
      </c>
    </row>
    <row r="960" ht="22.5" customHeight="1">
      <c r="Q960" s="9" t="s">
        <v>998</v>
      </c>
      <c r="R960" s="10">
        <v>0.6046654504868896</v>
      </c>
      <c r="S960" s="10">
        <v>0.02640662125369404</v>
      </c>
      <c r="T960" s="10">
        <v>21.383479736465645</v>
      </c>
      <c r="U960" s="11">
        <v>0.1871960780999505</v>
      </c>
      <c r="V960" s="11">
        <v>0.21427071815216867</v>
      </c>
      <c r="W960" s="11">
        <v>0.11212089181011786</v>
      </c>
      <c r="X960" s="11">
        <v>0.3174044398686333</v>
      </c>
      <c r="Y960" s="11">
        <v>0.06810782415401753</v>
      </c>
      <c r="Z960" s="11">
        <v>0.10090004791511215</v>
      </c>
    </row>
    <row r="961" ht="22.5" customHeight="1">
      <c r="Q961" s="9" t="s">
        <v>999</v>
      </c>
      <c r="R961" s="10">
        <v>0.551641297198097</v>
      </c>
      <c r="S961" s="10">
        <v>0.023927535608693058</v>
      </c>
      <c r="T961" s="10">
        <v>21.382949985547768</v>
      </c>
      <c r="U961" s="11">
        <v>0.1955330811160985</v>
      </c>
      <c r="V961" s="11">
        <v>0.143665080993831</v>
      </c>
      <c r="W961" s="11">
        <v>0.1593513104760686</v>
      </c>
      <c r="X961" s="11">
        <v>0.17137967281801403</v>
      </c>
      <c r="Y961" s="11">
        <v>0.16237629081484553</v>
      </c>
      <c r="Z961" s="11">
        <v>0.1676945637811424</v>
      </c>
    </row>
    <row r="962" ht="22.5" customHeight="1">
      <c r="Q962" s="9" t="s">
        <v>1000</v>
      </c>
      <c r="R962" s="10">
        <v>0.5525945951032604</v>
      </c>
      <c r="S962" s="10">
        <v>0.023972361511102047</v>
      </c>
      <c r="T962" s="10">
        <v>21.38273256332582</v>
      </c>
      <c r="U962" s="11">
        <v>0.15439104986517363</v>
      </c>
      <c r="V962" s="11">
        <v>0.18196046291142975</v>
      </c>
      <c r="W962" s="11">
        <v>0.12335701121212696</v>
      </c>
      <c r="X962" s="11">
        <v>0.18281359670588365</v>
      </c>
      <c r="Y962" s="11">
        <v>0.1242204431985172</v>
      </c>
      <c r="Z962" s="11">
        <v>0.23325743610686886</v>
      </c>
    </row>
    <row r="963" ht="22.5" customHeight="1">
      <c r="Q963" s="9" t="s">
        <v>1001</v>
      </c>
      <c r="R963" s="10">
        <v>0.6474305429093679</v>
      </c>
      <c r="S963" s="10">
        <v>0.02840852421059183</v>
      </c>
      <c r="T963" s="10">
        <v>21.381981633628595</v>
      </c>
      <c r="U963" s="11">
        <v>0.20582449027861663</v>
      </c>
      <c r="V963" s="11">
        <v>0.20257400764456102</v>
      </c>
      <c r="W963" s="11">
        <v>0.16528542019576895</v>
      </c>
      <c r="X963" s="11">
        <v>0.22255559767538471</v>
      </c>
      <c r="Y963" s="11">
        <v>0.09916047262476554</v>
      </c>
      <c r="Z963" s="11">
        <v>0.10460001158090325</v>
      </c>
    </row>
    <row r="964" ht="22.5" customHeight="1">
      <c r="Q964" s="9" t="s">
        <v>1002</v>
      </c>
      <c r="R964" s="10">
        <v>0.5689175263236861</v>
      </c>
      <c r="S964" s="10">
        <v>0.024736620979820403</v>
      </c>
      <c r="T964" s="10">
        <v>21.38196347654619</v>
      </c>
      <c r="U964" s="11">
        <v>0.04383224171676823</v>
      </c>
      <c r="V964" s="11">
        <v>0.15926112299042883</v>
      </c>
      <c r="W964" s="11">
        <v>0.16025413837638813</v>
      </c>
      <c r="X964" s="11">
        <v>0.23832163872696127</v>
      </c>
      <c r="Y964" s="11">
        <v>0.09060089711390547</v>
      </c>
      <c r="Z964" s="11">
        <v>0.30772996107554806</v>
      </c>
    </row>
    <row r="965" ht="22.5" customHeight="1">
      <c r="Q965" s="9" t="s">
        <v>1003</v>
      </c>
      <c r="R965" s="10">
        <v>0.3795290885955086</v>
      </c>
      <c r="S965" s="10">
        <v>0.0158803499688113</v>
      </c>
      <c r="T965" s="10">
        <v>21.38045378485595</v>
      </c>
      <c r="U965" s="11">
        <v>0.21720177444782396</v>
      </c>
      <c r="V965" s="11">
        <v>0.0603149686049971</v>
      </c>
      <c r="W965" s="11">
        <v>0.1081286723503035</v>
      </c>
      <c r="X965" s="11">
        <v>0.21245292365418073</v>
      </c>
      <c r="Y965" s="11">
        <v>0.23472415841062727</v>
      </c>
      <c r="Z965" s="11">
        <v>0.16717750253206745</v>
      </c>
    </row>
    <row r="966" ht="22.5" customHeight="1">
      <c r="Q966" s="9" t="s">
        <v>1004</v>
      </c>
      <c r="R966" s="10">
        <v>0.4765947691243756</v>
      </c>
      <c r="S966" s="10">
        <v>0.02042083831805937</v>
      </c>
      <c r="T966" s="10">
        <v>21.37986513209248</v>
      </c>
      <c r="U966" s="11">
        <v>0.20410437575649604</v>
      </c>
      <c r="V966" s="11">
        <v>0.1229781968880053</v>
      </c>
      <c r="W966" s="11">
        <v>0.1319438867319132</v>
      </c>
      <c r="X966" s="11">
        <v>0.1329967216437068</v>
      </c>
      <c r="Y966" s="11">
        <v>0.14217993095880851</v>
      </c>
      <c r="Z966" s="11">
        <v>0.2657968880210701</v>
      </c>
    </row>
    <row r="967" ht="22.5" customHeight="1">
      <c r="Q967" s="9" t="s">
        <v>1005</v>
      </c>
      <c r="R967" s="10">
        <v>0.31603096613107484</v>
      </c>
      <c r="S967" s="10">
        <v>0.012911992175951363</v>
      </c>
      <c r="T967" s="10">
        <v>21.377875882327718</v>
      </c>
      <c r="U967" s="11">
        <v>0.17200805370046077</v>
      </c>
      <c r="V967" s="11">
        <v>0.041254164805083086</v>
      </c>
      <c r="W967" s="11">
        <v>0.08350918575670874</v>
      </c>
      <c r="X967" s="11">
        <v>0.3022812487322909</v>
      </c>
      <c r="Y967" s="11">
        <v>0.07510714549174169</v>
      </c>
      <c r="Z967" s="11">
        <v>0.32584020151371473</v>
      </c>
    </row>
    <row r="968" ht="22.5" customHeight="1">
      <c r="Q968" s="9" t="s">
        <v>1006</v>
      </c>
      <c r="R968" s="10">
        <v>0.5985873204004053</v>
      </c>
      <c r="S968" s="10">
        <v>0.026129666025772963</v>
      </c>
      <c r="T968" s="10">
        <v>21.377514731701638</v>
      </c>
      <c r="U968" s="11">
        <v>0.16575698748213774</v>
      </c>
      <c r="V968" s="11">
        <v>0.18049943630459508</v>
      </c>
      <c r="W968" s="11">
        <v>0.15474650686651045</v>
      </c>
      <c r="X968" s="11">
        <v>0.17047524938491673</v>
      </c>
      <c r="Y968" s="11">
        <v>0.1931364865920007</v>
      </c>
      <c r="Z968" s="11">
        <v>0.1353853333698394</v>
      </c>
    </row>
    <row r="969" ht="22.5" customHeight="1">
      <c r="Q969" s="9" t="s">
        <v>1007</v>
      </c>
      <c r="R969" s="10">
        <v>0.6827423119245859</v>
      </c>
      <c r="S969" s="10">
        <v>0.03006798499858824</v>
      </c>
      <c r="T969" s="10">
        <v>21.376301469977587</v>
      </c>
      <c r="U969" s="11">
        <v>0.1470938889885459</v>
      </c>
      <c r="V969" s="11">
        <v>0.20297211725448472</v>
      </c>
      <c r="W969" s="11">
        <v>0.18570379852724378</v>
      </c>
      <c r="X969" s="11">
        <v>0.24291491542698573</v>
      </c>
      <c r="Y969" s="11">
        <v>0.1761687659227274</v>
      </c>
      <c r="Z969" s="11">
        <v>0.04514651388001257</v>
      </c>
    </row>
    <row r="970" ht="22.5" customHeight="1">
      <c r="Q970" s="9" t="s">
        <v>1008</v>
      </c>
      <c r="R970" s="10">
        <v>0.5334824296753138</v>
      </c>
      <c r="S970" s="10">
        <v>0.02308613615194882</v>
      </c>
      <c r="T970" s="10">
        <v>21.375704727170486</v>
      </c>
      <c r="U970" s="11">
        <v>0.20816561016122886</v>
      </c>
      <c r="V970" s="11">
        <v>0.15573836679696257</v>
      </c>
      <c r="W970" s="11">
        <v>0.14009498408722967</v>
      </c>
      <c r="X970" s="11">
        <v>0.15327477579225715</v>
      </c>
      <c r="Y970" s="11">
        <v>0.0933289320823601</v>
      </c>
      <c r="Z970" s="11">
        <v>0.2493973310799615</v>
      </c>
    </row>
    <row r="971" ht="22.5" customHeight="1">
      <c r="Q971" s="9" t="s">
        <v>1009</v>
      </c>
      <c r="R971" s="10">
        <v>0.5418069894786642</v>
      </c>
      <c r="S971" s="10">
        <v>0.023478836580610615</v>
      </c>
      <c r="T971" s="10">
        <v>21.37273658155057</v>
      </c>
      <c r="U971" s="11">
        <v>0.04302347380733315</v>
      </c>
      <c r="V971" s="11">
        <v>0.1748029657349517</v>
      </c>
      <c r="W971" s="11">
        <v>0.11818451703538788</v>
      </c>
      <c r="X971" s="11">
        <v>0.1806153524774164</v>
      </c>
      <c r="Y971" s="11">
        <v>0.2756587440112425</v>
      </c>
      <c r="Z971" s="11">
        <v>0.2077149469336685</v>
      </c>
    </row>
    <row r="972" ht="22.5" customHeight="1">
      <c r="Q972" s="9" t="s">
        <v>1010</v>
      </c>
      <c r="R972" s="10">
        <v>0.5867467873988094</v>
      </c>
      <c r="S972" s="10">
        <v>0.025581703318593517</v>
      </c>
      <c r="T972" s="10">
        <v>21.372571661458448</v>
      </c>
      <c r="U972" s="11">
        <v>0.25014036668381084</v>
      </c>
      <c r="V972" s="11">
        <v>0.20495525844295376</v>
      </c>
      <c r="W972" s="11">
        <v>0.11287636940747674</v>
      </c>
      <c r="X972" s="11">
        <v>0.272689761757595</v>
      </c>
      <c r="Y972" s="11">
        <v>0.046031694334668014</v>
      </c>
      <c r="Z972" s="11">
        <v>0.11330654937349567</v>
      </c>
    </row>
    <row r="973" ht="22.5" customHeight="1">
      <c r="Q973" s="9" t="s">
        <v>1011</v>
      </c>
      <c r="R973" s="10">
        <v>0.47002977173211263</v>
      </c>
      <c r="S973" s="10">
        <v>0.02012071215804699</v>
      </c>
      <c r="T973" s="10">
        <v>21.37249260136791</v>
      </c>
      <c r="U973" s="11">
        <v>0.057562295599224454</v>
      </c>
      <c r="V973" s="11">
        <v>0.10176696854924376</v>
      </c>
      <c r="W973" s="11">
        <v>0.13993277584247527</v>
      </c>
      <c r="X973" s="11">
        <v>0.20662858477314752</v>
      </c>
      <c r="Y973" s="11">
        <v>0.2454663194963437</v>
      </c>
      <c r="Z973" s="11">
        <v>0.24864305573956524</v>
      </c>
    </row>
    <row r="974" ht="22.5" customHeight="1">
      <c r="Q974" s="9" t="s">
        <v>1012</v>
      </c>
      <c r="R974" s="10">
        <v>0.655649208837478</v>
      </c>
      <c r="S974" s="10">
        <v>0.028805966337645185</v>
      </c>
      <c r="T974" s="10">
        <v>21.37228106223656</v>
      </c>
      <c r="U974" s="11">
        <v>0.08210288577930347</v>
      </c>
      <c r="V974" s="11">
        <v>0.1905558448284702</v>
      </c>
      <c r="W974" s="11">
        <v>0.18423873832885382</v>
      </c>
      <c r="X974" s="11">
        <v>0.2811524388179997</v>
      </c>
      <c r="Y974" s="11">
        <v>0.08010603261213525</v>
      </c>
      <c r="Z974" s="11">
        <v>0.18184405963323758</v>
      </c>
    </row>
    <row r="975" ht="22.5" customHeight="1">
      <c r="Q975" s="9" t="s">
        <v>1013</v>
      </c>
      <c r="R975" s="10">
        <v>0.36393384302863835</v>
      </c>
      <c r="S975" s="10">
        <v>0.015156730535731414</v>
      </c>
      <c r="T975" s="10">
        <v>21.37227697391444</v>
      </c>
      <c r="U975" s="11">
        <v>0.24647634654584438</v>
      </c>
      <c r="V975" s="11">
        <v>0.11245197625819547</v>
      </c>
      <c r="W975" s="11">
        <v>0.02571977469594297</v>
      </c>
      <c r="X975" s="11">
        <v>0.36299253846328333</v>
      </c>
      <c r="Y975" s="11">
        <v>0.15935742626621352</v>
      </c>
      <c r="Z975" s="11">
        <v>0.09300193777052032</v>
      </c>
    </row>
    <row r="976" ht="22.5" customHeight="1">
      <c r="Q976" s="9" t="s">
        <v>1014</v>
      </c>
      <c r="R976" s="10">
        <v>0.5930785983990938</v>
      </c>
      <c r="S976" s="10">
        <v>0.02587832218903498</v>
      </c>
      <c r="T976" s="10">
        <v>21.37227422856035</v>
      </c>
      <c r="U976" s="11">
        <v>0.10728591555366604</v>
      </c>
      <c r="V976" s="11">
        <v>0.20449236995850478</v>
      </c>
      <c r="W976" s="11">
        <v>0.1238436752575154</v>
      </c>
      <c r="X976" s="11">
        <v>0.28355343872493477</v>
      </c>
      <c r="Y976" s="11">
        <v>0.0527673185770228</v>
      </c>
      <c r="Z976" s="11">
        <v>0.22805728192835625</v>
      </c>
    </row>
    <row r="977" ht="22.5" customHeight="1">
      <c r="Q977" s="9" t="s">
        <v>1015</v>
      </c>
      <c r="R977" s="10">
        <v>0.6408003412312566</v>
      </c>
      <c r="S977" s="10">
        <v>0.028111317835824302</v>
      </c>
      <c r="T977" s="10">
        <v>21.37218698675211</v>
      </c>
      <c r="U977" s="11">
        <v>0.15517370820841572</v>
      </c>
      <c r="V977" s="11">
        <v>0.1927364880524876</v>
      </c>
      <c r="W977" s="11">
        <v>0.1721809879380439</v>
      </c>
      <c r="X977" s="11">
        <v>0.22100728132250486</v>
      </c>
      <c r="Y977" s="11">
        <v>0.11975348519481756</v>
      </c>
      <c r="Z977" s="11">
        <v>0.13914804928373037</v>
      </c>
    </row>
    <row r="978" ht="22.5" customHeight="1">
      <c r="Q978" s="9" t="s">
        <v>1016</v>
      </c>
      <c r="R978" s="10">
        <v>0.5891997035745836</v>
      </c>
      <c r="S978" s="10">
        <v>0.02569789625274453</v>
      </c>
      <c r="T978" s="10">
        <v>21.371387687656693</v>
      </c>
      <c r="U978" s="11">
        <v>0.1755567692774683</v>
      </c>
      <c r="V978" s="11">
        <v>0.17087859769129066</v>
      </c>
      <c r="W978" s="11">
        <v>0.15889646269135918</v>
      </c>
      <c r="X978" s="11">
        <v>0.16758702065253123</v>
      </c>
      <c r="Y978" s="11">
        <v>0.17796246592524267</v>
      </c>
      <c r="Z978" s="11">
        <v>0.14911868376210807</v>
      </c>
    </row>
    <row r="979" ht="22.5" customHeight="1">
      <c r="Q979" s="9" t="s">
        <v>1017</v>
      </c>
      <c r="R979" s="10">
        <v>0.5161331046125119</v>
      </c>
      <c r="S979" s="10">
        <v>0.022279523824448706</v>
      </c>
      <c r="T979" s="10">
        <v>21.370883344015706</v>
      </c>
      <c r="U979" s="11">
        <v>0.21515894272106995</v>
      </c>
      <c r="V979" s="11">
        <v>0.1201520818518465</v>
      </c>
      <c r="W979" s="11">
        <v>0.1549033870917725</v>
      </c>
      <c r="X979" s="11">
        <v>0.17933176709311788</v>
      </c>
      <c r="Y979" s="11">
        <v>0.1739869077626352</v>
      </c>
      <c r="Z979" s="11">
        <v>0.15646691347955813</v>
      </c>
    </row>
    <row r="980" ht="22.5" customHeight="1">
      <c r="Q980" s="9" t="s">
        <v>1018</v>
      </c>
      <c r="R980" s="10">
        <v>0.5107851915775572</v>
      </c>
      <c r="S980" s="10">
        <v>0.022029342340417167</v>
      </c>
      <c r="T980" s="10">
        <v>21.370823708786308</v>
      </c>
      <c r="U980" s="11">
        <v>0.10324187378885819</v>
      </c>
      <c r="V980" s="11">
        <v>0.17185099633004167</v>
      </c>
      <c r="W980" s="11">
        <v>0.07394766973476372</v>
      </c>
      <c r="X980" s="11">
        <v>0.2988949424496761</v>
      </c>
      <c r="Y980" s="11">
        <v>0.34948659352796224</v>
      </c>
      <c r="Z980" s="11">
        <v>0.0025779241686980565</v>
      </c>
    </row>
    <row r="981" ht="22.5" customHeight="1">
      <c r="Q981" s="9" t="s">
        <v>1019</v>
      </c>
      <c r="R981" s="10">
        <v>0.5362157269557472</v>
      </c>
      <c r="S981" s="10">
        <v>0.02322062900352359</v>
      </c>
      <c r="T981" s="10">
        <v>21.36960746758623</v>
      </c>
      <c r="U981" s="11">
        <v>0.3280863828556947</v>
      </c>
      <c r="V981" s="11">
        <v>0.16551062875764663</v>
      </c>
      <c r="W981" s="11">
        <v>0.11761488795012144</v>
      </c>
      <c r="X981" s="11">
        <v>0.1301379368152665</v>
      </c>
      <c r="Y981" s="11">
        <v>0.24098231276001905</v>
      </c>
      <c r="Z981" s="11">
        <v>0.01766785086125177</v>
      </c>
    </row>
    <row r="982" ht="22.5" customHeight="1">
      <c r="Q982" s="9" t="s">
        <v>1020</v>
      </c>
      <c r="R982" s="10">
        <v>0.6881424016750326</v>
      </c>
      <c r="S982" s="10">
        <v>0.030330117279733757</v>
      </c>
      <c r="T982" s="10">
        <v>21.369597608121154</v>
      </c>
      <c r="U982" s="11">
        <v>0.14576442878572102</v>
      </c>
      <c r="V982" s="11">
        <v>0.2302924586256902</v>
      </c>
      <c r="W982" s="11">
        <v>0.16067043535744924</v>
      </c>
      <c r="X982" s="11">
        <v>0.31673422127005746</v>
      </c>
      <c r="Y982" s="11">
        <v>0.04691743505890947</v>
      </c>
      <c r="Z982" s="11">
        <v>0.09962102090217263</v>
      </c>
    </row>
    <row r="983" ht="22.5" customHeight="1">
      <c r="Q983" s="9" t="s">
        <v>1021</v>
      </c>
      <c r="R983" s="10">
        <v>0.6453134124314939</v>
      </c>
      <c r="S983" s="10">
        <v>0.028327228384932124</v>
      </c>
      <c r="T983" s="10">
        <v>21.368607059117487</v>
      </c>
      <c r="U983" s="11">
        <v>0.2246244827524211</v>
      </c>
      <c r="V983" s="11">
        <v>0.20110466391583925</v>
      </c>
      <c r="W983" s="11">
        <v>0.16326783057847702</v>
      </c>
      <c r="X983" s="11">
        <v>0.19736181290641583</v>
      </c>
      <c r="Y983" s="11">
        <v>0.15853257215563843</v>
      </c>
      <c r="Z983" s="11">
        <v>0.055108637691208356</v>
      </c>
    </row>
    <row r="984" ht="22.5" customHeight="1">
      <c r="Q984" s="9" t="s">
        <v>1022</v>
      </c>
      <c r="R984" s="10">
        <v>0.5791010083559872</v>
      </c>
      <c r="S984" s="10">
        <v>0.02522889070140548</v>
      </c>
      <c r="T984" s="10">
        <v>21.36839921883503</v>
      </c>
      <c r="U984" s="11">
        <v>0.13951516716901666</v>
      </c>
      <c r="V984" s="11">
        <v>0.15847351851396357</v>
      </c>
      <c r="W984" s="11">
        <v>0.16699869090684683</v>
      </c>
      <c r="X984" s="11">
        <v>0.2263356791078427</v>
      </c>
      <c r="Y984" s="11">
        <v>0.06306026879887533</v>
      </c>
      <c r="Z984" s="11">
        <v>0.24561667550345495</v>
      </c>
    </row>
    <row r="985" ht="22.5" customHeight="1">
      <c r="Q985" s="9" t="s">
        <v>1023</v>
      </c>
      <c r="R985" s="10">
        <v>0.5389587349802245</v>
      </c>
      <c r="S985" s="10">
        <v>0.023350441038790117</v>
      </c>
      <c r="T985" s="10">
        <v>21.36827883256451</v>
      </c>
      <c r="U985" s="11">
        <v>0.23357003800116133</v>
      </c>
      <c r="V985" s="11">
        <v>0.15199756785571986</v>
      </c>
      <c r="W985" s="11">
        <v>0.14635361025443988</v>
      </c>
      <c r="X985" s="11">
        <v>0.15210913310192709</v>
      </c>
      <c r="Y985" s="11">
        <v>0.09982966480459436</v>
      </c>
      <c r="Z985" s="11">
        <v>0.21613998598215758</v>
      </c>
    </row>
    <row r="986" ht="22.5" customHeight="1">
      <c r="Q986" s="9" t="s">
        <v>1024</v>
      </c>
      <c r="R986" s="10">
        <v>0.5318987912391931</v>
      </c>
      <c r="S986" s="10">
        <v>0.023020065773035604</v>
      </c>
      <c r="T986" s="10">
        <v>21.36826176297791</v>
      </c>
      <c r="U986" s="11">
        <v>0.11824200236067328</v>
      </c>
      <c r="V986" s="11">
        <v>0.18009576687119036</v>
      </c>
      <c r="W986" s="11">
        <v>0.10348435400748554</v>
      </c>
      <c r="X986" s="11">
        <v>0.1888931676377809</v>
      </c>
      <c r="Y986" s="11">
        <v>0.22994807088553776</v>
      </c>
      <c r="Z986" s="11">
        <v>0.17933663823733215</v>
      </c>
    </row>
    <row r="987" ht="22.5" customHeight="1">
      <c r="Q987" s="9" t="s">
        <v>1025</v>
      </c>
      <c r="R987" s="10">
        <v>0.537307143977349</v>
      </c>
      <c r="S987" s="10">
        <v>0.023275092824821018</v>
      </c>
      <c r="T987" s="10">
        <v>21.3664945493584</v>
      </c>
      <c r="U987" s="11">
        <v>0.1944969956444834</v>
      </c>
      <c r="V987" s="11">
        <v>0.11505203344168106</v>
      </c>
      <c r="W987" s="11">
        <v>0.1677766021746719</v>
      </c>
      <c r="X987" s="11">
        <v>0.2362273722762649</v>
      </c>
      <c r="Y987" s="11">
        <v>0.19570459896563036</v>
      </c>
      <c r="Z987" s="11">
        <v>0.09074239749726831</v>
      </c>
    </row>
    <row r="988" ht="22.5" customHeight="1">
      <c r="Q988" s="9" t="s">
        <v>1026</v>
      </c>
      <c r="R988" s="10">
        <v>0.5817162994842137</v>
      </c>
      <c r="S988" s="10">
        <v>0.02535400484729767</v>
      </c>
      <c r="T988" s="10">
        <v>21.366103806750353</v>
      </c>
      <c r="U988" s="11">
        <v>0.18083080323755676</v>
      </c>
      <c r="V988" s="11">
        <v>0.15246072872440797</v>
      </c>
      <c r="W988" s="11">
        <v>0.17244010692186423</v>
      </c>
      <c r="X988" s="11">
        <v>0.2613701546147793</v>
      </c>
      <c r="Y988" s="11">
        <v>0.006611372214079048</v>
      </c>
      <c r="Z988" s="11">
        <v>0.22628683428731272</v>
      </c>
    </row>
    <row r="989" ht="22.5" customHeight="1">
      <c r="Q989" s="9" t="s">
        <v>1027</v>
      </c>
      <c r="R989" s="10">
        <v>0.7045008334486687</v>
      </c>
      <c r="S989" s="10">
        <v>0.031101478604518555</v>
      </c>
      <c r="T989" s="10">
        <v>21.365570489376253</v>
      </c>
      <c r="U989" s="11">
        <v>0.14605187623694038</v>
      </c>
      <c r="V989" s="11">
        <v>0.2081735257857984</v>
      </c>
      <c r="W989" s="11">
        <v>0.19603622321149844</v>
      </c>
      <c r="X989" s="11">
        <v>0.2833720900222247</v>
      </c>
      <c r="Y989" s="11">
        <v>0.106231837810682</v>
      </c>
      <c r="Z989" s="11">
        <v>0.06013444693285625</v>
      </c>
    </row>
    <row r="990" ht="22.5" customHeight="1">
      <c r="Q990" s="9" t="s">
        <v>1028</v>
      </c>
      <c r="R990" s="10">
        <v>0.577266271594149</v>
      </c>
      <c r="S990" s="10">
        <v>0.025147848376527945</v>
      </c>
      <c r="T990" s="10">
        <v>21.364303758710946</v>
      </c>
      <c r="U990" s="11">
        <v>0.14901639034229563</v>
      </c>
      <c r="V990" s="11">
        <v>0.16711248964203304</v>
      </c>
      <c r="W990" s="11">
        <v>0.1562099897325429</v>
      </c>
      <c r="X990" s="11">
        <v>0.16794093652111594</v>
      </c>
      <c r="Y990" s="11">
        <v>0.16767441638068345</v>
      </c>
      <c r="Z990" s="11">
        <v>0.19204577738132902</v>
      </c>
    </row>
    <row r="991" ht="22.5" customHeight="1">
      <c r="Q991" s="9" t="s">
        <v>1029</v>
      </c>
      <c r="R991" s="10">
        <v>0.47613578217598546</v>
      </c>
      <c r="S991" s="10">
        <v>0.02041452838252874</v>
      </c>
      <c r="T991" s="10">
        <v>21.363990095859442</v>
      </c>
      <c r="U991" s="11">
        <v>0.13510562877075583</v>
      </c>
      <c r="V991" s="11">
        <v>0.1628643307161392</v>
      </c>
      <c r="W991" s="11">
        <v>0.07890580129484394</v>
      </c>
      <c r="X991" s="11">
        <v>0.19522580214757856</v>
      </c>
      <c r="Y991" s="11">
        <v>0.22773140193127817</v>
      </c>
      <c r="Z991" s="11">
        <v>0.20016703513940431</v>
      </c>
    </row>
    <row r="992" ht="22.5" customHeight="1">
      <c r="Q992" s="9" t="s">
        <v>1030</v>
      </c>
      <c r="R992" s="10">
        <v>0.44302620335240517</v>
      </c>
      <c r="S992" s="10">
        <v>0.018865024209880853</v>
      </c>
      <c r="T992" s="10">
        <v>21.363672734716868</v>
      </c>
      <c r="U992" s="11">
        <v>0.29457666333803606</v>
      </c>
      <c r="V992" s="11">
        <v>0.08591641586889577</v>
      </c>
      <c r="W992" s="11">
        <v>0.1352366330777946</v>
      </c>
      <c r="X992" s="11">
        <v>0.24223142432943215</v>
      </c>
      <c r="Y992" s="11">
        <v>0.0243013958350902</v>
      </c>
      <c r="Z992" s="11">
        <v>0.2177374675507513</v>
      </c>
    </row>
    <row r="993" ht="22.5" customHeight="1">
      <c r="Q993" s="9" t="s">
        <v>1031</v>
      </c>
      <c r="R993" s="10">
        <v>0.5866446280658733</v>
      </c>
      <c r="S993" s="10">
        <v>0.025588593756886543</v>
      </c>
      <c r="T993" s="10">
        <v>21.3628241262284</v>
      </c>
      <c r="U993" s="11">
        <v>0.15198725094404095</v>
      </c>
      <c r="V993" s="11">
        <v>0.1771986952798149</v>
      </c>
      <c r="W993" s="11">
        <v>0.15502181400258938</v>
      </c>
      <c r="X993" s="11">
        <v>0.23202430032419336</v>
      </c>
      <c r="Y993" s="11">
        <v>0.014418513892293226</v>
      </c>
      <c r="Z993" s="11">
        <v>0.2693494255570683</v>
      </c>
    </row>
    <row r="994" ht="22.5" customHeight="1">
      <c r="Q994" s="9" t="s">
        <v>1032</v>
      </c>
      <c r="R994" s="10">
        <v>0.5841767167220974</v>
      </c>
      <c r="S994" s="10">
        <v>0.025473232183210084</v>
      </c>
      <c r="T994" s="10">
        <v>21.362688205730525</v>
      </c>
      <c r="U994" s="11">
        <v>0.16615646203267673</v>
      </c>
      <c r="V994" s="11">
        <v>0.19162816706841532</v>
      </c>
      <c r="W994" s="11">
        <v>0.13412216149131997</v>
      </c>
      <c r="X994" s="11">
        <v>0.18578431467188727</v>
      </c>
      <c r="Y994" s="11">
        <v>0.1420868931936316</v>
      </c>
      <c r="Z994" s="11">
        <v>0.18022200154206913</v>
      </c>
    </row>
    <row r="995" ht="22.5" customHeight="1">
      <c r="Q995" s="9" t="s">
        <v>1033</v>
      </c>
      <c r="R995" s="10">
        <v>0.5739088548687735</v>
      </c>
      <c r="S995" s="10">
        <v>0.02499339952246519</v>
      </c>
      <c r="T995" s="10">
        <v>21.361994169255457</v>
      </c>
      <c r="U995" s="11">
        <v>0.24010700144744965</v>
      </c>
      <c r="V995" s="11">
        <v>0.128342289021317</v>
      </c>
      <c r="W995" s="11">
        <v>0.18086855674745017</v>
      </c>
      <c r="X995" s="11">
        <v>0.26387509489292493</v>
      </c>
      <c r="Y995" s="11">
        <v>0.11016500096987653</v>
      </c>
      <c r="Z995" s="11">
        <v>0.07664205692098167</v>
      </c>
    </row>
    <row r="996" ht="22.5" customHeight="1">
      <c r="Q996" s="9" t="s">
        <v>1034</v>
      </c>
      <c r="R996" s="10">
        <v>0.5888630778000017</v>
      </c>
      <c r="S996" s="10">
        <v>0.02569398003952629</v>
      </c>
      <c r="T996" s="10">
        <v>21.361543713961755</v>
      </c>
      <c r="U996" s="11">
        <v>0.1651623098464022</v>
      </c>
      <c r="V996" s="11">
        <v>0.16167203941684713</v>
      </c>
      <c r="W996" s="11">
        <v>0.16609087304571285</v>
      </c>
      <c r="X996" s="11">
        <v>0.17588182432338</v>
      </c>
      <c r="Y996" s="11">
        <v>0.20087491388694254</v>
      </c>
      <c r="Z996" s="11">
        <v>0.13031803948071524</v>
      </c>
    </row>
    <row r="997" ht="22.5" customHeight="1">
      <c r="Q997" s="9" t="s">
        <v>1035</v>
      </c>
      <c r="R997" s="10">
        <v>0.6177937171474593</v>
      </c>
      <c r="S997" s="10">
        <v>0.027048875177565313</v>
      </c>
      <c r="T997" s="10">
        <v>21.361099615213902</v>
      </c>
      <c r="U997" s="11">
        <v>0.19932741801134554</v>
      </c>
      <c r="V997" s="11">
        <v>0.18235712249788166</v>
      </c>
      <c r="W997" s="11">
        <v>0.1652589005789528</v>
      </c>
      <c r="X997" s="11">
        <v>0.1774524332831334</v>
      </c>
      <c r="Y997" s="11">
        <v>0.1784458302398031</v>
      </c>
      <c r="Z997" s="11">
        <v>0.0971582953888834</v>
      </c>
    </row>
    <row r="998" ht="22.5" customHeight="1">
      <c r="Q998" s="9" t="s">
        <v>1036</v>
      </c>
      <c r="R998" s="10">
        <v>0.4417440496044607</v>
      </c>
      <c r="S998" s="10">
        <v>0.01880798680083274</v>
      </c>
      <c r="T998" s="10">
        <v>21.360289852323437</v>
      </c>
      <c r="U998" s="11">
        <v>0.16137223041616633</v>
      </c>
      <c r="V998" s="11">
        <v>0.08732898174672668</v>
      </c>
      <c r="W998" s="11">
        <v>0.1358351434245152</v>
      </c>
      <c r="X998" s="11">
        <v>0.27661898330388657</v>
      </c>
      <c r="Y998" s="11">
        <v>0.019070869559762157</v>
      </c>
      <c r="Z998" s="11">
        <v>0.3197737915489431</v>
      </c>
    </row>
    <row r="999" ht="22.5" customHeight="1">
      <c r="Q999" s="9" t="s">
        <v>1037</v>
      </c>
      <c r="R999" s="10">
        <v>0.6577402014535298</v>
      </c>
      <c r="S999" s="10">
        <v>0.028921087472575692</v>
      </c>
      <c r="T999" s="10">
        <v>21.359508076565223</v>
      </c>
      <c r="U999" s="11">
        <v>0.21757507911617543</v>
      </c>
      <c r="V999" s="11">
        <v>0.2021334315980889</v>
      </c>
      <c r="W999" s="11">
        <v>0.16961482752867132</v>
      </c>
      <c r="X999" s="11">
        <v>0.20002480888041738</v>
      </c>
      <c r="Y999" s="11">
        <v>0.1824562120239905</v>
      </c>
      <c r="Z999" s="11">
        <v>0.02819564085265646</v>
      </c>
    </row>
    <row r="1000" ht="22.5" customHeight="1">
      <c r="Q1000" s="9" t="s">
        <v>1038</v>
      </c>
      <c r="R1000" s="10">
        <v>0.5927146816295544</v>
      </c>
      <c r="S1000" s="10">
        <v>0.025878720511299746</v>
      </c>
      <c r="T1000" s="10">
        <v>21.35788287478184</v>
      </c>
      <c r="U1000" s="11">
        <v>0.16107366875739929</v>
      </c>
      <c r="V1000" s="11">
        <v>0.19562666393753747</v>
      </c>
      <c r="W1000" s="11">
        <v>0.13289135876416203</v>
      </c>
      <c r="X1000" s="11">
        <v>0.18561232977581713</v>
      </c>
      <c r="Y1000" s="11">
        <v>0.19153545826267032</v>
      </c>
      <c r="Z1000" s="11">
        <v>0.13326052050241366</v>
      </c>
    </row>
    <row r="1001" ht="22.5" customHeight="1">
      <c r="Q1001" s="9" t="s">
        <v>1039</v>
      </c>
      <c r="R1001" s="10">
        <v>0.4338234977566006</v>
      </c>
      <c r="S1001" s="10">
        <v>0.01843955024904058</v>
      </c>
      <c r="T1001" s="10">
        <v>21.35754356465888</v>
      </c>
      <c r="U1001" s="11">
        <v>0.23453562793133748</v>
      </c>
      <c r="V1001" s="11">
        <v>0.08652845364926331</v>
      </c>
      <c r="W1001" s="11">
        <v>0.11521981768182486</v>
      </c>
      <c r="X1001" s="11">
        <v>0.17953420802128972</v>
      </c>
      <c r="Y1001" s="11">
        <v>0.35540012192102494</v>
      </c>
      <c r="Z1001" s="11">
        <v>0.02878177079525975</v>
      </c>
    </row>
    <row r="1002" ht="22.5" customHeight="1">
      <c r="Q1002" s="9" t="s">
        <v>1040</v>
      </c>
      <c r="R1002" s="10">
        <v>0.7340437923981397</v>
      </c>
      <c r="S1002" s="10">
        <v>0.032496799053807056</v>
      </c>
      <c r="T1002" s="10">
        <v>21.357297106369348</v>
      </c>
      <c r="U1002" s="11">
        <v>0.00978309569705947</v>
      </c>
      <c r="V1002" s="11">
        <v>0.23852069602809448</v>
      </c>
      <c r="W1002" s="11">
        <v>0.17899622310673519</v>
      </c>
      <c r="X1002" s="11">
        <v>0.3350902835406391</v>
      </c>
      <c r="Y1002" s="11">
        <v>0.2077624004406208</v>
      </c>
      <c r="Z1002" s="11">
        <v>0.02984730118685099</v>
      </c>
    </row>
    <row r="1003" ht="22.5" customHeight="1">
      <c r="Q1003" s="9" t="s">
        <v>1041</v>
      </c>
      <c r="R1003" s="10">
        <v>0.506126922093002</v>
      </c>
      <c r="S1003" s="10">
        <v>0.021825228521069693</v>
      </c>
      <c r="T1003" s="10">
        <v>21.35725276108845</v>
      </c>
      <c r="U1003" s="11">
        <v>0.1971047288015719</v>
      </c>
      <c r="V1003" s="11">
        <v>0.17018999110955635</v>
      </c>
      <c r="W1003" s="11">
        <v>0.08772578602232804</v>
      </c>
      <c r="X1003" s="11">
        <v>0.18686095737517622</v>
      </c>
      <c r="Y1003" s="11">
        <v>0.2731478577281003</v>
      </c>
      <c r="Z1003" s="11">
        <v>0.08497067896326715</v>
      </c>
    </row>
    <row r="1004" ht="22.5" customHeight="1">
      <c r="Q1004" s="9" t="s">
        <v>1042</v>
      </c>
      <c r="R1004" s="10">
        <v>0.5189351872044852</v>
      </c>
      <c r="S1004" s="10">
        <v>0.02242516373609095</v>
      </c>
      <c r="T1004" s="10">
        <v>21.35704304507214</v>
      </c>
      <c r="U1004" s="11">
        <v>0.22708964664935438</v>
      </c>
      <c r="V1004" s="11">
        <v>0.09778833412834696</v>
      </c>
      <c r="W1004" s="11">
        <v>0.16785543281346277</v>
      </c>
      <c r="X1004" s="11">
        <v>0.34168941849124157</v>
      </c>
      <c r="Y1004" s="11">
        <v>0.0405892461997328</v>
      </c>
      <c r="Z1004" s="11">
        <v>0.1249879217178616</v>
      </c>
    </row>
    <row r="1005" ht="22.5" customHeight="1">
      <c r="Q1005" s="9" t="s">
        <v>1043</v>
      </c>
      <c r="R1005" s="10">
        <v>0.48406616294891425</v>
      </c>
      <c r="S1005" s="10">
        <v>0.020792870426750855</v>
      </c>
      <c r="T1005" s="10">
        <v>21.35665513394464</v>
      </c>
      <c r="U1005" s="11">
        <v>0.13291467851514618</v>
      </c>
      <c r="V1005" s="11">
        <v>0.15838333478237138</v>
      </c>
      <c r="W1005" s="11">
        <v>0.09555730877149807</v>
      </c>
      <c r="X1005" s="11">
        <v>0.14567862992038702</v>
      </c>
      <c r="Y1005" s="11">
        <v>0.23640265361599108</v>
      </c>
      <c r="Z1005" s="11">
        <v>0.23106339439460627</v>
      </c>
    </row>
    <row r="1006" ht="22.5" customHeight="1">
      <c r="Q1006" s="9" t="s">
        <v>1044</v>
      </c>
      <c r="R1006" s="10">
        <v>0.6145835770246556</v>
      </c>
      <c r="S1006" s="10">
        <v>0.026904508419890026</v>
      </c>
      <c r="T1006" s="10">
        <v>21.356404958504132</v>
      </c>
      <c r="U1006" s="11">
        <v>0.14526104614709026</v>
      </c>
      <c r="V1006" s="11">
        <v>0.18148767477161937</v>
      </c>
      <c r="W1006" s="11">
        <v>0.16132177752265867</v>
      </c>
      <c r="X1006" s="11">
        <v>0.1758470287966502</v>
      </c>
      <c r="Y1006" s="11">
        <v>0.2554608301761924</v>
      </c>
      <c r="Z1006" s="11">
        <v>0.08062164258578908</v>
      </c>
    </row>
    <row r="1007" ht="22.5" customHeight="1">
      <c r="Q1007" s="9" t="s">
        <v>1045</v>
      </c>
      <c r="R1007" s="10">
        <v>0.6195386875757999</v>
      </c>
      <c r="S1007" s="10">
        <v>0.027136580751383126</v>
      </c>
      <c r="T1007" s="10">
        <v>21.35636368064762</v>
      </c>
      <c r="U1007" s="11">
        <v>0.13852497950309842</v>
      </c>
      <c r="V1007" s="11">
        <v>0.19678086660319302</v>
      </c>
      <c r="W1007" s="11">
        <v>0.15489521479469523</v>
      </c>
      <c r="X1007" s="11">
        <v>0.21080630942331305</v>
      </c>
      <c r="Y1007" s="11">
        <v>0.11499399604563604</v>
      </c>
      <c r="Z1007" s="11">
        <v>0.1839986336300643</v>
      </c>
    </row>
    <row r="1008" ht="22.5" customHeight="1">
      <c r="Q1008" s="9" t="s">
        <v>1046</v>
      </c>
      <c r="R1008" s="10">
        <v>0.522331348251574</v>
      </c>
      <c r="S1008" s="10">
        <v>0.023154711357404652</v>
      </c>
      <c r="T1008" s="10">
        <v>21.35498478964865</v>
      </c>
      <c r="U1008" s="11">
        <v>0.13998527006463177</v>
      </c>
      <c r="V1008" s="11">
        <v>0.1673525707404851</v>
      </c>
      <c r="W1008" s="11">
        <v>0.12534952937539576</v>
      </c>
      <c r="X1008" s="11">
        <v>0.13878024326761193</v>
      </c>
      <c r="Y1008" s="11">
        <v>0.21520993887250126</v>
      </c>
      <c r="Z1008" s="11">
        <v>0.21332244767937425</v>
      </c>
    </row>
    <row r="1009" ht="22.5" customHeight="1">
      <c r="Q1009" s="9" t="s">
        <v>1047</v>
      </c>
      <c r="R1009" s="10">
        <v>0.5737010374236277</v>
      </c>
      <c r="S1009" s="10">
        <v>0.02499187693867409</v>
      </c>
      <c r="T1009" s="10">
        <v>21.35498020949932</v>
      </c>
      <c r="U1009" s="11">
        <v>0.3345883670183083</v>
      </c>
      <c r="V1009" s="11">
        <v>0.18367594386420644</v>
      </c>
      <c r="W1009" s="11">
        <v>0.13070178555283007</v>
      </c>
      <c r="X1009" s="11">
        <v>0.15768650662761902</v>
      </c>
      <c r="Y1009" s="11">
        <v>0.12371919956376817</v>
      </c>
      <c r="Z1009" s="11">
        <v>0.0696281973732678</v>
      </c>
    </row>
    <row r="1010" ht="22.5" customHeight="1">
      <c r="Q1010" s="9" t="s">
        <v>1048</v>
      </c>
      <c r="R1010" s="10">
        <v>0.5161213698197203</v>
      </c>
      <c r="S1010" s="10">
        <v>0.02229558735618317</v>
      </c>
      <c r="T1010" s="10">
        <v>21.354959715276532</v>
      </c>
      <c r="U1010" s="11">
        <v>0.24470091775487873</v>
      </c>
      <c r="V1010" s="11">
        <v>0.1698935129280342</v>
      </c>
      <c r="W1010" s="11">
        <v>0.11010889361890593</v>
      </c>
      <c r="X1010" s="11">
        <v>0.16438573430749892</v>
      </c>
      <c r="Y1010" s="11">
        <v>0.0779199449740948</v>
      </c>
      <c r="Z1010" s="11">
        <v>0.23299099641658738</v>
      </c>
    </row>
    <row r="1011" ht="22.5" customHeight="1">
      <c r="Q1011" s="9" t="s">
        <v>1049</v>
      </c>
      <c r="R1011" s="10">
        <v>0.5995301677094369</v>
      </c>
      <c r="S1011" s="10">
        <v>0.026201583903439827</v>
      </c>
      <c r="T1011" s="10">
        <v>21.354822279884385</v>
      </c>
      <c r="U1011" s="11">
        <v>0.11277959723131623</v>
      </c>
      <c r="V1011" s="11">
        <v>0.20198942981717144</v>
      </c>
      <c r="W1011" s="11">
        <v>0.13274511049354076</v>
      </c>
      <c r="X1011" s="11">
        <v>0.22310407198811352</v>
      </c>
      <c r="Y1011" s="11">
        <v>0.13825853210630878</v>
      </c>
      <c r="Z1011" s="11">
        <v>0.1911232583635493</v>
      </c>
    </row>
    <row r="1012" ht="22.5" customHeight="1">
      <c r="Q1012" s="9" t="s">
        <v>1050</v>
      </c>
      <c r="R1012" s="10">
        <v>0.39991020593117416</v>
      </c>
      <c r="S1012" s="10">
        <v>0.01685448802382707</v>
      </c>
      <c r="T1012" s="10">
        <v>21.353968475480933</v>
      </c>
      <c r="U1012" s="11">
        <v>0.10974574003462358</v>
      </c>
      <c r="V1012" s="11">
        <v>0.12232283621261643</v>
      </c>
      <c r="W1012" s="11">
        <v>0.029017205119905663</v>
      </c>
      <c r="X1012" s="11">
        <v>0.5344097791431123</v>
      </c>
      <c r="Y1012" s="11">
        <v>0.12317295844485986</v>
      </c>
      <c r="Z1012" s="11">
        <v>0.08133148104488218</v>
      </c>
    </row>
    <row r="1013" ht="22.5" customHeight="1">
      <c r="Q1013" s="9" t="s">
        <v>1051</v>
      </c>
      <c r="R1013" s="10">
        <v>0.5963502996793099</v>
      </c>
      <c r="S1013" s="10">
        <v>0.026054742623964844</v>
      </c>
      <c r="T1013" s="10">
        <v>21.353129743357563</v>
      </c>
      <c r="U1013" s="11">
        <v>0.13089715756769407</v>
      </c>
      <c r="V1013" s="11">
        <v>0.16964113296011146</v>
      </c>
      <c r="W1013" s="11">
        <v>0.1683597920520475</v>
      </c>
      <c r="X1013" s="11">
        <v>0.2430435070081585</v>
      </c>
      <c r="Y1013" s="11">
        <v>0.03375233002475419</v>
      </c>
      <c r="Z1013" s="11">
        <v>0.2543060803872342</v>
      </c>
    </row>
    <row r="1014" ht="22.5" customHeight="1">
      <c r="Q1014" s="9" t="s">
        <v>1052</v>
      </c>
      <c r="R1014" s="10">
        <v>0.35645215868755165</v>
      </c>
      <c r="S1014" s="10">
        <v>0.014820063250335058</v>
      </c>
      <c r="T1014" s="10">
        <v>21.352956012545842</v>
      </c>
      <c r="U1014" s="11">
        <v>0.10987525516199399</v>
      </c>
      <c r="V1014" s="11">
        <v>0.09798799206448082</v>
      </c>
      <c r="W1014" s="11">
        <v>0.06459331736806488</v>
      </c>
      <c r="X1014" s="11">
        <v>0.13243935410209343</v>
      </c>
      <c r="Y1014" s="11">
        <v>0.28288777079786775</v>
      </c>
      <c r="Z1014" s="11">
        <v>0.31221631050549903</v>
      </c>
    </row>
    <row r="1015" ht="22.5" customHeight="1">
      <c r="Q1015" s="9" t="s">
        <v>1053</v>
      </c>
      <c r="R1015" s="10">
        <v>0.6885065058312982</v>
      </c>
      <c r="S1015" s="10">
        <v>0.030371090722560567</v>
      </c>
      <c r="T1015" s="10">
        <v>21.352756532697324</v>
      </c>
      <c r="U1015" s="11">
        <v>0.2123628299120657</v>
      </c>
      <c r="V1015" s="11">
        <v>0.21828044078842732</v>
      </c>
      <c r="W1015" s="11">
        <v>0.17328787368090096</v>
      </c>
      <c r="X1015" s="11">
        <v>0.23248954524010781</v>
      </c>
      <c r="Y1015" s="11">
        <v>0.1548420292932738</v>
      </c>
      <c r="Z1015" s="11">
        <v>0.008737281085224327</v>
      </c>
    </row>
    <row r="1016" ht="22.5" customHeight="1">
      <c r="Q1016" s="9" t="s">
        <v>1054</v>
      </c>
      <c r="R1016" s="10">
        <v>0.5913193748075656</v>
      </c>
      <c r="S1016" s="10">
        <v>0.02581994073043642</v>
      </c>
      <c r="T1016" s="10">
        <v>21.352464769900614</v>
      </c>
      <c r="U1016" s="11">
        <v>0.24235606141757532</v>
      </c>
      <c r="V1016" s="11">
        <v>0.20889225927971297</v>
      </c>
      <c r="W1016" s="11">
        <v>0.10985886030248326</v>
      </c>
      <c r="X1016" s="11">
        <v>0.2871059986830717</v>
      </c>
      <c r="Y1016" s="11">
        <v>0.05625013867508667</v>
      </c>
      <c r="Z1016" s="11">
        <v>0.09553668164207009</v>
      </c>
    </row>
    <row r="1017" ht="22.5" customHeight="1">
      <c r="Q1017" s="9" t="s">
        <v>1055</v>
      </c>
      <c r="R1017" s="10">
        <v>0.7056093833463924</v>
      </c>
      <c r="S1017" s="10">
        <v>0.031172649877322264</v>
      </c>
      <c r="T1017" s="10">
        <v>21.3523516918148</v>
      </c>
      <c r="U1017" s="11">
        <v>0.06946654718263594</v>
      </c>
      <c r="V1017" s="11">
        <v>0.24704077020616164</v>
      </c>
      <c r="W1017" s="11">
        <v>0.14364914116836455</v>
      </c>
      <c r="X1017" s="11">
        <v>0.3802264107585862</v>
      </c>
      <c r="Y1017" s="11">
        <v>0.1556763527490467</v>
      </c>
      <c r="Z1017" s="11">
        <v>0.003940777935205002</v>
      </c>
    </row>
    <row r="1018" ht="22.5" customHeight="1">
      <c r="Q1018" s="9" t="s">
        <v>1056</v>
      </c>
      <c r="R1018" s="10">
        <v>0.6700711066142951</v>
      </c>
      <c r="S1018" s="10">
        <v>0.029509222013534373</v>
      </c>
      <c r="T1018" s="10">
        <v>21.351667838796754</v>
      </c>
      <c r="U1018" s="11">
        <v>0.014389166662512816</v>
      </c>
      <c r="V1018" s="11">
        <v>0.18400752510375334</v>
      </c>
      <c r="W1018" s="11">
        <v>0.1967567008404056</v>
      </c>
      <c r="X1018" s="11">
        <v>0.3164204879582917</v>
      </c>
      <c r="Y1018" s="11">
        <v>0.13394066944171346</v>
      </c>
      <c r="Z1018" s="11">
        <v>0.1544854499933231</v>
      </c>
    </row>
    <row r="1019" ht="22.5" customHeight="1">
      <c r="Q1019" s="9" t="s">
        <v>1057</v>
      </c>
      <c r="R1019" s="10">
        <v>0.39815245136762845</v>
      </c>
      <c r="S1019" s="10">
        <v>0.016774357423624695</v>
      </c>
      <c r="T1019" s="10">
        <v>21.351187549110715</v>
      </c>
      <c r="U1019" s="11">
        <v>0.18355574568892033</v>
      </c>
      <c r="V1019" s="11">
        <v>0.059628768282839</v>
      </c>
      <c r="W1019" s="11">
        <v>0.1196485890668031</v>
      </c>
      <c r="X1019" s="11">
        <v>0.25724392851488176</v>
      </c>
      <c r="Y1019" s="11">
        <v>0.21773100079808203</v>
      </c>
      <c r="Z1019" s="11">
        <v>0.16219196764847388</v>
      </c>
    </row>
    <row r="1020" ht="22.5" customHeight="1">
      <c r="Q1020" s="9" t="s">
        <v>1058</v>
      </c>
      <c r="R1020" s="10">
        <v>0.5411881323958592</v>
      </c>
      <c r="S1020" s="10">
        <v>0.023474290489013627</v>
      </c>
      <c r="T1020" s="10">
        <v>21.350512494953737</v>
      </c>
      <c r="U1020" s="11">
        <v>0.16681030986334347</v>
      </c>
      <c r="V1020" s="11">
        <v>0.14632798202682434</v>
      </c>
      <c r="W1020" s="11">
        <v>0.1532524246718543</v>
      </c>
      <c r="X1020" s="11">
        <v>0.16179951970336684</v>
      </c>
      <c r="Y1020" s="11">
        <v>0.14117293744785642</v>
      </c>
      <c r="Z1020" s="11">
        <v>0.23063682628675466</v>
      </c>
    </row>
    <row r="1021" ht="22.5" customHeight="1">
      <c r="Q1021" s="9" t="s">
        <v>1059</v>
      </c>
      <c r="R1021" s="10">
        <v>0.5674801576614015</v>
      </c>
      <c r="S1021" s="10">
        <v>0.024706113516089655</v>
      </c>
      <c r="T1021" s="10">
        <v>21.350187568671384</v>
      </c>
      <c r="U1021" s="11">
        <v>0.16414763929347562</v>
      </c>
      <c r="V1021" s="11">
        <v>0.18761238601069485</v>
      </c>
      <c r="W1021" s="11">
        <v>0.12789122817168955</v>
      </c>
      <c r="X1021" s="11">
        <v>0.18411111168498806</v>
      </c>
      <c r="Y1021" s="11">
        <v>0.12137220344947879</v>
      </c>
      <c r="Z1021" s="11">
        <v>0.21486543138967307</v>
      </c>
    </row>
    <row r="1022" ht="22.5" customHeight="1">
      <c r="Q1022" s="9" t="s">
        <v>1060</v>
      </c>
      <c r="R1022" s="10">
        <v>0.6027985054146459</v>
      </c>
      <c r="S1022" s="10">
        <v>0.026361241715869996</v>
      </c>
      <c r="T1022" s="10">
        <v>21.34946871929139</v>
      </c>
      <c r="U1022" s="11">
        <v>0.18375520840862555</v>
      </c>
      <c r="V1022" s="11">
        <v>0.15264064761186058</v>
      </c>
      <c r="W1022" s="11">
        <v>0.18239844777987638</v>
      </c>
      <c r="X1022" s="11">
        <v>0.22861323967013358</v>
      </c>
      <c r="Y1022" s="11">
        <v>0.13770534590371786</v>
      </c>
      <c r="Z1022" s="11">
        <v>0.11488711062578591</v>
      </c>
    </row>
    <row r="1023" ht="22.5" customHeight="1">
      <c r="Q1023" s="9" t="s">
        <v>1061</v>
      </c>
      <c r="R1023" s="10">
        <v>0.5701438559327607</v>
      </c>
      <c r="S1023" s="10">
        <v>0.024832313057304402</v>
      </c>
      <c r="T1023" s="10">
        <v>21.34895185596975</v>
      </c>
      <c r="U1023" s="11">
        <v>0.22548618429558</v>
      </c>
      <c r="V1023" s="11">
        <v>0.14421101573927766</v>
      </c>
      <c r="W1023" s="11">
        <v>0.17054296081509812</v>
      </c>
      <c r="X1023" s="11">
        <v>0.19961917119061046</v>
      </c>
      <c r="Y1023" s="11">
        <v>0.11399814606885535</v>
      </c>
      <c r="Z1023" s="11">
        <v>0.14614252189057825</v>
      </c>
    </row>
    <row r="1024" ht="22.5" customHeight="1">
      <c r="Q1024" s="9" t="s">
        <v>1062</v>
      </c>
      <c r="R1024" s="10">
        <v>0.5757822336098878</v>
      </c>
      <c r="S1024" s="10">
        <v>0.025097383434288797</v>
      </c>
      <c r="T1024" s="10">
        <v>21.348131171231422</v>
      </c>
      <c r="U1024" s="11">
        <v>0.19271457586476454</v>
      </c>
      <c r="V1024" s="11">
        <v>0.14774564299057552</v>
      </c>
      <c r="W1024" s="11">
        <v>0.16950613208532472</v>
      </c>
      <c r="X1024" s="11">
        <v>0.1840733401118733</v>
      </c>
      <c r="Y1024" s="11">
        <v>0.1869072439065399</v>
      </c>
      <c r="Z1024" s="11">
        <v>0.119053065040922</v>
      </c>
    </row>
    <row r="1025" ht="22.5" customHeight="1">
      <c r="Q1025" s="9" t="s">
        <v>1063</v>
      </c>
      <c r="R1025" s="10">
        <v>0.5895232780096015</v>
      </c>
      <c r="S1025" s="10">
        <v>0.02574184522949847</v>
      </c>
      <c r="T1025" s="10">
        <v>21.347470358491773</v>
      </c>
      <c r="U1025" s="11">
        <v>0.13446140298707587</v>
      </c>
      <c r="V1025" s="11">
        <v>0.1520147624456652</v>
      </c>
      <c r="W1025" s="11">
        <v>0.17590584932068132</v>
      </c>
      <c r="X1025" s="11">
        <v>0.21561837458147726</v>
      </c>
      <c r="Y1025" s="11">
        <v>0.1621488783638658</v>
      </c>
      <c r="Z1025" s="11">
        <v>0.15985073230123475</v>
      </c>
    </row>
    <row r="1026" ht="22.5" customHeight="1">
      <c r="Q1026" s="9" t="s">
        <v>1064</v>
      </c>
      <c r="R1026" s="10">
        <v>0.5831821793481682</v>
      </c>
      <c r="S1026" s="10">
        <v>0.025445045080550222</v>
      </c>
      <c r="T1026" s="10">
        <v>21.347267321737533</v>
      </c>
      <c r="U1026" s="11">
        <v>0.13764317839889195</v>
      </c>
      <c r="V1026" s="11">
        <v>0.19563342651196247</v>
      </c>
      <c r="W1026" s="11">
        <v>0.12494551398408157</v>
      </c>
      <c r="X1026" s="11">
        <v>0.1923405437984741</v>
      </c>
      <c r="Y1026" s="11">
        <v>0.20919228072741092</v>
      </c>
      <c r="Z1026" s="11">
        <v>0.14024505657917902</v>
      </c>
    </row>
    <row r="1027" ht="22.5" customHeight="1">
      <c r="Q1027" s="9" t="s">
        <v>1065</v>
      </c>
      <c r="R1027" s="10">
        <v>0.603264251341805</v>
      </c>
      <c r="S1027" s="10">
        <v>0.02638737985584458</v>
      </c>
      <c r="T1027" s="10">
        <v>21.345971233936158</v>
      </c>
      <c r="U1027" s="11">
        <v>0.22665100079901215</v>
      </c>
      <c r="V1027" s="11">
        <v>0.17255222304333157</v>
      </c>
      <c r="W1027" s="11">
        <v>0.16888129572006313</v>
      </c>
      <c r="X1027" s="11">
        <v>0.22392785599310475</v>
      </c>
      <c r="Y1027" s="11">
        <v>0.01826025610662458</v>
      </c>
      <c r="Z1027" s="11">
        <v>0.18972736833786383</v>
      </c>
    </row>
    <row r="1028" ht="22.5" customHeight="1">
      <c r="Q1028" s="9" t="s">
        <v>1066</v>
      </c>
      <c r="R1028" s="10">
        <v>0.5456796929934526</v>
      </c>
      <c r="S1028" s="10">
        <v>0.02369014511872193</v>
      </c>
      <c r="T1028" s="10">
        <v>21.345571775067864</v>
      </c>
      <c r="U1028" s="11">
        <v>0.12015617144768367</v>
      </c>
      <c r="V1028" s="11">
        <v>0.17395225934880532</v>
      </c>
      <c r="W1028" s="11">
        <v>0.12681015290767048</v>
      </c>
      <c r="X1028" s="11">
        <v>0.1518045445322617</v>
      </c>
      <c r="Y1028" s="11">
        <v>0.2043463063163722</v>
      </c>
      <c r="Z1028" s="11">
        <v>0.22293056544720669</v>
      </c>
    </row>
    <row r="1029" ht="22.5" customHeight="1">
      <c r="Q1029" s="9" t="s">
        <v>1067</v>
      </c>
      <c r="R1029" s="10">
        <v>0.35731943060300236</v>
      </c>
      <c r="S1029" s="10">
        <v>0.014866788390992453</v>
      </c>
      <c r="T1029" s="10">
        <v>21.34418155808696</v>
      </c>
      <c r="U1029" s="11">
        <v>0.41478925146156936</v>
      </c>
      <c r="V1029" s="11">
        <v>0.08950313460700027</v>
      </c>
      <c r="W1029" s="11">
        <v>0.060817798933155705</v>
      </c>
      <c r="X1029" s="11">
        <v>0.14820600909115222</v>
      </c>
      <c r="Y1029" s="11">
        <v>0.20969388600186134</v>
      </c>
      <c r="Z1029" s="11">
        <v>0.07698991990526102</v>
      </c>
    </row>
    <row r="1030" ht="22.5" customHeight="1">
      <c r="Q1030" s="9" t="s">
        <v>1068</v>
      </c>
      <c r="R1030" s="10">
        <v>0.7136051388289757</v>
      </c>
      <c r="S1030" s="10">
        <v>0.03155970872657255</v>
      </c>
      <c r="T1030" s="10">
        <v>21.34383256401272</v>
      </c>
      <c r="U1030" s="11">
        <v>0.10352769957932377</v>
      </c>
      <c r="V1030" s="11">
        <v>0.23468786313896348</v>
      </c>
      <c r="W1030" s="11">
        <v>0.17428512263188806</v>
      </c>
      <c r="X1030" s="11">
        <v>0.31479498582644166</v>
      </c>
      <c r="Y1030" s="11">
        <v>0.08895222848770484</v>
      </c>
      <c r="Z1030" s="11">
        <v>0.08375210033567829</v>
      </c>
    </row>
    <row r="1031" ht="22.5" customHeight="1">
      <c r="Q1031" s="9" t="s">
        <v>1069</v>
      </c>
      <c r="R1031" s="10">
        <v>0.5979740549108048</v>
      </c>
      <c r="S1031" s="10">
        <v>0.0261422723532089</v>
      </c>
      <c r="T1031" s="10">
        <v>21.343747298322167</v>
      </c>
      <c r="U1031" s="11">
        <v>0.01945135378406483</v>
      </c>
      <c r="V1031" s="11">
        <v>0.196845903208738</v>
      </c>
      <c r="W1031" s="11">
        <v>0.13757197714231098</v>
      </c>
      <c r="X1031" s="11">
        <v>0.22426323643523777</v>
      </c>
      <c r="Y1031" s="11">
        <v>0.19758242248056174</v>
      </c>
      <c r="Z1031" s="11">
        <v>0.22428510694908674</v>
      </c>
    </row>
    <row r="1032" ht="22.5" customHeight="1">
      <c r="Q1032" s="9" t="s">
        <v>1070</v>
      </c>
      <c r="R1032" s="10">
        <v>0.5331762924155643</v>
      </c>
      <c r="S1032" s="10">
        <v>0.023106497666442374</v>
      </c>
      <c r="T1032" s="10">
        <v>21.3436194240638</v>
      </c>
      <c r="U1032" s="11">
        <v>0.14541664045725836</v>
      </c>
      <c r="V1032" s="11">
        <v>0.18026427842985424</v>
      </c>
      <c r="W1032" s="11">
        <v>0.10692152602783495</v>
      </c>
      <c r="X1032" s="11">
        <v>0.17508995929719742</v>
      </c>
      <c r="Y1032" s="11">
        <v>0.19846734888724554</v>
      </c>
      <c r="Z1032" s="11">
        <v>0.19384024690060936</v>
      </c>
    </row>
    <row r="1033" ht="22.5" customHeight="1">
      <c r="Q1033" s="9" t="s">
        <v>1071</v>
      </c>
      <c r="R1033" s="10">
        <v>0.47466446368273674</v>
      </c>
      <c r="S1033" s="10">
        <v>0.02036508086688006</v>
      </c>
      <c r="T1033" s="10">
        <v>21.343615894481225</v>
      </c>
      <c r="U1033" s="11">
        <v>0.18903622018094335</v>
      </c>
      <c r="V1033" s="11">
        <v>0.1604157533570862</v>
      </c>
      <c r="W1033" s="11">
        <v>0.0688023035345004</v>
      </c>
      <c r="X1033" s="11">
        <v>0.22666188203271018</v>
      </c>
      <c r="Y1033" s="11">
        <v>0.2885999357303826</v>
      </c>
      <c r="Z1033" s="11">
        <v>0.06648390516437724</v>
      </c>
    </row>
    <row r="1034" ht="22.5" customHeight="1">
      <c r="Q1034" s="9" t="s">
        <v>1072</v>
      </c>
      <c r="R1034" s="10">
        <v>0.46226080136570413</v>
      </c>
      <c r="S1034" s="10">
        <v>0.019784997466019763</v>
      </c>
      <c r="T1034" s="10">
        <v>21.34247437185304</v>
      </c>
      <c r="U1034" s="11">
        <v>0.1613893829318107</v>
      </c>
      <c r="V1034" s="11">
        <v>0.08243947252235044</v>
      </c>
      <c r="W1034" s="11">
        <v>0.14780528643551033</v>
      </c>
      <c r="X1034" s="11">
        <v>0.3008562626249993</v>
      </c>
      <c r="Y1034" s="11">
        <v>0.08777256648392423</v>
      </c>
      <c r="Z1034" s="11">
        <v>0.219737029001405</v>
      </c>
    </row>
    <row r="1035" ht="22.5" customHeight="1">
      <c r="Q1035" s="9" t="s">
        <v>1073</v>
      </c>
      <c r="R1035" s="10">
        <v>0.5450935738213903</v>
      </c>
      <c r="S1035" s="10">
        <v>0.023666523553576943</v>
      </c>
      <c r="T1035" s="10">
        <v>21.34211104888072</v>
      </c>
      <c r="U1035" s="11">
        <v>0.16296191354540068</v>
      </c>
      <c r="V1035" s="11">
        <v>0.17159020000122235</v>
      </c>
      <c r="W1035" s="11">
        <v>0.12824134998262268</v>
      </c>
      <c r="X1035" s="11">
        <v>0.13876699382740598</v>
      </c>
      <c r="Y1035" s="11">
        <v>0.2047971567479833</v>
      </c>
      <c r="Z1035" s="11">
        <v>0.193642385895365</v>
      </c>
    </row>
    <row r="1036" ht="22.5" customHeight="1">
      <c r="Q1036" s="9" t="s">
        <v>1074</v>
      </c>
      <c r="R1036" s="10">
        <v>0.6660792536793334</v>
      </c>
      <c r="S1036" s="10">
        <v>0.029336444849002528</v>
      </c>
      <c r="T1036" s="10">
        <v>21.341347150338866</v>
      </c>
      <c r="U1036" s="11">
        <v>0.17134877939260088</v>
      </c>
      <c r="V1036" s="11">
        <v>0.19642118090598287</v>
      </c>
      <c r="W1036" s="11">
        <v>0.1823441424311907</v>
      </c>
      <c r="X1036" s="11">
        <v>0.21565826503663518</v>
      </c>
      <c r="Y1036" s="11">
        <v>0.1801361650022014</v>
      </c>
      <c r="Z1036" s="11">
        <v>0.054091467231389044</v>
      </c>
    </row>
    <row r="1037" ht="22.5" customHeight="1">
      <c r="Q1037" s="9" t="s">
        <v>1075</v>
      </c>
      <c r="R1037" s="10">
        <v>0.5085005659153408</v>
      </c>
      <c r="S1037" s="10">
        <v>0.021953301651080157</v>
      </c>
      <c r="T1037" s="10">
        <v>21.340779321560017</v>
      </c>
      <c r="U1037" s="11">
        <v>0.093530003671796</v>
      </c>
      <c r="V1037" s="11">
        <v>0.1747516143386556</v>
      </c>
      <c r="W1037" s="11">
        <v>0.09503047269872826</v>
      </c>
      <c r="X1037" s="11">
        <v>0.19594310846824683</v>
      </c>
      <c r="Y1037" s="11">
        <v>0.19215816791849694</v>
      </c>
      <c r="Z1037" s="11">
        <v>0.24858663290407634</v>
      </c>
    </row>
    <row r="1038" ht="22.5" customHeight="1">
      <c r="Q1038" s="9" t="s">
        <v>1076</v>
      </c>
      <c r="R1038" s="10">
        <v>0.30139752966136557</v>
      </c>
      <c r="S1038" s="10">
        <v>0.012248856571111076</v>
      </c>
      <c r="T1038" s="10">
        <v>21.340565802515115</v>
      </c>
      <c r="U1038" s="11">
        <v>0.3152936171428469</v>
      </c>
      <c r="V1038" s="11">
        <v>0.05383019828319064</v>
      </c>
      <c r="W1038" s="11">
        <v>0.06570852574136983</v>
      </c>
      <c r="X1038" s="11">
        <v>0.18465672434496153</v>
      </c>
      <c r="Y1038" s="11">
        <v>0.09915420328901049</v>
      </c>
      <c r="Z1038" s="11">
        <v>0.2813567311986204</v>
      </c>
    </row>
    <row r="1039" ht="22.5" customHeight="1">
      <c r="Q1039" s="9" t="s">
        <v>1077</v>
      </c>
      <c r="R1039" s="10">
        <v>0.6517922168328605</v>
      </c>
      <c r="S1039" s="10">
        <v>0.028668288472010067</v>
      </c>
      <c r="T1039" s="10">
        <v>21.340381635624194</v>
      </c>
      <c r="U1039" s="11">
        <v>0.27259270127192714</v>
      </c>
      <c r="V1039" s="11">
        <v>0.19909435581018758</v>
      </c>
      <c r="W1039" s="11">
        <v>0.17253669876234307</v>
      </c>
      <c r="X1039" s="11">
        <v>0.2417718498455363</v>
      </c>
      <c r="Y1039" s="11">
        <v>0.009229888970973037</v>
      </c>
      <c r="Z1039" s="11">
        <v>0.10477450533903286</v>
      </c>
    </row>
    <row r="1040" ht="22.5" customHeight="1">
      <c r="Q1040" s="9" t="s">
        <v>1078</v>
      </c>
      <c r="R1040" s="10">
        <v>0.5389315658605633</v>
      </c>
      <c r="S1040" s="10">
        <v>0.02338011909050179</v>
      </c>
      <c r="T1040" s="10">
        <v>21.339992492307495</v>
      </c>
      <c r="U1040" s="11">
        <v>0.1062905365215195</v>
      </c>
      <c r="V1040" s="11">
        <v>0.18984093284480014</v>
      </c>
      <c r="W1040" s="11">
        <v>0.09293447707065737</v>
      </c>
      <c r="X1040" s="11">
        <v>0.24611472847591084</v>
      </c>
      <c r="Y1040" s="11">
        <v>0.20945723263606958</v>
      </c>
      <c r="Z1040" s="11">
        <v>0.1553620924510426</v>
      </c>
    </row>
    <row r="1041" ht="22.5" customHeight="1">
      <c r="Q1041" s="9" t="s">
        <v>1079</v>
      </c>
      <c r="R1041" s="10">
        <v>0.38045780466802115</v>
      </c>
      <c r="S1041" s="10">
        <v>0.015954655016329828</v>
      </c>
      <c r="T1041" s="10">
        <v>21.33908908212415</v>
      </c>
      <c r="U1041" s="11">
        <v>0.37117116742843664</v>
      </c>
      <c r="V1041" s="11">
        <v>0.055077162223928</v>
      </c>
      <c r="W1041" s="11">
        <v>0.10861699544088829</v>
      </c>
      <c r="X1041" s="11">
        <v>0.24326535118288953</v>
      </c>
      <c r="Y1041" s="11">
        <v>0.14193647424838804</v>
      </c>
      <c r="Z1041" s="11">
        <v>0.07993284947546944</v>
      </c>
    </row>
    <row r="1042" ht="22.5" customHeight="1">
      <c r="Q1042" s="9" t="s">
        <v>1080</v>
      </c>
      <c r="R1042" s="10">
        <v>0.6432258029682911</v>
      </c>
      <c r="S1042" s="10">
        <v>0.02826913690513942</v>
      </c>
      <c r="T1042" s="10">
        <v>21.33867068501206</v>
      </c>
      <c r="U1042" s="11">
        <v>0.08699220293687246</v>
      </c>
      <c r="V1042" s="11">
        <v>0.19430665984189943</v>
      </c>
      <c r="W1042" s="11">
        <v>0.1732915780024187</v>
      </c>
      <c r="X1042" s="11">
        <v>0.23021207718883926</v>
      </c>
      <c r="Y1042" s="11">
        <v>0.1402743788995022</v>
      </c>
      <c r="Z1042" s="11">
        <v>0.17492310313046802</v>
      </c>
    </row>
    <row r="1043" ht="22.5" customHeight="1">
      <c r="Q1043" s="9" t="s">
        <v>1081</v>
      </c>
      <c r="R1043" s="10">
        <v>0.5803744662712805</v>
      </c>
      <c r="S1043" s="10">
        <v>0.02532638076813647</v>
      </c>
      <c r="T1043" s="10">
        <v>21.336426677716794</v>
      </c>
      <c r="U1043" s="11">
        <v>0.13798258453046439</v>
      </c>
      <c r="V1043" s="11">
        <v>0.1628149543648683</v>
      </c>
      <c r="W1043" s="11">
        <v>0.16242543208373222</v>
      </c>
      <c r="X1043" s="11">
        <v>0.17349104620948388</v>
      </c>
      <c r="Y1043" s="11">
        <v>0.1737140911449347</v>
      </c>
      <c r="Z1043" s="11">
        <v>0.18957189166651656</v>
      </c>
    </row>
    <row r="1044" ht="22.5" customHeight="1">
      <c r="Q1044" s="9" t="s">
        <v>1082</v>
      </c>
      <c r="R1044" s="10">
        <v>0.522331348251574</v>
      </c>
      <c r="S1044" s="10">
        <v>0.03058623196456874</v>
      </c>
      <c r="T1044" s="10">
        <v>21.336132222863974</v>
      </c>
      <c r="U1044" s="11">
        <v>0.2539839611532693</v>
      </c>
      <c r="V1044" s="11">
        <v>0.20899308312447137</v>
      </c>
      <c r="W1044" s="11">
        <v>0.18829605023847423</v>
      </c>
      <c r="X1044" s="11">
        <v>0.2627360213203495</v>
      </c>
      <c r="Y1044" s="11">
        <v>0.03797736661927313</v>
      </c>
      <c r="Z1044" s="11">
        <v>0.04801351754416229</v>
      </c>
    </row>
    <row r="1045" ht="22.5" customHeight="1">
      <c r="Q1045" s="9" t="s">
        <v>1083</v>
      </c>
      <c r="R1045" s="10">
        <v>0.4276809640687546</v>
      </c>
      <c r="S1045" s="10">
        <v>0.018170198577667475</v>
      </c>
      <c r="T1045" s="10">
        <v>21.33608845338891</v>
      </c>
      <c r="U1045" s="11">
        <v>0.1050002780294324</v>
      </c>
      <c r="V1045" s="11">
        <v>0.10068167679131507</v>
      </c>
      <c r="W1045" s="11">
        <v>0.10138814050260864</v>
      </c>
      <c r="X1045" s="11">
        <v>0.16388820277603802</v>
      </c>
      <c r="Y1045" s="11">
        <v>0.4043466258959207</v>
      </c>
      <c r="Z1045" s="11">
        <v>0.12469507600468509</v>
      </c>
    </row>
    <row r="1046" ht="22.5" customHeight="1">
      <c r="Q1046" s="9" t="s">
        <v>1084</v>
      </c>
      <c r="R1046" s="10">
        <v>0.6405912104271216</v>
      </c>
      <c r="S1046" s="10">
        <v>0.028149825896615573</v>
      </c>
      <c r="T1046" s="10">
        <v>21.335521314870018</v>
      </c>
      <c r="U1046" s="11">
        <v>0.2361366883012852</v>
      </c>
      <c r="V1046" s="11">
        <v>0.1883003811962645</v>
      </c>
      <c r="W1046" s="11">
        <v>0.1764228501852385</v>
      </c>
      <c r="X1046" s="11">
        <v>0.21114162280155466</v>
      </c>
      <c r="Y1046" s="11">
        <v>0.08122682813583926</v>
      </c>
      <c r="Z1046" s="11">
        <v>0.1067716293798177</v>
      </c>
    </row>
    <row r="1047" ht="22.5" customHeight="1">
      <c r="Q1047" s="9" t="s">
        <v>1085</v>
      </c>
      <c r="R1047" s="10">
        <v>0.6181839938598633</v>
      </c>
      <c r="S1047" s="10">
        <v>0.02709976806099204</v>
      </c>
      <c r="T1047" s="10">
        <v>21.335385327231386</v>
      </c>
      <c r="U1047" s="11">
        <v>0.05664846525342908</v>
      </c>
      <c r="V1047" s="11">
        <v>0.19322257158242337</v>
      </c>
      <c r="W1047" s="11">
        <v>0.1577783581927703</v>
      </c>
      <c r="X1047" s="11">
        <v>0.2131227026703932</v>
      </c>
      <c r="Y1047" s="11">
        <v>0.169551105142183</v>
      </c>
      <c r="Z1047" s="11">
        <v>0.2096767971588009</v>
      </c>
    </row>
    <row r="1048" ht="22.5" customHeight="1">
      <c r="Q1048" s="9" t="s">
        <v>1086</v>
      </c>
      <c r="R1048" s="10">
        <v>0.5997986155389685</v>
      </c>
      <c r="S1048" s="10">
        <v>0.026238766906376908</v>
      </c>
      <c r="T1048" s="10">
        <v>21.334791285596523</v>
      </c>
      <c r="U1048" s="11">
        <v>0.10241965131379394</v>
      </c>
      <c r="V1048" s="11">
        <v>0.19002243594876028</v>
      </c>
      <c r="W1048" s="11">
        <v>0.15022970564722948</v>
      </c>
      <c r="X1048" s="11">
        <v>0.20360214076856123</v>
      </c>
      <c r="Y1048" s="11">
        <v>0.11701520698905789</v>
      </c>
      <c r="Z1048" s="11">
        <v>0.23671085933259733</v>
      </c>
    </row>
    <row r="1049" ht="22.5" customHeight="1">
      <c r="Q1049" s="9" t="s">
        <v>1087</v>
      </c>
      <c r="R1049" s="10">
        <v>0.5855381701476986</v>
      </c>
      <c r="S1049" s="10">
        <v>0.025570680100322575</v>
      </c>
      <c r="T1049" s="10">
        <v>21.334519379514532</v>
      </c>
      <c r="U1049" s="11">
        <v>0.03984103950265964</v>
      </c>
      <c r="V1049" s="11">
        <v>0.1892757648186156</v>
      </c>
      <c r="W1049" s="11">
        <v>0.13358158847805252</v>
      </c>
      <c r="X1049" s="11">
        <v>0.19459679821624054</v>
      </c>
      <c r="Y1049" s="11">
        <v>0.27456227482985046</v>
      </c>
      <c r="Z1049" s="11">
        <v>0.16814253415458116</v>
      </c>
    </row>
    <row r="1050" ht="22.5" customHeight="1">
      <c r="Q1050" s="9" t="s">
        <v>1088</v>
      </c>
      <c r="R1050" s="10">
        <v>0.522331348251574</v>
      </c>
      <c r="S1050" s="10">
        <v>0.024507301513013283</v>
      </c>
      <c r="T1050" s="10">
        <v>21.334341651974455</v>
      </c>
      <c r="U1050" s="11">
        <v>0.2334005380135993</v>
      </c>
      <c r="V1050" s="11">
        <v>0.1674994135812802</v>
      </c>
      <c r="W1050" s="11">
        <v>0.14667063161734642</v>
      </c>
      <c r="X1050" s="11">
        <v>0.14485030649531108</v>
      </c>
      <c r="Y1050" s="11">
        <v>0.1269093959373217</v>
      </c>
      <c r="Z1050" s="11">
        <v>0.18066971435514143</v>
      </c>
    </row>
    <row r="1051" ht="22.5" customHeight="1">
      <c r="Q1051" s="9" t="s">
        <v>1089</v>
      </c>
      <c r="R1051" s="10">
        <v>0.573899164816226</v>
      </c>
      <c r="S1051" s="10">
        <v>0.025025894488227392</v>
      </c>
      <c r="T1051" s="10">
        <v>21.333869407440414</v>
      </c>
      <c r="U1051" s="11">
        <v>0.3450818213733242</v>
      </c>
      <c r="V1051" s="11">
        <v>0.15607599826663882</v>
      </c>
      <c r="W1051" s="11">
        <v>0.15610907094488982</v>
      </c>
      <c r="X1051" s="11">
        <v>0.13912057069981357</v>
      </c>
      <c r="Y1051" s="11">
        <v>0.2004921512142151</v>
      </c>
      <c r="Z1051" s="11">
        <v>0.003120387501118401</v>
      </c>
    </row>
    <row r="1052" ht="22.5" customHeight="1">
      <c r="Q1052" s="9" t="s">
        <v>1090</v>
      </c>
      <c r="R1052" s="10">
        <v>0.6309821303669644</v>
      </c>
      <c r="S1052" s="10">
        <v>0.027701703797016218</v>
      </c>
      <c r="T1052" s="10">
        <v>21.333782741212463</v>
      </c>
      <c r="U1052" s="11">
        <v>0.19498561145871907</v>
      </c>
      <c r="V1052" s="11">
        <v>0.17492545771797138</v>
      </c>
      <c r="W1052" s="11">
        <v>0.18281980557055508</v>
      </c>
      <c r="X1052" s="11">
        <v>0.22245038318456295</v>
      </c>
      <c r="Y1052" s="11">
        <v>0.09885503515628839</v>
      </c>
      <c r="Z1052" s="11">
        <v>0.1259637069119031</v>
      </c>
    </row>
    <row r="1053" ht="22.5" customHeight="1">
      <c r="Q1053" s="9" t="s">
        <v>1091</v>
      </c>
      <c r="R1053" s="10">
        <v>0.6092669807377867</v>
      </c>
      <c r="S1053" s="10">
        <v>0.026684219184804202</v>
      </c>
      <c r="T1053" s="10">
        <v>21.333469673415284</v>
      </c>
      <c r="U1053" s="11">
        <v>0.16959469243475114</v>
      </c>
      <c r="V1053" s="11">
        <v>0.20584509413125793</v>
      </c>
      <c r="W1053" s="11">
        <v>0.1273995498242688</v>
      </c>
      <c r="X1053" s="11">
        <v>0.2076620292552971</v>
      </c>
      <c r="Y1053" s="11">
        <v>0.23994639326645625</v>
      </c>
      <c r="Z1053" s="11">
        <v>0.04955224108796861</v>
      </c>
    </row>
    <row r="1054" ht="22.5" customHeight="1">
      <c r="Q1054" s="9" t="s">
        <v>1092</v>
      </c>
      <c r="R1054" s="10">
        <v>0.6335310652551717</v>
      </c>
      <c r="S1054" s="10">
        <v>0.027821840136842902</v>
      </c>
      <c r="T1054" s="10">
        <v>21.333278544332938</v>
      </c>
      <c r="U1054" s="11">
        <v>0.2040768343326115</v>
      </c>
      <c r="V1054" s="11">
        <v>0.20096474079391405</v>
      </c>
      <c r="W1054" s="11">
        <v>0.1596074672361786</v>
      </c>
      <c r="X1054" s="11">
        <v>0.2098418894247956</v>
      </c>
      <c r="Y1054" s="11">
        <v>0.08449010094191184</v>
      </c>
      <c r="Z1054" s="11">
        <v>0.1410189672705885</v>
      </c>
    </row>
    <row r="1055" ht="22.5" customHeight="1">
      <c r="Q1055" s="9" t="s">
        <v>1093</v>
      </c>
      <c r="R1055" s="10">
        <v>0.5738585814508639</v>
      </c>
      <c r="S1055" s="10">
        <v>0.025026649138923954</v>
      </c>
      <c r="T1055" s="10">
        <v>21.331604502360385</v>
      </c>
      <c r="U1055" s="11">
        <v>0.18230341462807445</v>
      </c>
      <c r="V1055" s="11">
        <v>0.16339453474268073</v>
      </c>
      <c r="W1055" s="11">
        <v>0.15704965851966418</v>
      </c>
      <c r="X1055" s="11">
        <v>0.15331334036853844</v>
      </c>
      <c r="Y1055" s="11">
        <v>0.1772324564975501</v>
      </c>
      <c r="Z1055" s="11">
        <v>0.16670659524349196</v>
      </c>
    </row>
    <row r="1056" ht="22.5" customHeight="1">
      <c r="Q1056" s="9" t="s">
        <v>1094</v>
      </c>
      <c r="R1056" s="10">
        <v>0.6601364009959209</v>
      </c>
      <c r="S1056" s="10">
        <v>0.029072739914739517</v>
      </c>
      <c r="T1056" s="10">
        <v>21.330511084079813</v>
      </c>
      <c r="U1056" s="11">
        <v>0.2589874621682984</v>
      </c>
      <c r="V1056" s="11">
        <v>0.21668356933038985</v>
      </c>
      <c r="W1056" s="11">
        <v>0.1573986867991644</v>
      </c>
      <c r="X1056" s="11">
        <v>0.23283138532131498</v>
      </c>
      <c r="Y1056" s="11">
        <v>0.07416850102217801</v>
      </c>
      <c r="Z1056" s="11">
        <v>0.05993039535865439</v>
      </c>
    </row>
    <row r="1057" ht="22.5" customHeight="1">
      <c r="Q1057" s="9" t="s">
        <v>1095</v>
      </c>
      <c r="R1057" s="10">
        <v>0.618366396177327</v>
      </c>
      <c r="S1057" s="10">
        <v>0.02711602382012938</v>
      </c>
      <c r="T1057" s="10">
        <v>21.329321732929774</v>
      </c>
      <c r="U1057" s="11">
        <v>0.24364901997126714</v>
      </c>
      <c r="V1057" s="11">
        <v>0.15307090068821277</v>
      </c>
      <c r="W1057" s="11">
        <v>0.1906658047038744</v>
      </c>
      <c r="X1057" s="11">
        <v>0.2595515481724555</v>
      </c>
      <c r="Y1057" s="11">
        <v>0.07425602570256766</v>
      </c>
      <c r="Z1057" s="11">
        <v>0.07880670076162248</v>
      </c>
    </row>
    <row r="1058" ht="22.5" customHeight="1">
      <c r="Q1058" s="9" t="s">
        <v>1096</v>
      </c>
      <c r="R1058" s="10">
        <v>0.39523358741785325</v>
      </c>
      <c r="S1058" s="10">
        <v>0.01665502925108266</v>
      </c>
      <c r="T1058" s="10">
        <v>21.328908047085015</v>
      </c>
      <c r="U1058" s="11">
        <v>0.30357011607405104</v>
      </c>
      <c r="V1058" s="11">
        <v>0.09896648475571226</v>
      </c>
      <c r="W1058" s="11">
        <v>0.09909031065876509</v>
      </c>
      <c r="X1058" s="11">
        <v>0.14819107969634193</v>
      </c>
      <c r="Y1058" s="11">
        <v>0.015224813687894388</v>
      </c>
      <c r="Z1058" s="11">
        <v>0.33495719512723515</v>
      </c>
    </row>
    <row r="1059" ht="22.5" customHeight="1">
      <c r="Q1059" s="9" t="s">
        <v>1097</v>
      </c>
      <c r="R1059" s="10">
        <v>0.270509746993974</v>
      </c>
      <c r="S1059" s="10">
        <v>0.010807632146215272</v>
      </c>
      <c r="T1059" s="10">
        <v>21.32842271789351</v>
      </c>
      <c r="U1059" s="11">
        <v>0.2581796375795894</v>
      </c>
      <c r="V1059" s="11">
        <v>0.052133958911197466</v>
      </c>
      <c r="W1059" s="11">
        <v>0.03526143215376216</v>
      </c>
      <c r="X1059" s="11">
        <v>0.31853951594691593</v>
      </c>
      <c r="Y1059" s="11">
        <v>0.026593336991110054</v>
      </c>
      <c r="Z1059" s="11">
        <v>0.30929211841742504</v>
      </c>
    </row>
    <row r="1060" ht="22.5" customHeight="1">
      <c r="Q1060" s="9" t="s">
        <v>1098</v>
      </c>
      <c r="R1060" s="10">
        <v>0.5112125540813783</v>
      </c>
      <c r="S1060" s="10">
        <v>0.022093530179145685</v>
      </c>
      <c r="T1060" s="10">
        <v>21.32807886564732</v>
      </c>
      <c r="U1060" s="11">
        <v>0.23051445359547312</v>
      </c>
      <c r="V1060" s="11">
        <v>0.16152986462902086</v>
      </c>
      <c r="W1060" s="11">
        <v>0.11868234774071092</v>
      </c>
      <c r="X1060" s="11">
        <v>0.1424465834493548</v>
      </c>
      <c r="Y1060" s="11">
        <v>0.08194335722228727</v>
      </c>
      <c r="Z1060" s="11">
        <v>0.2648833933631531</v>
      </c>
    </row>
    <row r="1061" ht="22.5" customHeight="1">
      <c r="Q1061" s="9" t="s">
        <v>1099</v>
      </c>
      <c r="R1061" s="10">
        <v>0.5934409575677507</v>
      </c>
      <c r="S1061" s="10">
        <v>0.02595003756358185</v>
      </c>
      <c r="T1061" s="10">
        <v>21.327173658678895</v>
      </c>
      <c r="U1061" s="11">
        <v>0.14339174627114207</v>
      </c>
      <c r="V1061" s="11">
        <v>0.20373570047971942</v>
      </c>
      <c r="W1061" s="11">
        <v>0.11548700767836026</v>
      </c>
      <c r="X1061" s="11">
        <v>0.22524448721129525</v>
      </c>
      <c r="Y1061" s="11">
        <v>0.2610576499990979</v>
      </c>
      <c r="Z1061" s="11">
        <v>0.05108340836038508</v>
      </c>
    </row>
    <row r="1062" ht="22.5" customHeight="1">
      <c r="Q1062" s="9" t="s">
        <v>1100</v>
      </c>
      <c r="R1062" s="10">
        <v>0.515505593900958</v>
      </c>
      <c r="S1062" s="10">
        <v>0.02229637284173497</v>
      </c>
      <c r="T1062" s="10">
        <v>21.326589633040822</v>
      </c>
      <c r="U1062" s="11">
        <v>0.14431326914727347</v>
      </c>
      <c r="V1062" s="11">
        <v>0.17915371310737296</v>
      </c>
      <c r="W1062" s="11">
        <v>0.08795364306663249</v>
      </c>
      <c r="X1062" s="11">
        <v>0.21079622668879613</v>
      </c>
      <c r="Y1062" s="11">
        <v>0.2313442622071563</v>
      </c>
      <c r="Z1062" s="11">
        <v>0.14643888578276867</v>
      </c>
    </row>
    <row r="1063" ht="22.5" customHeight="1">
      <c r="Q1063" s="9" t="s">
        <v>1101</v>
      </c>
      <c r="R1063" s="10">
        <v>0.5887785897388786</v>
      </c>
      <c r="S1063" s="10">
        <v>0.025735169154997194</v>
      </c>
      <c r="T1063" s="10">
        <v>21.32407160153902</v>
      </c>
      <c r="U1063" s="11">
        <v>0.14159209451960802</v>
      </c>
      <c r="V1063" s="11">
        <v>0.1826046107593193</v>
      </c>
      <c r="W1063" s="11">
        <v>0.14468442852020796</v>
      </c>
      <c r="X1063" s="11">
        <v>0.15596628113636685</v>
      </c>
      <c r="Y1063" s="11">
        <v>0.2461560139850042</v>
      </c>
      <c r="Z1063" s="11">
        <v>0.12899657107949353</v>
      </c>
    </row>
    <row r="1064" ht="22.5" customHeight="1">
      <c r="Q1064" s="9" t="s">
        <v>1102</v>
      </c>
      <c r="R1064" s="10">
        <v>0.4391950878827331</v>
      </c>
      <c r="S1064" s="10">
        <v>0.01872042971020152</v>
      </c>
      <c r="T1064" s="10">
        <v>21.32403444057673</v>
      </c>
      <c r="U1064" s="11">
        <v>0.20977641649294254</v>
      </c>
      <c r="V1064" s="11">
        <v>0.11031702638626144</v>
      </c>
      <c r="W1064" s="11">
        <v>0.11678103869531498</v>
      </c>
      <c r="X1064" s="11">
        <v>0.1037734784851174</v>
      </c>
      <c r="Y1064" s="11">
        <v>0.20376897175822542</v>
      </c>
      <c r="Z1064" s="11">
        <v>0.2555830681821382</v>
      </c>
    </row>
    <row r="1065" ht="22.5" customHeight="1">
      <c r="Q1065" s="9" t="s">
        <v>1103</v>
      </c>
      <c r="R1065" s="10">
        <v>0.526134273183835</v>
      </c>
      <c r="S1065" s="10">
        <v>0.022797672237965274</v>
      </c>
      <c r="T1065" s="10">
        <v>21.323855703753342</v>
      </c>
      <c r="U1065" s="11">
        <v>0.18957444941104643</v>
      </c>
      <c r="V1065" s="11">
        <v>0.18133344342711954</v>
      </c>
      <c r="W1065" s="11">
        <v>0.09700723824897907</v>
      </c>
      <c r="X1065" s="11">
        <v>0.1864382016584308</v>
      </c>
      <c r="Y1065" s="11">
        <v>0.19422127112456078</v>
      </c>
      <c r="Z1065" s="11">
        <v>0.15142539612986336</v>
      </c>
    </row>
    <row r="1066" ht="22.5" customHeight="1">
      <c r="Q1066" s="9" t="s">
        <v>1104</v>
      </c>
      <c r="R1066" s="10">
        <v>0.5812315475722698</v>
      </c>
      <c r="S1066" s="10">
        <v>0.02538184115027688</v>
      </c>
      <c r="T1066" s="10">
        <v>21.323573194230857</v>
      </c>
      <c r="U1066" s="11">
        <v>0.26389167144083076</v>
      </c>
      <c r="V1066" s="11">
        <v>0.13576211731695292</v>
      </c>
      <c r="W1066" s="11">
        <v>0.18176818645625886</v>
      </c>
      <c r="X1066" s="11">
        <v>0.2563676973537783</v>
      </c>
      <c r="Y1066" s="11">
        <v>0.06120829404573826</v>
      </c>
      <c r="Z1066" s="11">
        <v>0.10100203338644087</v>
      </c>
    </row>
    <row r="1067" ht="22.5" customHeight="1">
      <c r="Q1067" s="9" t="s">
        <v>1105</v>
      </c>
      <c r="R1067" s="10">
        <v>0.5408115268371494</v>
      </c>
      <c r="S1067" s="10">
        <v>0.023487106480337333</v>
      </c>
      <c r="T1067" s="10">
        <v>21.322827793045217</v>
      </c>
      <c r="U1067" s="11">
        <v>0.1951594050289855</v>
      </c>
      <c r="V1067" s="11">
        <v>0.1904452023617816</v>
      </c>
      <c r="W1067" s="11">
        <v>0.09656184216464629</v>
      </c>
      <c r="X1067" s="11">
        <v>0.2241911854839791</v>
      </c>
      <c r="Y1067" s="11">
        <v>0.14422212313833302</v>
      </c>
      <c r="Z1067" s="11">
        <v>0.14942024182227465</v>
      </c>
    </row>
    <row r="1068" ht="22.5" customHeight="1">
      <c r="Q1068" s="9" t="s">
        <v>1106</v>
      </c>
      <c r="R1068" s="10">
        <v>0.649689542317281</v>
      </c>
      <c r="S1068" s="10">
        <v>0.02859446539695844</v>
      </c>
      <c r="T1068" s="10">
        <v>21.321942335810654</v>
      </c>
      <c r="U1068" s="11">
        <v>0.15567174030148223</v>
      </c>
      <c r="V1068" s="11">
        <v>0.2114563884645526</v>
      </c>
      <c r="W1068" s="11">
        <v>0.1586619178545321</v>
      </c>
      <c r="X1068" s="11">
        <v>0.2245192467159163</v>
      </c>
      <c r="Y1068" s="11">
        <v>0.11864720498218077</v>
      </c>
      <c r="Z1068" s="11">
        <v>0.13104350168133602</v>
      </c>
    </row>
    <row r="1069" ht="22.5" customHeight="1">
      <c r="Q1069" s="9" t="s">
        <v>1107</v>
      </c>
      <c r="R1069" s="10">
        <v>0.463972211044158</v>
      </c>
      <c r="S1069" s="10">
        <v>0.01988522077600818</v>
      </c>
      <c r="T1069" s="10">
        <v>21.3209707762303</v>
      </c>
      <c r="U1069" s="11">
        <v>0.28153163658818975</v>
      </c>
      <c r="V1069" s="11">
        <v>0.15257630999856134</v>
      </c>
      <c r="W1069" s="11">
        <v>0.06710522619409978</v>
      </c>
      <c r="X1069" s="11">
        <v>0.206588304886499</v>
      </c>
      <c r="Y1069" s="11">
        <v>0.28461684115156555</v>
      </c>
      <c r="Z1069" s="11">
        <v>0.007581681181084471</v>
      </c>
    </row>
    <row r="1070" ht="22.5" customHeight="1">
      <c r="Q1070" s="9" t="s">
        <v>1108</v>
      </c>
      <c r="R1070" s="10">
        <v>0.5911972649615619</v>
      </c>
      <c r="S1070" s="10">
        <v>0.02585405047976525</v>
      </c>
      <c r="T1070" s="10">
        <v>21.31957100466552</v>
      </c>
      <c r="U1070" s="11">
        <v>0.11005061892601176</v>
      </c>
      <c r="V1070" s="11">
        <v>0.15309106078476883</v>
      </c>
      <c r="W1070" s="11">
        <v>0.17205054631846425</v>
      </c>
      <c r="X1070" s="11">
        <v>0.1960790700780692</v>
      </c>
      <c r="Y1070" s="11">
        <v>0.2700075348374787</v>
      </c>
      <c r="Z1070" s="11">
        <v>0.09872116905520721</v>
      </c>
    </row>
    <row r="1071" ht="22.5" customHeight="1">
      <c r="Q1071" s="9" t="s">
        <v>1109</v>
      </c>
      <c r="R1071" s="10">
        <v>0.6711442316170627</v>
      </c>
      <c r="S1071" s="10">
        <v>0.029604087129498687</v>
      </c>
      <c r="T1071" s="10">
        <v>21.319496488988694</v>
      </c>
      <c r="U1071" s="11">
        <v>0.19134552155087325</v>
      </c>
      <c r="V1071" s="11">
        <v>0.2268668635112237</v>
      </c>
      <c r="W1071" s="11">
        <v>0.1528281024004787</v>
      </c>
      <c r="X1071" s="11">
        <v>0.25747579358322353</v>
      </c>
      <c r="Y1071" s="11">
        <v>0.10653272443548552</v>
      </c>
      <c r="Z1071" s="11">
        <v>0.0649509945187154</v>
      </c>
    </row>
    <row r="1072" ht="22.5" customHeight="1">
      <c r="Q1072" s="9" t="s">
        <v>1110</v>
      </c>
      <c r="R1072" s="10">
        <v>0.5543980823138764</v>
      </c>
      <c r="S1072" s="10">
        <v>0.02412820898568689</v>
      </c>
      <c r="T1072" s="10">
        <v>21.31936450894564</v>
      </c>
      <c r="U1072" s="11">
        <v>0.1842007600561261</v>
      </c>
      <c r="V1072" s="11">
        <v>0.16872908315473506</v>
      </c>
      <c r="W1072" s="11">
        <v>0.13580289959701083</v>
      </c>
      <c r="X1072" s="11">
        <v>0.12820564221754782</v>
      </c>
      <c r="Y1072" s="11">
        <v>0.2396426485162474</v>
      </c>
      <c r="Z1072" s="11">
        <v>0.1434189664583328</v>
      </c>
    </row>
    <row r="1073" ht="22.5" customHeight="1">
      <c r="Q1073" s="9" t="s">
        <v>1111</v>
      </c>
      <c r="R1073" s="10">
        <v>0.38235183291864533</v>
      </c>
      <c r="S1073" s="10">
        <v>0.016058356359018505</v>
      </c>
      <c r="T1073" s="10">
        <v>21.31923250827459</v>
      </c>
      <c r="U1073" s="11">
        <v>0.2582368777721636</v>
      </c>
      <c r="V1073" s="11">
        <v>0.04695678805274417</v>
      </c>
      <c r="W1073" s="11">
        <v>0.10840117709085953</v>
      </c>
      <c r="X1073" s="11">
        <v>0.3031988478188089</v>
      </c>
      <c r="Y1073" s="11">
        <v>0.25475264196263847</v>
      </c>
      <c r="Z1073" s="11">
        <v>0.028453667302785195</v>
      </c>
    </row>
    <row r="1074" ht="22.5" customHeight="1">
      <c r="Q1074" s="9" t="s">
        <v>1112</v>
      </c>
      <c r="R1074" s="10">
        <v>0.522331348251574</v>
      </c>
      <c r="S1074" s="10">
        <v>0.018821983499750655</v>
      </c>
      <c r="T1074" s="10">
        <v>21.318884327091745</v>
      </c>
      <c r="U1074" s="11">
        <v>0.19227078156613586</v>
      </c>
      <c r="V1074" s="11">
        <v>0.11351756012514502</v>
      </c>
      <c r="W1074" s="11">
        <v>0.11588155772282113</v>
      </c>
      <c r="X1074" s="11">
        <v>0.1016375668364016</v>
      </c>
      <c r="Y1074" s="11">
        <v>0.20787036633337988</v>
      </c>
      <c r="Z1074" s="11">
        <v>0.2688221674161166</v>
      </c>
    </row>
    <row r="1075" ht="22.5" customHeight="1">
      <c r="Q1075" s="9" t="s">
        <v>1113</v>
      </c>
      <c r="R1075" s="10">
        <v>0.2906553894887205</v>
      </c>
      <c r="S1075" s="10">
        <v>0.01175749050119903</v>
      </c>
      <c r="T1075" s="10">
        <v>21.318783073918592</v>
      </c>
      <c r="U1075" s="11">
        <v>0.08586028483609814</v>
      </c>
      <c r="V1075" s="11">
        <v>0.07781736231227149</v>
      </c>
      <c r="W1075" s="11">
        <v>0.03412559531879045</v>
      </c>
      <c r="X1075" s="11">
        <v>0.2651566209310758</v>
      </c>
      <c r="Y1075" s="11">
        <v>0.1019071016748618</v>
      </c>
      <c r="Z1075" s="11">
        <v>0.4351330349269023</v>
      </c>
    </row>
    <row r="1076" ht="22.5" customHeight="1">
      <c r="Q1076" s="9" t="s">
        <v>1114</v>
      </c>
      <c r="R1076" s="10">
        <v>0.5695786057174692</v>
      </c>
      <c r="S1076" s="10">
        <v>0.02484136424185807</v>
      </c>
      <c r="T1076" s="10">
        <v>21.318418769655224</v>
      </c>
      <c r="U1076" s="11">
        <v>0.1279978919054529</v>
      </c>
      <c r="V1076" s="11">
        <v>0.19409306586952216</v>
      </c>
      <c r="W1076" s="11">
        <v>0.11778087138216876</v>
      </c>
      <c r="X1076" s="11">
        <v>0.19426603965006994</v>
      </c>
      <c r="Y1076" s="11">
        <v>0.19594885363050024</v>
      </c>
      <c r="Z1076" s="11">
        <v>0.16991327756228583</v>
      </c>
    </row>
    <row r="1077" ht="22.5" customHeight="1">
      <c r="Q1077" s="9" t="s">
        <v>1115</v>
      </c>
      <c r="R1077" s="10">
        <v>0.5900734074955307</v>
      </c>
      <c r="S1077" s="10">
        <v>0.025804154927776313</v>
      </c>
      <c r="T1077" s="10">
        <v>21.317241701390355</v>
      </c>
      <c r="U1077" s="11">
        <v>0.17358562224911653</v>
      </c>
      <c r="V1077" s="11">
        <v>0.1820095481456937</v>
      </c>
      <c r="W1077" s="11">
        <v>0.15315134151972845</v>
      </c>
      <c r="X1077" s="11">
        <v>0.20798942540854037</v>
      </c>
      <c r="Y1077" s="11">
        <v>0.03333369153165225</v>
      </c>
      <c r="Z1077" s="11">
        <v>0.24993037114526878</v>
      </c>
    </row>
    <row r="1078" ht="22.5" customHeight="1">
      <c r="Q1078" s="9" t="s">
        <v>1116</v>
      </c>
      <c r="R1078" s="10">
        <v>0.3687480492848919</v>
      </c>
      <c r="S1078" s="10">
        <v>0.015421973406846973</v>
      </c>
      <c r="T1078" s="10">
        <v>21.316860080885366</v>
      </c>
      <c r="U1078" s="11">
        <v>0.14911594105351036</v>
      </c>
      <c r="V1078" s="11">
        <v>0.1102522820171744</v>
      </c>
      <c r="W1078" s="11">
        <v>0.06480343868993317</v>
      </c>
      <c r="X1078" s="11">
        <v>0.12227064963453955</v>
      </c>
      <c r="Y1078" s="11">
        <v>0.2173030825844777</v>
      </c>
      <c r="Z1078" s="11">
        <v>0.33625460602036483</v>
      </c>
    </row>
    <row r="1079" ht="22.5" customHeight="1">
      <c r="Q1079" s="9" t="s">
        <v>1117</v>
      </c>
      <c r="R1079" s="10">
        <v>0.5380357732979629</v>
      </c>
      <c r="S1079" s="10">
        <v>0.023363470353100036</v>
      </c>
      <c r="T1079" s="10">
        <v>21.316857717238907</v>
      </c>
      <c r="U1079" s="11">
        <v>0.16016526188726365</v>
      </c>
      <c r="V1079" s="11">
        <v>0.12404582229905899</v>
      </c>
      <c r="W1079" s="11">
        <v>0.16545480456885855</v>
      </c>
      <c r="X1079" s="11">
        <v>0.20429291915365716</v>
      </c>
      <c r="Y1079" s="11">
        <v>0.1895978874320129</v>
      </c>
      <c r="Z1079" s="11">
        <v>0.15644330465914882</v>
      </c>
    </row>
    <row r="1080" ht="22.5" customHeight="1">
      <c r="Q1080" s="9" t="s">
        <v>1118</v>
      </c>
      <c r="R1080" s="10">
        <v>0.6238601385700556</v>
      </c>
      <c r="S1080" s="10">
        <v>0.02739034793095043</v>
      </c>
      <c r="T1080" s="10">
        <v>21.316273164617517</v>
      </c>
      <c r="U1080" s="11">
        <v>0.16585967978785482</v>
      </c>
      <c r="V1080" s="11">
        <v>0.18781352966832476</v>
      </c>
      <c r="W1080" s="11">
        <v>0.16615242424178503</v>
      </c>
      <c r="X1080" s="11">
        <v>0.1812225921705374</v>
      </c>
      <c r="Y1080" s="11">
        <v>0.1669925753918709</v>
      </c>
      <c r="Z1080" s="11">
        <v>0.13195919873962694</v>
      </c>
    </row>
    <row r="1081" ht="22.5" customHeight="1">
      <c r="Q1081" s="9" t="s">
        <v>1119</v>
      </c>
      <c r="R1081" s="10">
        <v>0.595446356086632</v>
      </c>
      <c r="S1081" s="10">
        <v>0.026058046063648713</v>
      </c>
      <c r="T1081" s="10">
        <v>21.31573314169117</v>
      </c>
      <c r="U1081" s="11">
        <v>0.03290174831467275</v>
      </c>
      <c r="V1081" s="11">
        <v>0.1489925849940463</v>
      </c>
      <c r="W1081" s="11">
        <v>0.18228593229002926</v>
      </c>
      <c r="X1081" s="11">
        <v>0.2759323497916949</v>
      </c>
      <c r="Y1081" s="11">
        <v>0.14317462808997405</v>
      </c>
      <c r="Z1081" s="11">
        <v>0.21671275651958274</v>
      </c>
    </row>
    <row r="1082" ht="22.5" customHeight="1">
      <c r="Q1082" s="9" t="s">
        <v>1120</v>
      </c>
      <c r="R1082" s="10">
        <v>0.3893447577732588</v>
      </c>
      <c r="S1082" s="10">
        <v>0.016389322048638882</v>
      </c>
      <c r="T1082" s="10">
        <v>21.315387954212024</v>
      </c>
      <c r="U1082" s="11">
        <v>0.07884604796917129</v>
      </c>
      <c r="V1082" s="11">
        <v>0.1296554818172147</v>
      </c>
      <c r="W1082" s="11">
        <v>0.03349223842946319</v>
      </c>
      <c r="X1082" s="11">
        <v>0.38898418663768636</v>
      </c>
      <c r="Y1082" s="11">
        <v>0.13912405644885467</v>
      </c>
      <c r="Z1082" s="11">
        <v>0.22989798869760986</v>
      </c>
    </row>
    <row r="1083" ht="22.5" customHeight="1">
      <c r="Q1083" s="9" t="s">
        <v>1121</v>
      </c>
      <c r="R1083" s="10">
        <v>0.4105447485330321</v>
      </c>
      <c r="S1083" s="10">
        <v>0.017384132867659136</v>
      </c>
      <c r="T1083" s="10">
        <v>21.31511254279362</v>
      </c>
      <c r="U1083" s="11">
        <v>0.24973974207503402</v>
      </c>
      <c r="V1083" s="11">
        <v>0.102413621529466</v>
      </c>
      <c r="W1083" s="11">
        <v>0.10450490489435321</v>
      </c>
      <c r="X1083" s="11">
        <v>0.0954141634746134</v>
      </c>
      <c r="Y1083" s="11">
        <v>0.18217441750678937</v>
      </c>
      <c r="Z1083" s="11">
        <v>0.265753150519744</v>
      </c>
    </row>
    <row r="1084" ht="22.5" customHeight="1">
      <c r="Q1084" s="9" t="s">
        <v>1122</v>
      </c>
      <c r="R1084" s="10">
        <v>0.6511341935415823</v>
      </c>
      <c r="S1084" s="10">
        <v>0.028671875778497734</v>
      </c>
      <c r="T1084" s="10">
        <v>21.314761484837973</v>
      </c>
      <c r="U1084" s="11">
        <v>0.15284278207782395</v>
      </c>
      <c r="V1084" s="11">
        <v>0.209332659095713</v>
      </c>
      <c r="W1084" s="11">
        <v>0.1636070999771392</v>
      </c>
      <c r="X1084" s="11">
        <v>0.23934128985595687</v>
      </c>
      <c r="Y1084" s="11">
        <v>0.07111988868613892</v>
      </c>
      <c r="Z1084" s="11">
        <v>0.16375628030722816</v>
      </c>
    </row>
    <row r="1085" ht="22.5" customHeight="1">
      <c r="Q1085" s="9" t="s">
        <v>1123</v>
      </c>
      <c r="R1085" s="10">
        <v>0.5692268360995395</v>
      </c>
      <c r="S1085" s="10">
        <v>0.02482926795241435</v>
      </c>
      <c r="T1085" s="10">
        <v>21.314637109471384</v>
      </c>
      <c r="U1085" s="11">
        <v>0.10138170428324016</v>
      </c>
      <c r="V1085" s="11">
        <v>0.19900974518063871</v>
      </c>
      <c r="W1085" s="11">
        <v>0.11352288750672056</v>
      </c>
      <c r="X1085" s="11">
        <v>0.28430484413271195</v>
      </c>
      <c r="Y1085" s="11">
        <v>0.03543833034530164</v>
      </c>
      <c r="Z1085" s="11">
        <v>0.266342488551387</v>
      </c>
    </row>
    <row r="1086" ht="22.5" customHeight="1">
      <c r="Q1086" s="9" t="s">
        <v>1124</v>
      </c>
      <c r="R1086" s="10">
        <v>0.5744040543184034</v>
      </c>
      <c r="S1086" s="10">
        <v>0.025072755095487682</v>
      </c>
      <c r="T1086" s="10">
        <v>21.31413369943455</v>
      </c>
      <c r="U1086" s="11">
        <v>0.14564047864027566</v>
      </c>
      <c r="V1086" s="11">
        <v>0.19371386461391085</v>
      </c>
      <c r="W1086" s="11">
        <v>0.1255735320466459</v>
      </c>
      <c r="X1086" s="11">
        <v>0.1926793394251921</v>
      </c>
      <c r="Y1086" s="11">
        <v>0.13328855641090645</v>
      </c>
      <c r="Z1086" s="11">
        <v>0.20910422886306904</v>
      </c>
    </row>
    <row r="1087" ht="22.5" customHeight="1">
      <c r="Q1087" s="9" t="s">
        <v>1125</v>
      </c>
      <c r="R1087" s="10">
        <v>0.36970214104106125</v>
      </c>
      <c r="S1087" s="10">
        <v>0.015468912527534035</v>
      </c>
      <c r="T1087" s="10">
        <v>21.31385386362518</v>
      </c>
      <c r="U1087" s="11">
        <v>0.24605909163239395</v>
      </c>
      <c r="V1087" s="11">
        <v>0.11920385490973907</v>
      </c>
      <c r="W1087" s="11">
        <v>0.03475453163688977</v>
      </c>
      <c r="X1087" s="11">
        <v>0.26198467813514553</v>
      </c>
      <c r="Y1087" s="11">
        <v>0.18191613715391008</v>
      </c>
      <c r="Z1087" s="11">
        <v>0.1560817065319217</v>
      </c>
    </row>
    <row r="1088" ht="22.5" customHeight="1">
      <c r="Q1088" s="9" t="s">
        <v>1126</v>
      </c>
      <c r="R1088" s="10">
        <v>0.7439193485363055</v>
      </c>
      <c r="S1088" s="10">
        <v>0.03302648668286134</v>
      </c>
      <c r="T1088" s="10">
        <v>21.313782337665216</v>
      </c>
      <c r="U1088" s="11">
        <v>0.1611912439655015</v>
      </c>
      <c r="V1088" s="11">
        <v>0.22488567625216627</v>
      </c>
      <c r="W1088" s="11">
        <v>0.20537303054981962</v>
      </c>
      <c r="X1088" s="11">
        <v>0.30981188811803</v>
      </c>
      <c r="Y1088" s="11">
        <v>0.07607787430396572</v>
      </c>
      <c r="Z1088" s="11">
        <v>0.022660286810516964</v>
      </c>
    </row>
    <row r="1089" ht="22.5" customHeight="1">
      <c r="Q1089" s="9" t="s">
        <v>1127</v>
      </c>
      <c r="R1089" s="10">
        <v>0.39899429406342307</v>
      </c>
      <c r="S1089" s="10">
        <v>0.016844225075827664</v>
      </c>
      <c r="T1089" s="10">
        <v>21.312603723076492</v>
      </c>
      <c r="U1089" s="11">
        <v>0.21519825671318676</v>
      </c>
      <c r="V1089" s="11">
        <v>0.13324905205017495</v>
      </c>
      <c r="W1089" s="11">
        <v>0.05071681474832409</v>
      </c>
      <c r="X1089" s="11">
        <v>0.20165451818444913</v>
      </c>
      <c r="Y1089" s="11">
        <v>0.1902295859829534</v>
      </c>
      <c r="Z1089" s="11">
        <v>0.20895177232091164</v>
      </c>
    </row>
    <row r="1090" ht="22.5" customHeight="1">
      <c r="Q1090" s="9" t="s">
        <v>1128</v>
      </c>
      <c r="R1090" s="10">
        <v>0.423969336041175</v>
      </c>
      <c r="S1090" s="10">
        <v>0.018016967917370622</v>
      </c>
      <c r="T1090" s="10">
        <v>21.31154019933511</v>
      </c>
      <c r="U1090" s="11">
        <v>0.024369486745980325</v>
      </c>
      <c r="V1090" s="11">
        <v>0.09125363639960812</v>
      </c>
      <c r="W1090" s="11">
        <v>0.10212326220069647</v>
      </c>
      <c r="X1090" s="11">
        <v>0.22600961136259654</v>
      </c>
      <c r="Y1090" s="11">
        <v>0.43856636217090017</v>
      </c>
      <c r="Z1090" s="11">
        <v>0.11767764112021831</v>
      </c>
    </row>
    <row r="1091" ht="22.5" customHeight="1">
      <c r="Q1091" s="9" t="s">
        <v>1129</v>
      </c>
      <c r="R1091" s="10">
        <v>0.667579396892617</v>
      </c>
      <c r="S1091" s="10">
        <v>0.029448447623158146</v>
      </c>
      <c r="T1091" s="10">
        <v>21.311119856759138</v>
      </c>
      <c r="U1091" s="11">
        <v>0.09248840138627841</v>
      </c>
      <c r="V1091" s="11">
        <v>0.19044923076579098</v>
      </c>
      <c r="W1091" s="11">
        <v>0.1894006657153313</v>
      </c>
      <c r="X1091" s="11">
        <v>0.2359975978246235</v>
      </c>
      <c r="Y1091" s="11">
        <v>0.20586427724635414</v>
      </c>
      <c r="Z1091" s="11">
        <v>0.08579982706162168</v>
      </c>
    </row>
    <row r="1092" ht="22.5" customHeight="1">
      <c r="Q1092" s="9" t="s">
        <v>1130</v>
      </c>
      <c r="R1092" s="10">
        <v>0.44591611182736574</v>
      </c>
      <c r="S1092" s="10">
        <v>0.019048989022218125</v>
      </c>
      <c r="T1092" s="10">
        <v>21.309063244979473</v>
      </c>
      <c r="U1092" s="11">
        <v>0.20092054814979698</v>
      </c>
      <c r="V1092" s="11">
        <v>0.15562365416294208</v>
      </c>
      <c r="W1092" s="11">
        <v>0.05794323271688277</v>
      </c>
      <c r="X1092" s="11">
        <v>0.2422325288560319</v>
      </c>
      <c r="Y1092" s="11">
        <v>0.1792107940770115</v>
      </c>
      <c r="Z1092" s="11">
        <v>0.1640692420373348</v>
      </c>
    </row>
    <row r="1093" ht="22.5" customHeight="1">
      <c r="Q1093" s="9" t="s">
        <v>1131</v>
      </c>
      <c r="R1093" s="10">
        <v>0.3082865201439748</v>
      </c>
      <c r="S1093" s="10">
        <v>0.012590432266210443</v>
      </c>
      <c r="T1093" s="10">
        <v>21.30876164307626</v>
      </c>
      <c r="U1093" s="11">
        <v>0.35701640904937726</v>
      </c>
      <c r="V1093" s="11">
        <v>0.0549534414911193</v>
      </c>
      <c r="W1093" s="11">
        <v>0.06557402879618636</v>
      </c>
      <c r="X1093" s="11">
        <v>0.17398572862330589</v>
      </c>
      <c r="Y1093" s="11">
        <v>0.14269058441950971</v>
      </c>
      <c r="Z1093" s="11">
        <v>0.20577980762050155</v>
      </c>
    </row>
    <row r="1094" ht="22.5" customHeight="1">
      <c r="Q1094" s="9" t="s">
        <v>1132</v>
      </c>
      <c r="R1094" s="10">
        <v>0.4152342650723583</v>
      </c>
      <c r="S1094" s="10">
        <v>0.017609947101808607</v>
      </c>
      <c r="T1094" s="10">
        <v>21.308085873456164</v>
      </c>
      <c r="U1094" s="11">
        <v>0.16465112937972798</v>
      </c>
      <c r="V1094" s="11">
        <v>0.0672170502348906</v>
      </c>
      <c r="W1094" s="11">
        <v>0.12908451379500085</v>
      </c>
      <c r="X1094" s="11">
        <v>0.25524292406412785</v>
      </c>
      <c r="Y1094" s="11">
        <v>0.16956258762928422</v>
      </c>
      <c r="Z1094" s="11">
        <v>0.21424179489696837</v>
      </c>
    </row>
    <row r="1095" ht="22.5" customHeight="1">
      <c r="Q1095" s="9" t="s">
        <v>1133</v>
      </c>
      <c r="R1095" s="10">
        <v>0.4981623939247115</v>
      </c>
      <c r="S1095" s="10">
        <v>0.021502396817178783</v>
      </c>
      <c r="T1095" s="10">
        <v>21.30750342950952</v>
      </c>
      <c r="U1095" s="11">
        <v>0.18493085079636037</v>
      </c>
      <c r="V1095" s="11">
        <v>0.15871690288993123</v>
      </c>
      <c r="W1095" s="11">
        <v>0.1063424379783895</v>
      </c>
      <c r="X1095" s="11">
        <v>0.1185765347093662</v>
      </c>
      <c r="Y1095" s="11">
        <v>0.23697052966897728</v>
      </c>
      <c r="Z1095" s="11">
        <v>0.19446274395697544</v>
      </c>
    </row>
    <row r="1096" ht="22.5" customHeight="1">
      <c r="Q1096" s="9" t="s">
        <v>1134</v>
      </c>
      <c r="R1096" s="10">
        <v>0.49378721672233666</v>
      </c>
      <c r="S1096" s="10">
        <v>0.021297287020266648</v>
      </c>
      <c r="T1096" s="10">
        <v>21.307278072108883</v>
      </c>
      <c r="U1096" s="11">
        <v>0.18963593364800205</v>
      </c>
      <c r="V1096" s="11">
        <v>0.09902340313080177</v>
      </c>
      <c r="W1096" s="11">
        <v>0.15765528185122016</v>
      </c>
      <c r="X1096" s="11">
        <v>0.26728323041974605</v>
      </c>
      <c r="Y1096" s="11">
        <v>0.07291372653891469</v>
      </c>
      <c r="Z1096" s="11">
        <v>0.21348842441131524</v>
      </c>
    </row>
    <row r="1097" ht="22.5" customHeight="1">
      <c r="Q1097" s="9" t="s">
        <v>1135</v>
      </c>
      <c r="R1097" s="10">
        <v>0.5843801996847513</v>
      </c>
      <c r="S1097" s="10">
        <v>0.025549258791206113</v>
      </c>
      <c r="T1097" s="10">
        <v>21.307083862335894</v>
      </c>
      <c r="U1097" s="11">
        <v>0.14492966399385343</v>
      </c>
      <c r="V1097" s="11">
        <v>0.20514864035429528</v>
      </c>
      <c r="W1097" s="11">
        <v>0.11552690562964364</v>
      </c>
      <c r="X1097" s="11">
        <v>0.30543050933214067</v>
      </c>
      <c r="Y1097" s="11">
        <v>0.0015730612385512373</v>
      </c>
      <c r="Z1097" s="11">
        <v>0.22739121945151572</v>
      </c>
    </row>
    <row r="1098" ht="22.5" customHeight="1">
      <c r="Q1098" s="9" t="s">
        <v>1136</v>
      </c>
      <c r="R1098" s="10">
        <v>0.6466512968046391</v>
      </c>
      <c r="S1098" s="10">
        <v>0.028472202924079495</v>
      </c>
      <c r="T1098" s="10">
        <v>21.306791695123184</v>
      </c>
      <c r="U1098" s="11">
        <v>0.153332320111982</v>
      </c>
      <c r="V1098" s="11">
        <v>0.1920930417845829</v>
      </c>
      <c r="W1098" s="11">
        <v>0.1754077833433652</v>
      </c>
      <c r="X1098" s="11">
        <v>0.1940441821952023</v>
      </c>
      <c r="Y1098" s="11">
        <v>0.19435334831360843</v>
      </c>
      <c r="Z1098" s="11">
        <v>0.09076932425125936</v>
      </c>
    </row>
    <row r="1099" ht="22.5" customHeight="1">
      <c r="Q1099" s="9" t="s">
        <v>1137</v>
      </c>
      <c r="R1099" s="10">
        <v>0.5768314860612738</v>
      </c>
      <c r="S1099" s="10">
        <v>0.025195881564189827</v>
      </c>
      <c r="T1099" s="10">
        <v>21.306318839990766</v>
      </c>
      <c r="U1099" s="11">
        <v>0.15169377232400766</v>
      </c>
      <c r="V1099" s="11">
        <v>0.14084178314438311</v>
      </c>
      <c r="W1099" s="11">
        <v>0.1725345943739342</v>
      </c>
      <c r="X1099" s="11">
        <v>0.19760224263436998</v>
      </c>
      <c r="Y1099" s="11">
        <v>0.2608223539965109</v>
      </c>
      <c r="Z1099" s="11">
        <v>0.07650525352679417</v>
      </c>
    </row>
    <row r="1100" ht="22.5" customHeight="1">
      <c r="Q1100" s="9" t="s">
        <v>1138</v>
      </c>
      <c r="R1100" s="10">
        <v>0.5909828736222309</v>
      </c>
      <c r="S1100" s="10">
        <v>0.025860432917062023</v>
      </c>
      <c r="T1100" s="10">
        <v>21.306018943662274</v>
      </c>
      <c r="U1100" s="11">
        <v>0.20678819710929716</v>
      </c>
      <c r="V1100" s="11">
        <v>0.16213906971828637</v>
      </c>
      <c r="W1100" s="11">
        <v>0.16751371830735645</v>
      </c>
      <c r="X1100" s="11">
        <v>0.16119043522511753</v>
      </c>
      <c r="Y1100" s="11">
        <v>0.19199258363665098</v>
      </c>
      <c r="Z1100" s="11">
        <v>0.11037599600329144</v>
      </c>
    </row>
    <row r="1101" ht="22.5" customHeight="1">
      <c r="Q1101" s="9" t="s">
        <v>1139</v>
      </c>
      <c r="R1101" s="10">
        <v>0.6395834541434806</v>
      </c>
      <c r="S1101" s="10">
        <v>0.028143803515494316</v>
      </c>
      <c r="T1101" s="10">
        <v>21.30427942383073</v>
      </c>
      <c r="U1101" s="11">
        <v>0.14323926617100594</v>
      </c>
      <c r="V1101" s="11">
        <v>0.20162804995257588</v>
      </c>
      <c r="W1101" s="11">
        <v>0.16486640479269368</v>
      </c>
      <c r="X1101" s="11">
        <v>0.22087698010684303</v>
      </c>
      <c r="Y1101" s="11">
        <v>0.0890405154002769</v>
      </c>
      <c r="Z1101" s="11">
        <v>0.18034878357660455</v>
      </c>
    </row>
    <row r="1102" ht="22.5" customHeight="1">
      <c r="Q1102" s="9" t="s">
        <v>1140</v>
      </c>
      <c r="R1102" s="10">
        <v>0.31647411742586984</v>
      </c>
      <c r="S1102" s="10">
        <v>0.012977694311805295</v>
      </c>
      <c r="T1102" s="10">
        <v>21.303793322853373</v>
      </c>
      <c r="U1102" s="11">
        <v>0.3772885302957684</v>
      </c>
      <c r="V1102" s="11">
        <v>0.06421652464812976</v>
      </c>
      <c r="W1102" s="11">
        <v>0.04757792529031059</v>
      </c>
      <c r="X1102" s="11">
        <v>0.212489893494165</v>
      </c>
      <c r="Y1102" s="11">
        <v>0.2526826954762797</v>
      </c>
      <c r="Z1102" s="11">
        <v>0.04574443079534648</v>
      </c>
    </row>
    <row r="1103" ht="22.5" customHeight="1">
      <c r="Q1103" s="9" t="s">
        <v>1141</v>
      </c>
      <c r="R1103" s="10">
        <v>0.5390819317689608</v>
      </c>
      <c r="S1103" s="10">
        <v>0.023427750403672235</v>
      </c>
      <c r="T1103" s="10">
        <v>21.303024113264033</v>
      </c>
      <c r="U1103" s="11">
        <v>0.2434477373732071</v>
      </c>
      <c r="V1103" s="11">
        <v>0.16873778375390547</v>
      </c>
      <c r="W1103" s="11">
        <v>0.13119633780259157</v>
      </c>
      <c r="X1103" s="11">
        <v>0.1558687393592035</v>
      </c>
      <c r="Y1103" s="11">
        <v>0.0538958940683719</v>
      </c>
      <c r="Z1103" s="11">
        <v>0.2468535076427204</v>
      </c>
    </row>
    <row r="1104" ht="22.5" customHeight="1">
      <c r="Q1104" s="9" t="s">
        <v>1142</v>
      </c>
      <c r="R1104" s="10">
        <v>0.6629874730654893</v>
      </c>
      <c r="S1104" s="10">
        <v>0.02924411109321266</v>
      </c>
      <c r="T1104" s="10">
        <v>21.303005965193453</v>
      </c>
      <c r="U1104" s="11">
        <v>0.21721285856241618</v>
      </c>
      <c r="V1104" s="11">
        <v>0.21922380859904203</v>
      </c>
      <c r="W1104" s="11">
        <v>0.1558432662413491</v>
      </c>
      <c r="X1104" s="11">
        <v>0.21631555680377937</v>
      </c>
      <c r="Y1104" s="11">
        <v>0.14883560788715988</v>
      </c>
      <c r="Z1104" s="11">
        <v>0.04256890190625336</v>
      </c>
    </row>
    <row r="1105" ht="22.5" customHeight="1">
      <c r="Q1105" s="9" t="s">
        <v>1143</v>
      </c>
      <c r="R1105" s="10">
        <v>0.34129294710324715</v>
      </c>
      <c r="S1105" s="10">
        <v>0.01414323692102781</v>
      </c>
      <c r="T1105" s="10">
        <v>21.30296966568469</v>
      </c>
      <c r="U1105" s="11">
        <v>0.3524278458858584</v>
      </c>
      <c r="V1105" s="11">
        <v>0.08163687423854578</v>
      </c>
      <c r="W1105" s="11">
        <v>0.07051332203390302</v>
      </c>
      <c r="X1105" s="11">
        <v>0.12052640303046544</v>
      </c>
      <c r="Y1105" s="11">
        <v>0.12568070444660887</v>
      </c>
      <c r="Z1105" s="11">
        <v>0.24921485036461857</v>
      </c>
    </row>
    <row r="1106" ht="22.5" customHeight="1">
      <c r="Q1106" s="9" t="s">
        <v>1144</v>
      </c>
      <c r="R1106" s="10">
        <v>0.6929613312713371</v>
      </c>
      <c r="S1106" s="10">
        <v>0.03065144472823032</v>
      </c>
      <c r="T1106" s="10">
        <v>21.30279133857441</v>
      </c>
      <c r="U1106" s="11">
        <v>0.2174352407339653</v>
      </c>
      <c r="V1106" s="11">
        <v>0.19581017812995072</v>
      </c>
      <c r="W1106" s="11">
        <v>0.20044381263068234</v>
      </c>
      <c r="X1106" s="11">
        <v>0.24810447727802218</v>
      </c>
      <c r="Y1106" s="11">
        <v>0.11861950659393375</v>
      </c>
      <c r="Z1106" s="11">
        <v>0.019586784633445826</v>
      </c>
    </row>
    <row r="1107" ht="22.5" customHeight="1">
      <c r="Q1107" s="9" t="s">
        <v>1145</v>
      </c>
      <c r="R1107" s="10">
        <v>0.5698698725869495</v>
      </c>
      <c r="S1107" s="10">
        <v>0.024874929468696447</v>
      </c>
      <c r="T1107" s="10">
        <v>21.301361809035793</v>
      </c>
      <c r="U1107" s="11">
        <v>0.24907108385798946</v>
      </c>
      <c r="V1107" s="11">
        <v>0.1618552177840537</v>
      </c>
      <c r="W1107" s="11">
        <v>0.15816041230094882</v>
      </c>
      <c r="X1107" s="11">
        <v>0.16836109142113842</v>
      </c>
      <c r="Y1107" s="11">
        <v>0.06697471286258852</v>
      </c>
      <c r="Z1107" s="11">
        <v>0.19557748177328113</v>
      </c>
    </row>
    <row r="1108" ht="22.5" customHeight="1">
      <c r="Q1108" s="9" t="s">
        <v>1146</v>
      </c>
      <c r="R1108" s="10">
        <v>0.5875788231014548</v>
      </c>
      <c r="S1108" s="10">
        <v>0.02570716596276325</v>
      </c>
      <c r="T1108" s="10">
        <v>21.30062971136612</v>
      </c>
      <c r="U1108" s="11">
        <v>0.10366547238055215</v>
      </c>
      <c r="V1108" s="11">
        <v>0.17644077021156787</v>
      </c>
      <c r="W1108" s="11">
        <v>0.15759865057778458</v>
      </c>
      <c r="X1108" s="11">
        <v>0.19151006729492104</v>
      </c>
      <c r="Y1108" s="11">
        <v>0.10932849709249447</v>
      </c>
      <c r="Z1108" s="11">
        <v>0.26145654244267996</v>
      </c>
    </row>
    <row r="1109" ht="22.5" customHeight="1">
      <c r="Q1109" s="9" t="s">
        <v>1147</v>
      </c>
      <c r="R1109" s="10">
        <v>0.6460578829336769</v>
      </c>
      <c r="S1109" s="10">
        <v>0.028454837204549752</v>
      </c>
      <c r="T1109" s="10">
        <v>21.298940442954706</v>
      </c>
      <c r="U1109" s="11">
        <v>0.22719904074294545</v>
      </c>
      <c r="V1109" s="11">
        <v>0.20608924883373023</v>
      </c>
      <c r="W1109" s="11">
        <v>0.16331015706352855</v>
      </c>
      <c r="X1109" s="11">
        <v>0.22665835093878245</v>
      </c>
      <c r="Y1109" s="11">
        <v>0.03857908485952161</v>
      </c>
      <c r="Z1109" s="11">
        <v>0.1381641175614917</v>
      </c>
    </row>
    <row r="1110" ht="22.5" customHeight="1">
      <c r="Q1110" s="9" t="s">
        <v>1148</v>
      </c>
      <c r="R1110" s="10">
        <v>0.578636664300077</v>
      </c>
      <c r="S1110" s="10">
        <v>0.025289614565158616</v>
      </c>
      <c r="T1110" s="10">
        <v>21.298729678630774</v>
      </c>
      <c r="U1110" s="11">
        <v>0.035050390469854496</v>
      </c>
      <c r="V1110" s="11">
        <v>0.1249271948270329</v>
      </c>
      <c r="W1110" s="11">
        <v>0.18615293790914927</v>
      </c>
      <c r="X1110" s="11">
        <v>0.35670583422565916</v>
      </c>
      <c r="Y1110" s="11">
        <v>0.11722175129512588</v>
      </c>
      <c r="Z1110" s="11">
        <v>0.17994189127317822</v>
      </c>
    </row>
    <row r="1111" ht="22.5" customHeight="1">
      <c r="Q1111" s="9" t="s">
        <v>1149</v>
      </c>
      <c r="R1111" s="10">
        <v>0.5520728553542291</v>
      </c>
      <c r="S1111" s="10">
        <v>0.024042787271549466</v>
      </c>
      <c r="T1111" s="10">
        <v>21.298398125419503</v>
      </c>
      <c r="U1111" s="11">
        <v>0.25782685085177653</v>
      </c>
      <c r="V1111" s="11">
        <v>0.14317684594842306</v>
      </c>
      <c r="W1111" s="11">
        <v>0.15855928691435717</v>
      </c>
      <c r="X1111" s="11">
        <v>0.14318564675796883</v>
      </c>
      <c r="Y1111" s="11">
        <v>0.189771428537294</v>
      </c>
      <c r="Z1111" s="11">
        <v>0.10747994099018035</v>
      </c>
    </row>
    <row r="1112" ht="22.5" customHeight="1">
      <c r="Q1112" s="9" t="s">
        <v>1150</v>
      </c>
      <c r="R1112" s="10">
        <v>0.6377446279615848</v>
      </c>
      <c r="S1112" s="10">
        <v>0.028065796129163573</v>
      </c>
      <c r="T1112" s="10">
        <v>21.29797512996468</v>
      </c>
      <c r="U1112" s="11">
        <v>0.09464112295809958</v>
      </c>
      <c r="V1112" s="11">
        <v>0.19928426163532487</v>
      </c>
      <c r="W1112" s="11">
        <v>0.16380271762632984</v>
      </c>
      <c r="X1112" s="11">
        <v>0.20065470726388981</v>
      </c>
      <c r="Y1112" s="11">
        <v>0.1916721900279033</v>
      </c>
      <c r="Z1112" s="11">
        <v>0.14994500048845263</v>
      </c>
    </row>
    <row r="1113" ht="22.5" customHeight="1">
      <c r="Q1113" s="9" t="s">
        <v>1151</v>
      </c>
      <c r="R1113" s="10">
        <v>0.4823512494276008</v>
      </c>
      <c r="S1113" s="10">
        <v>0.02077064527384034</v>
      </c>
      <c r="T1113" s="10">
        <v>21.29694304609408</v>
      </c>
      <c r="U1113" s="11">
        <v>0.17023253612402253</v>
      </c>
      <c r="V1113" s="11">
        <v>0.1412602667047035</v>
      </c>
      <c r="W1113" s="11">
        <v>0.11531455676896567</v>
      </c>
      <c r="X1113" s="11">
        <v>0.09910628457973003</v>
      </c>
      <c r="Y1113" s="11">
        <v>0.2521255737857407</v>
      </c>
      <c r="Z1113" s="11">
        <v>0.22196078203683764</v>
      </c>
    </row>
    <row r="1114" ht="22.5" customHeight="1">
      <c r="Q1114" s="9" t="s">
        <v>1152</v>
      </c>
      <c r="R1114" s="10">
        <v>0.5496401852587431</v>
      </c>
      <c r="S1114" s="10">
        <v>0.023931538716216956</v>
      </c>
      <c r="T1114" s="10">
        <v>21.29575499938041</v>
      </c>
      <c r="U1114" s="11">
        <v>0.2910566846416997</v>
      </c>
      <c r="V1114" s="11">
        <v>0.15075972394178386</v>
      </c>
      <c r="W1114" s="11">
        <v>0.14672191296347437</v>
      </c>
      <c r="X1114" s="11">
        <v>0.11794235651447457</v>
      </c>
      <c r="Y1114" s="11">
        <v>0.23969141965259347</v>
      </c>
      <c r="Z1114" s="11">
        <v>0.05382790228597412</v>
      </c>
    </row>
    <row r="1115" ht="22.5" customHeight="1">
      <c r="Q1115" s="9" t="s">
        <v>1153</v>
      </c>
      <c r="R1115" s="10">
        <v>0.6736381931858982</v>
      </c>
      <c r="S1115" s="10">
        <v>0.029754507123923208</v>
      </c>
      <c r="T1115" s="10">
        <v>21.295536523152172</v>
      </c>
      <c r="U1115" s="11">
        <v>0.08387934573096226</v>
      </c>
      <c r="V1115" s="11">
        <v>0.19500218947540907</v>
      </c>
      <c r="W1115" s="11">
        <v>0.1927980425549068</v>
      </c>
      <c r="X1115" s="11">
        <v>0.2804958457269178</v>
      </c>
      <c r="Y1115" s="11">
        <v>0.08027269607941825</v>
      </c>
      <c r="Z1115" s="11">
        <v>0.1675518804323858</v>
      </c>
    </row>
    <row r="1116" ht="22.5" customHeight="1">
      <c r="Q1116" s="9" t="s">
        <v>1154</v>
      </c>
      <c r="R1116" s="10">
        <v>0.5901370033840805</v>
      </c>
      <c r="S1116" s="10">
        <v>0.025833582444065757</v>
      </c>
      <c r="T1116" s="10">
        <v>21.29542058579075</v>
      </c>
      <c r="U1116" s="11">
        <v>0.23086162050440476</v>
      </c>
      <c r="V1116" s="11">
        <v>0.1734541671215755</v>
      </c>
      <c r="W1116" s="11">
        <v>0.15335532049099554</v>
      </c>
      <c r="X1116" s="11">
        <v>0.13587041771146652</v>
      </c>
      <c r="Y1116" s="11">
        <v>0.24300358017877755</v>
      </c>
      <c r="Z1116" s="11">
        <v>0.06345489399278009</v>
      </c>
    </row>
    <row r="1117" ht="22.5" customHeight="1">
      <c r="Q1117" s="9" t="s">
        <v>1155</v>
      </c>
      <c r="R1117" s="10">
        <v>0.539745932986608</v>
      </c>
      <c r="S1117" s="10">
        <v>0.02346786222148849</v>
      </c>
      <c r="T1117" s="10">
        <v>21.294906552204512</v>
      </c>
      <c r="U1117" s="11">
        <v>0.24887751252562987</v>
      </c>
      <c r="V1117" s="11">
        <v>0.12656322182823462</v>
      </c>
      <c r="W1117" s="11">
        <v>0.16421475759062146</v>
      </c>
      <c r="X1117" s="11">
        <v>0.17960129876263017</v>
      </c>
      <c r="Y1117" s="11">
        <v>0.16687706655682996</v>
      </c>
      <c r="Z1117" s="11">
        <v>0.113866142736054</v>
      </c>
    </row>
    <row r="1118" ht="22.5" customHeight="1">
      <c r="Q1118" s="9" t="s">
        <v>1156</v>
      </c>
      <c r="R1118" s="10">
        <v>0.6219570993439282</v>
      </c>
      <c r="S1118" s="10">
        <v>0.027328709998694238</v>
      </c>
      <c r="T1118" s="10">
        <v>21.294715314836814</v>
      </c>
      <c r="U1118" s="11">
        <v>0.11480182789015944</v>
      </c>
      <c r="V1118" s="11">
        <v>0.17230448695037345</v>
      </c>
      <c r="W1118" s="11">
        <v>0.1820822796811867</v>
      </c>
      <c r="X1118" s="11">
        <v>0.27582616932721343</v>
      </c>
      <c r="Y1118" s="11">
        <v>0.017793250600863463</v>
      </c>
      <c r="Z1118" s="11">
        <v>0.23719198555020357</v>
      </c>
    </row>
    <row r="1119" ht="22.5" customHeight="1">
      <c r="Q1119" s="9" t="s">
        <v>1157</v>
      </c>
      <c r="R1119" s="10">
        <v>0.6716268579598811</v>
      </c>
      <c r="S1119" s="10">
        <v>0.02966264926334844</v>
      </c>
      <c r="T1119" s="10">
        <v>21.29367651392917</v>
      </c>
      <c r="U1119" s="11">
        <v>0.13485217587973647</v>
      </c>
      <c r="V1119" s="11">
        <v>0.19095253192256098</v>
      </c>
      <c r="W1119" s="11">
        <v>0.1943511753511402</v>
      </c>
      <c r="X1119" s="11">
        <v>0.25335233939449325</v>
      </c>
      <c r="Y1119" s="11">
        <v>0.10861031818017154</v>
      </c>
      <c r="Z1119" s="11">
        <v>0.11788145927189753</v>
      </c>
    </row>
    <row r="1120" ht="22.5" customHeight="1">
      <c r="Q1120" s="9" t="s">
        <v>1158</v>
      </c>
      <c r="R1120" s="10">
        <v>0.6517872930718593</v>
      </c>
      <c r="S1120" s="10">
        <v>0.028732455350908643</v>
      </c>
      <c r="T1120" s="10">
        <v>21.292551771163268</v>
      </c>
      <c r="U1120" s="11">
        <v>0.24919613373357688</v>
      </c>
      <c r="V1120" s="11">
        <v>0.18006544727145546</v>
      </c>
      <c r="W1120" s="11">
        <v>0.1873053281125934</v>
      </c>
      <c r="X1120" s="11">
        <v>0.19556622158846326</v>
      </c>
      <c r="Y1120" s="11">
        <v>0.1820082785078756</v>
      </c>
      <c r="Z1120" s="11">
        <v>0.005858590786035439</v>
      </c>
    </row>
    <row r="1121" ht="22.5" customHeight="1">
      <c r="Q1121" s="9" t="s">
        <v>1159</v>
      </c>
      <c r="R1121" s="10">
        <v>0.5094639696796501</v>
      </c>
      <c r="S1121" s="10">
        <v>0.022048272454571548</v>
      </c>
      <c r="T1121" s="10">
        <v>21.292551180458144</v>
      </c>
      <c r="U1121" s="11">
        <v>0.27129536548146527</v>
      </c>
      <c r="V1121" s="11">
        <v>0.17111970699576698</v>
      </c>
      <c r="W1121" s="11">
        <v>0.10327491976087197</v>
      </c>
      <c r="X1121" s="11">
        <v>0.17488639780326035</v>
      </c>
      <c r="Y1121" s="11">
        <v>0.047805019930280426</v>
      </c>
      <c r="Z1121" s="11">
        <v>0.23161859002835505</v>
      </c>
    </row>
    <row r="1122" ht="22.5" customHeight="1">
      <c r="Q1122" s="9" t="s">
        <v>1160</v>
      </c>
      <c r="R1122" s="10">
        <v>0.6518407300985585</v>
      </c>
      <c r="S1122" s="10">
        <v>0.028736195958209265</v>
      </c>
      <c r="T1122" s="10">
        <v>21.29163967939082</v>
      </c>
      <c r="U1122" s="11">
        <v>0.14183925257264665</v>
      </c>
      <c r="V1122" s="11">
        <v>0.17886073406774833</v>
      </c>
      <c r="W1122" s="11">
        <v>0.19315058789231723</v>
      </c>
      <c r="X1122" s="11">
        <v>0.25601542862802695</v>
      </c>
      <c r="Y1122" s="11">
        <v>0.08930195209003955</v>
      </c>
      <c r="Z1122" s="11">
        <v>0.14083204474922115</v>
      </c>
    </row>
    <row r="1123" ht="22.5" customHeight="1">
      <c r="Q1123" s="9" t="s">
        <v>1161</v>
      </c>
      <c r="R1123" s="10">
        <v>0.643068127615642</v>
      </c>
      <c r="S1123" s="10">
        <v>0.0283244095998647</v>
      </c>
      <c r="T1123" s="10">
        <v>21.29146330444687</v>
      </c>
      <c r="U1123" s="11">
        <v>0.18537986579530036</v>
      </c>
      <c r="V1123" s="11">
        <v>0.1901210276641447</v>
      </c>
      <c r="W1123" s="11">
        <v>0.17673889547642033</v>
      </c>
      <c r="X1123" s="11">
        <v>0.1928029317917976</v>
      </c>
      <c r="Y1123" s="11">
        <v>0.14688230926549425</v>
      </c>
      <c r="Z1123" s="11">
        <v>0.10807497000684273</v>
      </c>
    </row>
    <row r="1124" ht="22.5" customHeight="1">
      <c r="Q1124" s="9" t="s">
        <v>1162</v>
      </c>
      <c r="R1124" s="10">
        <v>0.41627537054251096</v>
      </c>
      <c r="S1124" s="10">
        <v>0.01767313948233962</v>
      </c>
      <c r="T1124" s="10">
        <v>21.290805231210598</v>
      </c>
      <c r="U1124" s="11">
        <v>0.18419324148566688</v>
      </c>
      <c r="V1124" s="11">
        <v>0.07022906185521849</v>
      </c>
      <c r="W1124" s="11">
        <v>0.1303231016506359</v>
      </c>
      <c r="X1124" s="11">
        <v>0.2699515687298348</v>
      </c>
      <c r="Y1124" s="11">
        <v>0.07857406290121617</v>
      </c>
      <c r="Z1124" s="11">
        <v>0.2667289633774278</v>
      </c>
    </row>
    <row r="1125" ht="22.5" customHeight="1">
      <c r="Q1125" s="9" t="s">
        <v>1163</v>
      </c>
      <c r="R1125" s="10">
        <v>0.5393583111091191</v>
      </c>
      <c r="S1125" s="10">
        <v>0.023454349164053177</v>
      </c>
      <c r="T1125" s="10">
        <v>21.29064880957986</v>
      </c>
      <c r="U1125" s="11">
        <v>0.14169279170071955</v>
      </c>
      <c r="V1125" s="11">
        <v>0.11292844981179612</v>
      </c>
      <c r="W1125" s="11">
        <v>0.17292629474603258</v>
      </c>
      <c r="X1125" s="11">
        <v>0.2670514497585765</v>
      </c>
      <c r="Y1125" s="11">
        <v>0.15936161506016017</v>
      </c>
      <c r="Z1125" s="11">
        <v>0.14603939892271506</v>
      </c>
    </row>
    <row r="1126" ht="22.5" customHeight="1">
      <c r="Q1126" s="9" t="s">
        <v>1164</v>
      </c>
      <c r="R1126" s="10">
        <v>0.7115876866212671</v>
      </c>
      <c r="S1126" s="10">
        <v>0.03154426712744221</v>
      </c>
      <c r="T1126" s="10">
        <v>21.290324606622846</v>
      </c>
      <c r="U1126" s="11">
        <v>0.2218576254491106</v>
      </c>
      <c r="V1126" s="11">
        <v>0.2289436265517608</v>
      </c>
      <c r="W1126" s="11">
        <v>0.17927042210367963</v>
      </c>
      <c r="X1126" s="11">
        <v>0.24469200435306265</v>
      </c>
      <c r="Y1126" s="11">
        <v>0.12308444782811079</v>
      </c>
      <c r="Z1126" s="11">
        <v>0.0021518737142755843</v>
      </c>
    </row>
    <row r="1127" ht="22.5" customHeight="1">
      <c r="Q1127" s="9" t="s">
        <v>1165</v>
      </c>
      <c r="R1127" s="10">
        <v>0.7131508586975704</v>
      </c>
      <c r="S1127" s="10">
        <v>0.03161948936567301</v>
      </c>
      <c r="T1127" s="10">
        <v>21.289112259616736</v>
      </c>
      <c r="U1127" s="11">
        <v>0.2162144007503254</v>
      </c>
      <c r="V1127" s="11">
        <v>0.2356886644559943</v>
      </c>
      <c r="W1127" s="11">
        <v>0.17300832217136305</v>
      </c>
      <c r="X1127" s="11">
        <v>0.26862552988589933</v>
      </c>
      <c r="Y1127" s="11">
        <v>0.08812504931048983</v>
      </c>
      <c r="Z1127" s="11">
        <v>0.01833803342592799</v>
      </c>
    </row>
    <row r="1128" ht="22.5" customHeight="1">
      <c r="Q1128" s="9" t="s">
        <v>1166</v>
      </c>
      <c r="R1128" s="10">
        <v>0.4838182835025379</v>
      </c>
      <c r="S1128" s="10">
        <v>0.02084736424242521</v>
      </c>
      <c r="T1128" s="10">
        <v>21.28893985549263</v>
      </c>
      <c r="U1128" s="11">
        <v>0.17429497565817045</v>
      </c>
      <c r="V1128" s="11">
        <v>0.12592553522951516</v>
      </c>
      <c r="W1128" s="11">
        <v>0.13424008421111855</v>
      </c>
      <c r="X1128" s="11">
        <v>0.11861682063478218</v>
      </c>
      <c r="Y1128" s="11">
        <v>0.18960183559183227</v>
      </c>
      <c r="Z1128" s="11">
        <v>0.2573207486745815</v>
      </c>
    </row>
    <row r="1129" ht="22.5" customHeight="1">
      <c r="Q1129" s="9" t="s">
        <v>1167</v>
      </c>
      <c r="R1129" s="10">
        <v>0.5292864844082553</v>
      </c>
      <c r="S1129" s="10">
        <v>0.02298529723762489</v>
      </c>
      <c r="T1129" s="10">
        <v>21.28693309248735</v>
      </c>
      <c r="U1129" s="11">
        <v>0.23298337068492125</v>
      </c>
      <c r="V1129" s="11">
        <v>0.18256515622495073</v>
      </c>
      <c r="W1129" s="11">
        <v>0.10393399038484231</v>
      </c>
      <c r="X1129" s="11">
        <v>0.21603298432208137</v>
      </c>
      <c r="Y1129" s="11">
        <v>0.02740414037445599</v>
      </c>
      <c r="Z1129" s="11">
        <v>0.2370803580087484</v>
      </c>
    </row>
    <row r="1130" ht="22.5" customHeight="1">
      <c r="Q1130" s="9" t="s">
        <v>1168</v>
      </c>
      <c r="R1130" s="10">
        <v>0.5315343413628444</v>
      </c>
      <c r="S1130" s="10">
        <v>0.023091741233024637</v>
      </c>
      <c r="T1130" s="10">
        <v>21.28615319228837</v>
      </c>
      <c r="U1130" s="11">
        <v>0.09279645010177723</v>
      </c>
      <c r="V1130" s="11">
        <v>0.10992657331038247</v>
      </c>
      <c r="W1130" s="11">
        <v>0.16997673102920705</v>
      </c>
      <c r="X1130" s="11">
        <v>0.2744163445853778</v>
      </c>
      <c r="Y1130" s="11">
        <v>0.18683754240972142</v>
      </c>
      <c r="Z1130" s="11">
        <v>0.1660463585635341</v>
      </c>
    </row>
    <row r="1131" ht="22.5" customHeight="1">
      <c r="Q1131" s="9" t="s">
        <v>1169</v>
      </c>
      <c r="R1131" s="10">
        <v>0.6206634285487465</v>
      </c>
      <c r="S1131" s="10">
        <v>0.027279712484676165</v>
      </c>
      <c r="T1131" s="10">
        <v>21.28554063298587</v>
      </c>
      <c r="U1131" s="11">
        <v>0.2324479564089178</v>
      </c>
      <c r="V1131" s="11">
        <v>0.19792565531646478</v>
      </c>
      <c r="W1131" s="11">
        <v>0.15536928322225974</v>
      </c>
      <c r="X1131" s="11">
        <v>0.19721944828304164</v>
      </c>
      <c r="Y1131" s="11">
        <v>0.05850828865754439</v>
      </c>
      <c r="Z1131" s="11">
        <v>0.15852936811177154</v>
      </c>
    </row>
    <row r="1132" ht="22.5" customHeight="1">
      <c r="Q1132" s="9" t="s">
        <v>1170</v>
      </c>
      <c r="R1132" s="10">
        <v>0.537257141232784</v>
      </c>
      <c r="S1132" s="10">
        <v>0.023362320455771336</v>
      </c>
      <c r="T1132" s="10">
        <v>21.284578395120146</v>
      </c>
      <c r="U1132" s="11">
        <v>0.18279955446342877</v>
      </c>
      <c r="V1132" s="11">
        <v>0.18115756693594404</v>
      </c>
      <c r="W1132" s="11">
        <v>0.10437366651996526</v>
      </c>
      <c r="X1132" s="11">
        <v>0.16385794199036094</v>
      </c>
      <c r="Y1132" s="11">
        <v>0.2542635931182448</v>
      </c>
      <c r="Z1132" s="11">
        <v>0.11354767697205617</v>
      </c>
    </row>
    <row r="1133" ht="22.5" customHeight="1">
      <c r="Q1133" s="9" t="s">
        <v>1171</v>
      </c>
      <c r="R1133" s="10">
        <v>0.5979410479984001</v>
      </c>
      <c r="S1133" s="10">
        <v>0.026214788094247023</v>
      </c>
      <c r="T1133" s="10">
        <v>21.283446808438754</v>
      </c>
      <c r="U1133" s="11">
        <v>0.33432859480200233</v>
      </c>
      <c r="V1133" s="11">
        <v>0.14231711257514057</v>
      </c>
      <c r="W1133" s="11">
        <v>0.18552707750920305</v>
      </c>
      <c r="X1133" s="11">
        <v>0.2422023567595685</v>
      </c>
      <c r="Y1133" s="11">
        <v>0.05753781956405897</v>
      </c>
      <c r="Z1133" s="11">
        <v>0.03808703879002651</v>
      </c>
    </row>
    <row r="1134" ht="22.5" customHeight="1">
      <c r="Q1134" s="9" t="s">
        <v>1172</v>
      </c>
      <c r="R1134" s="10">
        <v>0.6151089527640474</v>
      </c>
      <c r="S1134" s="10">
        <v>0.027022368716037404</v>
      </c>
      <c r="T1134" s="10">
        <v>21.282699485287097</v>
      </c>
      <c r="U1134" s="11">
        <v>0.1842667232633435</v>
      </c>
      <c r="V1134" s="11">
        <v>0.16118689328895613</v>
      </c>
      <c r="W1134" s="11">
        <v>0.1787492328954382</v>
      </c>
      <c r="X1134" s="11">
        <v>0.18540914783045181</v>
      </c>
      <c r="Y1134" s="11">
        <v>0.2673478057924549</v>
      </c>
      <c r="Z1134" s="11">
        <v>0.023040196929355668</v>
      </c>
    </row>
    <row r="1135" ht="22.5" customHeight="1">
      <c r="Q1135" s="9" t="s">
        <v>1173</v>
      </c>
      <c r="R1135" s="10">
        <v>0.515470161983441</v>
      </c>
      <c r="S1135" s="10">
        <v>0.022340750178141487</v>
      </c>
      <c r="T1135" s="10">
        <v>21.28264083310183</v>
      </c>
      <c r="U1135" s="11">
        <v>0.10302889648323366</v>
      </c>
      <c r="V1135" s="11">
        <v>0.13627605984368613</v>
      </c>
      <c r="W1135" s="11">
        <v>0.13864909441804976</v>
      </c>
      <c r="X1135" s="11">
        <v>0.1363318075478206</v>
      </c>
      <c r="Y1135" s="11">
        <v>0.3199064011451486</v>
      </c>
      <c r="Z1135" s="11">
        <v>0.16580774056206124</v>
      </c>
    </row>
    <row r="1136" ht="22.5" customHeight="1">
      <c r="Q1136" s="9" t="s">
        <v>1174</v>
      </c>
      <c r="R1136" s="10">
        <v>0.522331348251574</v>
      </c>
      <c r="S1136" s="10">
        <v>0.027269536288871094</v>
      </c>
      <c r="T1136" s="10">
        <v>21.282629242317913</v>
      </c>
      <c r="U1136" s="11">
        <v>0.02395286913879098</v>
      </c>
      <c r="V1136" s="11">
        <v>0.2051552616077948</v>
      </c>
      <c r="W1136" s="11">
        <v>0.1435231454422701</v>
      </c>
      <c r="X1136" s="11">
        <v>0.2200827028916611</v>
      </c>
      <c r="Y1136" s="11">
        <v>0.22670033378556573</v>
      </c>
      <c r="Z1136" s="11">
        <v>0.18058568713391734</v>
      </c>
    </row>
    <row r="1137" ht="22.5" customHeight="1">
      <c r="Q1137" s="9" t="s">
        <v>1175</v>
      </c>
      <c r="R1137" s="10">
        <v>0.6435987581019967</v>
      </c>
      <c r="S1137" s="10">
        <v>0.028361243173303494</v>
      </c>
      <c r="T1137" s="10">
        <v>21.282521165015982</v>
      </c>
      <c r="U1137" s="11">
        <v>0.20792869921563722</v>
      </c>
      <c r="V1137" s="11">
        <v>0.20596904624396742</v>
      </c>
      <c r="W1137" s="11">
        <v>0.16152141379735607</v>
      </c>
      <c r="X1137" s="11">
        <v>0.19944235567646845</v>
      </c>
      <c r="Y1137" s="11">
        <v>0.10399585267340887</v>
      </c>
      <c r="Z1137" s="11">
        <v>0.12114263239316203</v>
      </c>
    </row>
    <row r="1138" ht="22.5" customHeight="1">
      <c r="Q1138" s="9" t="s">
        <v>1176</v>
      </c>
      <c r="R1138" s="10">
        <v>0.6810737826092813</v>
      </c>
      <c r="S1138" s="10">
        <v>0.030123518711492072</v>
      </c>
      <c r="T1138" s="10">
        <v>21.281503955403213</v>
      </c>
      <c r="U1138" s="11">
        <v>0.25939181251492205</v>
      </c>
      <c r="V1138" s="11">
        <v>0.19619341874824506</v>
      </c>
      <c r="W1138" s="11">
        <v>0.19276123670798423</v>
      </c>
      <c r="X1138" s="11">
        <v>0.21599490403143928</v>
      </c>
      <c r="Y1138" s="11">
        <v>0.12597137412749826</v>
      </c>
      <c r="Z1138" s="11">
        <v>0.009687253869911013</v>
      </c>
    </row>
    <row r="1139" ht="22.5" customHeight="1">
      <c r="Q1139" s="9" t="s">
        <v>1177</v>
      </c>
      <c r="R1139" s="10">
        <v>0.6460709436093198</v>
      </c>
      <c r="S1139" s="10">
        <v>0.028479134298188644</v>
      </c>
      <c r="T1139" s="10">
        <v>21.281227767090787</v>
      </c>
      <c r="U1139" s="11">
        <v>0.2103801636767438</v>
      </c>
      <c r="V1139" s="11">
        <v>0.22256486761875646</v>
      </c>
      <c r="W1139" s="11">
        <v>0.14092631813698908</v>
      </c>
      <c r="X1139" s="11">
        <v>0.25458095136009185</v>
      </c>
      <c r="Y1139" s="11">
        <v>0.06973026827963656</v>
      </c>
      <c r="Z1139" s="11">
        <v>0.1018174309277823</v>
      </c>
    </row>
    <row r="1140" ht="22.5" customHeight="1">
      <c r="Q1140" s="9" t="s">
        <v>1178</v>
      </c>
      <c r="R1140" s="10">
        <v>0.44462761768349107</v>
      </c>
      <c r="S1140" s="10">
        <v>0.01901380181388934</v>
      </c>
      <c r="T1140" s="10">
        <v>21.280731841220504</v>
      </c>
      <c r="U1140" s="11">
        <v>0.359916299581687</v>
      </c>
      <c r="V1140" s="11">
        <v>0.13829391328972407</v>
      </c>
      <c r="W1140" s="11">
        <v>0.07669871056843153</v>
      </c>
      <c r="X1140" s="11">
        <v>0.1330627177954512</v>
      </c>
      <c r="Y1140" s="11">
        <v>0.23984011101301073</v>
      </c>
      <c r="Z1140" s="11">
        <v>0.05218824775169541</v>
      </c>
    </row>
    <row r="1141" ht="22.5" customHeight="1">
      <c r="Q1141" s="9" t="s">
        <v>1179</v>
      </c>
      <c r="R1141" s="10">
        <v>0.6852001859309599</v>
      </c>
      <c r="S1141" s="10">
        <v>0.030318643631007454</v>
      </c>
      <c r="T1141" s="10">
        <v>21.28064150175575</v>
      </c>
      <c r="U1141" s="11">
        <v>0.0405511774236311</v>
      </c>
      <c r="V1141" s="11">
        <v>0.2075725938928666</v>
      </c>
      <c r="W1141" s="11">
        <v>0.18817938910171095</v>
      </c>
      <c r="X1141" s="11">
        <v>0.27602351570472466</v>
      </c>
      <c r="Y1141" s="11">
        <v>0.11975946865865306</v>
      </c>
      <c r="Z1141" s="11">
        <v>0.16791385521841354</v>
      </c>
    </row>
    <row r="1142" ht="22.5" customHeight="1">
      <c r="Q1142" s="9" t="s">
        <v>1180</v>
      </c>
      <c r="R1142" s="10">
        <v>0.4083076952003787</v>
      </c>
      <c r="S1142" s="10">
        <v>0.017307908028772002</v>
      </c>
      <c r="T1142" s="10">
        <v>21.279734938972297</v>
      </c>
      <c r="U1142" s="11">
        <v>0.13398645193230807</v>
      </c>
      <c r="V1142" s="11">
        <v>0.0638509942348798</v>
      </c>
      <c r="W1142" s="11">
        <v>0.12470589354928117</v>
      </c>
      <c r="X1142" s="11">
        <v>0.25567172412645983</v>
      </c>
      <c r="Y1142" s="11">
        <v>0.22993464203783787</v>
      </c>
      <c r="Z1142" s="11">
        <v>0.19185029411923318</v>
      </c>
    </row>
    <row r="1143" ht="22.5" customHeight="1">
      <c r="Q1143" s="9" t="s">
        <v>1181</v>
      </c>
      <c r="R1143" s="10">
        <v>0.37536870030851394</v>
      </c>
      <c r="S1143" s="10">
        <v>0.015760068009902692</v>
      </c>
      <c r="T1143" s="10">
        <v>21.2796480381803</v>
      </c>
      <c r="U1143" s="11">
        <v>0.06043637247101443</v>
      </c>
      <c r="V1143" s="11">
        <v>0.10938663586340197</v>
      </c>
      <c r="W1143" s="11">
        <v>0.06179977491501658</v>
      </c>
      <c r="X1143" s="11">
        <v>0.16151208046108662</v>
      </c>
      <c r="Y1143" s="11">
        <v>0.3315060349450616</v>
      </c>
      <c r="Z1143" s="11">
        <v>0.27535910134441893</v>
      </c>
    </row>
    <row r="1144" ht="22.5" customHeight="1">
      <c r="Q1144" s="9" t="s">
        <v>1182</v>
      </c>
      <c r="R1144" s="10">
        <v>0.6233996237322047</v>
      </c>
      <c r="S1144" s="10">
        <v>0.027416343249756666</v>
      </c>
      <c r="T1144" s="10">
        <v>21.279264649467162</v>
      </c>
      <c r="U1144" s="11">
        <v>0.13545826202480174</v>
      </c>
      <c r="V1144" s="11">
        <v>0.19599147216688023</v>
      </c>
      <c r="W1144" s="11">
        <v>0.16155310177697368</v>
      </c>
      <c r="X1144" s="11">
        <v>0.2470754538027383</v>
      </c>
      <c r="Y1144" s="11">
        <v>0.010265299975581321</v>
      </c>
      <c r="Z1144" s="11">
        <v>0.24965641025302465</v>
      </c>
    </row>
    <row r="1145" ht="22.5" customHeight="1">
      <c r="Q1145" s="9" t="s">
        <v>1183</v>
      </c>
      <c r="R1145" s="10">
        <v>0.5420474138922189</v>
      </c>
      <c r="S1145" s="10">
        <v>0.023593451750090193</v>
      </c>
      <c r="T1145" s="10">
        <v>21.27909977777201</v>
      </c>
      <c r="U1145" s="11">
        <v>0.240760498345784</v>
      </c>
      <c r="V1145" s="11">
        <v>0.18144440792572017</v>
      </c>
      <c r="W1145" s="11">
        <v>0.11751043953025941</v>
      </c>
      <c r="X1145" s="11">
        <v>0.19273723399541198</v>
      </c>
      <c r="Y1145" s="11">
        <v>0.02315607643191351</v>
      </c>
      <c r="Z1145" s="11">
        <v>0.24439134377091085</v>
      </c>
    </row>
    <row r="1146" ht="22.5" customHeight="1">
      <c r="Q1146" s="9" t="s">
        <v>1184</v>
      </c>
      <c r="R1146" s="10">
        <v>0.3400376335875209</v>
      </c>
      <c r="S1146" s="10">
        <v>0.014100352108935163</v>
      </c>
      <c r="T1146" s="10">
        <v>21.27873341527351</v>
      </c>
      <c r="U1146" s="11">
        <v>0.2827110171636513</v>
      </c>
      <c r="V1146" s="11">
        <v>0.04102561444171514</v>
      </c>
      <c r="W1146" s="11">
        <v>0.09008159365929676</v>
      </c>
      <c r="X1146" s="11">
        <v>0.261223561739308</v>
      </c>
      <c r="Y1146" s="11">
        <v>0.2228685635748102</v>
      </c>
      <c r="Z1146" s="11">
        <v>0.10208964942121863</v>
      </c>
    </row>
    <row r="1147" ht="22.5" customHeight="1">
      <c r="Q1147" s="9" t="s">
        <v>1185</v>
      </c>
      <c r="R1147" s="10">
        <v>0.6042932490741205</v>
      </c>
      <c r="S1147" s="10">
        <v>0.026520245448658625</v>
      </c>
      <c r="T1147" s="10">
        <v>21.277829052018145</v>
      </c>
      <c r="U1147" s="11">
        <v>0.2067135625676351</v>
      </c>
      <c r="V1147" s="11">
        <v>0.1809554634261194</v>
      </c>
      <c r="W1147" s="11">
        <v>0.16201346682979365</v>
      </c>
      <c r="X1147" s="11">
        <v>0.16421001838095464</v>
      </c>
      <c r="Y1147" s="11">
        <v>0.12577429991161967</v>
      </c>
      <c r="Z1147" s="11">
        <v>0.1603331888838775</v>
      </c>
    </row>
    <row r="1148" ht="22.5" customHeight="1">
      <c r="Q1148" s="9" t="s">
        <v>1186</v>
      </c>
      <c r="R1148" s="10">
        <v>0.5423294357364548</v>
      </c>
      <c r="S1148" s="10">
        <v>0.023608260464060293</v>
      </c>
      <c r="T1148" s="10">
        <v>21.277697969368347</v>
      </c>
      <c r="U1148" s="11">
        <v>0.05262051087588351</v>
      </c>
      <c r="V1148" s="11">
        <v>0.12273533979637194</v>
      </c>
      <c r="W1148" s="11">
        <v>0.1665238739054778</v>
      </c>
      <c r="X1148" s="11">
        <v>0.23230144755436807</v>
      </c>
      <c r="Y1148" s="11">
        <v>0.26566102962852545</v>
      </c>
      <c r="Z1148" s="11">
        <v>0.16015779823937318</v>
      </c>
    </row>
    <row r="1149" ht="22.5" customHeight="1">
      <c r="Q1149" s="9" t="s">
        <v>1187</v>
      </c>
      <c r="R1149" s="10">
        <v>0.30069597914098656</v>
      </c>
      <c r="S1149" s="10">
        <v>0.012253515263159003</v>
      </c>
      <c r="T1149" s="10">
        <v>21.275199282999722</v>
      </c>
      <c r="U1149" s="11">
        <v>0.28475928210176626</v>
      </c>
      <c r="V1149" s="11">
        <v>0.08199010810730135</v>
      </c>
      <c r="W1149" s="11">
        <v>0.03126712979415685</v>
      </c>
      <c r="X1149" s="11">
        <v>0.23314153939928162</v>
      </c>
      <c r="Y1149" s="11">
        <v>0.09292679607316423</v>
      </c>
      <c r="Z1149" s="11">
        <v>0.2759151445243295</v>
      </c>
    </row>
    <row r="1150" ht="22.5" customHeight="1">
      <c r="Q1150" s="9" t="s">
        <v>1188</v>
      </c>
      <c r="R1150" s="10">
        <v>0.5188735810817477</v>
      </c>
      <c r="S1150" s="10">
        <v>0.022508966054080006</v>
      </c>
      <c r="T1150" s="10">
        <v>21.274792450759705</v>
      </c>
      <c r="U1150" s="11">
        <v>0.2805785212021126</v>
      </c>
      <c r="V1150" s="11">
        <v>0.12933987792055693</v>
      </c>
      <c r="W1150" s="11">
        <v>0.1531830065431546</v>
      </c>
      <c r="X1150" s="11">
        <v>0.16439564561159556</v>
      </c>
      <c r="Y1150" s="11">
        <v>0.07203802736793186</v>
      </c>
      <c r="Z1150" s="11">
        <v>0.20046492135464844</v>
      </c>
    </row>
    <row r="1151" ht="22.5" customHeight="1">
      <c r="Q1151" s="9" t="s">
        <v>1189</v>
      </c>
      <c r="R1151" s="10">
        <v>0.5274330014761045</v>
      </c>
      <c r="S1151" s="10">
        <v>0.022911873882744186</v>
      </c>
      <c r="T1151" s="10">
        <v>21.27425299085681</v>
      </c>
      <c r="U1151" s="11">
        <v>0.13984108288292615</v>
      </c>
      <c r="V1151" s="11">
        <v>0.17074366111280187</v>
      </c>
      <c r="W1151" s="11">
        <v>0.12177585874097309</v>
      </c>
      <c r="X1151" s="11">
        <v>0.14771196649810384</v>
      </c>
      <c r="Y1151" s="11">
        <v>0.12843864433076269</v>
      </c>
      <c r="Z1151" s="11">
        <v>0.2914887864344323</v>
      </c>
    </row>
    <row r="1152" ht="22.5" customHeight="1">
      <c r="Q1152" s="9" t="s">
        <v>1190</v>
      </c>
      <c r="R1152" s="10">
        <v>0.6966739421532031</v>
      </c>
      <c r="S1152" s="10">
        <v>0.0308677716499879</v>
      </c>
      <c r="T1152" s="10">
        <v>21.273772191892593</v>
      </c>
      <c r="U1152" s="11">
        <v>0.2170808467510664</v>
      </c>
      <c r="V1152" s="11">
        <v>0.20953539236676247</v>
      </c>
      <c r="W1152" s="11">
        <v>0.19221149983222163</v>
      </c>
      <c r="X1152" s="11">
        <v>0.23934914482982578</v>
      </c>
      <c r="Y1152" s="11">
        <v>0.08787705963461567</v>
      </c>
      <c r="Z1152" s="11">
        <v>0.05394605658550808</v>
      </c>
    </row>
    <row r="1153" ht="22.5" customHeight="1">
      <c r="Q1153" s="9" t="s">
        <v>1191</v>
      </c>
      <c r="R1153" s="10">
        <v>0.4076994590899312</v>
      </c>
      <c r="S1153" s="10">
        <v>0.01728428189879263</v>
      </c>
      <c r="T1153" s="10">
        <v>21.27363238131498</v>
      </c>
      <c r="U1153" s="11">
        <v>0.10340946506707858</v>
      </c>
      <c r="V1153" s="11">
        <v>0.14061734327293698</v>
      </c>
      <c r="W1153" s="11">
        <v>0.055773430715752595</v>
      </c>
      <c r="X1153" s="11">
        <v>0.2711151669579291</v>
      </c>
      <c r="Y1153" s="11">
        <v>0.05924431834872269</v>
      </c>
      <c r="Z1153" s="11">
        <v>0.36984027563758004</v>
      </c>
    </row>
    <row r="1154" ht="22.5" customHeight="1">
      <c r="Q1154" s="9" t="s">
        <v>1192</v>
      </c>
      <c r="R1154" s="10">
        <v>0.45298493773117204</v>
      </c>
      <c r="S1154" s="10">
        <v>0.0194132884748379</v>
      </c>
      <c r="T1154" s="10">
        <v>21.2733117455321</v>
      </c>
      <c r="U1154" s="11">
        <v>0.0818349884093196</v>
      </c>
      <c r="V1154" s="11">
        <v>0.13895152797968727</v>
      </c>
      <c r="W1154" s="11">
        <v>0.09429797265122399</v>
      </c>
      <c r="X1154" s="11">
        <v>0.12159159469982248</v>
      </c>
      <c r="Y1154" s="11">
        <v>0.3014640949645497</v>
      </c>
      <c r="Z1154" s="11">
        <v>0.261859821295397</v>
      </c>
    </row>
    <row r="1155" ht="22.5" customHeight="1">
      <c r="Q1155" s="9" t="s">
        <v>1193</v>
      </c>
      <c r="R1155" s="10">
        <v>0.6794572904266442</v>
      </c>
      <c r="S1155" s="10">
        <v>0.03005996813119085</v>
      </c>
      <c r="T1155" s="10">
        <v>21.272720171753274</v>
      </c>
      <c r="U1155" s="11">
        <v>0.08879423535052924</v>
      </c>
      <c r="V1155" s="11">
        <v>0.20710292409657355</v>
      </c>
      <c r="W1155" s="11">
        <v>0.18482232837918178</v>
      </c>
      <c r="X1155" s="11">
        <v>0.24250514063590126</v>
      </c>
      <c r="Y1155" s="11">
        <v>0.13997010781381194</v>
      </c>
      <c r="Z1155" s="11">
        <v>0.13680526372400229</v>
      </c>
    </row>
    <row r="1156" ht="22.5" customHeight="1">
      <c r="Q1156" s="9" t="s">
        <v>1194</v>
      </c>
      <c r="R1156" s="10">
        <v>0.522331348251574</v>
      </c>
      <c r="S1156" s="10">
        <v>0.017304762750810714</v>
      </c>
      <c r="T1156" s="10">
        <v>21.27269037008252</v>
      </c>
      <c r="U1156" s="11">
        <v>0.2512202696956548</v>
      </c>
      <c r="V1156" s="11">
        <v>0.0845806386847833</v>
      </c>
      <c r="W1156" s="11">
        <v>0.1128944394554472</v>
      </c>
      <c r="X1156" s="11">
        <v>0.1280569690385023</v>
      </c>
      <c r="Y1156" s="11">
        <v>0.23815109755929648</v>
      </c>
      <c r="Z1156" s="11">
        <v>0.18509658556631592</v>
      </c>
    </row>
    <row r="1157" ht="22.5" customHeight="1">
      <c r="Q1157" s="9" t="s">
        <v>1195</v>
      </c>
      <c r="R1157" s="10">
        <v>0.4812912859221231</v>
      </c>
      <c r="S1157" s="10">
        <v>0.02074489413336297</v>
      </c>
      <c r="T1157" s="10">
        <v>21.272284306932978</v>
      </c>
      <c r="U1157" s="11">
        <v>0.2189914905885229</v>
      </c>
      <c r="V1157" s="11">
        <v>0.16870735167185139</v>
      </c>
      <c r="W1157" s="11">
        <v>0.07957601490540303</v>
      </c>
      <c r="X1157" s="11">
        <v>0.1991861780470115</v>
      </c>
      <c r="Y1157" s="11">
        <v>0.11716448449107122</v>
      </c>
      <c r="Z1157" s="11">
        <v>0.21637448029614006</v>
      </c>
    </row>
    <row r="1158" ht="22.5" customHeight="1">
      <c r="Q1158" s="9" t="s">
        <v>1196</v>
      </c>
      <c r="R1158" s="10">
        <v>0.35276440633596956</v>
      </c>
      <c r="S1158" s="10">
        <v>0.014703134059523087</v>
      </c>
      <c r="T1158" s="10">
        <v>21.271955017875587</v>
      </c>
      <c r="U1158" s="11">
        <v>0.2971037026055196</v>
      </c>
      <c r="V1158" s="11">
        <v>0.10006215282269824</v>
      </c>
      <c r="W1158" s="11">
        <v>0.03589395950283934</v>
      </c>
      <c r="X1158" s="11">
        <v>0.2386042611978287</v>
      </c>
      <c r="Y1158" s="11">
        <v>0.27521508165510644</v>
      </c>
      <c r="Z1158" s="11">
        <v>0.05312084221600772</v>
      </c>
    </row>
    <row r="1159" ht="22.5" customHeight="1">
      <c r="Q1159" s="9" t="s">
        <v>1197</v>
      </c>
      <c r="R1159" s="10">
        <v>0.7135071559808547</v>
      </c>
      <c r="S1159" s="10">
        <v>0.03166240281520377</v>
      </c>
      <c r="T1159" s="10">
        <v>21.271511196157466</v>
      </c>
      <c r="U1159" s="11">
        <v>0.15743637172414518</v>
      </c>
      <c r="V1159" s="11">
        <v>0.21121937398300106</v>
      </c>
      <c r="W1159" s="11">
        <v>0.19852322170414483</v>
      </c>
      <c r="X1159" s="11">
        <v>0.24015143593966237</v>
      </c>
      <c r="Y1159" s="11">
        <v>0.1896478542962653</v>
      </c>
      <c r="Z1159" s="11">
        <v>0.0030217423527811884</v>
      </c>
    </row>
    <row r="1160" ht="22.5" customHeight="1">
      <c r="Q1160" s="9" t="s">
        <v>1198</v>
      </c>
      <c r="R1160" s="10">
        <v>0.5650053814787961</v>
      </c>
      <c r="S1160" s="10">
        <v>0.024681931683655834</v>
      </c>
      <c r="T1160" s="10">
        <v>21.270838450073587</v>
      </c>
      <c r="U1160" s="11">
        <v>0.22021405631617127</v>
      </c>
      <c r="V1160" s="11">
        <v>0.16806047270350657</v>
      </c>
      <c r="W1160" s="11">
        <v>0.15116894811903434</v>
      </c>
      <c r="X1160" s="11">
        <v>0.18348573217299818</v>
      </c>
      <c r="Y1160" s="11">
        <v>0.01838109342801157</v>
      </c>
      <c r="Z1160" s="11">
        <v>0.25868969726027796</v>
      </c>
    </row>
    <row r="1161" ht="22.5" customHeight="1">
      <c r="Q1161" s="9" t="s">
        <v>1199</v>
      </c>
      <c r="R1161" s="10">
        <v>0.3998292066219388</v>
      </c>
      <c r="S1161" s="10">
        <v>0.01691674461177289</v>
      </c>
      <c r="T1161" s="10">
        <v>21.270594010831285</v>
      </c>
      <c r="U1161" s="11">
        <v>0.29982671099678015</v>
      </c>
      <c r="V1161" s="11">
        <v>0.1337935466437061</v>
      </c>
      <c r="W1161" s="11">
        <v>0.03665747567613436</v>
      </c>
      <c r="X1161" s="11">
        <v>0.32084191520345556</v>
      </c>
      <c r="Y1161" s="11">
        <v>0.10240523303462296</v>
      </c>
      <c r="Z1161" s="11">
        <v>0.10647511844530087</v>
      </c>
    </row>
    <row r="1162" ht="22.5" customHeight="1">
      <c r="Q1162" s="9" t="s">
        <v>1200</v>
      </c>
      <c r="R1162" s="10">
        <v>0.5168571681338293</v>
      </c>
      <c r="S1162" s="10">
        <v>0.02241872712195144</v>
      </c>
      <c r="T1162" s="10">
        <v>21.270483624688556</v>
      </c>
      <c r="U1162" s="11">
        <v>0.13095579292345005</v>
      </c>
      <c r="V1162" s="11">
        <v>0.1726665060137031</v>
      </c>
      <c r="W1162" s="11">
        <v>0.10410805962703873</v>
      </c>
      <c r="X1162" s="11">
        <v>0.1491149549773417</v>
      </c>
      <c r="Y1162" s="11">
        <v>0.23984065513964709</v>
      </c>
      <c r="Z1162" s="11">
        <v>0.20331403131881925</v>
      </c>
    </row>
    <row r="1163" ht="22.5" customHeight="1">
      <c r="Q1163" s="9" t="s">
        <v>1201</v>
      </c>
      <c r="R1163" s="10">
        <v>0.603742033847954</v>
      </c>
      <c r="S1163" s="10">
        <v>0.026503855261700984</v>
      </c>
      <c r="T1163" s="10">
        <v>21.270189875454886</v>
      </c>
      <c r="U1163" s="11">
        <v>0.1857375166490383</v>
      </c>
      <c r="V1163" s="11">
        <v>0.20711262844388068</v>
      </c>
      <c r="W1163" s="11">
        <v>0.12903746812483427</v>
      </c>
      <c r="X1163" s="11">
        <v>0.20255490302981324</v>
      </c>
      <c r="Y1163" s="11">
        <v>0.1411756213734696</v>
      </c>
      <c r="Z1163" s="11">
        <v>0.1343818623789639</v>
      </c>
    </row>
    <row r="1164" ht="22.5" customHeight="1">
      <c r="Q1164" s="9" t="s">
        <v>1202</v>
      </c>
      <c r="R1164" s="10">
        <v>0.33461728192249673</v>
      </c>
      <c r="S1164" s="10">
        <v>0.013851571037057269</v>
      </c>
      <c r="T1164" s="10">
        <v>21.26959325655579</v>
      </c>
      <c r="U1164" s="11">
        <v>0.162956508201289</v>
      </c>
      <c r="V1164" s="11">
        <v>0.04219879457185241</v>
      </c>
      <c r="W1164" s="11">
        <v>0.0922210983296704</v>
      </c>
      <c r="X1164" s="11">
        <v>0.36290960741643113</v>
      </c>
      <c r="Y1164" s="11">
        <v>0.02553970686172336</v>
      </c>
      <c r="Z1164" s="11">
        <v>0.3141742846190338</v>
      </c>
    </row>
    <row r="1165" ht="22.5" customHeight="1">
      <c r="Q1165" s="9" t="s">
        <v>1203</v>
      </c>
      <c r="R1165" s="10">
        <v>0.522331348251574</v>
      </c>
      <c r="S1165" s="10">
        <v>0.027087677407635766</v>
      </c>
      <c r="T1165" s="10">
        <v>21.26955822260879</v>
      </c>
      <c r="U1165" s="11">
        <v>0.21616456649452956</v>
      </c>
      <c r="V1165" s="11">
        <v>0.2133290685700638</v>
      </c>
      <c r="W1165" s="11">
        <v>0.13110487254151973</v>
      </c>
      <c r="X1165" s="11">
        <v>0.24580182996833766</v>
      </c>
      <c r="Y1165" s="11">
        <v>0.046997909979006144</v>
      </c>
      <c r="Z1165" s="11">
        <v>0.1466017524465431</v>
      </c>
    </row>
    <row r="1166" ht="22.5" customHeight="1">
      <c r="Q1166" s="9" t="s">
        <v>1204</v>
      </c>
      <c r="R1166" s="10">
        <v>0.5166215200744948</v>
      </c>
      <c r="S1166" s="10">
        <v>0.022409413776296377</v>
      </c>
      <c r="T1166" s="10">
        <v>21.26880804792148</v>
      </c>
      <c r="U1166" s="11">
        <v>0.1426527003630803</v>
      </c>
      <c r="V1166" s="11">
        <v>0.11844186929479554</v>
      </c>
      <c r="W1166" s="11">
        <v>0.1548652545795078</v>
      </c>
      <c r="X1166" s="11">
        <v>0.17493514092979634</v>
      </c>
      <c r="Y1166" s="11">
        <v>0.26578753245387765</v>
      </c>
      <c r="Z1166" s="11">
        <v>0.14331750237894225</v>
      </c>
    </row>
    <row r="1167" ht="22.5" customHeight="1">
      <c r="Q1167" s="9" t="s">
        <v>1205</v>
      </c>
      <c r="R1167" s="10">
        <v>0.44089762650183095</v>
      </c>
      <c r="S1167" s="10">
        <v>0.018849170462939116</v>
      </c>
      <c r="T1167" s="10">
        <v>21.268714572350458</v>
      </c>
      <c r="U1167" s="11">
        <v>0.1436540940972542</v>
      </c>
      <c r="V1167" s="11">
        <v>0.15561183511589416</v>
      </c>
      <c r="W1167" s="11">
        <v>0.06197812510486308</v>
      </c>
      <c r="X1167" s="11">
        <v>0.23978346958195954</v>
      </c>
      <c r="Y1167" s="11">
        <v>0.12077594012114798</v>
      </c>
      <c r="Z1167" s="11">
        <v>0.2781965359788811</v>
      </c>
    </row>
    <row r="1168" ht="22.5" customHeight="1">
      <c r="Q1168" s="9" t="s">
        <v>1206</v>
      </c>
      <c r="R1168" s="10">
        <v>0.6222005177398073</v>
      </c>
      <c r="S1168" s="10">
        <v>0.027373816015960704</v>
      </c>
      <c r="T1168" s="10">
        <v>21.268518696857857</v>
      </c>
      <c r="U1168" s="11">
        <v>0.1720486306341193</v>
      </c>
      <c r="V1168" s="11">
        <v>0.1640838088361287</v>
      </c>
      <c r="W1168" s="11">
        <v>0.1881672998461818</v>
      </c>
      <c r="X1168" s="11">
        <v>0.24066384031688895</v>
      </c>
      <c r="Y1168" s="11">
        <v>0.07669417058918288</v>
      </c>
      <c r="Z1168" s="11">
        <v>0.15834224977749842</v>
      </c>
    </row>
    <row r="1169" ht="22.5" customHeight="1">
      <c r="Q1169" s="9" t="s">
        <v>1207</v>
      </c>
      <c r="R1169" s="10">
        <v>0.5791133279845417</v>
      </c>
      <c r="S1169" s="10">
        <v>0.02534833963854492</v>
      </c>
      <c r="T1169" s="10">
        <v>21.268190961303084</v>
      </c>
      <c r="U1169" s="11">
        <v>0.23860930900345917</v>
      </c>
      <c r="V1169" s="11">
        <v>0.20121261045397995</v>
      </c>
      <c r="W1169" s="11">
        <v>0.1165736623070344</v>
      </c>
      <c r="X1169" s="11">
        <v>0.20720257776582762</v>
      </c>
      <c r="Y1169" s="11">
        <v>0.1005419191431019</v>
      </c>
      <c r="Z1169" s="11">
        <v>0.1358599213265969</v>
      </c>
    </row>
    <row r="1170" ht="22.5" customHeight="1">
      <c r="Q1170" s="9" t="s">
        <v>1208</v>
      </c>
      <c r="R1170" s="10">
        <v>0.632175605355429</v>
      </c>
      <c r="S1170" s="10">
        <v>0.027845129109780483</v>
      </c>
      <c r="T1170" s="10">
        <v>21.26675739303467</v>
      </c>
      <c r="U1170" s="11">
        <v>0.23715894966377474</v>
      </c>
      <c r="V1170" s="11">
        <v>0.20985743186858363</v>
      </c>
      <c r="W1170" s="11">
        <v>0.14105841049540743</v>
      </c>
      <c r="X1170" s="11">
        <v>0.18137623145042997</v>
      </c>
      <c r="Y1170" s="11">
        <v>0.2241282272203108</v>
      </c>
      <c r="Z1170" s="11">
        <v>0.006420749301493348</v>
      </c>
    </row>
    <row r="1171" ht="22.5" customHeight="1">
      <c r="Q1171" s="9" t="s">
        <v>1209</v>
      </c>
      <c r="R1171" s="10">
        <v>0.6592428693338848</v>
      </c>
      <c r="S1171" s="10">
        <v>0.02911965630990716</v>
      </c>
      <c r="T1171" s="10">
        <v>21.265459411456185</v>
      </c>
      <c r="U1171" s="11">
        <v>0.16005704055670836</v>
      </c>
      <c r="V1171" s="11">
        <v>0.18101800582362546</v>
      </c>
      <c r="W1171" s="11">
        <v>0.19426233961215825</v>
      </c>
      <c r="X1171" s="11">
        <v>0.225083265713146</v>
      </c>
      <c r="Y1171" s="11">
        <v>0.16059578817666936</v>
      </c>
      <c r="Z1171" s="11">
        <v>0.07898356011769259</v>
      </c>
    </row>
    <row r="1172" ht="22.5" customHeight="1">
      <c r="Q1172" s="9" t="s">
        <v>1210</v>
      </c>
      <c r="R1172" s="10">
        <v>0.6791213308090471</v>
      </c>
      <c r="S1172" s="10">
        <v>0.030054873497095073</v>
      </c>
      <c r="T1172" s="10">
        <v>21.26514792587035</v>
      </c>
      <c r="U1172" s="11">
        <v>0.1218087140590803</v>
      </c>
      <c r="V1172" s="11">
        <v>0.2085746255154057</v>
      </c>
      <c r="W1172" s="11">
        <v>0.18305228402730328</v>
      </c>
      <c r="X1172" s="11">
        <v>0.22901567354460348</v>
      </c>
      <c r="Y1172" s="11">
        <v>0.13979054299692573</v>
      </c>
      <c r="Z1172" s="11">
        <v>0.11775815985668155</v>
      </c>
    </row>
    <row r="1173" ht="22.5" customHeight="1">
      <c r="Q1173" s="9" t="s">
        <v>1211</v>
      </c>
      <c r="R1173" s="10">
        <v>0.7082100737144269</v>
      </c>
      <c r="S1173" s="10">
        <v>0.03142321475070629</v>
      </c>
      <c r="T1173" s="10">
        <v>21.264853994590347</v>
      </c>
      <c r="U1173" s="11">
        <v>0.22125896782766857</v>
      </c>
      <c r="V1173" s="11">
        <v>0.21005881895065615</v>
      </c>
      <c r="W1173" s="11">
        <v>0.1978835908488647</v>
      </c>
      <c r="X1173" s="11">
        <v>0.23687175777787145</v>
      </c>
      <c r="Y1173" s="11">
        <v>0.12035646256616651</v>
      </c>
      <c r="Z1173" s="11">
        <v>0.013570402028772511</v>
      </c>
    </row>
    <row r="1174" ht="22.5" customHeight="1">
      <c r="Q1174" s="9" t="s">
        <v>1212</v>
      </c>
      <c r="R1174" s="10">
        <v>0.2881032306911796</v>
      </c>
      <c r="S1174" s="10">
        <v>0.011667709967465129</v>
      </c>
      <c r="T1174" s="10">
        <v>21.26408964424073</v>
      </c>
      <c r="U1174" s="11">
        <v>0.20287601089377486</v>
      </c>
      <c r="V1174" s="11">
        <v>0.050541141310000336</v>
      </c>
      <c r="W1174" s="11">
        <v>0.030116261541136433</v>
      </c>
      <c r="X1174" s="11">
        <v>0.3481391452811689</v>
      </c>
      <c r="Y1174" s="11">
        <v>0.28366495351976423</v>
      </c>
      <c r="Z1174" s="11">
        <v>0.08466248745415528</v>
      </c>
    </row>
    <row r="1175" ht="22.5" customHeight="1">
      <c r="Q1175" s="9" t="s">
        <v>1213</v>
      </c>
      <c r="R1175" s="10">
        <v>0.4839519933703844</v>
      </c>
      <c r="S1175" s="10">
        <v>0.020878323560213335</v>
      </c>
      <c r="T1175" s="10">
        <v>21.263775900877366</v>
      </c>
      <c r="U1175" s="11">
        <v>0.2818440998028488</v>
      </c>
      <c r="V1175" s="11">
        <v>0.14397592966290398</v>
      </c>
      <c r="W1175" s="11">
        <v>0.10527672767287767</v>
      </c>
      <c r="X1175" s="11">
        <v>0.09738302420512099</v>
      </c>
      <c r="Y1175" s="11">
        <v>0.2866870704690057</v>
      </c>
      <c r="Z1175" s="11">
        <v>0.08483314818724279</v>
      </c>
    </row>
    <row r="1176" ht="22.5" customHeight="1">
      <c r="Q1176" s="9" t="s">
        <v>1214</v>
      </c>
      <c r="R1176" s="10">
        <v>0.4815334501227169</v>
      </c>
      <c r="S1176" s="10">
        <v>0.020764687271620612</v>
      </c>
      <c r="T1176" s="10">
        <v>21.26366963041947</v>
      </c>
      <c r="U1176" s="11">
        <v>0.04726325039431316</v>
      </c>
      <c r="V1176" s="11">
        <v>0.10173027498354119</v>
      </c>
      <c r="W1176" s="11">
        <v>0.14391734209435358</v>
      </c>
      <c r="X1176" s="11">
        <v>0.21110667383470985</v>
      </c>
      <c r="Y1176" s="11">
        <v>0.3067443755447171</v>
      </c>
      <c r="Z1176" s="11">
        <v>0.18923808314836515</v>
      </c>
    </row>
    <row r="1177" ht="22.5" customHeight="1">
      <c r="Q1177" s="9" t="s">
        <v>1215</v>
      </c>
      <c r="R1177" s="10">
        <v>0.7007584074202196</v>
      </c>
      <c r="S1177" s="10">
        <v>0.031074528865249078</v>
      </c>
      <c r="T1177" s="10">
        <v>21.26366614552768</v>
      </c>
      <c r="U1177" s="11">
        <v>0.14379809849847808</v>
      </c>
      <c r="V1177" s="11">
        <v>0.21713434637661225</v>
      </c>
      <c r="W1177" s="11">
        <v>0.1867299941486999</v>
      </c>
      <c r="X1177" s="11">
        <v>0.23236967276410095</v>
      </c>
      <c r="Y1177" s="11">
        <v>0.16202498183326183</v>
      </c>
      <c r="Z1177" s="11">
        <v>0.05794290637884686</v>
      </c>
    </row>
    <row r="1178" ht="22.5" customHeight="1">
      <c r="Q1178" s="9" t="s">
        <v>1216</v>
      </c>
      <c r="R1178" s="10">
        <v>0.594087405159866</v>
      </c>
      <c r="S1178" s="10">
        <v>0.026058914867849614</v>
      </c>
      <c r="T1178" s="10">
        <v>21.26287329958914</v>
      </c>
      <c r="U1178" s="11">
        <v>0.16578339363728237</v>
      </c>
      <c r="V1178" s="11">
        <v>0.21064461772993773</v>
      </c>
      <c r="W1178" s="11">
        <v>0.11594675944598058</v>
      </c>
      <c r="X1178" s="11">
        <v>0.25425235793561557</v>
      </c>
      <c r="Y1178" s="11">
        <v>0.09264587220289829</v>
      </c>
      <c r="Z1178" s="11">
        <v>0.16072699904828552</v>
      </c>
    </row>
    <row r="1179" ht="22.5" customHeight="1">
      <c r="Q1179" s="9" t="s">
        <v>1217</v>
      </c>
      <c r="R1179" s="10">
        <v>0.5834209245627086</v>
      </c>
      <c r="S1179" s="10">
        <v>0.025557404915097167</v>
      </c>
      <c r="T1179" s="10">
        <v>21.26275834217038</v>
      </c>
      <c r="U1179" s="11">
        <v>0.11291151529361364</v>
      </c>
      <c r="V1179" s="11">
        <v>0.17746885085610883</v>
      </c>
      <c r="W1179" s="11">
        <v>0.14385950430746197</v>
      </c>
      <c r="X1179" s="11">
        <v>0.1480617631839048</v>
      </c>
      <c r="Y1179" s="11">
        <v>0.3128855712038005</v>
      </c>
      <c r="Z1179" s="11">
        <v>0.10481279515511034</v>
      </c>
    </row>
    <row r="1180" ht="22.5" customHeight="1">
      <c r="Q1180" s="9" t="s">
        <v>1218</v>
      </c>
      <c r="R1180" s="10">
        <v>0.6647336320432804</v>
      </c>
      <c r="S1180" s="10">
        <v>0.029381604108541678</v>
      </c>
      <c r="T1180" s="10">
        <v>21.26274759320104</v>
      </c>
      <c r="U1180" s="11">
        <v>0.20306936931497632</v>
      </c>
      <c r="V1180" s="11">
        <v>0.20354349246938983</v>
      </c>
      <c r="W1180" s="11">
        <v>0.1749440149006484</v>
      </c>
      <c r="X1180" s="11">
        <v>0.18377915539410813</v>
      </c>
      <c r="Y1180" s="11">
        <v>0.2002249793001418</v>
      </c>
      <c r="Z1180" s="11">
        <v>0.03443898862073535</v>
      </c>
    </row>
    <row r="1181" ht="22.5" customHeight="1">
      <c r="Q1181" s="9" t="s">
        <v>1219</v>
      </c>
      <c r="R1181" s="10">
        <v>0.6476146265003819</v>
      </c>
      <c r="S1181" s="10">
        <v>0.028577067982613037</v>
      </c>
      <c r="T1181" s="10">
        <v>21.262315184681263</v>
      </c>
      <c r="U1181" s="11">
        <v>0.0598603643082262</v>
      </c>
      <c r="V1181" s="11">
        <v>0.23556523340027236</v>
      </c>
      <c r="W1181" s="11">
        <v>0.10650366698008339</v>
      </c>
      <c r="X1181" s="11">
        <v>0.47065620769059796</v>
      </c>
      <c r="Y1181" s="11">
        <v>0.0862323674317899</v>
      </c>
      <c r="Z1181" s="11">
        <v>0.04118216018903012</v>
      </c>
    </row>
    <row r="1182" ht="22.5" customHeight="1">
      <c r="Q1182" s="9" t="s">
        <v>1220</v>
      </c>
      <c r="R1182" s="10">
        <v>0.5903204972160391</v>
      </c>
      <c r="S1182" s="10">
        <v>0.025883001027259152</v>
      </c>
      <c r="T1182" s="10">
        <v>21.261850456848453</v>
      </c>
      <c r="U1182" s="11">
        <v>0.1949745271768736</v>
      </c>
      <c r="V1182" s="11">
        <v>0.20845314757678146</v>
      </c>
      <c r="W1182" s="11">
        <v>0.11640847252373644</v>
      </c>
      <c r="X1182" s="11">
        <v>0.25171465817347316</v>
      </c>
      <c r="Y1182" s="11">
        <v>0.0628346988248793</v>
      </c>
      <c r="Z1182" s="11">
        <v>0.16561449572425618</v>
      </c>
    </row>
    <row r="1183" ht="22.5" customHeight="1">
      <c r="Q1183" s="9" t="s">
        <v>1221</v>
      </c>
      <c r="R1183" s="10">
        <v>0.6132935218465024</v>
      </c>
      <c r="S1183" s="10">
        <v>0.026964033621090712</v>
      </c>
      <c r="T1183" s="10">
        <v>21.261415480437766</v>
      </c>
      <c r="U1183" s="11">
        <v>0.16559414972367176</v>
      </c>
      <c r="V1183" s="11">
        <v>0.16222394521063485</v>
      </c>
      <c r="W1183" s="11">
        <v>0.18002626135274866</v>
      </c>
      <c r="X1183" s="11">
        <v>0.18520055732143578</v>
      </c>
      <c r="Y1183" s="11">
        <v>0.23102034590437723</v>
      </c>
      <c r="Z1183" s="11">
        <v>0.07593474048713163</v>
      </c>
    </row>
    <row r="1184" ht="22.5" customHeight="1">
      <c r="Q1184" s="9" t="s">
        <v>1222</v>
      </c>
      <c r="R1184" s="10">
        <v>0.7028356341902657</v>
      </c>
      <c r="S1184" s="10">
        <v>0.031177095519224828</v>
      </c>
      <c r="T1184" s="10">
        <v>21.26033946239602</v>
      </c>
      <c r="U1184" s="11">
        <v>0.23884286239164315</v>
      </c>
      <c r="V1184" s="11">
        <v>0.2132568535242021</v>
      </c>
      <c r="W1184" s="11">
        <v>0.19320469520202446</v>
      </c>
      <c r="X1184" s="11">
        <v>0.2686381418137763</v>
      </c>
      <c r="Y1184" s="11">
        <v>0.013302863263267541</v>
      </c>
      <c r="Z1184" s="11">
        <v>0.07275458380508656</v>
      </c>
    </row>
    <row r="1185" ht="22.5" customHeight="1">
      <c r="Q1185" s="9" t="s">
        <v>1223</v>
      </c>
      <c r="R1185" s="10">
        <v>0.7154715551124261</v>
      </c>
      <c r="S1185" s="10">
        <v>0.03177276333019257</v>
      </c>
      <c r="T1185" s="10">
        <v>21.259452572403376</v>
      </c>
      <c r="U1185" s="11">
        <v>0.23193329698734244</v>
      </c>
      <c r="V1185" s="11">
        <v>0.24058307625622125</v>
      </c>
      <c r="W1185" s="11">
        <v>0.16863595902695375</v>
      </c>
      <c r="X1185" s="11">
        <v>0.27020484818654</v>
      </c>
      <c r="Y1185" s="11">
        <v>0.08646454993134557</v>
      </c>
      <c r="Z1185" s="11">
        <v>0.002178269611596996</v>
      </c>
    </row>
    <row r="1186" ht="22.5" customHeight="1">
      <c r="Q1186" s="9" t="s">
        <v>1224</v>
      </c>
      <c r="R1186" s="10">
        <v>0.6163021267150175</v>
      </c>
      <c r="S1186" s="10">
        <v>0.027108274707923756</v>
      </c>
      <c r="T1186" s="10">
        <v>21.259269832711418</v>
      </c>
      <c r="U1186" s="11">
        <v>0.09581457629570135</v>
      </c>
      <c r="V1186" s="11">
        <v>0.14906181832873736</v>
      </c>
      <c r="W1186" s="11">
        <v>0.1942100468738939</v>
      </c>
      <c r="X1186" s="11">
        <v>0.3496674933090518</v>
      </c>
      <c r="Y1186" s="11">
        <v>0.007760959268378648</v>
      </c>
      <c r="Z1186" s="11">
        <v>0.20348510592423705</v>
      </c>
    </row>
    <row r="1187" ht="22.5" customHeight="1">
      <c r="Q1187" s="9" t="s">
        <v>1225</v>
      </c>
      <c r="R1187" s="10">
        <v>0.5035060418287893</v>
      </c>
      <c r="S1187" s="10">
        <v>0.021802918882894987</v>
      </c>
      <c r="T1187" s="10">
        <v>21.25889860519653</v>
      </c>
      <c r="U1187" s="11">
        <v>0.17833716247786607</v>
      </c>
      <c r="V1187" s="11">
        <v>0.12295322633261199</v>
      </c>
      <c r="W1187" s="11">
        <v>0.1505336871513363</v>
      </c>
      <c r="X1187" s="11">
        <v>0.16383140880317262</v>
      </c>
      <c r="Y1187" s="11">
        <v>0.12214053461076148</v>
      </c>
      <c r="Z1187" s="11">
        <v>0.26220398062425143</v>
      </c>
    </row>
    <row r="1188" ht="22.5" customHeight="1">
      <c r="Q1188" s="9" t="s">
        <v>1226</v>
      </c>
      <c r="R1188" s="10">
        <v>0.49983948851666204</v>
      </c>
      <c r="S1188" s="10">
        <v>0.021630979643384743</v>
      </c>
      <c r="T1188" s="10">
        <v>21.258375538127403</v>
      </c>
      <c r="U1188" s="11">
        <v>0.19688640192331477</v>
      </c>
      <c r="V1188" s="11">
        <v>0.13843397943691968</v>
      </c>
      <c r="W1188" s="11">
        <v>0.1374067001358405</v>
      </c>
      <c r="X1188" s="11">
        <v>0.1473970171280662</v>
      </c>
      <c r="Y1188" s="11">
        <v>0.05885015134756393</v>
      </c>
      <c r="Z1188" s="11">
        <v>0.321025750028295</v>
      </c>
    </row>
    <row r="1189" ht="22.5" customHeight="1">
      <c r="Q1189" s="9" t="s">
        <v>1227</v>
      </c>
      <c r="R1189" s="10">
        <v>0.5178668483221969</v>
      </c>
      <c r="S1189" s="10">
        <v>0.022479069256114228</v>
      </c>
      <c r="T1189" s="10">
        <v>21.25830224008135</v>
      </c>
      <c r="U1189" s="11">
        <v>0.2559370283697848</v>
      </c>
      <c r="V1189" s="11">
        <v>0.18206292550779896</v>
      </c>
      <c r="W1189" s="11">
        <v>0.0787416484856043</v>
      </c>
      <c r="X1189" s="11">
        <v>0.23238098946040092</v>
      </c>
      <c r="Y1189" s="11">
        <v>0.21693484436621782</v>
      </c>
      <c r="Z1189" s="11">
        <v>0.03394256381019313</v>
      </c>
    </row>
    <row r="1190" ht="22.5" customHeight="1">
      <c r="Q1190" s="9" t="s">
        <v>1228</v>
      </c>
      <c r="R1190" s="10">
        <v>0.5267056404339584</v>
      </c>
      <c r="S1190" s="10">
        <v>0.02289546576007357</v>
      </c>
      <c r="T1190" s="10">
        <v>21.25773048402901</v>
      </c>
      <c r="U1190" s="11">
        <v>0.15619646417335373</v>
      </c>
      <c r="V1190" s="11">
        <v>0.12039538138585203</v>
      </c>
      <c r="W1190" s="11">
        <v>0.1652637536825238</v>
      </c>
      <c r="X1190" s="11">
        <v>0.23086725637834732</v>
      </c>
      <c r="Y1190" s="11">
        <v>0.08500752564488977</v>
      </c>
      <c r="Z1190" s="11">
        <v>0.24226961873503336</v>
      </c>
    </row>
    <row r="1191" ht="22.5" customHeight="1">
      <c r="Q1191" s="9" t="s">
        <v>1229</v>
      </c>
      <c r="R1191" s="10">
        <v>0.5988620150231092</v>
      </c>
      <c r="S1191" s="10">
        <v>0.026290243603065998</v>
      </c>
      <c r="T1191" s="10">
        <v>21.25739203717131</v>
      </c>
      <c r="U1191" s="11">
        <v>0.1506097167882496</v>
      </c>
      <c r="V1191" s="11">
        <v>0.16124285405799443</v>
      </c>
      <c r="W1191" s="11">
        <v>0.17681625289381395</v>
      </c>
      <c r="X1191" s="11">
        <v>0.19365345334022263</v>
      </c>
      <c r="Y1191" s="11">
        <v>0.13946431776351978</v>
      </c>
      <c r="Z1191" s="11">
        <v>0.17821340515619974</v>
      </c>
    </row>
    <row r="1192" ht="22.5" customHeight="1">
      <c r="Q1192" s="9" t="s">
        <v>1230</v>
      </c>
      <c r="R1192" s="10">
        <v>0.45910552591100745</v>
      </c>
      <c r="S1192" s="10">
        <v>0.01971599453020907</v>
      </c>
      <c r="T1192" s="10">
        <v>21.257133403483614</v>
      </c>
      <c r="U1192" s="11">
        <v>0.2595081017940775</v>
      </c>
      <c r="V1192" s="11">
        <v>0.1569654693296345</v>
      </c>
      <c r="W1192" s="11">
        <v>0.05807339167978439</v>
      </c>
      <c r="X1192" s="11">
        <v>0.2427347452531891</v>
      </c>
      <c r="Y1192" s="11">
        <v>0.24644959628413227</v>
      </c>
      <c r="Z1192" s="11">
        <v>0.036268695659182094</v>
      </c>
    </row>
    <row r="1193" ht="22.5" customHeight="1">
      <c r="Q1193" s="9" t="s">
        <v>1231</v>
      </c>
      <c r="R1193" s="10">
        <v>0.587275178083884</v>
      </c>
      <c r="S1193" s="10">
        <v>0.025746103524475906</v>
      </c>
      <c r="T1193" s="10">
        <v>21.256621514149078</v>
      </c>
      <c r="U1193" s="11">
        <v>0.16918298952791308</v>
      </c>
      <c r="V1193" s="11">
        <v>0.2004302600053413</v>
      </c>
      <c r="W1193" s="11">
        <v>0.1269065220121865</v>
      </c>
      <c r="X1193" s="11">
        <v>0.1890597174138451</v>
      </c>
      <c r="Y1193" s="11">
        <v>0.13738537213656915</v>
      </c>
      <c r="Z1193" s="11">
        <v>0.17703513890414507</v>
      </c>
    </row>
    <row r="1194" ht="22.5" customHeight="1">
      <c r="Q1194" s="9" t="s">
        <v>1232</v>
      </c>
      <c r="R1194" s="10">
        <v>0.5108892396789564</v>
      </c>
      <c r="S1194" s="10">
        <v>0.02215347535196014</v>
      </c>
      <c r="T1194" s="10">
        <v>21.255772839149234</v>
      </c>
      <c r="U1194" s="11">
        <v>0.08809528605606341</v>
      </c>
      <c r="V1194" s="11">
        <v>0.15717060782831926</v>
      </c>
      <c r="W1194" s="11">
        <v>0.1194375744262589</v>
      </c>
      <c r="X1194" s="11">
        <v>0.1217527279744919</v>
      </c>
      <c r="Y1194" s="11">
        <v>0.27437436083452704</v>
      </c>
      <c r="Z1194" s="11">
        <v>0.2391694428803394</v>
      </c>
    </row>
    <row r="1195" ht="22.5" customHeight="1">
      <c r="Q1195" s="9" t="s">
        <v>1233</v>
      </c>
      <c r="R1195" s="10">
        <v>0.522331348251574</v>
      </c>
      <c r="S1195" s="10">
        <v>0.02854087720793679</v>
      </c>
      <c r="T1195" s="10">
        <v>21.255311531455025</v>
      </c>
      <c r="U1195" s="11">
        <v>0.0288799328518437</v>
      </c>
      <c r="V1195" s="11">
        <v>0.21561601574150138</v>
      </c>
      <c r="W1195" s="11">
        <v>0.14775596677745903</v>
      </c>
      <c r="X1195" s="11">
        <v>0.23226015964081595</v>
      </c>
      <c r="Y1195" s="11">
        <v>0.25733080702711186</v>
      </c>
      <c r="Z1195" s="11">
        <v>0.118157117961268</v>
      </c>
    </row>
    <row r="1196" ht="22.5" customHeight="1">
      <c r="Q1196" s="9" t="s">
        <v>1234</v>
      </c>
      <c r="R1196" s="10">
        <v>0.557070421834274</v>
      </c>
      <c r="S1196" s="10">
        <v>0.02432671176890085</v>
      </c>
      <c r="T1196" s="10">
        <v>21.255253350569735</v>
      </c>
      <c r="U1196" s="11">
        <v>0.13922683065195662</v>
      </c>
      <c r="V1196" s="11">
        <v>0.1919406289017862</v>
      </c>
      <c r="W1196" s="11">
        <v>0.10721002983764562</v>
      </c>
      <c r="X1196" s="11">
        <v>0.18830256301886672</v>
      </c>
      <c r="Y1196" s="11">
        <v>0.24792898157823307</v>
      </c>
      <c r="Z1196" s="11">
        <v>0.12539096601151192</v>
      </c>
    </row>
    <row r="1197" ht="22.5" customHeight="1">
      <c r="Q1197" s="9" t="s">
        <v>1235</v>
      </c>
      <c r="R1197" s="10">
        <v>0.5332607738519164</v>
      </c>
      <c r="S1197" s="10">
        <v>0.023207771507154522</v>
      </c>
      <c r="T1197" s="10">
        <v>21.254120573354204</v>
      </c>
      <c r="U1197" s="11">
        <v>0.04472718828021367</v>
      </c>
      <c r="V1197" s="11">
        <v>0.1628018064726922</v>
      </c>
      <c r="W1197" s="11">
        <v>0.13062629136664738</v>
      </c>
      <c r="X1197" s="11">
        <v>0.14018083117762664</v>
      </c>
      <c r="Y1197" s="11">
        <v>0.2643867905964696</v>
      </c>
      <c r="Z1197" s="11">
        <v>0.25727709210635064</v>
      </c>
    </row>
    <row r="1198" ht="22.5" customHeight="1">
      <c r="Q1198" s="9" t="s">
        <v>1236</v>
      </c>
      <c r="R1198" s="10">
        <v>0.5534003492950773</v>
      </c>
      <c r="S1198" s="10">
        <v>0.024157982264952218</v>
      </c>
      <c r="T1198" s="10">
        <v>21.251789311887414</v>
      </c>
      <c r="U1198" s="11">
        <v>0.09568770421166965</v>
      </c>
      <c r="V1198" s="11">
        <v>0.1575844216740861</v>
      </c>
      <c r="W1198" s="11">
        <v>0.1504377421406913</v>
      </c>
      <c r="X1198" s="11">
        <v>0.14146279565766623</v>
      </c>
      <c r="Y1198" s="11">
        <v>0.23099645336781338</v>
      </c>
      <c r="Z1198" s="11">
        <v>0.2238308829480732</v>
      </c>
    </row>
    <row r="1199" ht="22.5" customHeight="1">
      <c r="Q1199" s="9" t="s">
        <v>1237</v>
      </c>
      <c r="R1199" s="10">
        <v>0.6341970245622467</v>
      </c>
      <c r="S1199" s="10">
        <v>0.027960413789326087</v>
      </c>
      <c r="T1199" s="10">
        <v>21.25136734525302</v>
      </c>
      <c r="U1199" s="11">
        <v>0.06381577833839439</v>
      </c>
      <c r="V1199" s="11">
        <v>0.19254144460467004</v>
      </c>
      <c r="W1199" s="11">
        <v>0.17310150788123077</v>
      </c>
      <c r="X1199" s="11">
        <v>0.2577903698898058</v>
      </c>
      <c r="Y1199" s="11">
        <v>0.044215169859910954</v>
      </c>
      <c r="Z1199" s="11">
        <v>0.2685357294259881</v>
      </c>
    </row>
    <row r="1200" ht="22.5" customHeight="1">
      <c r="Q1200" s="9" t="s">
        <v>1238</v>
      </c>
      <c r="R1200" s="10">
        <v>0.30137130521466077</v>
      </c>
      <c r="S1200" s="10">
        <v>0.012299069561779329</v>
      </c>
      <c r="T1200" s="10">
        <v>21.251307174235357</v>
      </c>
      <c r="U1200" s="11">
        <v>0.1404058694102422</v>
      </c>
      <c r="V1200" s="11">
        <v>0.036714556017622184</v>
      </c>
      <c r="W1200" s="11">
        <v>0.06983616867748352</v>
      </c>
      <c r="X1200" s="11">
        <v>0.2708305799042268</v>
      </c>
      <c r="Y1200" s="11">
        <v>0.26037007510895954</v>
      </c>
      <c r="Z1200" s="11">
        <v>0.22184275088146577</v>
      </c>
    </row>
    <row r="1201" ht="22.5" customHeight="1">
      <c r="Q1201" s="9" t="s">
        <v>1239</v>
      </c>
      <c r="R1201" s="10">
        <v>0.6359714813381809</v>
      </c>
      <c r="S1201" s="10">
        <v>0.028044332145851593</v>
      </c>
      <c r="T1201" s="10">
        <v>21.25104916881891</v>
      </c>
      <c r="U1201" s="11">
        <v>0.1532526975670666</v>
      </c>
      <c r="V1201" s="11">
        <v>0.17258657096672672</v>
      </c>
      <c r="W1201" s="11">
        <v>0.1904080242125063</v>
      </c>
      <c r="X1201" s="11">
        <v>0.25395723094504785</v>
      </c>
      <c r="Y1201" s="11">
        <v>0.05238084611052955</v>
      </c>
      <c r="Z1201" s="11">
        <v>0.17741463019812276</v>
      </c>
    </row>
    <row r="1202" ht="22.5" customHeight="1">
      <c r="Q1202" s="9" t="s">
        <v>1240</v>
      </c>
      <c r="R1202" s="10">
        <v>0.662233350366525</v>
      </c>
      <c r="S1202" s="10">
        <v>0.029282051191306408</v>
      </c>
      <c r="T1202" s="10">
        <v>21.24965038484943</v>
      </c>
      <c r="U1202" s="11">
        <v>0.04119363342484729</v>
      </c>
      <c r="V1202" s="11">
        <v>0.18049885001957544</v>
      </c>
      <c r="W1202" s="11">
        <v>0.19875270200577308</v>
      </c>
      <c r="X1202" s="11">
        <v>0.3183327399482739</v>
      </c>
      <c r="Y1202" s="11">
        <v>0.054759986888288155</v>
      </c>
      <c r="Z1202" s="11">
        <v>0.2064620877132422</v>
      </c>
    </row>
    <row r="1203" ht="22.5" customHeight="1">
      <c r="Q1203" s="9" t="s">
        <v>1241</v>
      </c>
      <c r="R1203" s="10">
        <v>0.660987915078093</v>
      </c>
      <c r="S1203" s="10">
        <v>0.029223457544848272</v>
      </c>
      <c r="T1203" s="10">
        <v>21.24963872344959</v>
      </c>
      <c r="U1203" s="11">
        <v>0.20072903212779086</v>
      </c>
      <c r="V1203" s="11">
        <v>0.19531741873671946</v>
      </c>
      <c r="W1203" s="11">
        <v>0.185465456751306</v>
      </c>
      <c r="X1203" s="11">
        <v>0.222611632081305</v>
      </c>
      <c r="Y1203" s="11">
        <v>0.06761540970926835</v>
      </c>
      <c r="Z1203" s="11">
        <v>0.12826105059361043</v>
      </c>
    </row>
    <row r="1204" ht="22.5" customHeight="1">
      <c r="Q1204" s="9" t="s">
        <v>1242</v>
      </c>
      <c r="R1204" s="10">
        <v>0.5844900131014698</v>
      </c>
      <c r="S1204" s="10">
        <v>0.02562361696805566</v>
      </c>
      <c r="T1204" s="10">
        <v>21.24953763476375</v>
      </c>
      <c r="U1204" s="11">
        <v>0.23423641463819747</v>
      </c>
      <c r="V1204" s="11">
        <v>0.19622810215524958</v>
      </c>
      <c r="W1204" s="11">
        <v>0.13092032887439423</v>
      </c>
      <c r="X1204" s="11">
        <v>0.180153620466446</v>
      </c>
      <c r="Y1204" s="11">
        <v>0.08276726748183</v>
      </c>
      <c r="Z1204" s="11">
        <v>0.17569426638388283</v>
      </c>
    </row>
    <row r="1205" ht="22.5" customHeight="1">
      <c r="Q1205" s="9" t="s">
        <v>1243</v>
      </c>
      <c r="R1205" s="10">
        <v>0.6317619130522445</v>
      </c>
      <c r="S1205" s="10">
        <v>0.027848434882717453</v>
      </c>
      <c r="T1205" s="10">
        <v>21.24937776734763</v>
      </c>
      <c r="U1205" s="11">
        <v>0.18925392165565721</v>
      </c>
      <c r="V1205" s="11">
        <v>0.21255310630996452</v>
      </c>
      <c r="W1205" s="11">
        <v>0.14673509868562082</v>
      </c>
      <c r="X1205" s="11">
        <v>0.22389889697538554</v>
      </c>
      <c r="Y1205" s="11">
        <v>0.06170843956722461</v>
      </c>
      <c r="Z1205" s="11">
        <v>0.1658505368061472</v>
      </c>
    </row>
    <row r="1206" ht="22.5" customHeight="1">
      <c r="Q1206" s="9" t="s">
        <v>1244</v>
      </c>
      <c r="R1206" s="10">
        <v>0.5685760646091143</v>
      </c>
      <c r="S1206" s="10">
        <v>0.024875061476836765</v>
      </c>
      <c r="T1206" s="10">
        <v>21.24923651349828</v>
      </c>
      <c r="U1206" s="11">
        <v>0.13647067754080922</v>
      </c>
      <c r="V1206" s="11">
        <v>0.1502802553544124</v>
      </c>
      <c r="W1206" s="11">
        <v>0.16593372255013297</v>
      </c>
      <c r="X1206" s="11">
        <v>0.1634914654321217</v>
      </c>
      <c r="Y1206" s="11">
        <v>0.20621137686308522</v>
      </c>
      <c r="Z1206" s="11">
        <v>0.17761250225943864</v>
      </c>
    </row>
    <row r="1207" ht="22.5" customHeight="1">
      <c r="Q1207" s="9" t="s">
        <v>1245</v>
      </c>
      <c r="R1207" s="10">
        <v>0.5579482375353604</v>
      </c>
      <c r="S1207" s="10">
        <v>0.024375235857095747</v>
      </c>
      <c r="T1207" s="10">
        <v>21.248952854114975</v>
      </c>
      <c r="U1207" s="11">
        <v>0.0955549650416934</v>
      </c>
      <c r="V1207" s="11">
        <v>0.13177125324986394</v>
      </c>
      <c r="W1207" s="11">
        <v>0.17188301457611624</v>
      </c>
      <c r="X1207" s="11">
        <v>0.21213737811698954</v>
      </c>
      <c r="Y1207" s="11">
        <v>0.2249644685065731</v>
      </c>
      <c r="Z1207" s="11">
        <v>0.1636889205087639</v>
      </c>
    </row>
    <row r="1208" ht="22.5" customHeight="1">
      <c r="Q1208" s="9" t="s">
        <v>1246</v>
      </c>
      <c r="R1208" s="10">
        <v>0.6755401444153826</v>
      </c>
      <c r="S1208" s="10">
        <v>0.029909931160971775</v>
      </c>
      <c r="T1208" s="10">
        <v>21.248465634874893</v>
      </c>
      <c r="U1208" s="11">
        <v>0.1548472660738684</v>
      </c>
      <c r="V1208" s="11">
        <v>0.20612985422999006</v>
      </c>
      <c r="W1208" s="11">
        <v>0.183794767179353</v>
      </c>
      <c r="X1208" s="11">
        <v>0.21947399158949532</v>
      </c>
      <c r="Y1208" s="11">
        <v>0.12157634234653152</v>
      </c>
      <c r="Z1208" s="11">
        <v>0.11417777858076175</v>
      </c>
    </row>
    <row r="1209" ht="22.5" customHeight="1">
      <c r="Q1209" s="9" t="s">
        <v>1247</v>
      </c>
      <c r="R1209" s="10">
        <v>0.6112521868540236</v>
      </c>
      <c r="S1209" s="10">
        <v>0.02688633344551395</v>
      </c>
      <c r="T1209" s="10">
        <v>21.24693528820823</v>
      </c>
      <c r="U1209" s="11">
        <v>0.1371211156118288</v>
      </c>
      <c r="V1209" s="11">
        <v>0.1783856083429168</v>
      </c>
      <c r="W1209" s="11">
        <v>0.16980258969925346</v>
      </c>
      <c r="X1209" s="11">
        <v>0.1743234157672525</v>
      </c>
      <c r="Y1209" s="11">
        <v>0.1594190878922792</v>
      </c>
      <c r="Z1209" s="11">
        <v>0.18094818268646928</v>
      </c>
    </row>
    <row r="1210" ht="22.5" customHeight="1">
      <c r="Q1210" s="9" t="s">
        <v>1248</v>
      </c>
      <c r="R1210" s="10">
        <v>0.5367170632099328</v>
      </c>
      <c r="S1210" s="10">
        <v>0.023378666321764184</v>
      </c>
      <c r="T1210" s="10">
        <v>21.24659535208465</v>
      </c>
      <c r="U1210" s="11">
        <v>0.18491214433727207</v>
      </c>
      <c r="V1210" s="11">
        <v>0.14084748223197913</v>
      </c>
      <c r="W1210" s="11">
        <v>0.1546389000308393</v>
      </c>
      <c r="X1210" s="11">
        <v>0.13720622898742604</v>
      </c>
      <c r="Y1210" s="11">
        <v>0.1873035885659485</v>
      </c>
      <c r="Z1210" s="11">
        <v>0.19509165584653493</v>
      </c>
    </row>
    <row r="1211" ht="22.5" customHeight="1">
      <c r="Q1211" s="9" t="s">
        <v>1249</v>
      </c>
      <c r="R1211" s="10">
        <v>0.5816174730688974</v>
      </c>
      <c r="S1211" s="10">
        <v>0.025492157830158575</v>
      </c>
      <c r="T1211" s="10">
        <v>21.246434949815633</v>
      </c>
      <c r="U1211" s="11">
        <v>0.26043389625089824</v>
      </c>
      <c r="V1211" s="11">
        <v>0.18623594789421644</v>
      </c>
      <c r="W1211" s="11">
        <v>0.14195134589535088</v>
      </c>
      <c r="X1211" s="11">
        <v>0.17029608294896137</v>
      </c>
      <c r="Y1211" s="11">
        <v>0.04501685126773019</v>
      </c>
      <c r="Z1211" s="11">
        <v>0.19606587574284273</v>
      </c>
    </row>
    <row r="1212" ht="22.5" customHeight="1">
      <c r="Q1212" s="9" t="s">
        <v>1250</v>
      </c>
      <c r="R1212" s="10">
        <v>0.6060816662963145</v>
      </c>
      <c r="S1212" s="10">
        <v>0.026644287571385674</v>
      </c>
      <c r="T1212" s="10">
        <v>21.245892380483514</v>
      </c>
      <c r="U1212" s="11">
        <v>0.23709870084900966</v>
      </c>
      <c r="V1212" s="11">
        <v>0.1617982191292023</v>
      </c>
      <c r="W1212" s="11">
        <v>0.1801417045399715</v>
      </c>
      <c r="X1212" s="11">
        <v>0.19472587197348393</v>
      </c>
      <c r="Y1212" s="11">
        <v>0.09254007361175466</v>
      </c>
      <c r="Z1212" s="11">
        <v>0.13369542989657784</v>
      </c>
    </row>
    <row r="1213" ht="22.5" customHeight="1">
      <c r="Q1213" s="9" t="s">
        <v>1251</v>
      </c>
      <c r="R1213" s="10">
        <v>0.31162997700371153</v>
      </c>
      <c r="S1213" s="10">
        <v>0.012785227799589592</v>
      </c>
      <c r="T1213" s="10">
        <v>21.245611049060145</v>
      </c>
      <c r="U1213" s="11">
        <v>0.2477136009449379</v>
      </c>
      <c r="V1213" s="11">
        <v>0.04054715513708211</v>
      </c>
      <c r="W1213" s="11">
        <v>0.07262805101546572</v>
      </c>
      <c r="X1213" s="11">
        <v>0.23472229242247225</v>
      </c>
      <c r="Y1213" s="11">
        <v>0.25674900851423627</v>
      </c>
      <c r="Z1213" s="11">
        <v>0.14763989196580568</v>
      </c>
    </row>
    <row r="1214" ht="22.5" customHeight="1">
      <c r="Q1214" s="9" t="s">
        <v>1252</v>
      </c>
      <c r="R1214" s="10">
        <v>0.5686293819756101</v>
      </c>
      <c r="S1214" s="10">
        <v>0.024881997031002884</v>
      </c>
      <c r="T1214" s="10">
        <v>21.245456356133296</v>
      </c>
      <c r="U1214" s="11">
        <v>0.19968941597735465</v>
      </c>
      <c r="V1214" s="11">
        <v>0.15894212665148566</v>
      </c>
      <c r="W1214" s="11">
        <v>0.15789134379067896</v>
      </c>
      <c r="X1214" s="11">
        <v>0.1325586584593809</v>
      </c>
      <c r="Y1214" s="11">
        <v>0.20196203087158943</v>
      </c>
      <c r="Z1214" s="11">
        <v>0.1489564242495104</v>
      </c>
    </row>
    <row r="1215" ht="22.5" customHeight="1">
      <c r="Q1215" s="9" t="s">
        <v>1253</v>
      </c>
      <c r="R1215" s="10">
        <v>0.4039297358542145</v>
      </c>
      <c r="S1215" s="10">
        <v>0.017131466715968203</v>
      </c>
      <c r="T1215" s="10">
        <v>21.243349555995483</v>
      </c>
      <c r="U1215" s="11">
        <v>0.2014471631016991</v>
      </c>
      <c r="V1215" s="11">
        <v>0.05364995948683354</v>
      </c>
      <c r="W1215" s="11">
        <v>0.12343571197436923</v>
      </c>
      <c r="X1215" s="11">
        <v>0.2968745543795011</v>
      </c>
      <c r="Y1215" s="11">
        <v>0.22418870963121457</v>
      </c>
      <c r="Z1215" s="11">
        <v>0.10040390142638238</v>
      </c>
    </row>
    <row r="1216" ht="22.5" customHeight="1">
      <c r="Q1216" s="9" t="s">
        <v>1254</v>
      </c>
      <c r="R1216" s="10">
        <v>0.6694786531546372</v>
      </c>
      <c r="S1216" s="10">
        <v>0.029631997531389884</v>
      </c>
      <c r="T1216" s="10">
        <v>21.24320685731076</v>
      </c>
      <c r="U1216" s="11">
        <v>0.027788197160938354</v>
      </c>
      <c r="V1216" s="11">
        <v>0.19116440466037005</v>
      </c>
      <c r="W1216" s="11">
        <v>0.19209249367651157</v>
      </c>
      <c r="X1216" s="11">
        <v>0.2472078392777293</v>
      </c>
      <c r="Y1216" s="11">
        <v>0.20550776450884167</v>
      </c>
      <c r="Z1216" s="11">
        <v>0.1362393007156091</v>
      </c>
    </row>
    <row r="1217" ht="22.5" customHeight="1">
      <c r="Q1217" s="9" t="s">
        <v>1255</v>
      </c>
      <c r="R1217" s="10">
        <v>0.30771838961875625</v>
      </c>
      <c r="S1217" s="10">
        <v>0.012603008229630088</v>
      </c>
      <c r="T1217" s="10">
        <v>21.242419646235057</v>
      </c>
      <c r="U1217" s="11">
        <v>0.11363334576045254</v>
      </c>
      <c r="V1217" s="11">
        <v>0.041561154906416355</v>
      </c>
      <c r="W1217" s="11">
        <v>0.07795195748249034</v>
      </c>
      <c r="X1217" s="11">
        <v>0.24306453633985542</v>
      </c>
      <c r="Y1217" s="11">
        <v>0.214451030814011</v>
      </c>
      <c r="Z1217" s="11">
        <v>0.3093379746967743</v>
      </c>
    </row>
    <row r="1218" ht="22.5" customHeight="1">
      <c r="Q1218" s="9" t="s">
        <v>1256</v>
      </c>
      <c r="R1218" s="10">
        <v>0.5387993575219091</v>
      </c>
      <c r="S1218" s="10">
        <v>0.02348130936173923</v>
      </c>
      <c r="T1218" s="10">
        <v>21.242399639547344</v>
      </c>
      <c r="U1218" s="11">
        <v>0.11163049190008206</v>
      </c>
      <c r="V1218" s="11">
        <v>0.15194350742185028</v>
      </c>
      <c r="W1218" s="11">
        <v>0.1480386641739185</v>
      </c>
      <c r="X1218" s="11">
        <v>0.13616429643698558</v>
      </c>
      <c r="Y1218" s="11">
        <v>0.19561588800157778</v>
      </c>
      <c r="Z1218" s="11">
        <v>0.2566071520655858</v>
      </c>
    </row>
    <row r="1219" ht="22.5" customHeight="1">
      <c r="Q1219" s="9" t="s">
        <v>1257</v>
      </c>
      <c r="R1219" s="10">
        <v>0.6636859536400763</v>
      </c>
      <c r="S1219" s="10">
        <v>0.029360451935600006</v>
      </c>
      <c r="T1219" s="10">
        <v>21.24238261073384</v>
      </c>
      <c r="U1219" s="11">
        <v>0.16033112384754622</v>
      </c>
      <c r="V1219" s="11">
        <v>0.22765171323307745</v>
      </c>
      <c r="W1219" s="11">
        <v>0.1479648564281145</v>
      </c>
      <c r="X1219" s="11">
        <v>0.23736617353433773</v>
      </c>
      <c r="Y1219" s="11">
        <v>0.1464265629848866</v>
      </c>
      <c r="Z1219" s="11">
        <v>0.08025956997203734</v>
      </c>
    </row>
    <row r="1220" ht="22.5" customHeight="1">
      <c r="Q1220" s="9" t="s">
        <v>1258</v>
      </c>
      <c r="R1220" s="10">
        <v>0.5168713527967884</v>
      </c>
      <c r="S1220" s="10">
        <v>0.02244977437617235</v>
      </c>
      <c r="T1220" s="10">
        <v>21.241699128296283</v>
      </c>
      <c r="U1220" s="11">
        <v>0.04902160316744578</v>
      </c>
      <c r="V1220" s="11">
        <v>0.18489583975121548</v>
      </c>
      <c r="W1220" s="11">
        <v>0.08372341130148629</v>
      </c>
      <c r="X1220" s="11">
        <v>0.258859555486393</v>
      </c>
      <c r="Y1220" s="11">
        <v>0.20351468324532063</v>
      </c>
      <c r="Z1220" s="11">
        <v>0.21998490704813875</v>
      </c>
    </row>
    <row r="1221" ht="22.5" customHeight="1">
      <c r="Q1221" s="9" t="s">
        <v>1259</v>
      </c>
      <c r="R1221" s="10">
        <v>0.5586625764390281</v>
      </c>
      <c r="S1221" s="10">
        <v>0.024418167055030606</v>
      </c>
      <c r="T1221" s="10">
        <v>21.240848064890837</v>
      </c>
      <c r="U1221" s="11">
        <v>0.24010768180891645</v>
      </c>
      <c r="V1221" s="11">
        <v>0.1993014489512771</v>
      </c>
      <c r="W1221" s="11">
        <v>0.10110393369473016</v>
      </c>
      <c r="X1221" s="11">
        <v>0.253845450775141</v>
      </c>
      <c r="Y1221" s="11">
        <v>0.047256800048683</v>
      </c>
      <c r="Z1221" s="11">
        <v>0.15838468472125222</v>
      </c>
    </row>
    <row r="1222" ht="22.5" customHeight="1">
      <c r="Q1222" s="9" t="s">
        <v>1260</v>
      </c>
      <c r="R1222" s="10">
        <v>0.6002529523340805</v>
      </c>
      <c r="S1222" s="10">
        <v>0.026376591763453087</v>
      </c>
      <c r="T1222" s="10">
        <v>21.24053620568054</v>
      </c>
      <c r="U1222" s="11">
        <v>0.26252929710101147</v>
      </c>
      <c r="V1222" s="11">
        <v>0.21053991155754279</v>
      </c>
      <c r="W1222" s="11">
        <v>0.12066490243206186</v>
      </c>
      <c r="X1222" s="11">
        <v>0.2609045206378035</v>
      </c>
      <c r="Y1222" s="11">
        <v>0.007759521643396107</v>
      </c>
      <c r="Z1222" s="11">
        <v>0.1376018466281842</v>
      </c>
    </row>
    <row r="1223" ht="22.5" customHeight="1">
      <c r="Q1223" s="9" t="s">
        <v>1261</v>
      </c>
      <c r="R1223" s="10">
        <v>0.6320137688371446</v>
      </c>
      <c r="S1223" s="10">
        <v>0.027872044438545438</v>
      </c>
      <c r="T1223" s="10">
        <v>21.240414212974756</v>
      </c>
      <c r="U1223" s="11">
        <v>0.1202183834521126</v>
      </c>
      <c r="V1223" s="11">
        <v>0.22331796454144376</v>
      </c>
      <c r="W1223" s="11">
        <v>0.129636396587772</v>
      </c>
      <c r="X1223" s="11">
        <v>0.26981638201098457</v>
      </c>
      <c r="Y1223" s="11">
        <v>0.11085311496272748</v>
      </c>
      <c r="Z1223" s="11">
        <v>0.14615775844495954</v>
      </c>
    </row>
    <row r="1224" ht="22.5" customHeight="1">
      <c r="Q1224" s="9" t="s">
        <v>1262</v>
      </c>
      <c r="R1224" s="10">
        <v>0.7038788890829503</v>
      </c>
      <c r="S1224" s="10">
        <v>0.03125603160878255</v>
      </c>
      <c r="T1224" s="10">
        <v>21.240024881994575</v>
      </c>
      <c r="U1224" s="11">
        <v>0.1856006048943978</v>
      </c>
      <c r="V1224" s="11">
        <v>0.2321508094035688</v>
      </c>
      <c r="W1224" s="11">
        <v>0.17185258224148908</v>
      </c>
      <c r="X1224" s="11">
        <v>0.2350835182826712</v>
      </c>
      <c r="Y1224" s="11">
        <v>0.14533975270033958</v>
      </c>
      <c r="Z1224" s="11">
        <v>0.02997273247753338</v>
      </c>
    </row>
    <row r="1225" ht="22.5" customHeight="1">
      <c r="Q1225" s="9" t="s">
        <v>1263</v>
      </c>
      <c r="R1225" s="10">
        <v>0.6822361906161114</v>
      </c>
      <c r="S1225" s="10">
        <v>0.03023996267305921</v>
      </c>
      <c r="T1225" s="10">
        <v>21.23799548166373</v>
      </c>
      <c r="U1225" s="11">
        <v>0.17663375921932314</v>
      </c>
      <c r="V1225" s="11">
        <v>0.23460667566740592</v>
      </c>
      <c r="W1225" s="11">
        <v>0.14944210366709526</v>
      </c>
      <c r="X1225" s="11">
        <v>0.2446894785249692</v>
      </c>
      <c r="Y1225" s="11">
        <v>0.1876477220135203</v>
      </c>
      <c r="Z1225" s="11">
        <v>0.006980260907686191</v>
      </c>
    </row>
    <row r="1226" ht="22.5" customHeight="1">
      <c r="Q1226" s="9" t="s">
        <v>1264</v>
      </c>
      <c r="R1226" s="10">
        <v>0.670754861456961</v>
      </c>
      <c r="S1226" s="10">
        <v>0.029699588235226233</v>
      </c>
      <c r="T1226" s="10">
        <v>21.237831866935856</v>
      </c>
      <c r="U1226" s="11">
        <v>0.13453344436197806</v>
      </c>
      <c r="V1226" s="11">
        <v>0.20489463058907303</v>
      </c>
      <c r="W1226" s="11">
        <v>0.18267951566713755</v>
      </c>
      <c r="X1226" s="11">
        <v>0.21962215637195653</v>
      </c>
      <c r="Y1226" s="11">
        <v>0.12119491928205209</v>
      </c>
      <c r="Z1226" s="11">
        <v>0.13707533372780267</v>
      </c>
    </row>
    <row r="1227" ht="22.5" customHeight="1">
      <c r="Q1227" s="9" t="s">
        <v>1265</v>
      </c>
      <c r="R1227" s="10">
        <v>0.4150148650069334</v>
      </c>
      <c r="S1227" s="10">
        <v>0.01765823573942343</v>
      </c>
      <c r="T1227" s="10">
        <v>21.237391466559856</v>
      </c>
      <c r="U1227" s="11">
        <v>0.13801465151354927</v>
      </c>
      <c r="V1227" s="11">
        <v>0.07264085950879097</v>
      </c>
      <c r="W1227" s="11">
        <v>0.1289226090083699</v>
      </c>
      <c r="X1227" s="11">
        <v>0.22715469171806107</v>
      </c>
      <c r="Y1227" s="11">
        <v>0.1628665240229375</v>
      </c>
      <c r="Z1227" s="11">
        <v>0.2704006642282912</v>
      </c>
    </row>
    <row r="1228" ht="22.5" customHeight="1">
      <c r="Q1228" s="9" t="s">
        <v>1266</v>
      </c>
      <c r="R1228" s="10">
        <v>0.5657056480652638</v>
      </c>
      <c r="S1228" s="10">
        <v>0.024753789709300356</v>
      </c>
      <c r="T1228" s="10">
        <v>21.23738038655748</v>
      </c>
      <c r="U1228" s="11">
        <v>0.12472979474219827</v>
      </c>
      <c r="V1228" s="11">
        <v>0.12948259312944052</v>
      </c>
      <c r="W1228" s="11">
        <v>0.18023888741809616</v>
      </c>
      <c r="X1228" s="11">
        <v>0.2607536088896025</v>
      </c>
      <c r="Y1228" s="11">
        <v>0.111252789896609</v>
      </c>
      <c r="Z1228" s="11">
        <v>0.19354232592405363</v>
      </c>
    </row>
    <row r="1229" ht="22.5" customHeight="1">
      <c r="Q1229" s="9" t="s">
        <v>1267</v>
      </c>
      <c r="R1229" s="10">
        <v>0.2608157548423322</v>
      </c>
      <c r="S1229" s="10">
        <v>0.010397557116904708</v>
      </c>
      <c r="T1229" s="10">
        <v>21.23727259774532</v>
      </c>
      <c r="U1229" s="11">
        <v>0.1924862605016477</v>
      </c>
      <c r="V1229" s="11">
        <v>0.043110314841330245</v>
      </c>
      <c r="W1229" s="11">
        <v>0.0289018567469872</v>
      </c>
      <c r="X1229" s="11">
        <v>0.3789393355194416</v>
      </c>
      <c r="Y1229" s="11">
        <v>0.08379935451771459</v>
      </c>
      <c r="Z1229" s="11">
        <v>0.27276287787287873</v>
      </c>
    </row>
    <row r="1230" ht="22.5" customHeight="1">
      <c r="Q1230" s="9" t="s">
        <v>1268</v>
      </c>
      <c r="R1230" s="10">
        <v>0.7072045559053225</v>
      </c>
      <c r="S1230" s="10">
        <v>0.03141669184936858</v>
      </c>
      <c r="T1230" s="10">
        <v>21.237263270885478</v>
      </c>
      <c r="U1230" s="11">
        <v>0.06456714934872468</v>
      </c>
      <c r="V1230" s="11">
        <v>0.23432921651792965</v>
      </c>
      <c r="W1230" s="11">
        <v>0.17461796214240421</v>
      </c>
      <c r="X1230" s="11">
        <v>0.29292969388917905</v>
      </c>
      <c r="Y1230" s="11">
        <v>0.09401385419386626</v>
      </c>
      <c r="Z1230" s="11">
        <v>0.13954212390789597</v>
      </c>
    </row>
    <row r="1231" ht="22.5" customHeight="1">
      <c r="Q1231" s="9" t="s">
        <v>1269</v>
      </c>
      <c r="R1231" s="10">
        <v>0.6420570344640038</v>
      </c>
      <c r="S1231" s="10">
        <v>0.02834949343732999</v>
      </c>
      <c r="T1231" s="10">
        <v>21.236959164541126</v>
      </c>
      <c r="U1231" s="11">
        <v>0.19295785433035337</v>
      </c>
      <c r="V1231" s="11">
        <v>0.2140974872293182</v>
      </c>
      <c r="W1231" s="11">
        <v>0.14566182099877778</v>
      </c>
      <c r="X1231" s="11">
        <v>0.18605721333056896</v>
      </c>
      <c r="Y1231" s="11">
        <v>0.22411928471098785</v>
      </c>
      <c r="Z1231" s="11">
        <v>0.037106339399993964</v>
      </c>
    </row>
    <row r="1232" ht="22.5" customHeight="1">
      <c r="Q1232" s="9" t="s">
        <v>1270</v>
      </c>
      <c r="R1232" s="10">
        <v>0.5048097067974789</v>
      </c>
      <c r="S1232" s="10">
        <v>0.021886958930430706</v>
      </c>
      <c r="T1232" s="10">
        <v>21.236833690551094</v>
      </c>
      <c r="U1232" s="11">
        <v>0.22431056443506525</v>
      </c>
      <c r="V1232" s="11">
        <v>0.1791733623046973</v>
      </c>
      <c r="W1232" s="11">
        <v>0.08598228342419313</v>
      </c>
      <c r="X1232" s="11">
        <v>0.24194550761920275</v>
      </c>
      <c r="Y1232" s="11">
        <v>0.03415154068832432</v>
      </c>
      <c r="Z1232" s="11">
        <v>0.23443674152851723</v>
      </c>
    </row>
    <row r="1233" ht="22.5" customHeight="1">
      <c r="Q1233" s="9" t="s">
        <v>1271</v>
      </c>
      <c r="R1233" s="10">
        <v>0.6206140792098298</v>
      </c>
      <c r="S1233" s="10">
        <v>0.027340161835084562</v>
      </c>
      <c r="T1233" s="10">
        <v>21.236673093308116</v>
      </c>
      <c r="U1233" s="11">
        <v>0.20619570772047327</v>
      </c>
      <c r="V1233" s="11">
        <v>0.20705463225874293</v>
      </c>
      <c r="W1233" s="11">
        <v>0.1423619605538096</v>
      </c>
      <c r="X1233" s="11">
        <v>0.17622007124785674</v>
      </c>
      <c r="Y1233" s="11">
        <v>0.16261833676819756</v>
      </c>
      <c r="Z1233" s="11">
        <v>0.10554929145091975</v>
      </c>
    </row>
    <row r="1234" ht="22.5" customHeight="1">
      <c r="Q1234" s="9" t="s">
        <v>1272</v>
      </c>
      <c r="R1234" s="10">
        <v>0.4495467916743878</v>
      </c>
      <c r="S1234" s="10">
        <v>0.019285063247547314</v>
      </c>
      <c r="T1234" s="10">
        <v>21.236476459390104</v>
      </c>
      <c r="U1234" s="11">
        <v>0.18521539397154815</v>
      </c>
      <c r="V1234" s="11">
        <v>0.13918891522845636</v>
      </c>
      <c r="W1234" s="11">
        <v>0.09057764329020974</v>
      </c>
      <c r="X1234" s="11">
        <v>0.100680972864782</v>
      </c>
      <c r="Y1234" s="11">
        <v>0.2757325145857509</v>
      </c>
      <c r="Z1234" s="11">
        <v>0.2086045600592528</v>
      </c>
    </row>
    <row r="1235" ht="22.5" customHeight="1">
      <c r="Q1235" s="9" t="s">
        <v>1273</v>
      </c>
      <c r="R1235" s="10">
        <v>0.5190217576619902</v>
      </c>
      <c r="S1235" s="10">
        <v>0.02255783387711081</v>
      </c>
      <c r="T1235" s="10">
        <v>21.23527286669348</v>
      </c>
      <c r="U1235" s="11">
        <v>0.21488421306574484</v>
      </c>
      <c r="V1235" s="11">
        <v>0.17383647767489552</v>
      </c>
      <c r="W1235" s="11">
        <v>0.10425585038943884</v>
      </c>
      <c r="X1235" s="11">
        <v>0.13436557127357987</v>
      </c>
      <c r="Y1235" s="11">
        <v>0.20745063420414717</v>
      </c>
      <c r="Z1235" s="11">
        <v>0.16520725339219378</v>
      </c>
    </row>
    <row r="1236" ht="22.5" customHeight="1">
      <c r="Q1236" s="9" t="s">
        <v>1274</v>
      </c>
      <c r="R1236" s="10">
        <v>0.384315630833968</v>
      </c>
      <c r="S1236" s="10">
        <v>0.01621541405573948</v>
      </c>
      <c r="T1236" s="10">
        <v>21.23384760021572</v>
      </c>
      <c r="U1236" s="11">
        <v>0.20930878339553907</v>
      </c>
      <c r="V1236" s="11">
        <v>0.05676870576504386</v>
      </c>
      <c r="W1236" s="11">
        <v>0.11478497152842411</v>
      </c>
      <c r="X1236" s="11">
        <v>0.23156120031169092</v>
      </c>
      <c r="Y1236" s="11">
        <v>0.21376630670172647</v>
      </c>
      <c r="Z1236" s="11">
        <v>0.17381003229757558</v>
      </c>
    </row>
    <row r="1237" ht="22.5" customHeight="1">
      <c r="Q1237" s="9" t="s">
        <v>1275</v>
      </c>
      <c r="R1237" s="10">
        <v>0.3573195269319572</v>
      </c>
      <c r="S1237" s="10">
        <v>0.014944169318067836</v>
      </c>
      <c r="T1237" s="10">
        <v>21.233667805698023</v>
      </c>
      <c r="U1237" s="11">
        <v>0.1130331737408099</v>
      </c>
      <c r="V1237" s="11">
        <v>0.11613670689550416</v>
      </c>
      <c r="W1237" s="11">
        <v>0.028443948014229416</v>
      </c>
      <c r="X1237" s="11">
        <v>0.32240322137559524</v>
      </c>
      <c r="Y1237" s="11">
        <v>0.17596277627030704</v>
      </c>
      <c r="Z1237" s="11">
        <v>0.24402017370355433</v>
      </c>
    </row>
    <row r="1238" ht="22.5" customHeight="1">
      <c r="Q1238" s="9" t="s">
        <v>1276</v>
      </c>
      <c r="R1238" s="10">
        <v>0.672392858730256</v>
      </c>
      <c r="S1238" s="10">
        <v>0.029782893616519587</v>
      </c>
      <c r="T1238" s="10">
        <v>21.23342569976104</v>
      </c>
      <c r="U1238" s="11">
        <v>0.15833416182126034</v>
      </c>
      <c r="V1238" s="11">
        <v>0.17108821676209018</v>
      </c>
      <c r="W1238" s="11">
        <v>0.20732032287232624</v>
      </c>
      <c r="X1238" s="11">
        <v>0.2597824378536964</v>
      </c>
      <c r="Y1238" s="11">
        <v>0.19479365531323833</v>
      </c>
      <c r="Z1238" s="11">
        <v>0.0086812053773885</v>
      </c>
    </row>
    <row r="1239" ht="22.5" customHeight="1">
      <c r="Q1239" s="9" t="s">
        <v>1277</v>
      </c>
      <c r="R1239" s="10">
        <v>0.674602683725237</v>
      </c>
      <c r="S1239" s="10">
        <v>0.029887664892041012</v>
      </c>
      <c r="T1239" s="10">
        <v>21.232929572033232</v>
      </c>
      <c r="U1239" s="11">
        <v>0.2460349495166253</v>
      </c>
      <c r="V1239" s="11">
        <v>0.2271123797424479</v>
      </c>
      <c r="W1239" s="11">
        <v>0.15771008838017855</v>
      </c>
      <c r="X1239" s="11">
        <v>0.2330856712345004</v>
      </c>
      <c r="Y1239" s="11">
        <v>0.07505678780795459</v>
      </c>
      <c r="Z1239" s="11">
        <v>0.06100012331829328</v>
      </c>
    </row>
    <row r="1240" ht="22.5" customHeight="1">
      <c r="Q1240" s="9" t="s">
        <v>1278</v>
      </c>
      <c r="R1240" s="10">
        <v>0.27048098890652145</v>
      </c>
      <c r="S1240" s="10">
        <v>0.010854923518050194</v>
      </c>
      <c r="T1240" s="10">
        <v>21.232852403175787</v>
      </c>
      <c r="U1240" s="11">
        <v>0.10207075134411497</v>
      </c>
      <c r="V1240" s="11">
        <v>0.040254473351662635</v>
      </c>
      <c r="W1240" s="11">
        <v>0.040082267091312</v>
      </c>
      <c r="X1240" s="11">
        <v>0.30908564110293985</v>
      </c>
      <c r="Y1240" s="11">
        <v>0.26391119532133356</v>
      </c>
      <c r="Z1240" s="11">
        <v>0.24459567178863698</v>
      </c>
    </row>
    <row r="1241" ht="22.5" customHeight="1">
      <c r="Q1241" s="9" t="s">
        <v>1279</v>
      </c>
      <c r="R1241" s="10">
        <v>0.5210821511095093</v>
      </c>
      <c r="S1241" s="10">
        <v>0.022659018008956863</v>
      </c>
      <c r="T1241" s="10">
        <v>21.231376881352173</v>
      </c>
      <c r="U1241" s="11">
        <v>0.2993016651883124</v>
      </c>
      <c r="V1241" s="11">
        <v>0.12482873889256013</v>
      </c>
      <c r="W1241" s="11">
        <v>0.1578306964126435</v>
      </c>
      <c r="X1241" s="11">
        <v>0.18161106538089422</v>
      </c>
      <c r="Y1241" s="11">
        <v>0.05011617730783618</v>
      </c>
      <c r="Z1241" s="11">
        <v>0.1863116568177535</v>
      </c>
    </row>
    <row r="1242" ht="22.5" customHeight="1">
      <c r="Q1242" s="9" t="s">
        <v>1280</v>
      </c>
      <c r="R1242" s="10">
        <v>0.4989290803117288</v>
      </c>
      <c r="S1242" s="10">
        <v>0.021616212275959924</v>
      </c>
      <c r="T1242" s="10">
        <v>21.230781528830487</v>
      </c>
      <c r="U1242" s="11">
        <v>0.18337489147263578</v>
      </c>
      <c r="V1242" s="11">
        <v>0.17435925249831663</v>
      </c>
      <c r="W1242" s="11">
        <v>0.08861776046620781</v>
      </c>
      <c r="X1242" s="11">
        <v>0.17695064108919825</v>
      </c>
      <c r="Y1242" s="11">
        <v>0.15708321714728432</v>
      </c>
      <c r="Z1242" s="11">
        <v>0.21961423732635732</v>
      </c>
    </row>
    <row r="1243" ht="22.5" customHeight="1">
      <c r="Q1243" s="9" t="s">
        <v>1281</v>
      </c>
      <c r="R1243" s="10">
        <v>0.5709621452308409</v>
      </c>
      <c r="S1243" s="10">
        <v>0.025010047765458624</v>
      </c>
      <c r="T1243" s="10">
        <v>21.229953265589227</v>
      </c>
      <c r="U1243" s="11">
        <v>0.25636886776591555</v>
      </c>
      <c r="V1243" s="11">
        <v>0.18194000323710177</v>
      </c>
      <c r="W1243" s="11">
        <v>0.1338469917018311</v>
      </c>
      <c r="X1243" s="11">
        <v>0.12241603531333813</v>
      </c>
      <c r="Y1243" s="11">
        <v>0.20056223567089998</v>
      </c>
      <c r="Z1243" s="11">
        <v>0.10486586631091345</v>
      </c>
    </row>
    <row r="1244" ht="22.5" customHeight="1">
      <c r="Q1244" s="9" t="s">
        <v>1282</v>
      </c>
      <c r="R1244" s="10">
        <v>0.4924267468799159</v>
      </c>
      <c r="S1244" s="10">
        <v>0.02131085618712693</v>
      </c>
      <c r="T1244" s="10">
        <v>21.22987189755471</v>
      </c>
      <c r="U1244" s="11">
        <v>0.31457529945220936</v>
      </c>
      <c r="V1244" s="11">
        <v>0.16003314653450407</v>
      </c>
      <c r="W1244" s="11">
        <v>0.10481493811022254</v>
      </c>
      <c r="X1244" s="11">
        <v>0.14378511829892668</v>
      </c>
      <c r="Y1244" s="11">
        <v>0.03901118108129669</v>
      </c>
      <c r="Z1244" s="11">
        <v>0.23778031652284062</v>
      </c>
    </row>
    <row r="1245" ht="22.5" customHeight="1">
      <c r="Q1245" s="9" t="s">
        <v>1283</v>
      </c>
      <c r="R1245" s="10">
        <v>0.6418812881424885</v>
      </c>
      <c r="S1245" s="10">
        <v>0.028350992106716617</v>
      </c>
      <c r="T1245" s="10">
        <v>21.22963760410688</v>
      </c>
      <c r="U1245" s="11">
        <v>0.20015630706143445</v>
      </c>
      <c r="V1245" s="11">
        <v>0.19307057252583926</v>
      </c>
      <c r="W1245" s="11">
        <v>0.17165205056264157</v>
      </c>
      <c r="X1245" s="11">
        <v>0.16172098205734076</v>
      </c>
      <c r="Y1245" s="11">
        <v>0.2079179196403922</v>
      </c>
      <c r="Z1245" s="11">
        <v>0.0654821681523518</v>
      </c>
    </row>
    <row r="1246" ht="22.5" customHeight="1">
      <c r="Q1246" s="9" t="s">
        <v>1284</v>
      </c>
      <c r="R1246" s="10">
        <v>0.6357273885746153</v>
      </c>
      <c r="S1246" s="10">
        <v>0.02806161761060525</v>
      </c>
      <c r="T1246" s="10">
        <v>21.229260438267595</v>
      </c>
      <c r="U1246" s="11">
        <v>0.19068721617697</v>
      </c>
      <c r="V1246" s="11">
        <v>0.19185490164542798</v>
      </c>
      <c r="W1246" s="11">
        <v>0.1735993612729489</v>
      </c>
      <c r="X1246" s="11">
        <v>0.18990645110389553</v>
      </c>
      <c r="Y1246" s="11">
        <v>0.09241995369117267</v>
      </c>
      <c r="Z1246" s="11">
        <v>0.161532116109585</v>
      </c>
    </row>
    <row r="1247" ht="22.5" customHeight="1">
      <c r="Q1247" s="9" t="s">
        <v>1285</v>
      </c>
      <c r="R1247" s="10">
        <v>0.38670731553282806</v>
      </c>
      <c r="S1247" s="10">
        <v>0.01633195668686384</v>
      </c>
      <c r="T1247" s="10">
        <v>21.22876775761306</v>
      </c>
      <c r="U1247" s="11">
        <v>0.09356588397158144</v>
      </c>
      <c r="V1247" s="11">
        <v>0.12980642016482222</v>
      </c>
      <c r="W1247" s="11">
        <v>0.05334723753603008</v>
      </c>
      <c r="X1247" s="11">
        <v>0.2831403728883349</v>
      </c>
      <c r="Y1247" s="11">
        <v>0.02158153084573772</v>
      </c>
      <c r="Z1247" s="11">
        <v>0.4185585545934937</v>
      </c>
    </row>
    <row r="1248" ht="22.5" customHeight="1">
      <c r="Q1248" s="9" t="s">
        <v>1286</v>
      </c>
      <c r="R1248" s="10">
        <v>0.5907350155209509</v>
      </c>
      <c r="S1248" s="10">
        <v>0.025943231159675277</v>
      </c>
      <c r="T1248" s="10">
        <v>21.228466575011012</v>
      </c>
      <c r="U1248" s="11">
        <v>0.031940252366784154</v>
      </c>
      <c r="V1248" s="11">
        <v>0.1946349743519883</v>
      </c>
      <c r="W1248" s="11">
        <v>0.1364030065900944</v>
      </c>
      <c r="X1248" s="11">
        <v>0.18491968216934515</v>
      </c>
      <c r="Y1248" s="11">
        <v>0.23499943381291258</v>
      </c>
      <c r="Z1248" s="11">
        <v>0.21710265070887533</v>
      </c>
    </row>
    <row r="1249" ht="22.5" customHeight="1">
      <c r="Q1249" s="9" t="s">
        <v>1287</v>
      </c>
      <c r="R1249" s="10">
        <v>0.3726689662354613</v>
      </c>
      <c r="S1249" s="10">
        <v>0.01567092167923697</v>
      </c>
      <c r="T1249" s="10">
        <v>21.22842376758399</v>
      </c>
      <c r="U1249" s="11">
        <v>0.2684263364205181</v>
      </c>
      <c r="V1249" s="11">
        <v>0.0818618758258668</v>
      </c>
      <c r="W1249" s="11">
        <v>0.0957099081687965</v>
      </c>
      <c r="X1249" s="11">
        <v>0.10442913026360695</v>
      </c>
      <c r="Y1249" s="11">
        <v>0.1856469372385625</v>
      </c>
      <c r="Z1249" s="11">
        <v>0.26392581208264915</v>
      </c>
    </row>
    <row r="1250" ht="22.5" customHeight="1">
      <c r="Q1250" s="9" t="s">
        <v>1288</v>
      </c>
      <c r="R1250" s="10">
        <v>0.38670407280499974</v>
      </c>
      <c r="S1250" s="10">
        <v>0.016332251124506883</v>
      </c>
      <c r="T1250" s="10">
        <v>21.228186498110055</v>
      </c>
      <c r="U1250" s="11">
        <v>0.3050147065784615</v>
      </c>
      <c r="V1250" s="11">
        <v>0.060287973972346545</v>
      </c>
      <c r="W1250" s="11">
        <v>0.11630267818591382</v>
      </c>
      <c r="X1250" s="11">
        <v>0.2260423530596733</v>
      </c>
      <c r="Y1250" s="11">
        <v>0.10564095335715229</v>
      </c>
      <c r="Z1250" s="11">
        <v>0.18671133484645266</v>
      </c>
    </row>
    <row r="1251" ht="22.5" customHeight="1">
      <c r="Q1251" s="9" t="s">
        <v>1289</v>
      </c>
      <c r="R1251" s="10">
        <v>0.37876434384398927</v>
      </c>
      <c r="S1251" s="10">
        <v>0.015958964587460378</v>
      </c>
      <c r="T1251" s="10">
        <v>21.227213205935083</v>
      </c>
      <c r="U1251" s="11">
        <v>0.3131939014651876</v>
      </c>
      <c r="V1251" s="11">
        <v>0.12008975004097205</v>
      </c>
      <c r="W1251" s="11">
        <v>0.05855507687117122</v>
      </c>
      <c r="X1251" s="11">
        <v>0.1600887185973473</v>
      </c>
      <c r="Y1251" s="11">
        <v>0.07150845358674222</v>
      </c>
      <c r="Z1251" s="11">
        <v>0.2765640994385796</v>
      </c>
    </row>
    <row r="1252" ht="22.5" customHeight="1">
      <c r="Q1252" s="9" t="s">
        <v>1290</v>
      </c>
      <c r="R1252" s="10">
        <v>0.69250681244766</v>
      </c>
      <c r="S1252" s="10">
        <v>0.03073923662134286</v>
      </c>
      <c r="T1252" s="10">
        <v>21.22716385203306</v>
      </c>
      <c r="U1252" s="11">
        <v>0.16386964819522548</v>
      </c>
      <c r="V1252" s="11">
        <v>0.2280599391723494</v>
      </c>
      <c r="W1252" s="11">
        <v>0.16842367589291662</v>
      </c>
      <c r="X1252" s="11">
        <v>0.21963454640533078</v>
      </c>
      <c r="Y1252" s="11">
        <v>0.18077766934131764</v>
      </c>
      <c r="Z1252" s="11">
        <v>0.0392345209928601</v>
      </c>
    </row>
    <row r="1253" ht="22.5" customHeight="1">
      <c r="Q1253" s="9" t="s">
        <v>1291</v>
      </c>
      <c r="R1253" s="10">
        <v>0.6238573950246259</v>
      </c>
      <c r="S1253" s="10">
        <v>0.027506241819006138</v>
      </c>
      <c r="T1253" s="10">
        <v>21.2263601427802</v>
      </c>
      <c r="U1253" s="11">
        <v>0.11383991738541675</v>
      </c>
      <c r="V1253" s="11">
        <v>0.21211019361773847</v>
      </c>
      <c r="W1253" s="11">
        <v>0.14170726133589998</v>
      </c>
      <c r="X1253" s="11">
        <v>0.2135565983597387</v>
      </c>
      <c r="Y1253" s="11">
        <v>0.13208779535379553</v>
      </c>
      <c r="Z1253" s="11">
        <v>0.18669823394741064</v>
      </c>
    </row>
    <row r="1254" ht="22.5" customHeight="1">
      <c r="Q1254" s="9" t="s">
        <v>1292</v>
      </c>
      <c r="R1254" s="10">
        <v>0.7554192774356745</v>
      </c>
      <c r="S1254" s="10">
        <v>0.033704994080830185</v>
      </c>
      <c r="T1254" s="10">
        <v>21.225913160523927</v>
      </c>
      <c r="U1254" s="11">
        <v>0.05338420810541669</v>
      </c>
      <c r="V1254" s="11">
        <v>0.24163902547183924</v>
      </c>
      <c r="W1254" s="11">
        <v>0.19512535615809815</v>
      </c>
      <c r="X1254" s="11">
        <v>0.28911185464465766</v>
      </c>
      <c r="Y1254" s="11">
        <v>0.20934539727260368</v>
      </c>
      <c r="Z1254" s="11">
        <v>0.011394158347384518</v>
      </c>
    </row>
    <row r="1255" ht="22.5" customHeight="1">
      <c r="Q1255" s="9" t="s">
        <v>1293</v>
      </c>
      <c r="R1255" s="10">
        <v>0.5324985589849509</v>
      </c>
      <c r="S1255" s="10">
        <v>0.023203300935012647</v>
      </c>
      <c r="T1255" s="10">
        <v>21.22536618235187</v>
      </c>
      <c r="U1255" s="11">
        <v>0.25089759264351047</v>
      </c>
      <c r="V1255" s="11">
        <v>0.15639932156353503</v>
      </c>
      <c r="W1255" s="11">
        <v>0.13210289091113453</v>
      </c>
      <c r="X1255" s="11">
        <v>0.09602275159676558</v>
      </c>
      <c r="Y1255" s="11">
        <v>0.2559274255493485</v>
      </c>
      <c r="Z1255" s="11">
        <v>0.10865001773570596</v>
      </c>
    </row>
    <row r="1256" ht="22.5" customHeight="1">
      <c r="Q1256" s="9" t="s">
        <v>1294</v>
      </c>
      <c r="R1256" s="10">
        <v>0.5342339088965165</v>
      </c>
      <c r="S1256" s="10">
        <v>0.023285648388044713</v>
      </c>
      <c r="T1256" s="10">
        <v>21.224829159159913</v>
      </c>
      <c r="U1256" s="11">
        <v>0.1605572650475435</v>
      </c>
      <c r="V1256" s="11">
        <v>0.1233619734331565</v>
      </c>
      <c r="W1256" s="11">
        <v>0.16601512998710757</v>
      </c>
      <c r="X1256" s="11">
        <v>0.19227670792780444</v>
      </c>
      <c r="Y1256" s="11">
        <v>0.17515839105131345</v>
      </c>
      <c r="Z1256" s="11">
        <v>0.18263053255307463</v>
      </c>
    </row>
    <row r="1257" ht="22.5" customHeight="1">
      <c r="Q1257" s="9" t="s">
        <v>1295</v>
      </c>
      <c r="R1257" s="10">
        <v>0.6126233100840692</v>
      </c>
      <c r="S1257" s="10">
        <v>0.026979831652291914</v>
      </c>
      <c r="T1257" s="10">
        <v>21.224124652216847</v>
      </c>
      <c r="U1257" s="11">
        <v>0.1756901835132171</v>
      </c>
      <c r="V1257" s="11">
        <v>0.2111913237964352</v>
      </c>
      <c r="W1257" s="11">
        <v>0.13212056106706094</v>
      </c>
      <c r="X1257" s="11">
        <v>0.20220442306314101</v>
      </c>
      <c r="Y1257" s="11">
        <v>0.13801929842525187</v>
      </c>
      <c r="Z1257" s="11">
        <v>0.1407742101348939</v>
      </c>
    </row>
    <row r="1258" ht="22.5" customHeight="1">
      <c r="Q1258" s="9" t="s">
        <v>1296</v>
      </c>
      <c r="R1258" s="10">
        <v>0.4569276858605731</v>
      </c>
      <c r="S1258" s="10">
        <v>0.01964471973724888</v>
      </c>
      <c r="T1258" s="10">
        <v>21.223396996090777</v>
      </c>
      <c r="U1258" s="11">
        <v>0.11716544301198956</v>
      </c>
      <c r="V1258" s="11">
        <v>0.1522579821826392</v>
      </c>
      <c r="W1258" s="11">
        <v>0.08406034139292635</v>
      </c>
      <c r="X1258" s="11">
        <v>0.13758253376093094</v>
      </c>
      <c r="Y1258" s="11">
        <v>0.23475660635341578</v>
      </c>
      <c r="Z1258" s="11">
        <v>0.27417709329809814</v>
      </c>
    </row>
    <row r="1259" ht="22.5" customHeight="1">
      <c r="Q1259" s="9" t="s">
        <v>1297</v>
      </c>
      <c r="R1259" s="10">
        <v>0.745043992027387</v>
      </c>
      <c r="S1259" s="10">
        <v>0.03322076923130461</v>
      </c>
      <c r="T1259" s="10">
        <v>21.22298815895598</v>
      </c>
      <c r="U1259" s="11">
        <v>0.047488498026158836</v>
      </c>
      <c r="V1259" s="11">
        <v>0.2383395362307832</v>
      </c>
      <c r="W1259" s="11">
        <v>0.1915174892800772</v>
      </c>
      <c r="X1259" s="11">
        <v>0.2785350988644012</v>
      </c>
      <c r="Y1259" s="11">
        <v>0.22525731954504227</v>
      </c>
      <c r="Z1259" s="11">
        <v>0.01886205805353738</v>
      </c>
    </row>
    <row r="1260" ht="22.5" customHeight="1">
      <c r="Q1260" s="9" t="s">
        <v>1298</v>
      </c>
      <c r="R1260" s="10">
        <v>0.6560606399738972</v>
      </c>
      <c r="S1260" s="10">
        <v>0.02902813596956814</v>
      </c>
      <c r="T1260" s="10">
        <v>21.222879781869178</v>
      </c>
      <c r="U1260" s="11">
        <v>0.17640930821378453</v>
      </c>
      <c r="V1260" s="11">
        <v>0.1834961831257687</v>
      </c>
      <c r="W1260" s="11">
        <v>0.1867746990265263</v>
      </c>
      <c r="X1260" s="11">
        <v>0.1847128139361847</v>
      </c>
      <c r="Y1260" s="11">
        <v>0.25689919481596546</v>
      </c>
      <c r="Z1260" s="11">
        <v>0.011707800881770416</v>
      </c>
    </row>
    <row r="1261" ht="22.5" customHeight="1">
      <c r="Q1261" s="9" t="s">
        <v>1299</v>
      </c>
      <c r="R1261" s="10">
        <v>0.6900099195231836</v>
      </c>
      <c r="S1261" s="10">
        <v>0.030628984325718294</v>
      </c>
      <c r="T1261" s="10">
        <v>21.222052700500047</v>
      </c>
      <c r="U1261" s="11">
        <v>0.018679028480205726</v>
      </c>
      <c r="V1261" s="11">
        <v>0.23696448586074176</v>
      </c>
      <c r="W1261" s="11">
        <v>0.14800574855957763</v>
      </c>
      <c r="X1261" s="11">
        <v>0.29044280209871015</v>
      </c>
      <c r="Y1261" s="11">
        <v>0.2853625097368799</v>
      </c>
      <c r="Z1261" s="11">
        <v>0.0205454252638849</v>
      </c>
    </row>
    <row r="1262" ht="22.5" customHeight="1">
      <c r="Q1262" s="9" t="s">
        <v>1300</v>
      </c>
      <c r="R1262" s="10">
        <v>0.32538250886501624</v>
      </c>
      <c r="S1262" s="10">
        <v>0.013447623295661192</v>
      </c>
      <c r="T1262" s="10">
        <v>21.221780428448906</v>
      </c>
      <c r="U1262" s="11">
        <v>0.3123794828927801</v>
      </c>
      <c r="V1262" s="11">
        <v>0.04318862710194011</v>
      </c>
      <c r="W1262" s="11">
        <v>0.0857503133300147</v>
      </c>
      <c r="X1262" s="11">
        <v>0.22488982052615183</v>
      </c>
      <c r="Y1262" s="11">
        <v>0.14793060024549298</v>
      </c>
      <c r="Z1262" s="11">
        <v>0.18586115590362015</v>
      </c>
    </row>
    <row r="1263" ht="22.5" customHeight="1">
      <c r="Q1263" s="9" t="s">
        <v>1301</v>
      </c>
      <c r="R1263" s="10">
        <v>0.45132158415252815</v>
      </c>
      <c r="S1263" s="10">
        <v>0.019382378726258646</v>
      </c>
      <c r="T1263" s="10">
        <v>21.221419205645923</v>
      </c>
      <c r="U1263" s="11">
        <v>0.27312276627590415</v>
      </c>
      <c r="V1263" s="11">
        <v>0.06499272651691798</v>
      </c>
      <c r="W1263" s="11">
        <v>0.145251273980257</v>
      </c>
      <c r="X1263" s="11">
        <v>0.32427493887680037</v>
      </c>
      <c r="Y1263" s="11">
        <v>0.1370528085490032</v>
      </c>
      <c r="Z1263" s="11">
        <v>0.05530548580111715</v>
      </c>
    </row>
    <row r="1264" ht="22.5" customHeight="1">
      <c r="Q1264" s="9" t="s">
        <v>1302</v>
      </c>
      <c r="R1264" s="10">
        <v>0.5611294150136904</v>
      </c>
      <c r="S1264" s="10">
        <v>0.024556921716486307</v>
      </c>
      <c r="T1264" s="10">
        <v>21.221284207777142</v>
      </c>
      <c r="U1264" s="11">
        <v>0.1032420790222353</v>
      </c>
      <c r="V1264" s="11">
        <v>0.12814048550660417</v>
      </c>
      <c r="W1264" s="11">
        <v>0.17036788797913616</v>
      </c>
      <c r="X1264" s="11">
        <v>0.21418612302850015</v>
      </c>
      <c r="Y1264" s="11">
        <v>0.320259839477513</v>
      </c>
      <c r="Z1264" s="11">
        <v>0.06380358498601106</v>
      </c>
    </row>
    <row r="1265" ht="22.5" customHeight="1">
      <c r="Q1265" s="9" t="s">
        <v>1303</v>
      </c>
      <c r="R1265" s="10">
        <v>0.5851707139778051</v>
      </c>
      <c r="S1265" s="10">
        <v>0.025689860364001053</v>
      </c>
      <c r="T1265" s="10">
        <v>21.221240841843866</v>
      </c>
      <c r="U1265" s="11">
        <v>0.11922952212577836</v>
      </c>
      <c r="V1265" s="11">
        <v>0.20115143456507759</v>
      </c>
      <c r="W1265" s="11">
        <v>0.12094123338805003</v>
      </c>
      <c r="X1265" s="11">
        <v>0.18722393862480485</v>
      </c>
      <c r="Y1265" s="11">
        <v>0.22778586114540872</v>
      </c>
      <c r="Z1265" s="11">
        <v>0.1436680101508804</v>
      </c>
    </row>
    <row r="1266" ht="22.5" customHeight="1">
      <c r="Q1266" s="9" t="s">
        <v>1304</v>
      </c>
      <c r="R1266" s="10">
        <v>0.7083659109381106</v>
      </c>
      <c r="S1266" s="10">
        <v>0.03149567626781165</v>
      </c>
      <c r="T1266" s="10">
        <v>21.22087823277431</v>
      </c>
      <c r="U1266" s="11">
        <v>0.07506594008479395</v>
      </c>
      <c r="V1266" s="11">
        <v>0.2285863449645417</v>
      </c>
      <c r="W1266" s="11">
        <v>0.17614069649635056</v>
      </c>
      <c r="X1266" s="11">
        <v>0.23729523020608773</v>
      </c>
      <c r="Y1266" s="11">
        <v>0.2610165767929099</v>
      </c>
      <c r="Z1266" s="11">
        <v>0.02189521145531625</v>
      </c>
    </row>
    <row r="1267" ht="22.5" customHeight="1">
      <c r="Q1267" s="9" t="s">
        <v>1305</v>
      </c>
      <c r="R1267" s="10">
        <v>0.46510523482095795</v>
      </c>
      <c r="S1267" s="10">
        <v>0.020032965378625</v>
      </c>
      <c r="T1267" s="10">
        <v>21.22028500456261</v>
      </c>
      <c r="U1267" s="11">
        <v>0.3030260245203653</v>
      </c>
      <c r="V1267" s="11">
        <v>0.11944703917008302</v>
      </c>
      <c r="W1267" s="11">
        <v>0.12917413748469134</v>
      </c>
      <c r="X1267" s="11">
        <v>0.13416395858820357</v>
      </c>
      <c r="Y1267" s="11">
        <v>0.03951016502521034</v>
      </c>
      <c r="Z1267" s="11">
        <v>0.27467867521144645</v>
      </c>
    </row>
    <row r="1268" ht="22.5" customHeight="1">
      <c r="Q1268" s="9" t="s">
        <v>1306</v>
      </c>
      <c r="R1268" s="10">
        <v>0.6726719039989043</v>
      </c>
      <c r="S1268" s="10">
        <v>0.029814535644384382</v>
      </c>
      <c r="T1268" s="10">
        <v>21.220250133866134</v>
      </c>
      <c r="U1268" s="11">
        <v>0.1698168469828259</v>
      </c>
      <c r="V1268" s="11">
        <v>0.18562252692061207</v>
      </c>
      <c r="W1268" s="11">
        <v>0.2007864914967665</v>
      </c>
      <c r="X1268" s="11">
        <v>0.24577676907398271</v>
      </c>
      <c r="Y1268" s="11">
        <v>0.09551848580917055</v>
      </c>
      <c r="Z1268" s="11">
        <v>0.10247887971664238</v>
      </c>
    </row>
    <row r="1269" ht="22.5" customHeight="1">
      <c r="Q1269" s="9" t="s">
        <v>1307</v>
      </c>
      <c r="R1269" s="10">
        <v>0.6969822993168066</v>
      </c>
      <c r="S1269" s="10">
        <v>0.03096022147292522</v>
      </c>
      <c r="T1269" s="10">
        <v>21.220206705928735</v>
      </c>
      <c r="U1269" s="11">
        <v>0.1787866598745263</v>
      </c>
      <c r="V1269" s="11">
        <v>0.2151022323340946</v>
      </c>
      <c r="W1269" s="11">
        <v>0.18729683376777975</v>
      </c>
      <c r="X1269" s="11">
        <v>0.2116795405637475</v>
      </c>
      <c r="Y1269" s="11">
        <v>0.15724112309454963</v>
      </c>
      <c r="Z1269" s="11">
        <v>0.04989361036530232</v>
      </c>
    </row>
    <row r="1270" ht="22.5" customHeight="1">
      <c r="Q1270" s="9" t="s">
        <v>1308</v>
      </c>
      <c r="R1270" s="10">
        <v>0.3145631383754867</v>
      </c>
      <c r="S1270" s="10">
        <v>0.012938853728641056</v>
      </c>
      <c r="T1270" s="10">
        <v>21.220051183337986</v>
      </c>
      <c r="U1270" s="11">
        <v>0.16617615765402566</v>
      </c>
      <c r="V1270" s="11">
        <v>0.03991018071156373</v>
      </c>
      <c r="W1270" s="11">
        <v>0.07818481816518011</v>
      </c>
      <c r="X1270" s="11">
        <v>0.24636588039696647</v>
      </c>
      <c r="Y1270" s="11">
        <v>0.2587541843743177</v>
      </c>
      <c r="Z1270" s="11">
        <v>0.21060877869794634</v>
      </c>
    </row>
    <row r="1271" ht="22.5" customHeight="1">
      <c r="Q1271" s="9" t="s">
        <v>1309</v>
      </c>
      <c r="R1271" s="10">
        <v>0.6203647854237062</v>
      </c>
      <c r="S1271" s="10">
        <v>0.027350313609638747</v>
      </c>
      <c r="T1271" s="10">
        <v>21.219675712207376</v>
      </c>
      <c r="U1271" s="11">
        <v>0.11691090481002939</v>
      </c>
      <c r="V1271" s="11">
        <v>0.18849370783211974</v>
      </c>
      <c r="W1271" s="11">
        <v>0.16536360290129393</v>
      </c>
      <c r="X1271" s="11">
        <v>0.166488684964098</v>
      </c>
      <c r="Y1271" s="11">
        <v>0.19609520836261862</v>
      </c>
      <c r="Z1271" s="11">
        <v>0.16664789112984021</v>
      </c>
    </row>
    <row r="1272" ht="22.5" customHeight="1">
      <c r="Q1272" s="9" t="s">
        <v>1310</v>
      </c>
      <c r="R1272" s="10">
        <v>0.40273392878266384</v>
      </c>
      <c r="S1272" s="10">
        <v>0.017095277574735914</v>
      </c>
      <c r="T1272" s="10">
        <v>21.21837023101202</v>
      </c>
      <c r="U1272" s="11">
        <v>0.2530821004751756</v>
      </c>
      <c r="V1272" s="11">
        <v>0.06960185674513432</v>
      </c>
      <c r="W1272" s="11">
        <v>0.1166868290267654</v>
      </c>
      <c r="X1272" s="11">
        <v>0.17811343101421917</v>
      </c>
      <c r="Y1272" s="11">
        <v>0.25415663791885806</v>
      </c>
      <c r="Z1272" s="11">
        <v>0.12835914481984756</v>
      </c>
    </row>
    <row r="1273" ht="22.5" customHeight="1">
      <c r="Q1273" s="9" t="s">
        <v>1311</v>
      </c>
      <c r="R1273" s="10">
        <v>0.4894561416986051</v>
      </c>
      <c r="S1273" s="10">
        <v>0.021182459598860576</v>
      </c>
      <c r="T1273" s="10">
        <v>21.21831695705355</v>
      </c>
      <c r="U1273" s="11">
        <v>0.1913497476552562</v>
      </c>
      <c r="V1273" s="11">
        <v>0.174458271377792</v>
      </c>
      <c r="W1273" s="11">
        <v>0.07648335911335949</v>
      </c>
      <c r="X1273" s="11">
        <v>0.21414654934625207</v>
      </c>
      <c r="Y1273" s="11">
        <v>0.15228211873085568</v>
      </c>
      <c r="Z1273" s="11">
        <v>0.1912799537764845</v>
      </c>
    </row>
    <row r="1274" ht="22.5" customHeight="1">
      <c r="Q1274" s="9" t="s">
        <v>1312</v>
      </c>
      <c r="R1274" s="10">
        <v>0.6144395147729775</v>
      </c>
      <c r="S1274" s="10">
        <v>0.027073148031626866</v>
      </c>
      <c r="T1274" s="10">
        <v>21.218053921986353</v>
      </c>
      <c r="U1274" s="11">
        <v>0.25266455083199946</v>
      </c>
      <c r="V1274" s="11">
        <v>0.18077712170110036</v>
      </c>
      <c r="W1274" s="11">
        <v>0.1700647658777823</v>
      </c>
      <c r="X1274" s="11">
        <v>0.17288737133622162</v>
      </c>
      <c r="Y1274" s="11">
        <v>0.07046498184504028</v>
      </c>
      <c r="Z1274" s="11">
        <v>0.1531412084078559</v>
      </c>
    </row>
    <row r="1275" ht="22.5" customHeight="1">
      <c r="Q1275" s="9" t="s">
        <v>1313</v>
      </c>
      <c r="R1275" s="10">
        <v>0.5795797630396071</v>
      </c>
      <c r="S1275" s="10">
        <v>0.02543094267707316</v>
      </c>
      <c r="T1275" s="10">
        <v>21.217450327787343</v>
      </c>
      <c r="U1275" s="11">
        <v>0.03439785120615038</v>
      </c>
      <c r="V1275" s="11">
        <v>0.16395488147051598</v>
      </c>
      <c r="W1275" s="11">
        <v>0.16616829078562081</v>
      </c>
      <c r="X1275" s="11">
        <v>0.22301061297333663</v>
      </c>
      <c r="Y1275" s="11">
        <v>0.08473391108084818</v>
      </c>
      <c r="Z1275" s="11">
        <v>0.327734452483528</v>
      </c>
    </row>
    <row r="1276" ht="22.5" customHeight="1">
      <c r="Q1276" s="9" t="s">
        <v>1314</v>
      </c>
      <c r="R1276" s="10">
        <v>0.3861635495165656</v>
      </c>
      <c r="S1276" s="10">
        <v>0.016315710333101283</v>
      </c>
      <c r="T1276" s="10">
        <v>21.216578527645815</v>
      </c>
      <c r="U1276" s="11">
        <v>0.3130747335670946</v>
      </c>
      <c r="V1276" s="11">
        <v>0.09120792729519005</v>
      </c>
      <c r="W1276" s="11">
        <v>0.09480914431730997</v>
      </c>
      <c r="X1276" s="11">
        <v>0.08955083375782259</v>
      </c>
      <c r="Y1276" s="11">
        <v>0.19371317681545083</v>
      </c>
      <c r="Z1276" s="11">
        <v>0.21764418424713206</v>
      </c>
    </row>
    <row r="1277" ht="22.5" customHeight="1">
      <c r="Q1277" s="9" t="s">
        <v>1315</v>
      </c>
      <c r="R1277" s="10">
        <v>0.607411967243856</v>
      </c>
      <c r="S1277" s="10">
        <v>0.026743833569669345</v>
      </c>
      <c r="T1277" s="10">
        <v>21.21655318283793</v>
      </c>
      <c r="U1277" s="11">
        <v>0.050502757761553364</v>
      </c>
      <c r="V1277" s="11">
        <v>0.16256003074121414</v>
      </c>
      <c r="W1277" s="11">
        <v>0.17967127082668582</v>
      </c>
      <c r="X1277" s="11">
        <v>0.2067401191734697</v>
      </c>
      <c r="Y1277" s="11">
        <v>0.21799783324320587</v>
      </c>
      <c r="Z1277" s="11">
        <v>0.18252798825387112</v>
      </c>
    </row>
    <row r="1278" ht="22.5" customHeight="1">
      <c r="Q1278" s="9" t="s">
        <v>1316</v>
      </c>
      <c r="R1278" s="10">
        <v>0.3379202710662684</v>
      </c>
      <c r="S1278" s="10">
        <v>0.01404195491749805</v>
      </c>
      <c r="T1278" s="10">
        <v>21.21643836749697</v>
      </c>
      <c r="U1278" s="11">
        <v>0.18462642654878328</v>
      </c>
      <c r="V1278" s="11">
        <v>0.09369414815561206</v>
      </c>
      <c r="W1278" s="11">
        <v>0.020571061576904085</v>
      </c>
      <c r="X1278" s="11">
        <v>0.4850595290495548</v>
      </c>
      <c r="Y1278" s="11">
        <v>0.05998714306119311</v>
      </c>
      <c r="Z1278" s="11">
        <v>0.15606169160795288</v>
      </c>
    </row>
    <row r="1279" ht="22.5" customHeight="1">
      <c r="Q1279" s="9" t="s">
        <v>1317</v>
      </c>
      <c r="R1279" s="10">
        <v>0.3349926365556153</v>
      </c>
      <c r="S1279" s="10">
        <v>0.013904360312702289</v>
      </c>
      <c r="T1279" s="10">
        <v>21.215836609622784</v>
      </c>
      <c r="U1279" s="11">
        <v>0.3736763059289364</v>
      </c>
      <c r="V1279" s="11">
        <v>0.03216499263446781</v>
      </c>
      <c r="W1279" s="11">
        <v>0.08136796126766457</v>
      </c>
      <c r="X1279" s="11">
        <v>0.4418143322945494</v>
      </c>
      <c r="Y1279" s="11">
        <v>0.02091008670062501</v>
      </c>
      <c r="Z1279" s="11">
        <v>0.05006632117375674</v>
      </c>
    </row>
    <row r="1280" ht="22.5" customHeight="1">
      <c r="Q1280" s="9" t="s">
        <v>1318</v>
      </c>
      <c r="R1280" s="10">
        <v>0.7023282311859665</v>
      </c>
      <c r="S1280" s="10">
        <v>0.03121939815001964</v>
      </c>
      <c r="T1280" s="10">
        <v>21.215278654740814</v>
      </c>
      <c r="U1280" s="11">
        <v>0.028785735842252056</v>
      </c>
      <c r="V1280" s="11">
        <v>0.23335333952603168</v>
      </c>
      <c r="W1280" s="11">
        <v>0.17113588844096841</v>
      </c>
      <c r="X1280" s="11">
        <v>0.27094658474105526</v>
      </c>
      <c r="Y1280" s="11">
        <v>0.17321480731603772</v>
      </c>
      <c r="Z1280" s="11">
        <v>0.12256364413365485</v>
      </c>
    </row>
    <row r="1281" ht="22.5" customHeight="1">
      <c r="Q1281" s="9" t="s">
        <v>1319</v>
      </c>
      <c r="R1281" s="10">
        <v>0.5649587778816353</v>
      </c>
      <c r="S1281" s="10">
        <v>0.02474487583659468</v>
      </c>
      <c r="T1281" s="10">
        <v>21.214847928446048</v>
      </c>
      <c r="U1281" s="11">
        <v>0.17521459128544997</v>
      </c>
      <c r="V1281" s="11">
        <v>0.1330876708054618</v>
      </c>
      <c r="W1281" s="11">
        <v>0.1758960187713278</v>
      </c>
      <c r="X1281" s="11">
        <v>0.19928118290464056</v>
      </c>
      <c r="Y1281" s="11">
        <v>0.1861366701811186</v>
      </c>
      <c r="Z1281" s="11">
        <v>0.13038386605200109</v>
      </c>
    </row>
    <row r="1282" ht="22.5" customHeight="1">
      <c r="Q1282" s="9" t="s">
        <v>1320</v>
      </c>
      <c r="R1282" s="10">
        <v>0.6729499612294353</v>
      </c>
      <c r="S1282" s="10">
        <v>0.029835401994606332</v>
      </c>
      <c r="T1282" s="10">
        <v>21.21472877569608</v>
      </c>
      <c r="U1282" s="11">
        <v>0.03968134818333603</v>
      </c>
      <c r="V1282" s="11">
        <v>0.172995853753001</v>
      </c>
      <c r="W1282" s="11">
        <v>0.20546497275870754</v>
      </c>
      <c r="X1282" s="11">
        <v>0.2790776643402604</v>
      </c>
      <c r="Y1282" s="11">
        <v>0.25123452660449375</v>
      </c>
      <c r="Z1282" s="11">
        <v>0.051545634360201355</v>
      </c>
    </row>
    <row r="1283" ht="22.5" customHeight="1">
      <c r="Q1283" s="9" t="s">
        <v>1321</v>
      </c>
      <c r="R1283" s="10">
        <v>0.45298826123879204</v>
      </c>
      <c r="S1283" s="10">
        <v>0.019467675058516792</v>
      </c>
      <c r="T1283" s="10">
        <v>21.21405149805582</v>
      </c>
      <c r="U1283" s="11">
        <v>0.125069655298733</v>
      </c>
      <c r="V1283" s="11">
        <v>0.16030194316206753</v>
      </c>
      <c r="W1283" s="11">
        <v>0.065046542793466</v>
      </c>
      <c r="X1283" s="11">
        <v>0.2200166468142767</v>
      </c>
      <c r="Y1283" s="11">
        <v>0.18312300677098606</v>
      </c>
      <c r="Z1283" s="11">
        <v>0.24644220516047083</v>
      </c>
    </row>
    <row r="1284" ht="22.5" customHeight="1">
      <c r="Q1284" s="9" t="s">
        <v>1322</v>
      </c>
      <c r="R1284" s="10">
        <v>0.42961677443480123</v>
      </c>
      <c r="S1284" s="10">
        <v>0.018366466578323595</v>
      </c>
      <c r="T1284" s="10">
        <v>21.213485608311473</v>
      </c>
      <c r="U1284" s="11">
        <v>0.4100622425919003</v>
      </c>
      <c r="V1284" s="11">
        <v>0.12327291817503823</v>
      </c>
      <c r="W1284" s="11">
        <v>0.09373398256966989</v>
      </c>
      <c r="X1284" s="11">
        <v>0.1000651090871295</v>
      </c>
      <c r="Y1284" s="11">
        <v>0.09456468845290836</v>
      </c>
      <c r="Z1284" s="11">
        <v>0.1783010591233537</v>
      </c>
    </row>
    <row r="1285" ht="22.5" customHeight="1">
      <c r="Q1285" s="9" t="s">
        <v>1323</v>
      </c>
      <c r="R1285" s="10">
        <v>0.717264818514543</v>
      </c>
      <c r="S1285" s="10">
        <v>0.031926860501991</v>
      </c>
      <c r="T1285" s="10">
        <v>21.21301023231858</v>
      </c>
      <c r="U1285" s="11">
        <v>0.10626217940658318</v>
      </c>
      <c r="V1285" s="11">
        <v>0.24555728745432887</v>
      </c>
      <c r="W1285" s="11">
        <v>0.16693633454715873</v>
      </c>
      <c r="X1285" s="11">
        <v>0.2983678401814086</v>
      </c>
      <c r="Y1285" s="11">
        <v>0.09826669385478581</v>
      </c>
      <c r="Z1285" s="11">
        <v>0.08460966455573483</v>
      </c>
    </row>
    <row r="1286" ht="22.5" customHeight="1">
      <c r="Q1286" s="9" t="s">
        <v>1324</v>
      </c>
      <c r="R1286" s="10">
        <v>0.6252975421703373</v>
      </c>
      <c r="S1286" s="10">
        <v>0.02759215395566896</v>
      </c>
      <c r="T1286" s="10">
        <v>21.212462901979592</v>
      </c>
      <c r="U1286" s="11">
        <v>0.11469120406378924</v>
      </c>
      <c r="V1286" s="11">
        <v>0.22781438311563348</v>
      </c>
      <c r="W1286" s="11">
        <v>0.10948119524781645</v>
      </c>
      <c r="X1286" s="11">
        <v>0.32703147427390367</v>
      </c>
      <c r="Y1286" s="11">
        <v>0.15375496253912388</v>
      </c>
      <c r="Z1286" s="11">
        <v>0.06722678075973329</v>
      </c>
    </row>
    <row r="1287" ht="22.5" customHeight="1">
      <c r="Q1287" s="9" t="s">
        <v>1325</v>
      </c>
      <c r="R1287" s="10">
        <v>0.522331348251574</v>
      </c>
      <c r="S1287" s="10">
        <v>0.026517483237340125</v>
      </c>
      <c r="T1287" s="10">
        <v>21.21157774157304</v>
      </c>
      <c r="U1287" s="11">
        <v>0.030180223270610054</v>
      </c>
      <c r="V1287" s="11">
        <v>0.19994457207908917</v>
      </c>
      <c r="W1287" s="11">
        <v>0.1392172064419376</v>
      </c>
      <c r="X1287" s="11">
        <v>0.19201557975617362</v>
      </c>
      <c r="Y1287" s="11">
        <v>0.22690104819793</v>
      </c>
      <c r="Z1287" s="11">
        <v>0.21174137025425946</v>
      </c>
    </row>
    <row r="1288" ht="22.5" customHeight="1">
      <c r="Q1288" s="9" t="s">
        <v>1326</v>
      </c>
      <c r="R1288" s="10">
        <v>0.4145818407741899</v>
      </c>
      <c r="S1288" s="10">
        <v>0.017659425030377963</v>
      </c>
      <c r="T1288" s="10">
        <v>21.21144035719337</v>
      </c>
      <c r="U1288" s="11">
        <v>0.2042687085831224</v>
      </c>
      <c r="V1288" s="11">
        <v>0.07117267711472516</v>
      </c>
      <c r="W1288" s="11">
        <v>0.1294806015122288</v>
      </c>
      <c r="X1288" s="11">
        <v>0.2863573951562201</v>
      </c>
      <c r="Y1288" s="11">
        <v>0.014662607046444613</v>
      </c>
      <c r="Z1288" s="11">
        <v>0.29405801058725894</v>
      </c>
    </row>
    <row r="1289" ht="22.5" customHeight="1">
      <c r="Q1289" s="9" t="s">
        <v>1327</v>
      </c>
      <c r="R1289" s="10">
        <v>0.6089475214790085</v>
      </c>
      <c r="S1289" s="10">
        <v>0.026822770677301534</v>
      </c>
      <c r="T1289" s="10">
        <v>21.21136285001586</v>
      </c>
      <c r="U1289" s="11">
        <v>0.08574452933239599</v>
      </c>
      <c r="V1289" s="11">
        <v>0.15559165190304003</v>
      </c>
      <c r="W1289" s="11">
        <v>0.18831118219798906</v>
      </c>
      <c r="X1289" s="11">
        <v>0.2576308669937358</v>
      </c>
      <c r="Y1289" s="11">
        <v>0.09626087767143189</v>
      </c>
      <c r="Z1289" s="11">
        <v>0.2164608919014073</v>
      </c>
    </row>
    <row r="1290" ht="22.5" customHeight="1">
      <c r="Q1290" s="9" t="s">
        <v>1328</v>
      </c>
      <c r="R1290" s="10">
        <v>0.6205545793851659</v>
      </c>
      <c r="S1290" s="10">
        <v>0.02737035240532022</v>
      </c>
      <c r="T1290" s="10">
        <v>21.211074332836077</v>
      </c>
      <c r="U1290" s="11">
        <v>0.13508657880468847</v>
      </c>
      <c r="V1290" s="11">
        <v>0.19927221619804186</v>
      </c>
      <c r="W1290" s="11">
        <v>0.15133921984010196</v>
      </c>
      <c r="X1290" s="11">
        <v>0.15989267365489934</v>
      </c>
      <c r="Y1290" s="11">
        <v>0.23357594723179442</v>
      </c>
      <c r="Z1290" s="11">
        <v>0.12083336427047398</v>
      </c>
    </row>
    <row r="1291" ht="22.5" customHeight="1">
      <c r="Q1291" s="9" t="s">
        <v>1329</v>
      </c>
      <c r="R1291" s="10">
        <v>0.7158359579568375</v>
      </c>
      <c r="S1291" s="10">
        <v>0.03186247883087258</v>
      </c>
      <c r="T1291" s="10">
        <v>21.211028857616636</v>
      </c>
      <c r="U1291" s="11">
        <v>0.1756785904974337</v>
      </c>
      <c r="V1291" s="11">
        <v>0.21738936261959163</v>
      </c>
      <c r="W1291" s="11">
        <v>0.19851686432600021</v>
      </c>
      <c r="X1291" s="11">
        <v>0.24223515585437858</v>
      </c>
      <c r="Y1291" s="11">
        <v>0.10735669133225526</v>
      </c>
      <c r="Z1291" s="11">
        <v>0.0588233353703406</v>
      </c>
    </row>
    <row r="1292" ht="22.5" customHeight="1">
      <c r="Q1292" s="9" t="s">
        <v>1330</v>
      </c>
      <c r="R1292" s="10">
        <v>0.5619618233162951</v>
      </c>
      <c r="S1292" s="10">
        <v>0.02460871951194534</v>
      </c>
      <c r="T1292" s="10">
        <v>21.210442219999667</v>
      </c>
      <c r="U1292" s="11">
        <v>0.2342473994362565</v>
      </c>
      <c r="V1292" s="11">
        <v>0.1758696650861829</v>
      </c>
      <c r="W1292" s="11">
        <v>0.1413260556282851</v>
      </c>
      <c r="X1292" s="11">
        <v>0.14486789407161071</v>
      </c>
      <c r="Y1292" s="11">
        <v>0.0703410798784794</v>
      </c>
      <c r="Z1292" s="11">
        <v>0.2333479058991853</v>
      </c>
    </row>
    <row r="1293" ht="22.5" customHeight="1">
      <c r="Q1293" s="9" t="s">
        <v>1331</v>
      </c>
      <c r="R1293" s="10">
        <v>0.45750930842373433</v>
      </c>
      <c r="S1293" s="10">
        <v>0.019684786960386308</v>
      </c>
      <c r="T1293" s="10">
        <v>21.20974482802027</v>
      </c>
      <c r="U1293" s="11">
        <v>0.34355578590796965</v>
      </c>
      <c r="V1293" s="11">
        <v>0.10905969657106958</v>
      </c>
      <c r="W1293" s="11">
        <v>0.13102898223889226</v>
      </c>
      <c r="X1293" s="11">
        <v>0.15769410402293646</v>
      </c>
      <c r="Y1293" s="11">
        <v>0.013645664888719622</v>
      </c>
      <c r="Z1293" s="11">
        <v>0.2450157663704125</v>
      </c>
    </row>
    <row r="1294" ht="22.5" customHeight="1">
      <c r="Q1294" s="9" t="s">
        <v>1332</v>
      </c>
      <c r="R1294" s="10">
        <v>0.7796106381558409</v>
      </c>
      <c r="S1294" s="10">
        <v>0.034871721095952525</v>
      </c>
      <c r="T1294" s="10">
        <v>21.209467583224207</v>
      </c>
      <c r="U1294" s="11">
        <v>0.10071475195689723</v>
      </c>
      <c r="V1294" s="11">
        <v>0.24527015334356084</v>
      </c>
      <c r="W1294" s="11">
        <v>0.21059797487378162</v>
      </c>
      <c r="X1294" s="11">
        <v>0.32594093756108033</v>
      </c>
      <c r="Y1294" s="11">
        <v>0.0869028188329641</v>
      </c>
      <c r="Z1294" s="11">
        <v>0.03057336343171599</v>
      </c>
    </row>
    <row r="1295" ht="22.5" customHeight="1">
      <c r="Q1295" s="9" t="s">
        <v>1333</v>
      </c>
      <c r="R1295" s="10">
        <v>0.5332306578869992</v>
      </c>
      <c r="S1295" s="10">
        <v>0.023255504308355726</v>
      </c>
      <c r="T1295" s="10">
        <v>21.20920068414861</v>
      </c>
      <c r="U1295" s="11">
        <v>0.23877160749944631</v>
      </c>
      <c r="V1295" s="11">
        <v>0.10787654733442936</v>
      </c>
      <c r="W1295" s="11">
        <v>0.17109740103357376</v>
      </c>
      <c r="X1295" s="11">
        <v>0.23284868798975097</v>
      </c>
      <c r="Y1295" s="11">
        <v>0.18552212932689716</v>
      </c>
      <c r="Z1295" s="11">
        <v>0.06388362681590244</v>
      </c>
    </row>
    <row r="1296" ht="22.5" customHeight="1">
      <c r="Q1296" s="9" t="s">
        <v>1334</v>
      </c>
      <c r="R1296" s="10">
        <v>0.26687129056859765</v>
      </c>
      <c r="S1296" s="10">
        <v>0.010696842306954736</v>
      </c>
      <c r="T1296" s="10">
        <v>21.20918342613066</v>
      </c>
      <c r="U1296" s="11">
        <v>0.27791935667675854</v>
      </c>
      <c r="V1296" s="11">
        <v>0.05569938758291493</v>
      </c>
      <c r="W1296" s="11">
        <v>0.03206560711274542</v>
      </c>
      <c r="X1296" s="11">
        <v>0.23878245764658135</v>
      </c>
      <c r="Y1296" s="11">
        <v>0.11350272218707665</v>
      </c>
      <c r="Z1296" s="11">
        <v>0.2820304687939231</v>
      </c>
    </row>
    <row r="1297" ht="22.5" customHeight="1">
      <c r="Q1297" s="9" t="s">
        <v>1335</v>
      </c>
      <c r="R1297" s="10">
        <v>0.6428921324916539</v>
      </c>
      <c r="S1297" s="10">
        <v>0.028426429329500836</v>
      </c>
      <c r="T1297" s="10">
        <v>21.208859034081176</v>
      </c>
      <c r="U1297" s="11">
        <v>0.2924883584386801</v>
      </c>
      <c r="V1297" s="11">
        <v>0.22258509817338043</v>
      </c>
      <c r="W1297" s="11">
        <v>0.13838058892573973</v>
      </c>
      <c r="X1297" s="11">
        <v>0.24243055244534262</v>
      </c>
      <c r="Y1297" s="11">
        <v>0.03347310851859869</v>
      </c>
      <c r="Z1297" s="11">
        <v>0.07064229349825848</v>
      </c>
    </row>
    <row r="1298" ht="22.5" customHeight="1">
      <c r="Q1298" s="9" t="s">
        <v>1336</v>
      </c>
      <c r="R1298" s="10">
        <v>0.3214261499991945</v>
      </c>
      <c r="S1298" s="10">
        <v>0.013269275657004493</v>
      </c>
      <c r="T1298" s="10">
        <v>21.208855500008944</v>
      </c>
      <c r="U1298" s="11">
        <v>0.25664896860961944</v>
      </c>
      <c r="V1298" s="11">
        <v>0.08542288415346712</v>
      </c>
      <c r="W1298" s="11">
        <v>0.0579866417708582</v>
      </c>
      <c r="X1298" s="11">
        <v>0.14208012751349955</v>
      </c>
      <c r="Y1298" s="11">
        <v>0.07441395192276996</v>
      </c>
      <c r="Z1298" s="11">
        <v>0.3834474260297857</v>
      </c>
    </row>
    <row r="1299" ht="22.5" customHeight="1">
      <c r="Q1299" s="9" t="s">
        <v>1337</v>
      </c>
      <c r="R1299" s="10">
        <v>0.5674362456847363</v>
      </c>
      <c r="S1299" s="10">
        <v>0.024869245943131186</v>
      </c>
      <c r="T1299" s="10">
        <v>21.208373060077143</v>
      </c>
      <c r="U1299" s="11">
        <v>0.1874808131170338</v>
      </c>
      <c r="V1299" s="11">
        <v>0.19987824191287162</v>
      </c>
      <c r="W1299" s="11">
        <v>0.10812020386346083</v>
      </c>
      <c r="X1299" s="11">
        <v>0.1967244489266971</v>
      </c>
      <c r="Y1299" s="11">
        <v>0.17476494177888188</v>
      </c>
      <c r="Z1299" s="11">
        <v>0.13303135040105477</v>
      </c>
    </row>
    <row r="1300" ht="22.5" customHeight="1">
      <c r="Q1300" s="9" t="s">
        <v>1338</v>
      </c>
      <c r="R1300" s="10">
        <v>0.4684024681265352</v>
      </c>
      <c r="S1300" s="10">
        <v>0.020199767033128712</v>
      </c>
      <c r="T1300" s="10">
        <v>21.208287572026546</v>
      </c>
      <c r="U1300" s="11">
        <v>0.35047844024273955</v>
      </c>
      <c r="V1300" s="11">
        <v>0.0872441776459437</v>
      </c>
      <c r="W1300" s="11">
        <v>0.14634899906705076</v>
      </c>
      <c r="X1300" s="11">
        <v>0.20930172235442573</v>
      </c>
      <c r="Y1300" s="11">
        <v>0.12735798099089785</v>
      </c>
      <c r="Z1300" s="11">
        <v>0.07926867969894238</v>
      </c>
    </row>
    <row r="1301" ht="22.5" customHeight="1">
      <c r="Q1301" s="9" t="s">
        <v>1339</v>
      </c>
      <c r="R1301" s="10">
        <v>0.6709457668589351</v>
      </c>
      <c r="S1301" s="10">
        <v>0.02975267889782743</v>
      </c>
      <c r="T1301" s="10">
        <v>21.206351502856013</v>
      </c>
      <c r="U1301" s="11">
        <v>0.08960559002174551</v>
      </c>
      <c r="V1301" s="11">
        <v>0.18212841892025136</v>
      </c>
      <c r="W1301" s="11">
        <v>0.2029957108624105</v>
      </c>
      <c r="X1301" s="11">
        <v>0.26827521196155685</v>
      </c>
      <c r="Y1301" s="11">
        <v>0.11653824894895476</v>
      </c>
      <c r="Z1301" s="11">
        <v>0.14045681928508105</v>
      </c>
    </row>
    <row r="1302" ht="22.5" customHeight="1">
      <c r="Q1302" s="9" t="s">
        <v>1340</v>
      </c>
      <c r="R1302" s="10">
        <v>0.6328859489786138</v>
      </c>
      <c r="S1302" s="10">
        <v>0.027958397754325518</v>
      </c>
      <c r="T1302" s="10">
        <v>21.2060059445605</v>
      </c>
      <c r="U1302" s="11">
        <v>0.1818838948581368</v>
      </c>
      <c r="V1302" s="11">
        <v>0.18535350021763583</v>
      </c>
      <c r="W1302" s="11">
        <v>0.17104087036386956</v>
      </c>
      <c r="X1302" s="11">
        <v>0.1525276039704361</v>
      </c>
      <c r="Y1302" s="11">
        <v>0.266774249616395</v>
      </c>
      <c r="Z1302" s="11">
        <v>0.04241988097352676</v>
      </c>
    </row>
    <row r="1303" ht="22.5" customHeight="1">
      <c r="Q1303" s="9" t="s">
        <v>1341</v>
      </c>
      <c r="R1303" s="10">
        <v>0.6036109185747158</v>
      </c>
      <c r="S1303" s="10">
        <v>0.026579676334403737</v>
      </c>
      <c r="T1303" s="10">
        <v>21.204581706858445</v>
      </c>
      <c r="U1303" s="11">
        <v>0.07151149979408367</v>
      </c>
      <c r="V1303" s="11">
        <v>0.194006015029258</v>
      </c>
      <c r="W1303" s="11">
        <v>0.14642105279950957</v>
      </c>
      <c r="X1303" s="11">
        <v>0.16464326469296903</v>
      </c>
      <c r="Y1303" s="11">
        <v>0.2443443761726417</v>
      </c>
      <c r="Z1303" s="11">
        <v>0.17907379151153816</v>
      </c>
    </row>
    <row r="1304" ht="22.5" customHeight="1">
      <c r="Q1304" s="9" t="s">
        <v>1342</v>
      </c>
      <c r="R1304" s="10">
        <v>0.3927324903683361</v>
      </c>
      <c r="S1304" s="10">
        <v>0.016634775077861645</v>
      </c>
      <c r="T1304" s="10">
        <v>21.204524180057557</v>
      </c>
      <c r="U1304" s="11">
        <v>0.12601321709931537</v>
      </c>
      <c r="V1304" s="11">
        <v>0.13552660024151594</v>
      </c>
      <c r="W1304" s="11">
        <v>0.04283507931300095</v>
      </c>
      <c r="X1304" s="11">
        <v>0.25938743799141384</v>
      </c>
      <c r="Y1304" s="11">
        <v>0.1630352366136842</v>
      </c>
      <c r="Z1304" s="11">
        <v>0.2732024287410698</v>
      </c>
    </row>
    <row r="1305" ht="22.5" customHeight="1">
      <c r="Q1305" s="9" t="s">
        <v>1343</v>
      </c>
      <c r="R1305" s="10">
        <v>0.6145409960988992</v>
      </c>
      <c r="S1305" s="10">
        <v>0.027095488053205212</v>
      </c>
      <c r="T1305" s="10">
        <v>21.20430512160252</v>
      </c>
      <c r="U1305" s="11">
        <v>0.2046603123272175</v>
      </c>
      <c r="V1305" s="11">
        <v>0.1861102139208048</v>
      </c>
      <c r="W1305" s="11">
        <v>0.16250388348880845</v>
      </c>
      <c r="X1305" s="11">
        <v>0.14133542214698172</v>
      </c>
      <c r="Y1305" s="11">
        <v>0.19153781633851222</v>
      </c>
      <c r="Z1305" s="11">
        <v>0.11385235177767544</v>
      </c>
    </row>
    <row r="1306" ht="22.5" customHeight="1">
      <c r="Q1306" s="9" t="s">
        <v>1344</v>
      </c>
      <c r="R1306" s="10">
        <v>0.6663115678461383</v>
      </c>
      <c r="S1306" s="10">
        <v>0.029541401057378302</v>
      </c>
      <c r="T1306" s="10">
        <v>21.201146371820773</v>
      </c>
      <c r="U1306" s="11">
        <v>0.2432651192787534</v>
      </c>
      <c r="V1306" s="11">
        <v>0.21130868635062294</v>
      </c>
      <c r="W1306" s="11">
        <v>0.17315229739426663</v>
      </c>
      <c r="X1306" s="11">
        <v>0.2030797057645195</v>
      </c>
      <c r="Y1306" s="11">
        <v>0.06416500177668125</v>
      </c>
      <c r="Z1306" s="11">
        <v>0.10502918943515628</v>
      </c>
    </row>
    <row r="1307" ht="22.5" customHeight="1">
      <c r="Q1307" s="9" t="s">
        <v>1345</v>
      </c>
      <c r="R1307" s="10">
        <v>0.6291584890224675</v>
      </c>
      <c r="S1307" s="10">
        <v>0.027789069881983212</v>
      </c>
      <c r="T1307" s="10">
        <v>21.201087028984837</v>
      </c>
      <c r="U1307" s="11">
        <v>0.14442902709779526</v>
      </c>
      <c r="V1307" s="11">
        <v>0.19502708318744785</v>
      </c>
      <c r="W1307" s="11">
        <v>0.16844987026443886</v>
      </c>
      <c r="X1307" s="11">
        <v>0.22724966187231044</v>
      </c>
      <c r="Y1307" s="11">
        <v>0.017357975487553294</v>
      </c>
      <c r="Z1307" s="11">
        <v>0.24748638209045418</v>
      </c>
    </row>
    <row r="1308" ht="22.5" customHeight="1">
      <c r="Q1308" s="9" t="s">
        <v>1346</v>
      </c>
      <c r="R1308" s="10">
        <v>0.6411615828195053</v>
      </c>
      <c r="S1308" s="10">
        <v>0.028355461189694585</v>
      </c>
      <c r="T1308" s="10">
        <v>21.200910075057763</v>
      </c>
      <c r="U1308" s="11">
        <v>0.21139006269147645</v>
      </c>
      <c r="V1308" s="11">
        <v>0.2024475840589357</v>
      </c>
      <c r="W1308" s="11">
        <v>0.16649507030305144</v>
      </c>
      <c r="X1308" s="11">
        <v>0.18329246768113483</v>
      </c>
      <c r="Y1308" s="11">
        <v>0.08895539269322222</v>
      </c>
      <c r="Z1308" s="11">
        <v>0.14741942257217922</v>
      </c>
    </row>
    <row r="1309" ht="22.5" customHeight="1">
      <c r="Q1309" s="9" t="s">
        <v>1347</v>
      </c>
      <c r="R1309" s="10">
        <v>0.38741324150169193</v>
      </c>
      <c r="S1309" s="10">
        <v>0.016386764093968584</v>
      </c>
      <c r="T1309" s="10">
        <v>21.20084474942573</v>
      </c>
      <c r="U1309" s="11">
        <v>0.296037187256213</v>
      </c>
      <c r="V1309" s="11">
        <v>0.1290575600021672</v>
      </c>
      <c r="W1309" s="11">
        <v>0.04870348389598264</v>
      </c>
      <c r="X1309" s="11">
        <v>0.24789789449714664</v>
      </c>
      <c r="Y1309" s="11">
        <v>0.016895313632267518</v>
      </c>
      <c r="Z1309" s="11">
        <v>0.2614085607162231</v>
      </c>
    </row>
    <row r="1310" ht="22.5" customHeight="1">
      <c r="Q1310" s="9" t="s">
        <v>1348</v>
      </c>
      <c r="R1310" s="10">
        <v>0.5747062416314507</v>
      </c>
      <c r="S1310" s="10">
        <v>0.02522161769661597</v>
      </c>
      <c r="T1310" s="10">
        <v>21.200315065563505</v>
      </c>
      <c r="U1310" s="11">
        <v>0.08517705895166418</v>
      </c>
      <c r="V1310" s="11">
        <v>0.17792760450696324</v>
      </c>
      <c r="W1310" s="11">
        <v>0.15023178553771283</v>
      </c>
      <c r="X1310" s="11">
        <v>0.1741765615925056</v>
      </c>
      <c r="Y1310" s="11">
        <v>0.1045286899499798</v>
      </c>
      <c r="Z1310" s="11">
        <v>0.3079582994611744</v>
      </c>
    </row>
    <row r="1311" ht="22.5" customHeight="1">
      <c r="Q1311" s="9" t="s">
        <v>1349</v>
      </c>
      <c r="R1311" s="10">
        <v>0.415443415388945</v>
      </c>
      <c r="S1311" s="10">
        <v>0.017709349785814624</v>
      </c>
      <c r="T1311" s="10">
        <v>21.20029362623348</v>
      </c>
      <c r="U1311" s="11">
        <v>0.18479929096253095</v>
      </c>
      <c r="V1311" s="11">
        <v>0.13149095344657405</v>
      </c>
      <c r="W1311" s="11">
        <v>0.07369100345647245</v>
      </c>
      <c r="X1311" s="11">
        <v>0.11132738195219163</v>
      </c>
      <c r="Y1311" s="11">
        <v>0.25458805097061443</v>
      </c>
      <c r="Z1311" s="11">
        <v>0.24410331921161657</v>
      </c>
    </row>
    <row r="1312" ht="22.5" customHeight="1">
      <c r="Q1312" s="9" t="s">
        <v>1350</v>
      </c>
      <c r="R1312" s="10">
        <v>0.6208637413799163</v>
      </c>
      <c r="S1312" s="10">
        <v>0.027399969509851803</v>
      </c>
      <c r="T1312" s="10">
        <v>21.199430209988506</v>
      </c>
      <c r="U1312" s="11">
        <v>0.04223408024799706</v>
      </c>
      <c r="V1312" s="11">
        <v>0.1573041840873207</v>
      </c>
      <c r="W1312" s="11">
        <v>0.19249628812237768</v>
      </c>
      <c r="X1312" s="11">
        <v>0.26240872174534857</v>
      </c>
      <c r="Y1312" s="11">
        <v>0.1579772289535141</v>
      </c>
      <c r="Z1312" s="11">
        <v>0.18757949684344186</v>
      </c>
    </row>
    <row r="1313" ht="22.5" customHeight="1">
      <c r="Q1313" s="9" t="s">
        <v>1351</v>
      </c>
      <c r="R1313" s="10">
        <v>0.7134249433757937</v>
      </c>
      <c r="S1313" s="10">
        <v>0.03176626360428919</v>
      </c>
      <c r="T1313" s="10">
        <v>21.19937527952974</v>
      </c>
      <c r="U1313" s="11">
        <v>0.10610798287228719</v>
      </c>
      <c r="V1313" s="11">
        <v>0.224619482025773</v>
      </c>
      <c r="W1313" s="11">
        <v>0.18626138563357172</v>
      </c>
      <c r="X1313" s="11">
        <v>0.22420916526287724</v>
      </c>
      <c r="Y1313" s="11">
        <v>0.23139332940376578</v>
      </c>
      <c r="Z1313" s="11">
        <v>0.027408654801725232</v>
      </c>
    </row>
    <row r="1314" ht="22.5" customHeight="1">
      <c r="Q1314" s="9" t="s">
        <v>1352</v>
      </c>
      <c r="R1314" s="10">
        <v>0.5399769865329793</v>
      </c>
      <c r="S1314" s="10">
        <v>0.02358508887522488</v>
      </c>
      <c r="T1314" s="10">
        <v>21.198859549695555</v>
      </c>
      <c r="U1314" s="11">
        <v>0.10319547594333282</v>
      </c>
      <c r="V1314" s="11">
        <v>0.19729516302523578</v>
      </c>
      <c r="W1314" s="11">
        <v>0.08026827385704291</v>
      </c>
      <c r="X1314" s="11">
        <v>0.3060930989591989</v>
      </c>
      <c r="Y1314" s="11">
        <v>0.17888621056235254</v>
      </c>
      <c r="Z1314" s="11">
        <v>0.134261777652837</v>
      </c>
    </row>
    <row r="1315" ht="22.5" customHeight="1">
      <c r="Q1315" s="9" t="s">
        <v>1353</v>
      </c>
      <c r="R1315" s="10">
        <v>0.40909487753417495</v>
      </c>
      <c r="S1315" s="10">
        <v>0.01741181653762589</v>
      </c>
      <c r="T1315" s="10">
        <v>21.197953512580558</v>
      </c>
      <c r="U1315" s="11">
        <v>0.28277757388466396</v>
      </c>
      <c r="V1315" s="11">
        <v>0.07912953220368768</v>
      </c>
      <c r="W1315" s="11">
        <v>0.12218116823729941</v>
      </c>
      <c r="X1315" s="11">
        <v>0.16781206983140903</v>
      </c>
      <c r="Y1315" s="11">
        <v>0.10326687252618917</v>
      </c>
      <c r="Z1315" s="11">
        <v>0.2448327833167507</v>
      </c>
    </row>
    <row r="1316" ht="22.5" customHeight="1">
      <c r="Q1316" s="9" t="s">
        <v>1354</v>
      </c>
      <c r="R1316" s="10">
        <v>0.6183014898044018</v>
      </c>
      <c r="S1316" s="10">
        <v>0.027281775885809063</v>
      </c>
      <c r="T1316" s="10">
        <v>21.197355048474396</v>
      </c>
      <c r="U1316" s="11">
        <v>0.33127618290042793</v>
      </c>
      <c r="V1316" s="11">
        <v>0.17536744307640006</v>
      </c>
      <c r="W1316" s="11">
        <v>0.17601943319863148</v>
      </c>
      <c r="X1316" s="11">
        <v>0.19310126924548</v>
      </c>
      <c r="Y1316" s="11">
        <v>0.010274246165731474</v>
      </c>
      <c r="Z1316" s="11">
        <v>0.11396142541332906</v>
      </c>
    </row>
    <row r="1317" ht="22.5" customHeight="1">
      <c r="Q1317" s="9" t="s">
        <v>1355</v>
      </c>
      <c r="R1317" s="10">
        <v>0.4990375820025428</v>
      </c>
      <c r="S1317" s="10">
        <v>0.021655682195029783</v>
      </c>
      <c r="T1317" s="10">
        <v>21.197096349515924</v>
      </c>
      <c r="U1317" s="11">
        <v>0.21954678915553807</v>
      </c>
      <c r="V1317" s="11">
        <v>0.13070246353278173</v>
      </c>
      <c r="W1317" s="11">
        <v>0.13561927690877357</v>
      </c>
      <c r="X1317" s="11">
        <v>0.09696975545429548</v>
      </c>
      <c r="Y1317" s="11">
        <v>0.2612913251896016</v>
      </c>
      <c r="Z1317" s="11">
        <v>0.1558703897590095</v>
      </c>
    </row>
    <row r="1318" ht="22.5" customHeight="1">
      <c r="Q1318" s="9" t="s">
        <v>1356</v>
      </c>
      <c r="R1318" s="10">
        <v>0.3061580066840275</v>
      </c>
      <c r="S1318" s="10">
        <v>0.012556975461448579</v>
      </c>
      <c r="T1318" s="10">
        <v>21.196028255463627</v>
      </c>
      <c r="U1318" s="11">
        <v>0.3009638883470622</v>
      </c>
      <c r="V1318" s="11">
        <v>0.05186796256301401</v>
      </c>
      <c r="W1318" s="11">
        <v>0.06446906320329295</v>
      </c>
      <c r="X1318" s="11">
        <v>0.16917811601308427</v>
      </c>
      <c r="Y1318" s="11">
        <v>0.23099398825127393</v>
      </c>
      <c r="Z1318" s="11">
        <v>0.18252698162227254</v>
      </c>
    </row>
    <row r="1319" ht="22.5" customHeight="1">
      <c r="Q1319" s="9" t="s">
        <v>1357</v>
      </c>
      <c r="R1319" s="10">
        <v>0.5761030154692856</v>
      </c>
      <c r="S1319" s="10">
        <v>0.025293349086419427</v>
      </c>
      <c r="T1319" s="10">
        <v>21.195414400741868</v>
      </c>
      <c r="U1319" s="11">
        <v>0.24673372118707873</v>
      </c>
      <c r="V1319" s="11">
        <v>0.16098988114818388</v>
      </c>
      <c r="W1319" s="11">
        <v>0.15883031893029215</v>
      </c>
      <c r="X1319" s="11">
        <v>0.1184513635349571</v>
      </c>
      <c r="Y1319" s="11">
        <v>0.22578713876315115</v>
      </c>
      <c r="Z1319" s="11">
        <v>0.08920757643633706</v>
      </c>
    </row>
    <row r="1320" ht="22.5" customHeight="1">
      <c r="Q1320" s="9" t="s">
        <v>1358</v>
      </c>
      <c r="R1320" s="10">
        <v>0.32699677507599967</v>
      </c>
      <c r="S1320" s="10">
        <v>0.013541185438809247</v>
      </c>
      <c r="T1320" s="10">
        <v>21.194361185946285</v>
      </c>
      <c r="U1320" s="11">
        <v>0.22670405663734508</v>
      </c>
      <c r="V1320" s="11">
        <v>0.09088128999666091</v>
      </c>
      <c r="W1320" s="11">
        <v>0.05782683909342138</v>
      </c>
      <c r="X1320" s="11">
        <v>0.1458998418756521</v>
      </c>
      <c r="Y1320" s="11">
        <v>0.06962616925137668</v>
      </c>
      <c r="Z1320" s="11">
        <v>0.4090618031455439</v>
      </c>
    </row>
    <row r="1321" ht="22.5" customHeight="1">
      <c r="Q1321" s="9" t="s">
        <v>1359</v>
      </c>
      <c r="R1321" s="10">
        <v>0.7399932549947983</v>
      </c>
      <c r="S1321" s="10">
        <v>0.03302743280491238</v>
      </c>
      <c r="T1321" s="10">
        <v>21.194298059117806</v>
      </c>
      <c r="U1321" s="11">
        <v>0.05608773296728797</v>
      </c>
      <c r="V1321" s="11">
        <v>0.22060809388403307</v>
      </c>
      <c r="W1321" s="11">
        <v>0.20960304978377634</v>
      </c>
      <c r="X1321" s="11">
        <v>0.2803224799996635</v>
      </c>
      <c r="Y1321" s="11">
        <v>0.17200220773395045</v>
      </c>
      <c r="Z1321" s="11">
        <v>0.061376435631288764</v>
      </c>
    </row>
    <row r="1322" ht="22.5" customHeight="1">
      <c r="Q1322" s="9" t="s">
        <v>1360</v>
      </c>
      <c r="R1322" s="10">
        <v>0.6226308415742283</v>
      </c>
      <c r="S1322" s="10">
        <v>0.027490343106170753</v>
      </c>
      <c r="T1322" s="10">
        <v>21.194018544040844</v>
      </c>
      <c r="U1322" s="11">
        <v>0.13567917799486837</v>
      </c>
      <c r="V1322" s="11">
        <v>0.18750004298541664</v>
      </c>
      <c r="W1322" s="11">
        <v>0.17001979784668186</v>
      </c>
      <c r="X1322" s="11">
        <v>0.17125149369850118</v>
      </c>
      <c r="Y1322" s="11">
        <v>0.14691062469772234</v>
      </c>
      <c r="Z1322" s="11">
        <v>0.18863886277680958</v>
      </c>
    </row>
    <row r="1323" ht="22.5" customHeight="1">
      <c r="Q1323" s="9" t="s">
        <v>1361</v>
      </c>
      <c r="R1323" s="10">
        <v>0.7002435520334723</v>
      </c>
      <c r="S1323" s="10">
        <v>0.031152360475466656</v>
      </c>
      <c r="T1323" s="10">
        <v>21.19401361426311</v>
      </c>
      <c r="U1323" s="11">
        <v>0.1384180031834537</v>
      </c>
      <c r="V1323" s="11">
        <v>0.23251461947939245</v>
      </c>
      <c r="W1323" s="11">
        <v>0.1734302902739444</v>
      </c>
      <c r="X1323" s="11">
        <v>0.2577574749382024</v>
      </c>
      <c r="Y1323" s="11">
        <v>0.07563556275895453</v>
      </c>
      <c r="Z1323" s="11">
        <v>0.12224404936605249</v>
      </c>
    </row>
    <row r="1324" ht="22.5" customHeight="1">
      <c r="Q1324" s="9" t="s">
        <v>1362</v>
      </c>
      <c r="R1324" s="10">
        <v>0.5718246115681571</v>
      </c>
      <c r="S1324" s="10">
        <v>0.02509323435661041</v>
      </c>
      <c r="T1324" s="10">
        <v>21.193944312246714</v>
      </c>
      <c r="U1324" s="11">
        <v>0.09521549479696416</v>
      </c>
      <c r="V1324" s="11">
        <v>0.13630438418272672</v>
      </c>
      <c r="W1324" s="11">
        <v>0.17805537320340395</v>
      </c>
      <c r="X1324" s="11">
        <v>0.2146590001032514</v>
      </c>
      <c r="Y1324" s="11">
        <v>0.21089070999159476</v>
      </c>
      <c r="Z1324" s="11">
        <v>0.1648750377220589</v>
      </c>
    </row>
    <row r="1325" ht="22.5" customHeight="1">
      <c r="Q1325" s="9" t="s">
        <v>1363</v>
      </c>
      <c r="R1325" s="10">
        <v>0.5945301832353211</v>
      </c>
      <c r="S1325" s="10">
        <v>0.026166157451744762</v>
      </c>
      <c r="T1325" s="10">
        <v>21.192648720316594</v>
      </c>
      <c r="U1325" s="11">
        <v>0.07222158864250934</v>
      </c>
      <c r="V1325" s="11">
        <v>0.1818955149108837</v>
      </c>
      <c r="W1325" s="11">
        <v>0.1568585659606368</v>
      </c>
      <c r="X1325" s="11">
        <v>0.16062092482575624</v>
      </c>
      <c r="Y1325" s="11">
        <v>0.19089221329503384</v>
      </c>
      <c r="Z1325" s="11">
        <v>0.2375111923651801</v>
      </c>
    </row>
    <row r="1326" ht="22.5" customHeight="1">
      <c r="Q1326" s="9" t="s">
        <v>1364</v>
      </c>
      <c r="R1326" s="10">
        <v>0.6346909806587792</v>
      </c>
      <c r="S1326" s="10">
        <v>0.028061447403850415</v>
      </c>
      <c r="T1326" s="10">
        <v>21.19245568841112</v>
      </c>
      <c r="U1326" s="11">
        <v>0.12910046924654534</v>
      </c>
      <c r="V1326" s="11">
        <v>0.1450748767528039</v>
      </c>
      <c r="W1326" s="11">
        <v>0.20621498699669805</v>
      </c>
      <c r="X1326" s="11">
        <v>0.32160848874637726</v>
      </c>
      <c r="Y1326" s="11">
        <v>0.11243530724731078</v>
      </c>
      <c r="Z1326" s="11">
        <v>0.08556587101026465</v>
      </c>
    </row>
    <row r="1327" ht="22.5" customHeight="1">
      <c r="Q1327" s="9" t="s">
        <v>1365</v>
      </c>
      <c r="R1327" s="10">
        <v>0.36478264603164157</v>
      </c>
      <c r="S1327" s="10">
        <v>0.015325426485271916</v>
      </c>
      <c r="T1327" s="10">
        <v>21.19240507556283</v>
      </c>
      <c r="U1327" s="11">
        <v>0.14365121664017202</v>
      </c>
      <c r="V1327" s="11">
        <v>0.11675275426937369</v>
      </c>
      <c r="W1327" s="11">
        <v>0.04378173057289473</v>
      </c>
      <c r="X1327" s="11">
        <v>0.1901744915777251</v>
      </c>
      <c r="Y1327" s="11">
        <v>0.25141424895632125</v>
      </c>
      <c r="Z1327" s="11">
        <v>0.25422555798351315</v>
      </c>
    </row>
    <row r="1328" ht="22.5" customHeight="1">
      <c r="Q1328" s="9" t="s">
        <v>1366</v>
      </c>
      <c r="R1328" s="10">
        <v>0.5583915956316761</v>
      </c>
      <c r="S1328" s="10">
        <v>0.02446224467567069</v>
      </c>
      <c r="T1328" s="10">
        <v>21.191497448607016</v>
      </c>
      <c r="U1328" s="11">
        <v>0.26540984238467746</v>
      </c>
      <c r="V1328" s="11">
        <v>0.15362644487460358</v>
      </c>
      <c r="W1328" s="11">
        <v>0.15989395956941074</v>
      </c>
      <c r="X1328" s="11">
        <v>0.15081971227013702</v>
      </c>
      <c r="Y1328" s="11">
        <v>0.06571948611726859</v>
      </c>
      <c r="Z1328" s="11">
        <v>0.20453055478390247</v>
      </c>
    </row>
    <row r="1329" ht="22.5" customHeight="1">
      <c r="Q1329" s="9" t="s">
        <v>1367</v>
      </c>
      <c r="R1329" s="10">
        <v>0.6272058910781887</v>
      </c>
      <c r="S1329" s="10">
        <v>0.027709688872707364</v>
      </c>
      <c r="T1329" s="10">
        <v>21.19135634382949</v>
      </c>
      <c r="U1329" s="11">
        <v>0.025436396405733912</v>
      </c>
      <c r="V1329" s="11">
        <v>0.22657968674789453</v>
      </c>
      <c r="W1329" s="11">
        <v>0.11358120628221975</v>
      </c>
      <c r="X1329" s="11">
        <v>0.32119550655721363</v>
      </c>
      <c r="Y1329" s="11">
        <v>0.21156182347565822</v>
      </c>
      <c r="Z1329" s="11">
        <v>0.10164538053127994</v>
      </c>
    </row>
    <row r="1330" ht="22.5" customHeight="1">
      <c r="Q1330" s="9" t="s">
        <v>1368</v>
      </c>
      <c r="R1330" s="10">
        <v>0.5517706401266411</v>
      </c>
      <c r="S1330" s="10">
        <v>0.024150950968619203</v>
      </c>
      <c r="T1330" s="10">
        <v>21.19049642358248</v>
      </c>
      <c r="U1330" s="11">
        <v>0.1312319930234299</v>
      </c>
      <c r="V1330" s="11">
        <v>0.12822799131264598</v>
      </c>
      <c r="W1330" s="11">
        <v>0.17352413762637317</v>
      </c>
      <c r="X1330" s="11">
        <v>0.2099758895863143</v>
      </c>
      <c r="Y1330" s="11">
        <v>0.16867648847164043</v>
      </c>
      <c r="Z1330" s="11">
        <v>0.18836349997959614</v>
      </c>
    </row>
    <row r="1331" ht="22.5" customHeight="1">
      <c r="Q1331" s="9" t="s">
        <v>1369</v>
      </c>
      <c r="R1331" s="10">
        <v>0.46126887494780855</v>
      </c>
      <c r="S1331" s="10">
        <v>0.019880176780946848</v>
      </c>
      <c r="T1331" s="10">
        <v>21.19039883747676</v>
      </c>
      <c r="U1331" s="11">
        <v>0.1023285046102893</v>
      </c>
      <c r="V1331" s="11">
        <v>0.10663352938915541</v>
      </c>
      <c r="W1331" s="11">
        <v>0.1361983599889136</v>
      </c>
      <c r="X1331" s="11">
        <v>0.14592440331426793</v>
      </c>
      <c r="Y1331" s="11">
        <v>0.2161914988433004</v>
      </c>
      <c r="Z1331" s="11">
        <v>0.2927237038540733</v>
      </c>
    </row>
    <row r="1332" ht="22.5" customHeight="1">
      <c r="Q1332" s="9" t="s">
        <v>1370</v>
      </c>
      <c r="R1332" s="10">
        <v>0.3400874784154217</v>
      </c>
      <c r="S1332" s="10">
        <v>0.014161982409282509</v>
      </c>
      <c r="T1332" s="10">
        <v>21.18965196699641</v>
      </c>
      <c r="U1332" s="11">
        <v>0.21750253690720697</v>
      </c>
      <c r="V1332" s="11">
        <v>0.03368944226372892</v>
      </c>
      <c r="W1332" s="11">
        <v>0.09242310288989389</v>
      </c>
      <c r="X1332" s="11">
        <v>0.3273256867787377</v>
      </c>
      <c r="Y1332" s="11">
        <v>0.22427527432309963</v>
      </c>
      <c r="Z1332" s="11">
        <v>0.1047839568373328</v>
      </c>
    </row>
    <row r="1333" ht="22.5" customHeight="1">
      <c r="Q1333" s="9" t="s">
        <v>1371</v>
      </c>
      <c r="R1333" s="10">
        <v>0.522331348251574</v>
      </c>
      <c r="S1333" s="10">
        <v>0.02814441324180357</v>
      </c>
      <c r="T1333" s="10">
        <v>21.189579136850003</v>
      </c>
      <c r="U1333" s="11">
        <v>0.3240151974728394</v>
      </c>
      <c r="V1333" s="11">
        <v>0.20626206605770608</v>
      </c>
      <c r="W1333" s="11">
        <v>0.1552702810352594</v>
      </c>
      <c r="X1333" s="11">
        <v>0.1717655748390238</v>
      </c>
      <c r="Y1333" s="11">
        <v>0.07681117269389402</v>
      </c>
      <c r="Z1333" s="11">
        <v>0.06587570790127736</v>
      </c>
    </row>
    <row r="1334" ht="22.5" customHeight="1">
      <c r="Q1334" s="9" t="s">
        <v>1372</v>
      </c>
      <c r="R1334" s="10">
        <v>0.4188895296150709</v>
      </c>
      <c r="S1334" s="10">
        <v>0.017881697974332388</v>
      </c>
      <c r="T1334" s="10">
        <v>21.188677392881466</v>
      </c>
      <c r="U1334" s="11">
        <v>0.06876489219747334</v>
      </c>
      <c r="V1334" s="11">
        <v>0.06539766797960647</v>
      </c>
      <c r="W1334" s="11">
        <v>0.12835011715593198</v>
      </c>
      <c r="X1334" s="11">
        <v>0.2776021416773136</v>
      </c>
      <c r="Y1334" s="11">
        <v>0.2727929484720018</v>
      </c>
      <c r="Z1334" s="11">
        <v>0.18709223251767276</v>
      </c>
    </row>
    <row r="1335" ht="22.5" customHeight="1">
      <c r="Q1335" s="9" t="s">
        <v>1373</v>
      </c>
      <c r="R1335" s="10">
        <v>0.621613351659986</v>
      </c>
      <c r="S1335" s="10">
        <v>0.02744954267586234</v>
      </c>
      <c r="T1335" s="10">
        <v>21.188453247763054</v>
      </c>
      <c r="U1335" s="11">
        <v>0.26075322170844695</v>
      </c>
      <c r="V1335" s="11">
        <v>0.22321922842417916</v>
      </c>
      <c r="W1335" s="11">
        <v>0.11643257132148092</v>
      </c>
      <c r="X1335" s="11">
        <v>0.2615769888327271</v>
      </c>
      <c r="Y1335" s="11">
        <v>0.09872361200103896</v>
      </c>
      <c r="Z1335" s="11">
        <v>0.039294377712126904</v>
      </c>
    </row>
    <row r="1336" ht="22.5" customHeight="1">
      <c r="Q1336" s="9" t="s">
        <v>1374</v>
      </c>
      <c r="R1336" s="10">
        <v>0.6538518062896934</v>
      </c>
      <c r="S1336" s="10">
        <v>0.028971511694029856</v>
      </c>
      <c r="T1336" s="10">
        <v>21.188117926762846</v>
      </c>
      <c r="U1336" s="11">
        <v>0.15981383708187583</v>
      </c>
      <c r="V1336" s="11">
        <v>0.17623559816885176</v>
      </c>
      <c r="W1336" s="11">
        <v>0.19310776543358263</v>
      </c>
      <c r="X1336" s="11">
        <v>0.19581328161671716</v>
      </c>
      <c r="Y1336" s="11">
        <v>0.24432714698556354</v>
      </c>
      <c r="Z1336" s="11">
        <v>0.0307023707134091</v>
      </c>
    </row>
    <row r="1337" ht="22.5" customHeight="1">
      <c r="Q1337" s="9" t="s">
        <v>1375</v>
      </c>
      <c r="R1337" s="10">
        <v>0.2610211658152194</v>
      </c>
      <c r="S1337" s="10">
        <v>0.010431649294312527</v>
      </c>
      <c r="T1337" s="10">
        <v>21.187557171397916</v>
      </c>
      <c r="U1337" s="11">
        <v>0.271076275925353</v>
      </c>
      <c r="V1337" s="11">
        <v>0.04593562542939945</v>
      </c>
      <c r="W1337" s="11">
        <v>0.02916567095313329</v>
      </c>
      <c r="X1337" s="11">
        <v>0.28117067000975715</v>
      </c>
      <c r="Y1337" s="11">
        <v>0.1619313635480436</v>
      </c>
      <c r="Z1337" s="11">
        <v>0.21072039413431357</v>
      </c>
    </row>
    <row r="1338" ht="22.5" customHeight="1">
      <c r="Q1338" s="9" t="s">
        <v>1376</v>
      </c>
      <c r="R1338" s="10">
        <v>0.4746742351032684</v>
      </c>
      <c r="S1338" s="10">
        <v>0.020515839432654177</v>
      </c>
      <c r="T1338" s="10">
        <v>21.187250783968224</v>
      </c>
      <c r="U1338" s="11">
        <v>0.23362331801262867</v>
      </c>
      <c r="V1338" s="11">
        <v>0.16943670253312076</v>
      </c>
      <c r="W1338" s="11">
        <v>0.066293970504955</v>
      </c>
      <c r="X1338" s="11">
        <v>0.22980336169393178</v>
      </c>
      <c r="Y1338" s="11">
        <v>0.1547962184249887</v>
      </c>
      <c r="Z1338" s="11">
        <v>0.1460464288303751</v>
      </c>
    </row>
    <row r="1339" ht="22.5" customHeight="1">
      <c r="Q1339" s="9" t="s">
        <v>1377</v>
      </c>
      <c r="R1339" s="10">
        <v>0.47685353655809537</v>
      </c>
      <c r="S1339" s="10">
        <v>0.020619082407747548</v>
      </c>
      <c r="T1339" s="10">
        <v>21.18685632654289</v>
      </c>
      <c r="U1339" s="11">
        <v>0.24182264268081388</v>
      </c>
      <c r="V1339" s="11">
        <v>0.16718207353421802</v>
      </c>
      <c r="W1339" s="11">
        <v>0.060067547384328526</v>
      </c>
      <c r="X1339" s="11">
        <v>0.2566465360344912</v>
      </c>
      <c r="Y1339" s="11">
        <v>0.23898152600931424</v>
      </c>
      <c r="Z1339" s="11">
        <v>0.035299674356834</v>
      </c>
    </row>
    <row r="1340" ht="22.5" customHeight="1">
      <c r="Q1340" s="9" t="s">
        <v>1378</v>
      </c>
      <c r="R1340" s="10">
        <v>0.43840175742311</v>
      </c>
      <c r="S1340" s="10">
        <v>0.018804222352898525</v>
      </c>
      <c r="T1340" s="10">
        <v>21.18682442412725</v>
      </c>
      <c r="U1340" s="11">
        <v>0.19781934319698502</v>
      </c>
      <c r="V1340" s="11">
        <v>0.1358963930031228</v>
      </c>
      <c r="W1340" s="11">
        <v>0.08862016742771792</v>
      </c>
      <c r="X1340" s="11">
        <v>0.08967957573458397</v>
      </c>
      <c r="Y1340" s="11">
        <v>0.24830434038248192</v>
      </c>
      <c r="Z1340" s="11">
        <v>0.23968018025510826</v>
      </c>
    </row>
    <row r="1341" ht="22.5" customHeight="1">
      <c r="Q1341" s="9" t="s">
        <v>1379</v>
      </c>
      <c r="R1341" s="10">
        <v>0.6630983893367816</v>
      </c>
      <c r="S1341" s="10">
        <v>0.029409884694665534</v>
      </c>
      <c r="T1341" s="10">
        <v>21.186699499362582</v>
      </c>
      <c r="U1341" s="11">
        <v>0.20950189406705874</v>
      </c>
      <c r="V1341" s="11">
        <v>0.18925615031206536</v>
      </c>
      <c r="W1341" s="11">
        <v>0.18953261326239065</v>
      </c>
      <c r="X1341" s="11">
        <v>0.17928600905890077</v>
      </c>
      <c r="Y1341" s="11">
        <v>0.1927843384469789</v>
      </c>
      <c r="Z1341" s="11">
        <v>0.03963899485260548</v>
      </c>
    </row>
    <row r="1342" ht="22.5" customHeight="1">
      <c r="Q1342" s="9" t="s">
        <v>1380</v>
      </c>
      <c r="R1342" s="10">
        <v>0.5982199950124198</v>
      </c>
      <c r="S1342" s="10">
        <v>0.026350515570267696</v>
      </c>
      <c r="T1342" s="10">
        <v>21.184405046035646</v>
      </c>
      <c r="U1342" s="11">
        <v>0.2522271906742691</v>
      </c>
      <c r="V1342" s="11">
        <v>0.1797410847940677</v>
      </c>
      <c r="W1342" s="11">
        <v>0.15308872074503427</v>
      </c>
      <c r="X1342" s="11">
        <v>0.11755681939756307</v>
      </c>
      <c r="Y1342" s="11">
        <v>0.25539049158501154</v>
      </c>
      <c r="Z1342" s="11">
        <v>0.04199569280405442</v>
      </c>
    </row>
    <row r="1343" ht="22.5" customHeight="1">
      <c r="Q1343" s="9" t="s">
        <v>1381</v>
      </c>
      <c r="R1343" s="10">
        <v>0.6138409889197739</v>
      </c>
      <c r="S1343" s="10">
        <v>0.027088571046672835</v>
      </c>
      <c r="T1343" s="10">
        <v>21.183878172497998</v>
      </c>
      <c r="U1343" s="11">
        <v>0.005504508762604708</v>
      </c>
      <c r="V1343" s="11">
        <v>0.20464949317809944</v>
      </c>
      <c r="W1343" s="11">
        <v>0.1381662741386115</v>
      </c>
      <c r="X1343" s="11">
        <v>0.2026866904380203</v>
      </c>
      <c r="Y1343" s="11">
        <v>0.2869289724513783</v>
      </c>
      <c r="Z1343" s="11">
        <v>0.16206406103128582</v>
      </c>
    </row>
    <row r="1344" ht="22.5" customHeight="1">
      <c r="Q1344" s="9" t="s">
        <v>1382</v>
      </c>
      <c r="R1344" s="10">
        <v>0.55383434221421</v>
      </c>
      <c r="S1344" s="10">
        <v>0.02425641459988692</v>
      </c>
      <c r="T1344" s="10">
        <v>21.183441604622203</v>
      </c>
      <c r="U1344" s="11">
        <v>0.02079294664129606</v>
      </c>
      <c r="V1344" s="11">
        <v>0.14005623060877437</v>
      </c>
      <c r="W1344" s="11">
        <v>0.16255918188058419</v>
      </c>
      <c r="X1344" s="11">
        <v>0.18483836792522504</v>
      </c>
      <c r="Y1344" s="11">
        <v>0.29749486876639064</v>
      </c>
      <c r="Z1344" s="11">
        <v>0.1942584041777296</v>
      </c>
    </row>
    <row r="1345" ht="22.5" customHeight="1">
      <c r="Q1345" s="9" t="s">
        <v>1383</v>
      </c>
      <c r="R1345" s="10">
        <v>0.7440446632759372</v>
      </c>
      <c r="S1345" s="10">
        <v>0.03323583696645843</v>
      </c>
      <c r="T1345" s="10">
        <v>21.18329873824024</v>
      </c>
      <c r="U1345" s="11">
        <v>0.07703360543397718</v>
      </c>
      <c r="V1345" s="11">
        <v>0.2622443297992636</v>
      </c>
      <c r="W1345" s="11">
        <v>0.1609510855780642</v>
      </c>
      <c r="X1345" s="11">
        <v>0.34670793973957126</v>
      </c>
      <c r="Y1345" s="11">
        <v>0.14356873344762242</v>
      </c>
      <c r="Z1345" s="11">
        <v>0.009494306001501437</v>
      </c>
    </row>
    <row r="1346" ht="22.5" customHeight="1">
      <c r="Q1346" s="9" t="s">
        <v>1384</v>
      </c>
      <c r="R1346" s="10">
        <v>0.6830085565426396</v>
      </c>
      <c r="S1346" s="10">
        <v>0.030355084621301872</v>
      </c>
      <c r="T1346" s="10">
        <v>21.18289454846073</v>
      </c>
      <c r="U1346" s="11">
        <v>0.22037327648720334</v>
      </c>
      <c r="V1346" s="11">
        <v>0.19470877375665896</v>
      </c>
      <c r="W1346" s="11">
        <v>0.1995637099263567</v>
      </c>
      <c r="X1346" s="11">
        <v>0.2199851742397193</v>
      </c>
      <c r="Y1346" s="11">
        <v>0.0954854296456019</v>
      </c>
      <c r="Z1346" s="11">
        <v>0.06988363594445973</v>
      </c>
    </row>
    <row r="1347" ht="22.5" customHeight="1">
      <c r="Q1347" s="9" t="s">
        <v>1385</v>
      </c>
      <c r="R1347" s="10">
        <v>0.6166364732885222</v>
      </c>
      <c r="S1347" s="10">
        <v>0.027222754654413733</v>
      </c>
      <c r="T1347" s="10">
        <v>21.182150028855727</v>
      </c>
      <c r="U1347" s="11">
        <v>0.20191842387899625</v>
      </c>
      <c r="V1347" s="11">
        <v>0.15103738404689182</v>
      </c>
      <c r="W1347" s="11">
        <v>0.19182706547253275</v>
      </c>
      <c r="X1347" s="11">
        <v>0.21002769693112747</v>
      </c>
      <c r="Y1347" s="11">
        <v>0.19154912915993885</v>
      </c>
      <c r="Z1347" s="11">
        <v>0.05364030051051286</v>
      </c>
    </row>
    <row r="1348" ht="22.5" customHeight="1">
      <c r="Q1348" s="9" t="s">
        <v>1386</v>
      </c>
      <c r="R1348" s="10">
        <v>0.6121353812173328</v>
      </c>
      <c r="S1348" s="10">
        <v>0.027010666332138708</v>
      </c>
      <c r="T1348" s="10">
        <v>21.18183143584933</v>
      </c>
      <c r="U1348" s="11">
        <v>0.09845146015805138</v>
      </c>
      <c r="V1348" s="11">
        <v>0.1999936454854214</v>
      </c>
      <c r="W1348" s="11">
        <v>0.14808586054098496</v>
      </c>
      <c r="X1348" s="11">
        <v>0.16686460130057928</v>
      </c>
      <c r="Y1348" s="11">
        <v>0.1974514626576099</v>
      </c>
      <c r="Z1348" s="11">
        <v>0.18915296985735283</v>
      </c>
    </row>
    <row r="1349" ht="22.5" customHeight="1">
      <c r="Q1349" s="9" t="s">
        <v>1387</v>
      </c>
      <c r="R1349" s="10">
        <v>0.5599813077390308</v>
      </c>
      <c r="S1349" s="10">
        <v>0.024550218855379564</v>
      </c>
      <c r="T1349" s="10">
        <v>21.180312517869464</v>
      </c>
      <c r="U1349" s="11">
        <v>0.13572424267875077</v>
      </c>
      <c r="V1349" s="11">
        <v>0.1530281074760316</v>
      </c>
      <c r="W1349" s="11">
        <v>0.16166657245684263</v>
      </c>
      <c r="X1349" s="11">
        <v>0.146430801155156</v>
      </c>
      <c r="Y1349" s="11">
        <v>0.17035570178203796</v>
      </c>
      <c r="Z1349" s="11">
        <v>0.23279457445118093</v>
      </c>
    </row>
    <row r="1350" ht="22.5" customHeight="1">
      <c r="Q1350" s="9" t="s">
        <v>1388</v>
      </c>
      <c r="R1350" s="10">
        <v>0.4873634103135898</v>
      </c>
      <c r="S1350" s="10">
        <v>0.021123092550591492</v>
      </c>
      <c r="T1350" s="10">
        <v>21.178878482973968</v>
      </c>
      <c r="U1350" s="11">
        <v>0.20256048362297355</v>
      </c>
      <c r="V1350" s="11">
        <v>0.16147445791961723</v>
      </c>
      <c r="W1350" s="11">
        <v>0.10145484627008648</v>
      </c>
      <c r="X1350" s="11">
        <v>0.11744296120616551</v>
      </c>
      <c r="Y1350" s="11">
        <v>0.14455841048642062</v>
      </c>
      <c r="Z1350" s="11">
        <v>0.27250884049473656</v>
      </c>
    </row>
    <row r="1351" ht="22.5" customHeight="1">
      <c r="Q1351" s="9" t="s">
        <v>1389</v>
      </c>
      <c r="R1351" s="10">
        <v>0.6409862412417364</v>
      </c>
      <c r="S1351" s="10">
        <v>0.028377609546286157</v>
      </c>
      <c r="T1351" s="10">
        <v>21.178184168806737</v>
      </c>
      <c r="U1351" s="11">
        <v>0.12651701688023143</v>
      </c>
      <c r="V1351" s="11">
        <v>0.22031723648813364</v>
      </c>
      <c r="W1351" s="11">
        <v>0.14217208143239432</v>
      </c>
      <c r="X1351" s="11">
        <v>0.20619082111930376</v>
      </c>
      <c r="Y1351" s="11">
        <v>0.1844013068258567</v>
      </c>
      <c r="Z1351" s="11">
        <v>0.12040153725408016</v>
      </c>
    </row>
    <row r="1352" ht="22.5" customHeight="1">
      <c r="Q1352" s="9" t="s">
        <v>1390</v>
      </c>
      <c r="R1352" s="10">
        <v>0.6471186832718295</v>
      </c>
      <c r="S1352" s="10">
        <v>0.028667189135109825</v>
      </c>
      <c r="T1352" s="10">
        <v>21.178172732961375</v>
      </c>
      <c r="U1352" s="11">
        <v>0.2497428086822426</v>
      </c>
      <c r="V1352" s="11">
        <v>0.21942024270218305</v>
      </c>
      <c r="W1352" s="11">
        <v>0.14941842563052973</v>
      </c>
      <c r="X1352" s="11">
        <v>0.20851166373076163</v>
      </c>
      <c r="Y1352" s="11">
        <v>0.06426265099979594</v>
      </c>
      <c r="Z1352" s="11">
        <v>0.1086442082544871</v>
      </c>
    </row>
    <row r="1353" ht="22.5" customHeight="1">
      <c r="Q1353" s="9" t="s">
        <v>1391</v>
      </c>
      <c r="R1353" s="10">
        <v>0.5563944647945692</v>
      </c>
      <c r="S1353" s="10">
        <v>0.02438338110346024</v>
      </c>
      <c r="T1353" s="10">
        <v>21.178132048360094</v>
      </c>
      <c r="U1353" s="11">
        <v>0.147871037012484</v>
      </c>
      <c r="V1353" s="11">
        <v>0.19138691045327288</v>
      </c>
      <c r="W1353" s="11">
        <v>0.1173680840351565</v>
      </c>
      <c r="X1353" s="11">
        <v>0.16630483528258452</v>
      </c>
      <c r="Y1353" s="11">
        <v>0.14407767038571204</v>
      </c>
      <c r="Z1353" s="11">
        <v>0.23299146283079003</v>
      </c>
    </row>
    <row r="1354" ht="22.5" customHeight="1">
      <c r="Q1354" s="9" t="s">
        <v>1392</v>
      </c>
      <c r="R1354" s="10">
        <v>0.5535656490881322</v>
      </c>
      <c r="S1354" s="10">
        <v>0.02425139554031144</v>
      </c>
      <c r="T1354" s="10">
        <v>21.176746230313512</v>
      </c>
      <c r="U1354" s="11">
        <v>0.10758525683889014</v>
      </c>
      <c r="V1354" s="11">
        <v>0.14589594054601132</v>
      </c>
      <c r="W1354" s="11">
        <v>0.1649648300793037</v>
      </c>
      <c r="X1354" s="11">
        <v>0.17595676148376233</v>
      </c>
      <c r="Y1354" s="11">
        <v>0.13000608507035308</v>
      </c>
      <c r="Z1354" s="11">
        <v>0.27559112598167945</v>
      </c>
    </row>
    <row r="1355" ht="22.5" customHeight="1">
      <c r="Q1355" s="9" t="s">
        <v>1393</v>
      </c>
      <c r="R1355" s="10">
        <v>0.5869554613532385</v>
      </c>
      <c r="S1355" s="10">
        <v>0.02582940067249352</v>
      </c>
      <c r="T1355" s="10">
        <v>21.17569309053722</v>
      </c>
      <c r="U1355" s="11">
        <v>0.2171620294930157</v>
      </c>
      <c r="V1355" s="11">
        <v>0.21387233114011125</v>
      </c>
      <c r="W1355" s="11">
        <v>0.09817353157155921</v>
      </c>
      <c r="X1355" s="11">
        <v>0.27529661131042743</v>
      </c>
      <c r="Y1355" s="11">
        <v>0.14082352229283662</v>
      </c>
      <c r="Z1355" s="11">
        <v>0.05467197419204983</v>
      </c>
    </row>
    <row r="1356" ht="22.5" customHeight="1">
      <c r="Q1356" s="9" t="s">
        <v>1394</v>
      </c>
      <c r="R1356" s="10">
        <v>0.6546094483361307</v>
      </c>
      <c r="S1356" s="10">
        <v>0.029026305588971124</v>
      </c>
      <c r="T1356" s="10">
        <v>21.17422234297907</v>
      </c>
      <c r="U1356" s="11">
        <v>0.061400966625048924</v>
      </c>
      <c r="V1356" s="11">
        <v>0.2007574158802626</v>
      </c>
      <c r="W1356" s="11">
        <v>0.17801022700040206</v>
      </c>
      <c r="X1356" s="11">
        <v>0.20551471514445763</v>
      </c>
      <c r="Y1356" s="11">
        <v>0.1619338576595221</v>
      </c>
      <c r="Z1356" s="11">
        <v>0.1923828176903067</v>
      </c>
    </row>
    <row r="1357" ht="22.5" customHeight="1">
      <c r="Q1357" s="9" t="s">
        <v>1395</v>
      </c>
      <c r="R1357" s="10">
        <v>0.5919098014313785</v>
      </c>
      <c r="S1357" s="10">
        <v>0.02606588454997437</v>
      </c>
      <c r="T1357" s="10">
        <v>21.1736455892467</v>
      </c>
      <c r="U1357" s="11">
        <v>0.1042188438045593</v>
      </c>
      <c r="V1357" s="11">
        <v>0.1830112884530001</v>
      </c>
      <c r="W1357" s="11">
        <v>0.1525780054133411</v>
      </c>
      <c r="X1357" s="11">
        <v>0.1411396652747467</v>
      </c>
      <c r="Y1357" s="11">
        <v>0.2188224276438194</v>
      </c>
      <c r="Z1357" s="11">
        <v>0.20022976941053347</v>
      </c>
    </row>
    <row r="1358" ht="22.5" customHeight="1">
      <c r="Q1358" s="9" t="s">
        <v>1396</v>
      </c>
      <c r="R1358" s="10">
        <v>0.6127812113954038</v>
      </c>
      <c r="S1358" s="10">
        <v>0.02705178252239374</v>
      </c>
      <c r="T1358" s="10">
        <v>21.173510873867542</v>
      </c>
      <c r="U1358" s="11">
        <v>0.1589099452040224</v>
      </c>
      <c r="V1358" s="11">
        <v>0.13943657992652952</v>
      </c>
      <c r="W1358" s="11">
        <v>0.19942410800487975</v>
      </c>
      <c r="X1358" s="11">
        <v>0.32306753483666184</v>
      </c>
      <c r="Y1358" s="11">
        <v>0.04085688453786053</v>
      </c>
      <c r="Z1358" s="11">
        <v>0.13830494749004588</v>
      </c>
    </row>
    <row r="1359" ht="22.5" customHeight="1">
      <c r="Q1359" s="9" t="s">
        <v>1397</v>
      </c>
      <c r="R1359" s="10">
        <v>0.7049391132085551</v>
      </c>
      <c r="S1359" s="10">
        <v>0.03140439836343765</v>
      </c>
      <c r="T1359" s="10">
        <v>21.17343900409523</v>
      </c>
      <c r="U1359" s="11">
        <v>0.05093618614935562</v>
      </c>
      <c r="V1359" s="11">
        <v>0.20335311416838306</v>
      </c>
      <c r="W1359" s="11">
        <v>0.20629162618280075</v>
      </c>
      <c r="X1359" s="11">
        <v>0.2753111711809267</v>
      </c>
      <c r="Y1359" s="11">
        <v>0.1250014413835995</v>
      </c>
      <c r="Z1359" s="11">
        <v>0.1391064609349344</v>
      </c>
    </row>
    <row r="1360" ht="22.5" customHeight="1">
      <c r="Q1360" s="9" t="s">
        <v>1398</v>
      </c>
      <c r="R1360" s="10">
        <v>0.6376898372801976</v>
      </c>
      <c r="S1360" s="10">
        <v>0.028228490354512085</v>
      </c>
      <c r="T1360" s="10">
        <v>21.173283791446604</v>
      </c>
      <c r="U1360" s="11">
        <v>0.06940664525916843</v>
      </c>
      <c r="V1360" s="11">
        <v>0.19863383072927177</v>
      </c>
      <c r="W1360" s="11">
        <v>0.16296097203343596</v>
      </c>
      <c r="X1360" s="11">
        <v>0.17160046661928396</v>
      </c>
      <c r="Y1360" s="11">
        <v>0.28372288715049904</v>
      </c>
      <c r="Z1360" s="11">
        <v>0.11367519820834081</v>
      </c>
    </row>
    <row r="1361" ht="22.5" customHeight="1">
      <c r="Q1361" s="9" t="s">
        <v>1399</v>
      </c>
      <c r="R1361" s="10">
        <v>0.6410140819321569</v>
      </c>
      <c r="S1361" s="10">
        <v>0.028385623598365207</v>
      </c>
      <c r="T1361" s="10">
        <v>21.173185780099285</v>
      </c>
      <c r="U1361" s="11">
        <v>0.19812962397317252</v>
      </c>
      <c r="V1361" s="11">
        <v>0.22519031230882883</v>
      </c>
      <c r="W1361" s="11">
        <v>0.1371438288461449</v>
      </c>
      <c r="X1361" s="11">
        <v>0.2656443684661983</v>
      </c>
      <c r="Y1361" s="11">
        <v>0.021783340795247207</v>
      </c>
      <c r="Z1361" s="11">
        <v>0.1521085256104083</v>
      </c>
    </row>
    <row r="1362" ht="22.5" customHeight="1">
      <c r="Q1362" s="9" t="s">
        <v>1400</v>
      </c>
      <c r="R1362" s="10">
        <v>0.5438849213950853</v>
      </c>
      <c r="S1362" s="10">
        <v>0.02380012649658031</v>
      </c>
      <c r="T1362" s="10">
        <v>21.17152282646419</v>
      </c>
      <c r="U1362" s="11">
        <v>0.1465209746556454</v>
      </c>
      <c r="V1362" s="11">
        <v>0.1947001103695874</v>
      </c>
      <c r="W1362" s="11">
        <v>0.09508380299204444</v>
      </c>
      <c r="X1362" s="11">
        <v>0.21172907928753137</v>
      </c>
      <c r="Y1362" s="11">
        <v>0.1931798201342805</v>
      </c>
      <c r="Z1362" s="11">
        <v>0.15878621256091088</v>
      </c>
    </row>
    <row r="1363" ht="22.5" customHeight="1">
      <c r="Q1363" s="9" t="s">
        <v>1401</v>
      </c>
      <c r="R1363" s="10">
        <v>0.5584469181784266</v>
      </c>
      <c r="S1363" s="10">
        <v>0.024488467321797238</v>
      </c>
      <c r="T1363" s="10">
        <v>21.171064377596057</v>
      </c>
      <c r="U1363" s="11">
        <v>0.26559364099271915</v>
      </c>
      <c r="V1363" s="11">
        <v>0.18133247745704542</v>
      </c>
      <c r="W1363" s="11">
        <v>0.13275721532514326</v>
      </c>
      <c r="X1363" s="11">
        <v>0.162060984968484</v>
      </c>
      <c r="Y1363" s="11">
        <v>0.01904385975485978</v>
      </c>
      <c r="Z1363" s="11">
        <v>0.23921182150174833</v>
      </c>
    </row>
    <row r="1364" ht="22.5" customHeight="1">
      <c r="Q1364" s="9" t="s">
        <v>1402</v>
      </c>
      <c r="R1364" s="10">
        <v>0.37059722894771635</v>
      </c>
      <c r="S1364" s="10">
        <v>0.015615974764291366</v>
      </c>
      <c r="T1364" s="10">
        <v>21.170451024529335</v>
      </c>
      <c r="U1364" s="11">
        <v>0.3869094757063089</v>
      </c>
      <c r="V1364" s="11">
        <v>0.09877188176201962</v>
      </c>
      <c r="W1364" s="11">
        <v>0.0782215730242026</v>
      </c>
      <c r="X1364" s="11">
        <v>0.1306604436660715</v>
      </c>
      <c r="Y1364" s="11">
        <v>0.025391998319226644</v>
      </c>
      <c r="Z1364" s="11">
        <v>0.28004462752217074</v>
      </c>
    </row>
    <row r="1365" ht="22.5" customHeight="1">
      <c r="Q1365" s="9" t="s">
        <v>1403</v>
      </c>
      <c r="R1365" s="10">
        <v>0.649111160448656</v>
      </c>
      <c r="S1365" s="10">
        <v>0.028772387070230856</v>
      </c>
      <c r="T1365" s="10">
        <v>21.169990482954002</v>
      </c>
      <c r="U1365" s="11">
        <v>0.2320301154486657</v>
      </c>
      <c r="V1365" s="11">
        <v>0.19868732094391292</v>
      </c>
      <c r="W1365" s="11">
        <v>0.17216393162511562</v>
      </c>
      <c r="X1365" s="11">
        <v>0.1512624427760323</v>
      </c>
      <c r="Y1365" s="11">
        <v>0.18855695996338362</v>
      </c>
      <c r="Z1365" s="11">
        <v>0.05729922924288989</v>
      </c>
    </row>
    <row r="1366" ht="22.5" customHeight="1">
      <c r="Q1366" s="9" t="s">
        <v>1404</v>
      </c>
      <c r="R1366" s="10">
        <v>0.3894511125616664</v>
      </c>
      <c r="S1366" s="10">
        <v>0.01650736881759163</v>
      </c>
      <c r="T1366" s="10">
        <v>21.16940115793997</v>
      </c>
      <c r="U1366" s="11">
        <v>0.20279802463338667</v>
      </c>
      <c r="V1366" s="11">
        <v>0.13317632077374086</v>
      </c>
      <c r="W1366" s="11">
        <v>0.03850634133125688</v>
      </c>
      <c r="X1366" s="11">
        <v>0.3307977388467568</v>
      </c>
      <c r="Y1366" s="11">
        <v>0.03546529537608682</v>
      </c>
      <c r="Z1366" s="11">
        <v>0.2592562790387721</v>
      </c>
    </row>
    <row r="1367" ht="22.5" customHeight="1">
      <c r="Q1367" s="9" t="s">
        <v>1405</v>
      </c>
      <c r="R1367" s="10">
        <v>0.573610746943503</v>
      </c>
      <c r="S1367" s="10">
        <v>0.025207863759914823</v>
      </c>
      <c r="T1367" s="10">
        <v>21.16842394999147</v>
      </c>
      <c r="U1367" s="11">
        <v>0.15491896163274024</v>
      </c>
      <c r="V1367" s="11">
        <v>0.14187147548008963</v>
      </c>
      <c r="W1367" s="11">
        <v>0.17700085496007106</v>
      </c>
      <c r="X1367" s="11">
        <v>0.1865371888533975</v>
      </c>
      <c r="Y1367" s="11">
        <v>0.1704747538614904</v>
      </c>
      <c r="Z1367" s="11">
        <v>0.16919676521221116</v>
      </c>
    </row>
    <row r="1368" ht="22.5" customHeight="1">
      <c r="Q1368" s="9" t="s">
        <v>1406</v>
      </c>
      <c r="R1368" s="10">
        <v>0.714958058898697</v>
      </c>
      <c r="S1368" s="10">
        <v>0.031885898146122194</v>
      </c>
      <c r="T1368" s="10">
        <v>21.167917422479192</v>
      </c>
      <c r="U1368" s="11">
        <v>0.16788678681465938</v>
      </c>
      <c r="V1368" s="11">
        <v>0.2446889017639442</v>
      </c>
      <c r="W1368" s="11">
        <v>0.1648763202073937</v>
      </c>
      <c r="X1368" s="11">
        <v>0.24633870109100317</v>
      </c>
      <c r="Y1368" s="11">
        <v>0.16490407524426812</v>
      </c>
      <c r="Z1368" s="11">
        <v>0.01130521487873154</v>
      </c>
    </row>
    <row r="1369" ht="22.5" customHeight="1">
      <c r="Q1369" s="9" t="s">
        <v>1407</v>
      </c>
      <c r="R1369" s="10">
        <v>0.6306465389673547</v>
      </c>
      <c r="S1369" s="10">
        <v>0.027902937731380327</v>
      </c>
      <c r="T1369" s="10">
        <v>21.16789797022337</v>
      </c>
      <c r="U1369" s="11">
        <v>0.09170364352130539</v>
      </c>
      <c r="V1369" s="11">
        <v>0.15789403412175837</v>
      </c>
      <c r="W1369" s="11">
        <v>0.19344861741888622</v>
      </c>
      <c r="X1369" s="11">
        <v>0.22528282242770087</v>
      </c>
      <c r="Y1369" s="11">
        <v>0.26597509627140004</v>
      </c>
      <c r="Z1369" s="11">
        <v>0.06569578623894916</v>
      </c>
    </row>
    <row r="1370" ht="22.5" customHeight="1">
      <c r="Q1370" s="9" t="s">
        <v>1408</v>
      </c>
      <c r="R1370" s="10">
        <v>0.6817337677697314</v>
      </c>
      <c r="S1370" s="10">
        <v>0.030316441136077045</v>
      </c>
      <c r="T1370" s="10">
        <v>21.167846347441422</v>
      </c>
      <c r="U1370" s="11">
        <v>0.2636336646473889</v>
      </c>
      <c r="V1370" s="11">
        <v>0.24189748055957921</v>
      </c>
      <c r="W1370" s="11">
        <v>0.14085950898570887</v>
      </c>
      <c r="X1370" s="11">
        <v>0.27764702651167056</v>
      </c>
      <c r="Y1370" s="11">
        <v>0.07053590214321884</v>
      </c>
      <c r="Z1370" s="11">
        <v>0.005426417152433668</v>
      </c>
    </row>
    <row r="1371" ht="22.5" customHeight="1">
      <c r="Q1371" s="9" t="s">
        <v>1409</v>
      </c>
      <c r="R1371" s="10">
        <v>0.5492934324377391</v>
      </c>
      <c r="S1371" s="10">
        <v>0.02406034959992246</v>
      </c>
      <c r="T1371" s="10">
        <v>21.16733301495255</v>
      </c>
      <c r="U1371" s="11">
        <v>0.11925072574767624</v>
      </c>
      <c r="V1371" s="11">
        <v>0.18280952269777784</v>
      </c>
      <c r="W1371" s="11">
        <v>0.12457651223482172</v>
      </c>
      <c r="X1371" s="11">
        <v>0.1442621213771127</v>
      </c>
      <c r="Y1371" s="11">
        <v>0.15866278986303708</v>
      </c>
      <c r="Z1371" s="11">
        <v>0.2704383280795744</v>
      </c>
    </row>
    <row r="1372" ht="22.5" customHeight="1">
      <c r="Q1372" s="9" t="s">
        <v>1410</v>
      </c>
      <c r="R1372" s="10">
        <v>0.35286277993561993</v>
      </c>
      <c r="S1372" s="10">
        <v>0.014780519052482139</v>
      </c>
      <c r="T1372" s="10">
        <v>21.167239041113373</v>
      </c>
      <c r="U1372" s="11">
        <v>0.32672392727693494</v>
      </c>
      <c r="V1372" s="11">
        <v>0.0684995429129283</v>
      </c>
      <c r="W1372" s="11">
        <v>0.09304852993230604</v>
      </c>
      <c r="X1372" s="11">
        <v>0.1392763265109799</v>
      </c>
      <c r="Y1372" s="11">
        <v>0.1074519278575557</v>
      </c>
      <c r="Z1372" s="11">
        <v>0.2649997455092951</v>
      </c>
    </row>
    <row r="1373" ht="22.5" customHeight="1">
      <c r="Q1373" s="9" t="s">
        <v>1411</v>
      </c>
      <c r="R1373" s="10">
        <v>0.569744038707895</v>
      </c>
      <c r="S1373" s="10">
        <v>0.025027498651349782</v>
      </c>
      <c r="T1373" s="10">
        <v>21.166479562643982</v>
      </c>
      <c r="U1373" s="11">
        <v>0.0700714432610855</v>
      </c>
      <c r="V1373" s="11">
        <v>0.20294453763241496</v>
      </c>
      <c r="W1373" s="11">
        <v>0.10576606689202465</v>
      </c>
      <c r="X1373" s="11">
        <v>0.22533015030617798</v>
      </c>
      <c r="Y1373" s="11">
        <v>0.2210932176786071</v>
      </c>
      <c r="Z1373" s="11">
        <v>0.17479458422968977</v>
      </c>
    </row>
    <row r="1374" ht="22.5" customHeight="1">
      <c r="Q1374" s="9" t="s">
        <v>1412</v>
      </c>
      <c r="R1374" s="10">
        <v>0.5668327095569085</v>
      </c>
      <c r="S1374" s="10">
        <v>0.024890308493556775</v>
      </c>
      <c r="T1374" s="10">
        <v>21.166178381970912</v>
      </c>
      <c r="U1374" s="11">
        <v>3.338765288093347E-4</v>
      </c>
      <c r="V1374" s="11">
        <v>0.1978244559486325</v>
      </c>
      <c r="W1374" s="11">
        <v>0.10553220096198501</v>
      </c>
      <c r="X1374" s="11">
        <v>0.23489275208773946</v>
      </c>
      <c r="Y1374" s="11">
        <v>0.30271490391346695</v>
      </c>
      <c r="Z1374" s="11">
        <v>0.15870181055936675</v>
      </c>
    </row>
    <row r="1375" ht="22.5" customHeight="1">
      <c r="Q1375" s="9" t="s">
        <v>1413</v>
      </c>
      <c r="R1375" s="10">
        <v>0.6591690051393091</v>
      </c>
      <c r="S1375" s="10">
        <v>0.02925315023667671</v>
      </c>
      <c r="T1375" s="10">
        <v>21.165891540905353</v>
      </c>
      <c r="U1375" s="11">
        <v>0.08331479291682996</v>
      </c>
      <c r="V1375" s="11">
        <v>0.19200928782945226</v>
      </c>
      <c r="W1375" s="11">
        <v>0.18749697281870165</v>
      </c>
      <c r="X1375" s="11">
        <v>0.19918977227510723</v>
      </c>
      <c r="Y1375" s="11">
        <v>0.1989224579290617</v>
      </c>
      <c r="Z1375" s="11">
        <v>0.13906671623084724</v>
      </c>
    </row>
    <row r="1376" ht="22.5" customHeight="1">
      <c r="Q1376" s="9" t="s">
        <v>1414</v>
      </c>
      <c r="R1376" s="10">
        <v>0.7341860577108393</v>
      </c>
      <c r="S1376" s="10">
        <v>0.0327974630900598</v>
      </c>
      <c r="T1376" s="10">
        <v>21.165846145009674</v>
      </c>
      <c r="U1376" s="11">
        <v>0.13567439725849445</v>
      </c>
      <c r="V1376" s="11">
        <v>0.2266066203272482</v>
      </c>
      <c r="W1376" s="11">
        <v>0.20291775542270518</v>
      </c>
      <c r="X1376" s="11">
        <v>0.25925837507894145</v>
      </c>
      <c r="Y1376" s="11">
        <v>0.09828645536218282</v>
      </c>
      <c r="Z1376" s="11">
        <v>0.07725639655042799</v>
      </c>
    </row>
    <row r="1377" ht="22.5" customHeight="1">
      <c r="Q1377" s="9" t="s">
        <v>1415</v>
      </c>
      <c r="R1377" s="10">
        <v>0.46686977786786377</v>
      </c>
      <c r="S1377" s="10">
        <v>0.02016841013345726</v>
      </c>
      <c r="T1377" s="10">
        <v>21.165266624548256</v>
      </c>
      <c r="U1377" s="11">
        <v>0.03299415110744649</v>
      </c>
      <c r="V1377" s="11">
        <v>0.11120306687478375</v>
      </c>
      <c r="W1377" s="11">
        <v>0.13313186438469246</v>
      </c>
      <c r="X1377" s="11">
        <v>0.149465380169618</v>
      </c>
      <c r="Y1377" s="11">
        <v>0.29389881701740767</v>
      </c>
      <c r="Z1377" s="11">
        <v>0.27930672044605165</v>
      </c>
    </row>
    <row r="1378" ht="22.5" customHeight="1">
      <c r="Q1378" s="9" t="s">
        <v>1416</v>
      </c>
      <c r="R1378" s="10">
        <v>0.6371110957096562</v>
      </c>
      <c r="S1378" s="10">
        <v>0.028211980875056258</v>
      </c>
      <c r="T1378" s="10">
        <v>21.16516023295601</v>
      </c>
      <c r="U1378" s="11">
        <v>0.2620759432491769</v>
      </c>
      <c r="V1378" s="11">
        <v>0.2287114089647111</v>
      </c>
      <c r="W1378" s="11">
        <v>0.12319647752632903</v>
      </c>
      <c r="X1378" s="11">
        <v>0.2681585385038806</v>
      </c>
      <c r="Y1378" s="11">
        <v>0.07048231297452812</v>
      </c>
      <c r="Z1378" s="11">
        <v>0.04737531878137423</v>
      </c>
    </row>
    <row r="1379" ht="22.5" customHeight="1">
      <c r="Q1379" s="9" t="s">
        <v>1417</v>
      </c>
      <c r="R1379" s="10">
        <v>0.6322824791917048</v>
      </c>
      <c r="S1379" s="10">
        <v>0.02798539160600903</v>
      </c>
      <c r="T1379" s="10">
        <v>21.16398753785992</v>
      </c>
      <c r="U1379" s="11">
        <v>0.17763662275796424</v>
      </c>
      <c r="V1379" s="11">
        <v>0.19608120637525633</v>
      </c>
      <c r="W1379" s="11">
        <v>0.1692937993599938</v>
      </c>
      <c r="X1379" s="11">
        <v>0.18052109697492236</v>
      </c>
      <c r="Y1379" s="11">
        <v>0.08281004921936963</v>
      </c>
      <c r="Z1379" s="11">
        <v>0.19365722531249355</v>
      </c>
    </row>
    <row r="1380" ht="22.5" customHeight="1">
      <c r="Q1380" s="9" t="s">
        <v>1418</v>
      </c>
      <c r="R1380" s="10">
        <v>0.624221899869776</v>
      </c>
      <c r="S1380" s="10">
        <v>0.027604906267220345</v>
      </c>
      <c r="T1380" s="10">
        <v>21.163698011302966</v>
      </c>
      <c r="U1380" s="11">
        <v>0.05147640916567549</v>
      </c>
      <c r="V1380" s="11">
        <v>0.17276714650586514</v>
      </c>
      <c r="W1380" s="11">
        <v>0.18194363865291352</v>
      </c>
      <c r="X1380" s="11">
        <v>0.19354332841682773</v>
      </c>
      <c r="Y1380" s="11">
        <v>0.23307638237872055</v>
      </c>
      <c r="Z1380" s="11">
        <v>0.16719309487999753</v>
      </c>
    </row>
    <row r="1381" ht="22.5" customHeight="1">
      <c r="Q1381" s="9" t="s">
        <v>1419</v>
      </c>
      <c r="R1381" s="10">
        <v>0.5888490180031558</v>
      </c>
      <c r="S1381" s="10">
        <v>0.02593412644928896</v>
      </c>
      <c r="T1381" s="10">
        <v>21.163196650419806</v>
      </c>
      <c r="U1381" s="11">
        <v>0.13547770888945482</v>
      </c>
      <c r="V1381" s="11">
        <v>0.1944824224671647</v>
      </c>
      <c r="W1381" s="11">
        <v>0.13451213833963754</v>
      </c>
      <c r="X1381" s="11">
        <v>0.14358337474280933</v>
      </c>
      <c r="Y1381" s="11">
        <v>0.2426607082290467</v>
      </c>
      <c r="Z1381" s="11">
        <v>0.14928364733188684</v>
      </c>
    </row>
    <row r="1382" ht="22.5" customHeight="1">
      <c r="Q1382" s="9" t="s">
        <v>1420</v>
      </c>
      <c r="R1382" s="10">
        <v>0.7101001726637337</v>
      </c>
      <c r="S1382" s="10">
        <v>0.031665112569679923</v>
      </c>
      <c r="T1382" s="10">
        <v>21.16209665098017</v>
      </c>
      <c r="U1382" s="11">
        <v>0.11788933534176635</v>
      </c>
      <c r="V1382" s="11">
        <v>0.186485262932281</v>
      </c>
      <c r="W1382" s="11">
        <v>0.22139618662557656</v>
      </c>
      <c r="X1382" s="11">
        <v>0.3094673545381392</v>
      </c>
      <c r="Y1382" s="11">
        <v>0.10037405415366481</v>
      </c>
      <c r="Z1382" s="11">
        <v>0.06438780640857213</v>
      </c>
    </row>
    <row r="1383" ht="22.5" customHeight="1">
      <c r="Q1383" s="9" t="s">
        <v>1421</v>
      </c>
      <c r="R1383" s="10">
        <v>0.5078654132734868</v>
      </c>
      <c r="S1383" s="10">
        <v>0.022109065914291733</v>
      </c>
      <c r="T1383" s="10">
        <v>21.161699688590165</v>
      </c>
      <c r="U1383" s="11">
        <v>0.0622342586470332</v>
      </c>
      <c r="V1383" s="11">
        <v>0.111504437115348</v>
      </c>
      <c r="W1383" s="11">
        <v>0.15879094880927613</v>
      </c>
      <c r="X1383" s="11">
        <v>0.2070958726790226</v>
      </c>
      <c r="Y1383" s="11">
        <v>0.22453257291657863</v>
      </c>
      <c r="Z1383" s="11">
        <v>0.2358419098327414</v>
      </c>
    </row>
    <row r="1384" ht="22.5" customHeight="1">
      <c r="Q1384" s="9" t="s">
        <v>1422</v>
      </c>
      <c r="R1384" s="10">
        <v>0.6375482023609689</v>
      </c>
      <c r="S1384" s="10">
        <v>0.02823748083525222</v>
      </c>
      <c r="T1384" s="10">
        <v>21.161526619434763</v>
      </c>
      <c r="U1384" s="11">
        <v>0.20913282495863236</v>
      </c>
      <c r="V1384" s="11">
        <v>0.1993217567415983</v>
      </c>
      <c r="W1384" s="11">
        <v>0.16263548417456686</v>
      </c>
      <c r="X1384" s="11">
        <v>0.14206202156380696</v>
      </c>
      <c r="Y1384" s="11">
        <v>0.22709555713226784</v>
      </c>
      <c r="Z1384" s="11">
        <v>0.05975235542912762</v>
      </c>
    </row>
    <row r="1385" ht="22.5" customHeight="1">
      <c r="Q1385" s="9" t="s">
        <v>1423</v>
      </c>
      <c r="R1385" s="10">
        <v>0.39555792793220756</v>
      </c>
      <c r="S1385" s="10">
        <v>0.016802331745539852</v>
      </c>
      <c r="T1385" s="10">
        <v>21.161225317824698</v>
      </c>
      <c r="U1385" s="11">
        <v>0.14238651252143045</v>
      </c>
      <c r="V1385" s="11">
        <v>0.1375133228570757</v>
      </c>
      <c r="W1385" s="11">
        <v>0.04350658433685385</v>
      </c>
      <c r="X1385" s="11">
        <v>0.2521278384153198</v>
      </c>
      <c r="Y1385" s="11">
        <v>0.1549008303690195</v>
      </c>
      <c r="Z1385" s="11">
        <v>0.26956491150030054</v>
      </c>
    </row>
    <row r="1386" ht="22.5" customHeight="1">
      <c r="Q1386" s="9" t="s">
        <v>1424</v>
      </c>
      <c r="R1386" s="10">
        <v>0.443316565430819</v>
      </c>
      <c r="S1386" s="10">
        <v>0.01905967224381163</v>
      </c>
      <c r="T1386" s="10">
        <v>21.16072932795418</v>
      </c>
      <c r="U1386" s="11">
        <v>0.1881726091761218</v>
      </c>
      <c r="V1386" s="11">
        <v>0.06226094589791679</v>
      </c>
      <c r="W1386" s="11">
        <v>0.14121615437921112</v>
      </c>
      <c r="X1386" s="11">
        <v>0.3165136371694159</v>
      </c>
      <c r="Y1386" s="11">
        <v>0.22804306252475046</v>
      </c>
      <c r="Z1386" s="11">
        <v>0.06379359085258401</v>
      </c>
    </row>
    <row r="1387" ht="22.5" customHeight="1">
      <c r="Q1387" s="9" t="s">
        <v>1425</v>
      </c>
      <c r="R1387" s="10">
        <v>0.5428028024030734</v>
      </c>
      <c r="S1387" s="10">
        <v>0.023761634653031955</v>
      </c>
      <c r="T1387" s="10">
        <v>21.16027831186759</v>
      </c>
      <c r="U1387" s="11">
        <v>0.21206806763291988</v>
      </c>
      <c r="V1387" s="11">
        <v>0.18044982789187958</v>
      </c>
      <c r="W1387" s="11">
        <v>0.11914382834111713</v>
      </c>
      <c r="X1387" s="11">
        <v>0.12189231886660203</v>
      </c>
      <c r="Y1387" s="11">
        <v>0.17335455403067365</v>
      </c>
      <c r="Z1387" s="11">
        <v>0.19309140323680782</v>
      </c>
    </row>
    <row r="1388" ht="22.5" customHeight="1">
      <c r="Q1388" s="9" t="s">
        <v>1426</v>
      </c>
      <c r="R1388" s="10">
        <v>0.6860630180028526</v>
      </c>
      <c r="S1388" s="10">
        <v>0.030532439586956693</v>
      </c>
      <c r="T1388" s="10">
        <v>21.159888523249467</v>
      </c>
      <c r="U1388" s="11">
        <v>0.09768155226539232</v>
      </c>
      <c r="V1388" s="11">
        <v>0.20924980098899013</v>
      </c>
      <c r="W1388" s="11">
        <v>0.18857967830107308</v>
      </c>
      <c r="X1388" s="11">
        <v>0.20754794140211677</v>
      </c>
      <c r="Y1388" s="11">
        <v>0.1815441330865427</v>
      </c>
      <c r="Z1388" s="11">
        <v>0.11539689395588512</v>
      </c>
    </row>
    <row r="1389" ht="22.5" customHeight="1">
      <c r="Q1389" s="9" t="s">
        <v>1427</v>
      </c>
      <c r="R1389" s="10">
        <v>0.75512256691343</v>
      </c>
      <c r="S1389" s="10">
        <v>0.03379723213429317</v>
      </c>
      <c r="T1389" s="10">
        <v>21.15920511099528</v>
      </c>
      <c r="U1389" s="11">
        <v>0.05421229715365208</v>
      </c>
      <c r="V1389" s="11">
        <v>0.21558006280420117</v>
      </c>
      <c r="W1389" s="11">
        <v>0.22426428830186604</v>
      </c>
      <c r="X1389" s="11">
        <v>0.317148211481889</v>
      </c>
      <c r="Y1389" s="11">
        <v>0.1301678056376299</v>
      </c>
      <c r="Z1389" s="11">
        <v>0.05862733462076186</v>
      </c>
    </row>
    <row r="1390" ht="22.5" customHeight="1">
      <c r="Q1390" s="9" t="s">
        <v>1428</v>
      </c>
      <c r="R1390" s="10">
        <v>0.6000855935703495</v>
      </c>
      <c r="S1390" s="10">
        <v>0.02647036301901781</v>
      </c>
      <c r="T1390" s="10">
        <v>21.158969114550953</v>
      </c>
      <c r="U1390" s="11">
        <v>0.10627253195632921</v>
      </c>
      <c r="V1390" s="11">
        <v>0.1986730389593336</v>
      </c>
      <c r="W1390" s="11">
        <v>0.12976979246498618</v>
      </c>
      <c r="X1390" s="11">
        <v>0.16906224939696846</v>
      </c>
      <c r="Y1390" s="11">
        <v>0.33552978108689957</v>
      </c>
      <c r="Z1390" s="11">
        <v>0.06069260613548311</v>
      </c>
    </row>
    <row r="1391" ht="22.5" customHeight="1">
      <c r="Q1391" s="9" t="s">
        <v>1429</v>
      </c>
      <c r="R1391" s="10">
        <v>0.5343757381639846</v>
      </c>
      <c r="S1391" s="10">
        <v>0.02336484310534134</v>
      </c>
      <c r="T1391" s="10">
        <v>21.158958180676482</v>
      </c>
      <c r="U1391" s="11">
        <v>0.22412776256266603</v>
      </c>
      <c r="V1391" s="11">
        <v>0.1921830170986971</v>
      </c>
      <c r="W1391" s="11">
        <v>0.08277902857729015</v>
      </c>
      <c r="X1391" s="11">
        <v>0.2338143990876958</v>
      </c>
      <c r="Y1391" s="11">
        <v>0.2037486911709191</v>
      </c>
      <c r="Z1391" s="11">
        <v>0.06334710150273179</v>
      </c>
    </row>
    <row r="1392" ht="22.5" customHeight="1">
      <c r="Q1392" s="9" t="s">
        <v>1430</v>
      </c>
      <c r="R1392" s="10">
        <v>0.4670545886854191</v>
      </c>
      <c r="S1392" s="10">
        <v>0.020183294860540196</v>
      </c>
      <c r="T1392" s="10">
        <v>21.158814338106005</v>
      </c>
      <c r="U1392" s="11">
        <v>0.2874854321775486</v>
      </c>
      <c r="V1392" s="11">
        <v>0.06996308793339463</v>
      </c>
      <c r="W1392" s="11">
        <v>0.15092982119936627</v>
      </c>
      <c r="X1392" s="11">
        <v>0.3024212885890151</v>
      </c>
      <c r="Y1392" s="11">
        <v>0.17572160867852712</v>
      </c>
      <c r="Z1392" s="11">
        <v>0.013478761422148221</v>
      </c>
    </row>
    <row r="1393" ht="22.5" customHeight="1">
      <c r="Q1393" s="9" t="s">
        <v>1431</v>
      </c>
      <c r="R1393" s="10">
        <v>0.5642658355273146</v>
      </c>
      <c r="S1393" s="10">
        <v>0.024778834880585725</v>
      </c>
      <c r="T1393" s="10">
        <v>21.15780818807094</v>
      </c>
      <c r="U1393" s="11">
        <v>0.19179221304887895</v>
      </c>
      <c r="V1393" s="11">
        <v>0.20296161402274043</v>
      </c>
      <c r="W1393" s="11">
        <v>0.10217256357885825</v>
      </c>
      <c r="X1393" s="11">
        <v>0.21844710318451319</v>
      </c>
      <c r="Y1393" s="11">
        <v>0.13704253781875492</v>
      </c>
      <c r="Z1393" s="11">
        <v>0.1475839683462543</v>
      </c>
    </row>
    <row r="1394" ht="22.5" customHeight="1">
      <c r="Q1394" s="9" t="s">
        <v>1432</v>
      </c>
      <c r="R1394" s="10">
        <v>0.4521141926166888</v>
      </c>
      <c r="S1394" s="10">
        <v>0.01947827092467504</v>
      </c>
      <c r="T1394" s="10">
        <v>21.157637359619187</v>
      </c>
      <c r="U1394" s="11">
        <v>0.22248885894424328</v>
      </c>
      <c r="V1394" s="11">
        <v>0.1382890826437792</v>
      </c>
      <c r="W1394" s="11">
        <v>0.10095356879696066</v>
      </c>
      <c r="X1394" s="11">
        <v>0.07867110097956623</v>
      </c>
      <c r="Y1394" s="11">
        <v>0.18526008277442899</v>
      </c>
      <c r="Z1394" s="11">
        <v>0.2743373058610215</v>
      </c>
    </row>
    <row r="1395" ht="22.5" customHeight="1">
      <c r="Q1395" s="9" t="s">
        <v>1433</v>
      </c>
      <c r="R1395" s="10">
        <v>0.4926552120771712</v>
      </c>
      <c r="S1395" s="10">
        <v>0.021394722174582013</v>
      </c>
      <c r="T1395" s="10">
        <v>21.15733069041429</v>
      </c>
      <c r="U1395" s="11">
        <v>0.24412224329966847</v>
      </c>
      <c r="V1395" s="11">
        <v>0.1725794601163669</v>
      </c>
      <c r="W1395" s="11">
        <v>0.08592237865690257</v>
      </c>
      <c r="X1395" s="11">
        <v>0.16487760676483898</v>
      </c>
      <c r="Y1395" s="11">
        <v>0.13326051703981864</v>
      </c>
      <c r="Z1395" s="11">
        <v>0.1992377941224044</v>
      </c>
    </row>
    <row r="1396" ht="22.5" customHeight="1">
      <c r="Q1396" s="9" t="s">
        <v>1434</v>
      </c>
      <c r="R1396" s="10">
        <v>0.5616100284579947</v>
      </c>
      <c r="S1396" s="10">
        <v>0.02465419751621936</v>
      </c>
      <c r="T1396" s="10">
        <v>21.157047521617397</v>
      </c>
      <c r="U1396" s="11">
        <v>0.14340548909193876</v>
      </c>
      <c r="V1396" s="11">
        <v>0.19578004019873219</v>
      </c>
      <c r="W1396" s="11">
        <v>0.1136246889411164</v>
      </c>
      <c r="X1396" s="11">
        <v>0.1717636097625903</v>
      </c>
      <c r="Y1396" s="11">
        <v>0.17802962738824982</v>
      </c>
      <c r="Z1396" s="11">
        <v>0.19739654461737258</v>
      </c>
    </row>
    <row r="1397" ht="22.5" customHeight="1">
      <c r="Q1397" s="9" t="s">
        <v>1435</v>
      </c>
      <c r="R1397" s="10">
        <v>0.522331348251574</v>
      </c>
      <c r="S1397" s="10">
        <v>0.026171593575139845</v>
      </c>
      <c r="T1397" s="10">
        <v>21.155956780360267</v>
      </c>
      <c r="U1397" s="11">
        <v>0.14756950180693718</v>
      </c>
      <c r="V1397" s="11">
        <v>0.21037849242012568</v>
      </c>
      <c r="W1397" s="11">
        <v>0.11526556368420852</v>
      </c>
      <c r="X1397" s="11">
        <v>0.20590704313638777</v>
      </c>
      <c r="Y1397" s="11">
        <v>0.20351023038055258</v>
      </c>
      <c r="Z1397" s="11">
        <v>0.11736916857178831</v>
      </c>
    </row>
    <row r="1398" ht="22.5" customHeight="1">
      <c r="Q1398" s="9" t="s">
        <v>1436</v>
      </c>
      <c r="R1398" s="10">
        <v>0.5393262032482782</v>
      </c>
      <c r="S1398" s="10">
        <v>0.023602297098660352</v>
      </c>
      <c r="T1398" s="10">
        <v>21.1558307719387</v>
      </c>
      <c r="U1398" s="11">
        <v>0.24229266495191326</v>
      </c>
      <c r="V1398" s="11">
        <v>0.14800156409907403</v>
      </c>
      <c r="W1398" s="11">
        <v>0.15251952138977626</v>
      </c>
      <c r="X1398" s="11">
        <v>0.11599909279335366</v>
      </c>
      <c r="Y1398" s="11">
        <v>0.13605674013562657</v>
      </c>
      <c r="Z1398" s="11">
        <v>0.20513041663025616</v>
      </c>
    </row>
    <row r="1399" ht="22.5" customHeight="1">
      <c r="Q1399" s="9" t="s">
        <v>1437</v>
      </c>
      <c r="R1399" s="10">
        <v>0.6098326706111579</v>
      </c>
      <c r="S1399" s="10">
        <v>0.026936369135389694</v>
      </c>
      <c r="T1399" s="10">
        <v>21.154769143050427</v>
      </c>
      <c r="U1399" s="11">
        <v>0.17883145017686017</v>
      </c>
      <c r="V1399" s="11">
        <v>0.1810666213119618</v>
      </c>
      <c r="W1399" s="11">
        <v>0.16835868872104867</v>
      </c>
      <c r="X1399" s="11">
        <v>0.14915472171544233</v>
      </c>
      <c r="Y1399" s="11">
        <v>0.1414190327184088</v>
      </c>
      <c r="Z1399" s="11">
        <v>0.18116948535627822</v>
      </c>
    </row>
    <row r="1400" ht="22.5" customHeight="1">
      <c r="Q1400" s="9" t="s">
        <v>1438</v>
      </c>
      <c r="R1400" s="10">
        <v>0.6771765408588017</v>
      </c>
      <c r="S1400" s="10">
        <v>0.030120671121646948</v>
      </c>
      <c r="T1400" s="10">
        <v>21.154128282383436</v>
      </c>
      <c r="U1400" s="11">
        <v>0.26503456086575766</v>
      </c>
      <c r="V1400" s="11">
        <v>0.1706118744401994</v>
      </c>
      <c r="W1400" s="11">
        <v>0.21329652970912175</v>
      </c>
      <c r="X1400" s="11">
        <v>0.26651067952761337</v>
      </c>
      <c r="Y1400" s="11">
        <v>0.07662556357222533</v>
      </c>
      <c r="Z1400" s="11">
        <v>0.007920791885082469</v>
      </c>
    </row>
    <row r="1401" ht="22.5" customHeight="1">
      <c r="Q1401" s="9" t="s">
        <v>1439</v>
      </c>
      <c r="R1401" s="10">
        <v>0.6064765337559251</v>
      </c>
      <c r="S1401" s="10">
        <v>0.026779915131059793</v>
      </c>
      <c r="T1401" s="10">
        <v>21.153036930237175</v>
      </c>
      <c r="U1401" s="11">
        <v>0.01794945845016797</v>
      </c>
      <c r="V1401" s="11">
        <v>0.21193901534374698</v>
      </c>
      <c r="W1401" s="11">
        <v>0.12431675325425325</v>
      </c>
      <c r="X1401" s="11">
        <v>0.22652844288344387</v>
      </c>
      <c r="Y1401" s="11">
        <v>0.24473889396988147</v>
      </c>
      <c r="Z1401" s="11">
        <v>0.1745274360985065</v>
      </c>
    </row>
    <row r="1402" ht="22.5" customHeight="1">
      <c r="Q1402" s="9" t="s">
        <v>1440</v>
      </c>
      <c r="R1402" s="10">
        <v>0.5389464920671128</v>
      </c>
      <c r="S1402" s="10">
        <v>0.023588138920435864</v>
      </c>
      <c r="T1402" s="10">
        <v>21.152431472024464</v>
      </c>
      <c r="U1402" s="11">
        <v>0.23633329080708557</v>
      </c>
      <c r="V1402" s="11">
        <v>0.13874774418291586</v>
      </c>
      <c r="W1402" s="11">
        <v>0.16115971795788803</v>
      </c>
      <c r="X1402" s="11">
        <v>0.15712666682605192</v>
      </c>
      <c r="Y1402" s="11">
        <v>0.07622680281985322</v>
      </c>
      <c r="Z1402" s="11">
        <v>0.23040577740620533</v>
      </c>
    </row>
    <row r="1403" ht="22.5" customHeight="1">
      <c r="Q1403" s="9" t="s">
        <v>1441</v>
      </c>
      <c r="R1403" s="10">
        <v>0.5554139057276498</v>
      </c>
      <c r="S1403" s="10">
        <v>0.02436768365111038</v>
      </c>
      <c r="T1403" s="10">
        <v>21.151534676303285</v>
      </c>
      <c r="U1403" s="11">
        <v>0.1716085359160871</v>
      </c>
      <c r="V1403" s="11">
        <v>0.19775480010128776</v>
      </c>
      <c r="W1403" s="11">
        <v>0.0997989019613642</v>
      </c>
      <c r="X1403" s="11">
        <v>0.19782523480716624</v>
      </c>
      <c r="Y1403" s="11">
        <v>0.2077107055376307</v>
      </c>
      <c r="Z1403" s="11">
        <v>0.12530182167646395</v>
      </c>
    </row>
    <row r="1404" ht="22.5" customHeight="1">
      <c r="Q1404" s="9" t="s">
        <v>1442</v>
      </c>
      <c r="R1404" s="10">
        <v>0.5338199089672767</v>
      </c>
      <c r="S1404" s="10">
        <v>0.02334713615954128</v>
      </c>
      <c r="T1404" s="10">
        <v>21.15119839935774</v>
      </c>
      <c r="U1404" s="11">
        <v>0.1552917522454749</v>
      </c>
      <c r="V1404" s="11">
        <v>0.19133387848142264</v>
      </c>
      <c r="W1404" s="11">
        <v>0.09472161849205836</v>
      </c>
      <c r="X1404" s="11">
        <v>0.20232414156035836</v>
      </c>
      <c r="Y1404" s="11">
        <v>0.15581324200591862</v>
      </c>
      <c r="Z1404" s="11">
        <v>0.20051536721476712</v>
      </c>
    </row>
    <row r="1405" ht="22.5" customHeight="1">
      <c r="Q1405" s="9" t="s">
        <v>1443</v>
      </c>
      <c r="R1405" s="10">
        <v>0.7108388413730772</v>
      </c>
      <c r="S1405" s="10">
        <v>0.031719188662864994</v>
      </c>
      <c r="T1405" s="10">
        <v>21.14930644989847</v>
      </c>
      <c r="U1405" s="11">
        <v>0.22323285095343684</v>
      </c>
      <c r="V1405" s="11">
        <v>0.22395381702811032</v>
      </c>
      <c r="W1405" s="11">
        <v>0.18888361865087447</v>
      </c>
      <c r="X1405" s="11">
        <v>0.20268430277165095</v>
      </c>
      <c r="Y1405" s="11">
        <v>0.13147034532822055</v>
      </c>
      <c r="Z1405" s="11">
        <v>0.029775065267706978</v>
      </c>
    </row>
    <row r="1406" ht="22.5" customHeight="1">
      <c r="Q1406" s="9" t="s">
        <v>1444</v>
      </c>
      <c r="R1406" s="10">
        <v>0.6086602086212869</v>
      </c>
      <c r="S1406" s="10">
        <v>0.026888079090295395</v>
      </c>
      <c r="T1406" s="10">
        <v>21.1491570934322</v>
      </c>
      <c r="U1406" s="11">
        <v>0.004249327382994781</v>
      </c>
      <c r="V1406" s="11">
        <v>0.18650893891596296</v>
      </c>
      <c r="W1406" s="11">
        <v>0.16179583642162704</v>
      </c>
      <c r="X1406" s="11">
        <v>0.1798861223769433</v>
      </c>
      <c r="Y1406" s="11">
        <v>0.21471994946044035</v>
      </c>
      <c r="Z1406" s="11">
        <v>0.25283982544203154</v>
      </c>
    </row>
    <row r="1407" ht="22.5" customHeight="1">
      <c r="Q1407" s="9" t="s">
        <v>1445</v>
      </c>
      <c r="R1407" s="10">
        <v>0.7164296695232415</v>
      </c>
      <c r="S1407" s="10">
        <v>0.031984167747790386</v>
      </c>
      <c r="T1407" s="10">
        <v>21.148890752987384</v>
      </c>
      <c r="U1407" s="11">
        <v>0.08608301671046778</v>
      </c>
      <c r="V1407" s="11">
        <v>0.23299158389228766</v>
      </c>
      <c r="W1407" s="11">
        <v>0.18170535970096016</v>
      </c>
      <c r="X1407" s="11">
        <v>0.22705050340161545</v>
      </c>
      <c r="Y1407" s="11">
        <v>0.21349216237166235</v>
      </c>
      <c r="Z1407" s="11">
        <v>0.05867737392300661</v>
      </c>
    </row>
    <row r="1408" ht="22.5" customHeight="1">
      <c r="Q1408" s="9" t="s">
        <v>1446</v>
      </c>
      <c r="R1408" s="10">
        <v>0.28880085239590836</v>
      </c>
      <c r="S1408" s="10">
        <v>0.011764320593387707</v>
      </c>
      <c r="T1408" s="10">
        <v>21.148765066445925</v>
      </c>
      <c r="U1408" s="11">
        <v>0.22330194510414042</v>
      </c>
      <c r="V1408" s="11">
        <v>0.06709871632005207</v>
      </c>
      <c r="W1408" s="11">
        <v>0.036017055622910486</v>
      </c>
      <c r="X1408" s="11">
        <v>0.18795194759292455</v>
      </c>
      <c r="Y1408" s="11">
        <v>0.2500287777268695</v>
      </c>
      <c r="Z1408" s="11">
        <v>0.23560155763310298</v>
      </c>
    </row>
    <row r="1409" ht="22.5" customHeight="1">
      <c r="Q1409" s="9" t="s">
        <v>1447</v>
      </c>
      <c r="R1409" s="10">
        <v>0.6000586370660479</v>
      </c>
      <c r="S1409" s="10">
        <v>0.02648230738029316</v>
      </c>
      <c r="T1409" s="10">
        <v>21.14840784163755</v>
      </c>
      <c r="U1409" s="11">
        <v>0.1447182351938689</v>
      </c>
      <c r="V1409" s="11">
        <v>0.17921967376939454</v>
      </c>
      <c r="W1409" s="11">
        <v>0.1613420855359035</v>
      </c>
      <c r="X1409" s="11">
        <v>0.132058192597077</v>
      </c>
      <c r="Y1409" s="11">
        <v>0.22196075513015998</v>
      </c>
      <c r="Z1409" s="11">
        <v>0.16070105777359597</v>
      </c>
    </row>
    <row r="1410" ht="22.5" customHeight="1">
      <c r="Q1410" s="9" t="s">
        <v>1448</v>
      </c>
      <c r="R1410" s="10">
        <v>0.45631289472823905</v>
      </c>
      <c r="S1410" s="10">
        <v>0.019685646420983045</v>
      </c>
      <c r="T1410" s="10">
        <v>21.14804288491582</v>
      </c>
      <c r="U1410" s="11">
        <v>0.0467438040716524</v>
      </c>
      <c r="V1410" s="11">
        <v>0.11287315151079597</v>
      </c>
      <c r="W1410" s="11">
        <v>0.1257347266459065</v>
      </c>
      <c r="X1410" s="11">
        <v>0.12714226683561428</v>
      </c>
      <c r="Y1410" s="11">
        <v>0.2953567144807264</v>
      </c>
      <c r="Z1410" s="11">
        <v>0.2921493364553045</v>
      </c>
    </row>
    <row r="1411" ht="22.5" customHeight="1">
      <c r="Q1411" s="9" t="s">
        <v>1449</v>
      </c>
      <c r="R1411" s="10">
        <v>0.6697159907388891</v>
      </c>
      <c r="S1411" s="10">
        <v>0.029776892782014952</v>
      </c>
      <c r="T1411" s="10">
        <v>21.147807306450503</v>
      </c>
      <c r="U1411" s="11">
        <v>0.06524198120663026</v>
      </c>
      <c r="V1411" s="11">
        <v>0.2129449369265935</v>
      </c>
      <c r="W1411" s="11">
        <v>0.175399544444591</v>
      </c>
      <c r="X1411" s="11">
        <v>0.20514202743826077</v>
      </c>
      <c r="Y1411" s="11">
        <v>0.1726371253206598</v>
      </c>
      <c r="Z1411" s="11">
        <v>0.1686343846632647</v>
      </c>
    </row>
    <row r="1412" ht="22.5" customHeight="1">
      <c r="Q1412" s="9" t="s">
        <v>1450</v>
      </c>
      <c r="R1412" s="10">
        <v>0.6510390035003072</v>
      </c>
      <c r="S1412" s="10">
        <v>0.02889483657899223</v>
      </c>
      <c r="T1412" s="10">
        <v>21.146996344134315</v>
      </c>
      <c r="U1412" s="11">
        <v>0.037104039747844805</v>
      </c>
      <c r="V1412" s="11">
        <v>0.19937088108147136</v>
      </c>
      <c r="W1412" s="11">
        <v>0.1774140740890554</v>
      </c>
      <c r="X1412" s="11">
        <v>0.20179109698890652</v>
      </c>
      <c r="Y1412" s="11">
        <v>0.17887671491653498</v>
      </c>
      <c r="Z1412" s="11">
        <v>0.20544319317618692</v>
      </c>
    </row>
    <row r="1413" ht="22.5" customHeight="1">
      <c r="Q1413" s="9" t="s">
        <v>1451</v>
      </c>
      <c r="R1413" s="10">
        <v>0.48623380869863575</v>
      </c>
      <c r="S1413" s="10">
        <v>0.021101829171401264</v>
      </c>
      <c r="T1413" s="10">
        <v>21.1466885204153</v>
      </c>
      <c r="U1413" s="11">
        <v>0.2778465194921849</v>
      </c>
      <c r="V1413" s="11">
        <v>0.08667628688527808</v>
      </c>
      <c r="W1413" s="11">
        <v>0.15560011202524904</v>
      </c>
      <c r="X1413" s="11">
        <v>0.23080894553204043</v>
      </c>
      <c r="Y1413" s="11">
        <v>0.20314187995515096</v>
      </c>
      <c r="Z1413" s="11">
        <v>0.045926256110096535</v>
      </c>
    </row>
    <row r="1414" ht="22.5" customHeight="1">
      <c r="Q1414" s="9" t="s">
        <v>1452</v>
      </c>
      <c r="R1414" s="10">
        <v>0.4902396465764681</v>
      </c>
      <c r="S1414" s="10">
        <v>0.021291324560749357</v>
      </c>
      <c r="T1414" s="10">
        <v>21.14662454615373</v>
      </c>
      <c r="U1414" s="11">
        <v>0.2854335133115657</v>
      </c>
      <c r="V1414" s="11">
        <v>0.14471494244706984</v>
      </c>
      <c r="W1414" s="11">
        <v>0.12483399798319726</v>
      </c>
      <c r="X1414" s="11">
        <v>0.13037035307563957</v>
      </c>
      <c r="Y1414" s="11">
        <v>0.009325840427850726</v>
      </c>
      <c r="Z1414" s="11">
        <v>0.3053213527546769</v>
      </c>
    </row>
    <row r="1415" ht="22.5" customHeight="1">
      <c r="Q1415" s="9" t="s">
        <v>1453</v>
      </c>
      <c r="R1415" s="10">
        <v>0.5927796959395868</v>
      </c>
      <c r="S1415" s="10">
        <v>0.026140714812653155</v>
      </c>
      <c r="T1415" s="10">
        <v>21.146311411194432</v>
      </c>
      <c r="U1415" s="11">
        <v>0.09242767311022171</v>
      </c>
      <c r="V1415" s="11">
        <v>0.16232315832691838</v>
      </c>
      <c r="W1415" s="11">
        <v>0.17361431830793625</v>
      </c>
      <c r="X1415" s="11">
        <v>0.16683058260673625</v>
      </c>
      <c r="Y1415" s="11">
        <v>0.19869562224585566</v>
      </c>
      <c r="Z1415" s="11">
        <v>0.20610864540233176</v>
      </c>
    </row>
    <row r="1416" ht="22.5" customHeight="1">
      <c r="Q1416" s="9" t="s">
        <v>1454</v>
      </c>
      <c r="R1416" s="10">
        <v>0.6515372575211363</v>
      </c>
      <c r="S1416" s="10">
        <v>0.028920501122327486</v>
      </c>
      <c r="T1416" s="10">
        <v>21.145458542867758</v>
      </c>
      <c r="U1416" s="11">
        <v>0.06874276340992505</v>
      </c>
      <c r="V1416" s="11">
        <v>0.22553755967305356</v>
      </c>
      <c r="W1416" s="11">
        <v>0.14530361338765457</v>
      </c>
      <c r="X1416" s="11">
        <v>0.2268666103855966</v>
      </c>
      <c r="Y1416" s="11">
        <v>0.17804770995532548</v>
      </c>
      <c r="Z1416" s="11">
        <v>0.1555017431884447</v>
      </c>
    </row>
    <row r="1417" ht="22.5" customHeight="1">
      <c r="Q1417" s="9" t="s">
        <v>1455</v>
      </c>
      <c r="R1417" s="10">
        <v>0.6068698939980212</v>
      </c>
      <c r="S1417" s="10">
        <v>0.026808135544122196</v>
      </c>
      <c r="T1417" s="10">
        <v>21.145442698356913</v>
      </c>
      <c r="U1417" s="11">
        <v>0.025667241428896773</v>
      </c>
      <c r="V1417" s="11">
        <v>0.1559843242180586</v>
      </c>
      <c r="W1417" s="11">
        <v>0.18691116373433297</v>
      </c>
      <c r="X1417" s="11">
        <v>0.2362083412207823</v>
      </c>
      <c r="Y1417" s="11">
        <v>0.17256575485286377</v>
      </c>
      <c r="Z1417" s="11">
        <v>0.22266317454506562</v>
      </c>
    </row>
    <row r="1418" ht="22.5" customHeight="1">
      <c r="Q1418" s="9" t="s">
        <v>1456</v>
      </c>
      <c r="R1418" s="10">
        <v>0.45652245494313565</v>
      </c>
      <c r="S1418" s="10">
        <v>0.019698161753357334</v>
      </c>
      <c r="T1418" s="10">
        <v>21.14524492988002</v>
      </c>
      <c r="U1418" s="11">
        <v>0.14258358429101153</v>
      </c>
      <c r="V1418" s="11">
        <v>0.15927639301252455</v>
      </c>
      <c r="W1418" s="11">
        <v>0.03872861125296948</v>
      </c>
      <c r="X1418" s="11">
        <v>0.44667856786948246</v>
      </c>
      <c r="Y1418" s="11">
        <v>0.16597134334857275</v>
      </c>
      <c r="Z1418" s="11">
        <v>0.04676150022543911</v>
      </c>
    </row>
    <row r="1419" ht="22.5" customHeight="1">
      <c r="Q1419" s="9" t="s">
        <v>1457</v>
      </c>
      <c r="R1419" s="10">
        <v>0.7348785402667727</v>
      </c>
      <c r="S1419" s="10">
        <v>0.03286339119437917</v>
      </c>
      <c r="T1419" s="10">
        <v>21.14445633917482</v>
      </c>
      <c r="U1419" s="11">
        <v>0.1035563602757681</v>
      </c>
      <c r="V1419" s="11">
        <v>0.22081967556732962</v>
      </c>
      <c r="W1419" s="11">
        <v>0.2057699441684148</v>
      </c>
      <c r="X1419" s="11">
        <v>0.23390956316751604</v>
      </c>
      <c r="Y1419" s="11">
        <v>0.21938467210839782</v>
      </c>
      <c r="Z1419" s="11">
        <v>0.016559784712573567</v>
      </c>
    </row>
    <row r="1420" ht="22.5" customHeight="1">
      <c r="Q1420" s="9" t="s">
        <v>1458</v>
      </c>
      <c r="R1420" s="10">
        <v>0.687953136678559</v>
      </c>
      <c r="S1420" s="10">
        <v>0.030645104978731123</v>
      </c>
      <c r="T1420" s="10">
        <v>21.143772786168075</v>
      </c>
      <c r="U1420" s="11">
        <v>0.11330942599409603</v>
      </c>
      <c r="V1420" s="11">
        <v>0.22623921306814931</v>
      </c>
      <c r="W1420" s="11">
        <v>0.17476071938161508</v>
      </c>
      <c r="X1420" s="11">
        <v>0.2429786352000857</v>
      </c>
      <c r="Y1420" s="11">
        <v>0.06943572755766217</v>
      </c>
      <c r="Z1420" s="11">
        <v>0.1732762787983917</v>
      </c>
    </row>
    <row r="1421" ht="22.5" customHeight="1">
      <c r="Q1421" s="9" t="s">
        <v>1459</v>
      </c>
      <c r="R1421" s="10">
        <v>0.623866728424313</v>
      </c>
      <c r="S1421" s="10">
        <v>0.02761553889714197</v>
      </c>
      <c r="T1421" s="10">
        <v>21.142688201704416</v>
      </c>
      <c r="U1421" s="11">
        <v>0.2988107194803682</v>
      </c>
      <c r="V1421" s="11">
        <v>0.189143387301564</v>
      </c>
      <c r="W1421" s="11">
        <v>0.1616770057365027</v>
      </c>
      <c r="X1421" s="11">
        <v>0.12089965392078028</v>
      </c>
      <c r="Y1421" s="11">
        <v>0.22057011861907855</v>
      </c>
      <c r="Z1421" s="11">
        <v>0.00889911494170625</v>
      </c>
    </row>
    <row r="1422" ht="22.5" customHeight="1">
      <c r="Q1422" s="9" t="s">
        <v>1460</v>
      </c>
      <c r="R1422" s="10">
        <v>0.3832052803676276</v>
      </c>
      <c r="S1422" s="10">
        <v>0.01623289369400385</v>
      </c>
      <c r="T1422" s="10">
        <v>21.142581651625164</v>
      </c>
      <c r="U1422" s="11">
        <v>0.3340792438274226</v>
      </c>
      <c r="V1422" s="11">
        <v>0.12465338695896004</v>
      </c>
      <c r="W1422" s="11">
        <v>0.029558360625418688</v>
      </c>
      <c r="X1422" s="11">
        <v>0.3392799979112472</v>
      </c>
      <c r="Y1422" s="11">
        <v>0.10410678697805377</v>
      </c>
      <c r="Z1422" s="11">
        <v>0.06832222369889765</v>
      </c>
    </row>
    <row r="1423" ht="22.5" customHeight="1">
      <c r="Q1423" s="9" t="s">
        <v>1461</v>
      </c>
      <c r="R1423" s="10">
        <v>0.40391772058781905</v>
      </c>
      <c r="S1423" s="10">
        <v>0.01721338930889209</v>
      </c>
      <c r="T1423" s="10">
        <v>21.141549410018076</v>
      </c>
      <c r="U1423" s="11">
        <v>0.42612309849444197</v>
      </c>
      <c r="V1423" s="11">
        <v>0.057562432632924834</v>
      </c>
      <c r="W1423" s="11">
        <v>0.121551304640612</v>
      </c>
      <c r="X1423" s="11">
        <v>0.28016203547969365</v>
      </c>
      <c r="Y1423" s="11">
        <v>0.05745194270542803</v>
      </c>
      <c r="Z1423" s="11">
        <v>0.05714918604689954</v>
      </c>
    </row>
    <row r="1424" ht="22.5" customHeight="1">
      <c r="Q1424" s="9" t="s">
        <v>1462</v>
      </c>
      <c r="R1424" s="10">
        <v>0.6630370621282765</v>
      </c>
      <c r="S1424" s="10">
        <v>0.029469906158891515</v>
      </c>
      <c r="T1424" s="10">
        <v>21.141467460706412</v>
      </c>
      <c r="U1424" s="11">
        <v>0.25566332327260205</v>
      </c>
      <c r="V1424" s="11">
        <v>0.16247115004175874</v>
      </c>
      <c r="W1424" s="11">
        <v>0.21105519595093084</v>
      </c>
      <c r="X1424" s="11">
        <v>0.26159037969450183</v>
      </c>
      <c r="Y1424" s="11">
        <v>0.09767080376480679</v>
      </c>
      <c r="Z1424" s="11">
        <v>0.011549147275399739</v>
      </c>
    </row>
    <row r="1425" ht="22.5" customHeight="1">
      <c r="Q1425" s="9" t="s">
        <v>1463</v>
      </c>
      <c r="R1425" s="10">
        <v>0.4112898801816398</v>
      </c>
      <c r="S1425" s="10">
        <v>0.017562207613560858</v>
      </c>
      <c r="T1425" s="10">
        <v>21.141412762649733</v>
      </c>
      <c r="U1425" s="11">
        <v>0.04369639025445182</v>
      </c>
      <c r="V1425" s="11">
        <v>0.14245971550821307</v>
      </c>
      <c r="W1425" s="11">
        <v>0.043043404823790085</v>
      </c>
      <c r="X1425" s="11">
        <v>0.3006802349606594</v>
      </c>
      <c r="Y1425" s="11">
        <v>0.23315442080327</v>
      </c>
      <c r="Z1425" s="11">
        <v>0.23696583364961574</v>
      </c>
    </row>
    <row r="1426" ht="22.5" customHeight="1">
      <c r="Q1426" s="9" t="s">
        <v>1464</v>
      </c>
      <c r="R1426" s="10">
        <v>0.6216358108417219</v>
      </c>
      <c r="S1426" s="10">
        <v>0.027512686297655978</v>
      </c>
      <c r="T1426" s="10">
        <v>21.140640523033042</v>
      </c>
      <c r="U1426" s="11">
        <v>0.14604535224766618</v>
      </c>
      <c r="V1426" s="11">
        <v>0.1762087170580321</v>
      </c>
      <c r="W1426" s="11">
        <v>0.17950031070119263</v>
      </c>
      <c r="X1426" s="11">
        <v>0.16365227275035157</v>
      </c>
      <c r="Y1426" s="11">
        <v>0.17547478707404723</v>
      </c>
      <c r="Z1426" s="11">
        <v>0.15911856016871023</v>
      </c>
    </row>
    <row r="1427" ht="22.5" customHeight="1">
      <c r="Q1427" s="9" t="s">
        <v>1465</v>
      </c>
      <c r="R1427" s="10">
        <v>0.3062404518773767</v>
      </c>
      <c r="S1427" s="10">
        <v>0.012593862011287555</v>
      </c>
      <c r="T1427" s="10">
        <v>21.14049301467272</v>
      </c>
      <c r="U1427" s="11">
        <v>0.4288281221064986</v>
      </c>
      <c r="V1427" s="11">
        <v>0.06740630991841447</v>
      </c>
      <c r="W1427" s="11">
        <v>0.02638950579851861</v>
      </c>
      <c r="X1427" s="11">
        <v>0.37833529979035935</v>
      </c>
      <c r="Y1427" s="11">
        <v>0.052346275053641894</v>
      </c>
      <c r="Z1427" s="11">
        <v>0.04669448733256724</v>
      </c>
    </row>
    <row r="1428" ht="22.5" customHeight="1">
      <c r="Q1428" s="9" t="s">
        <v>1466</v>
      </c>
      <c r="R1428" s="10">
        <v>0.5422388619144767</v>
      </c>
      <c r="S1428" s="10">
        <v>0.023758695927127853</v>
      </c>
      <c r="T1428" s="10">
        <v>21.139159466282685</v>
      </c>
      <c r="U1428" s="11">
        <v>0.19428556927670967</v>
      </c>
      <c r="V1428" s="11">
        <v>0.16963761067810273</v>
      </c>
      <c r="W1428" s="11">
        <v>0.13601844100954796</v>
      </c>
      <c r="X1428" s="11">
        <v>0.11776337936635721</v>
      </c>
      <c r="Y1428" s="11">
        <v>0.11295575101246423</v>
      </c>
      <c r="Z1428" s="11">
        <v>0.26933924865681813</v>
      </c>
    </row>
    <row r="1429" ht="22.5" customHeight="1">
      <c r="Q1429" s="9" t="s">
        <v>1467</v>
      </c>
      <c r="R1429" s="10">
        <v>0.70618438090218</v>
      </c>
      <c r="S1429" s="10">
        <v>0.031514434423392856</v>
      </c>
      <c r="T1429" s="10">
        <v>21.139023850216326</v>
      </c>
      <c r="U1429" s="11">
        <v>0.145259397131835</v>
      </c>
      <c r="V1429" s="11">
        <v>0.2189030389237326</v>
      </c>
      <c r="W1429" s="11">
        <v>0.19400657329359422</v>
      </c>
      <c r="X1429" s="11">
        <v>0.2270126359890664</v>
      </c>
      <c r="Y1429" s="11">
        <v>0.10055583889039613</v>
      </c>
      <c r="Z1429" s="11">
        <v>0.1142625157713758</v>
      </c>
    </row>
    <row r="1430" ht="22.5" customHeight="1">
      <c r="Q1430" s="9" t="s">
        <v>1468</v>
      </c>
      <c r="R1430" s="10">
        <v>0.5187771439375748</v>
      </c>
      <c r="S1430" s="10">
        <v>0.022649155168130927</v>
      </c>
      <c r="T1430" s="10">
        <v>21.13885221693613</v>
      </c>
      <c r="U1430" s="11">
        <v>0.09708404293337776</v>
      </c>
      <c r="V1430" s="11">
        <v>0.14666514926932736</v>
      </c>
      <c r="W1430" s="11">
        <v>0.13750778768568775</v>
      </c>
      <c r="X1430" s="11">
        <v>0.10600901112070751</v>
      </c>
      <c r="Y1430" s="11">
        <v>0.2795919072675373</v>
      </c>
      <c r="Z1430" s="11">
        <v>0.23314210172336236</v>
      </c>
    </row>
    <row r="1431" ht="22.5" customHeight="1">
      <c r="Q1431" s="9" t="s">
        <v>1469</v>
      </c>
      <c r="R1431" s="10">
        <v>0.5710308596621846</v>
      </c>
      <c r="S1431" s="10">
        <v>0.025122046606286724</v>
      </c>
      <c r="T1431" s="10">
        <v>21.13804133813268</v>
      </c>
      <c r="U1431" s="11">
        <v>0.13166083521718</v>
      </c>
      <c r="V1431" s="11">
        <v>0.15418663623198256</v>
      </c>
      <c r="W1431" s="11">
        <v>0.1697059754665102</v>
      </c>
      <c r="X1431" s="11">
        <v>0.17249723282273063</v>
      </c>
      <c r="Y1431" s="11">
        <v>0.11050402884803642</v>
      </c>
      <c r="Z1431" s="11">
        <v>0.26144529141356027</v>
      </c>
    </row>
    <row r="1432" ht="22.5" customHeight="1">
      <c r="Q1432" s="9" t="s">
        <v>1470</v>
      </c>
      <c r="R1432" s="10">
        <v>0.7403804184458421</v>
      </c>
      <c r="S1432" s="10">
        <v>0.033134814935272455</v>
      </c>
      <c r="T1432" s="10">
        <v>21.13729682251153</v>
      </c>
      <c r="U1432" s="11">
        <v>0.09601312606294213</v>
      </c>
      <c r="V1432" s="11">
        <v>0.20057192835383328</v>
      </c>
      <c r="W1432" s="11">
        <v>0.22632062669415853</v>
      </c>
      <c r="X1432" s="11">
        <v>0.29058291401872355</v>
      </c>
      <c r="Y1432" s="11">
        <v>0.1864432011233728</v>
      </c>
      <c r="Z1432" s="11">
        <v>6.820374696964542E-5</v>
      </c>
    </row>
    <row r="1433" ht="22.5" customHeight="1">
      <c r="Q1433" s="9" t="s">
        <v>1471</v>
      </c>
      <c r="R1433" s="10">
        <v>0.3829877288102392</v>
      </c>
      <c r="S1433" s="10">
        <v>0.01622734179596606</v>
      </c>
      <c r="T1433" s="10">
        <v>21.136408730572384</v>
      </c>
      <c r="U1433" s="11">
        <v>0.20720996080108586</v>
      </c>
      <c r="V1433" s="11">
        <v>0.13150904297866134</v>
      </c>
      <c r="W1433" s="11">
        <v>0.04037384646090422</v>
      </c>
      <c r="X1433" s="11">
        <v>0.24800021664324484</v>
      </c>
      <c r="Y1433" s="11">
        <v>0.1167538020878717</v>
      </c>
      <c r="Z1433" s="11">
        <v>0.256153131028232</v>
      </c>
    </row>
    <row r="1434" ht="22.5" customHeight="1">
      <c r="Q1434" s="9" t="s">
        <v>1472</v>
      </c>
      <c r="R1434" s="10">
        <v>0.4265218297996955</v>
      </c>
      <c r="S1434" s="10">
        <v>0.01828758032728006</v>
      </c>
      <c r="T1434" s="10">
        <v>21.135755681308524</v>
      </c>
      <c r="U1434" s="11">
        <v>0.1567681582123522</v>
      </c>
      <c r="V1434" s="11">
        <v>0.060102737825431976</v>
      </c>
      <c r="W1434" s="11">
        <v>0.1321420880472504</v>
      </c>
      <c r="X1434" s="11">
        <v>0.29500230403497335</v>
      </c>
      <c r="Y1434" s="11">
        <v>0.27658347262528127</v>
      </c>
      <c r="Z1434" s="11">
        <v>0.07940123925471088</v>
      </c>
    </row>
    <row r="1435" ht="22.5" customHeight="1">
      <c r="Q1435" s="9" t="s">
        <v>1473</v>
      </c>
      <c r="R1435" s="10">
        <v>0.5524545435775428</v>
      </c>
      <c r="S1435" s="10">
        <v>0.02424693057465838</v>
      </c>
      <c r="T1435" s="10">
        <v>21.134821250865183</v>
      </c>
      <c r="U1435" s="11">
        <v>0.17330550087392088</v>
      </c>
      <c r="V1435" s="11">
        <v>0.16219079156952862</v>
      </c>
      <c r="W1435" s="11">
        <v>0.14999015986326134</v>
      </c>
      <c r="X1435" s="11">
        <v>0.11688689660239335</v>
      </c>
      <c r="Y1435" s="11">
        <v>0.14881409821164449</v>
      </c>
      <c r="Z1435" s="11">
        <v>0.24881255287925136</v>
      </c>
    </row>
    <row r="1436" ht="22.5" customHeight="1">
      <c r="Q1436" s="9" t="s">
        <v>1474</v>
      </c>
      <c r="R1436" s="10">
        <v>0.5116101538277167</v>
      </c>
      <c r="S1436" s="10">
        <v>0.02231441969421172</v>
      </c>
      <c r="T1436" s="10">
        <v>21.134771161001808</v>
      </c>
      <c r="U1436" s="11">
        <v>0.1436412213294659</v>
      </c>
      <c r="V1436" s="11">
        <v>0.13489358375962962</v>
      </c>
      <c r="W1436" s="11">
        <v>0.150263363893514</v>
      </c>
      <c r="X1436" s="11">
        <v>0.18438409924442548</v>
      </c>
      <c r="Y1436" s="11">
        <v>0.02439104662939745</v>
      </c>
      <c r="Z1436" s="11">
        <v>0.36242668514356763</v>
      </c>
    </row>
    <row r="1437" ht="22.5" customHeight="1">
      <c r="Q1437" s="9" t="s">
        <v>1475</v>
      </c>
      <c r="R1437" s="10">
        <v>0.4168312077375215</v>
      </c>
      <c r="S1437" s="10">
        <v>0.017830040287960647</v>
      </c>
      <c r="T1437" s="10">
        <v>21.13462458029154</v>
      </c>
      <c r="U1437" s="11">
        <v>0.31231117561278093</v>
      </c>
      <c r="V1437" s="11">
        <v>0.11840452643925567</v>
      </c>
      <c r="W1437" s="11">
        <v>0.08673799534663475</v>
      </c>
      <c r="X1437" s="11">
        <v>0.07429538412797806</v>
      </c>
      <c r="Y1437" s="11">
        <v>0.25092570006718623</v>
      </c>
      <c r="Z1437" s="11">
        <v>0.15732521840616434</v>
      </c>
    </row>
    <row r="1438" ht="22.5" customHeight="1">
      <c r="Q1438" s="9" t="s">
        <v>1476</v>
      </c>
      <c r="R1438" s="10">
        <v>0.4992831458656799</v>
      </c>
      <c r="S1438" s="10">
        <v>0.0217328061888871</v>
      </c>
      <c r="T1438" s="10">
        <v>21.13317267332604</v>
      </c>
      <c r="U1438" s="11">
        <v>0.3246249662465059</v>
      </c>
      <c r="V1438" s="11">
        <v>0.09237151698925403</v>
      </c>
      <c r="W1438" s="11">
        <v>0.16060441061884506</v>
      </c>
      <c r="X1438" s="11">
        <v>0.22750208427288046</v>
      </c>
      <c r="Y1438" s="11">
        <v>0.15570911797063147</v>
      </c>
      <c r="Z1438" s="11">
        <v>0.03918790390188306</v>
      </c>
    </row>
    <row r="1439" ht="22.5" customHeight="1">
      <c r="Q1439" s="9" t="s">
        <v>1477</v>
      </c>
      <c r="R1439" s="10">
        <v>0.6652140389943786</v>
      </c>
      <c r="S1439" s="10">
        <v>0.02958474447013406</v>
      </c>
      <c r="T1439" s="10">
        <v>21.132987632377056</v>
      </c>
      <c r="U1439" s="11">
        <v>0.10606842100076525</v>
      </c>
      <c r="V1439" s="11">
        <v>0.21366908103060706</v>
      </c>
      <c r="W1439" s="11">
        <v>0.1679204176199746</v>
      </c>
      <c r="X1439" s="11">
        <v>0.17586183008011935</v>
      </c>
      <c r="Y1439" s="11">
        <v>0.24228056100107953</v>
      </c>
      <c r="Z1439" s="11">
        <v>0.09419968926745421</v>
      </c>
    </row>
    <row r="1440" ht="22.5" customHeight="1">
      <c r="Q1440" s="9" t="s">
        <v>1478</v>
      </c>
      <c r="R1440" s="10">
        <v>0.5788278480881578</v>
      </c>
      <c r="S1440" s="10">
        <v>0.02549757574784964</v>
      </c>
      <c r="T1440" s="10">
        <v>21.132512887371274</v>
      </c>
      <c r="U1440" s="11">
        <v>0.22962729245601587</v>
      </c>
      <c r="V1440" s="11">
        <v>0.1937307868077899</v>
      </c>
      <c r="W1440" s="11">
        <v>0.13327068275460155</v>
      </c>
      <c r="X1440" s="11">
        <v>0.1505185055044983</v>
      </c>
      <c r="Y1440" s="11">
        <v>0.08704899811936918</v>
      </c>
      <c r="Z1440" s="11">
        <v>0.20580373435772528</v>
      </c>
    </row>
    <row r="1441" ht="22.5" customHeight="1">
      <c r="Q1441" s="9" t="s">
        <v>1479</v>
      </c>
      <c r="R1441" s="10">
        <v>0.600117333698424</v>
      </c>
      <c r="S1441" s="10">
        <v>0.026505761176037586</v>
      </c>
      <c r="T1441" s="10">
        <v>21.131909020775286</v>
      </c>
      <c r="U1441" s="11">
        <v>0.20503696575190594</v>
      </c>
      <c r="V1441" s="11">
        <v>0.1937358287956039</v>
      </c>
      <c r="W1441" s="11">
        <v>0.14665088867231701</v>
      </c>
      <c r="X1441" s="11">
        <v>0.12835592293102593</v>
      </c>
      <c r="Y1441" s="11">
        <v>0.17707950433583175</v>
      </c>
      <c r="Z1441" s="11">
        <v>0.1491408895133155</v>
      </c>
    </row>
    <row r="1442" ht="22.5" customHeight="1">
      <c r="Q1442" s="9" t="s">
        <v>1480</v>
      </c>
      <c r="R1442" s="10">
        <v>0.6713258158055898</v>
      </c>
      <c r="S1442" s="10">
        <v>0.029876679973121642</v>
      </c>
      <c r="T1442" s="10">
        <v>21.131056609153287</v>
      </c>
      <c r="U1442" s="11">
        <v>0.09145857980894302</v>
      </c>
      <c r="V1442" s="11">
        <v>0.20287461052336267</v>
      </c>
      <c r="W1442" s="11">
        <v>0.188423595129403</v>
      </c>
      <c r="X1442" s="11">
        <v>0.21450266489557246</v>
      </c>
      <c r="Y1442" s="11">
        <v>0.11876662580886384</v>
      </c>
      <c r="Z1442" s="11">
        <v>0.18397392383385502</v>
      </c>
    </row>
    <row r="1443" ht="22.5" customHeight="1">
      <c r="Q1443" s="9" t="s">
        <v>1481</v>
      </c>
      <c r="R1443" s="10">
        <v>0.5218831906187036</v>
      </c>
      <c r="S1443" s="10">
        <v>0.02280477425807488</v>
      </c>
      <c r="T1443" s="10">
        <v>21.130802925973928</v>
      </c>
      <c r="U1443" s="11">
        <v>0.27310558178827926</v>
      </c>
      <c r="V1443" s="11">
        <v>0.17893914561711094</v>
      </c>
      <c r="W1443" s="11">
        <v>0.09934456306188079</v>
      </c>
      <c r="X1443" s="11">
        <v>0.1347599617676102</v>
      </c>
      <c r="Y1443" s="11">
        <v>0.18621779072650063</v>
      </c>
      <c r="Z1443" s="11">
        <v>0.12763295703861827</v>
      </c>
    </row>
    <row r="1444" ht="22.5" customHeight="1">
      <c r="Q1444" s="9" t="s">
        <v>1482</v>
      </c>
      <c r="R1444" s="10">
        <v>0.5410929238406953</v>
      </c>
      <c r="S1444" s="10">
        <v>0.02371431820389684</v>
      </c>
      <c r="T1444" s="10">
        <v>21.13039554973811</v>
      </c>
      <c r="U1444" s="11">
        <v>0.14350399678000564</v>
      </c>
      <c r="V1444" s="11">
        <v>0.1244470736703348</v>
      </c>
      <c r="W1444" s="11">
        <v>0.16248674120110426</v>
      </c>
      <c r="X1444" s="11">
        <v>0.17092418605474918</v>
      </c>
      <c r="Y1444" s="11">
        <v>0.32842634067699183</v>
      </c>
      <c r="Z1444" s="11">
        <v>0.07021166161681434</v>
      </c>
    </row>
    <row r="1445" ht="22.5" customHeight="1">
      <c r="Q1445" s="9" t="s">
        <v>1483</v>
      </c>
      <c r="R1445" s="10">
        <v>0.3490271641309941</v>
      </c>
      <c r="S1445" s="10">
        <v>0.014624776398104444</v>
      </c>
      <c r="T1445" s="10">
        <v>21.130385567539204</v>
      </c>
      <c r="U1445" s="11">
        <v>0.15140048379735066</v>
      </c>
      <c r="V1445" s="11">
        <v>0.08243722031914859</v>
      </c>
      <c r="W1445" s="11">
        <v>0.08302330663979189</v>
      </c>
      <c r="X1445" s="11">
        <v>0.0988933718086683</v>
      </c>
      <c r="Y1445" s="11">
        <v>0.2098576589500793</v>
      </c>
      <c r="Z1445" s="11">
        <v>0.3743879584849613</v>
      </c>
    </row>
    <row r="1446" ht="22.5" customHeight="1">
      <c r="Q1446" s="9" t="s">
        <v>1484</v>
      </c>
      <c r="R1446" s="10">
        <v>0.5862770644957815</v>
      </c>
      <c r="S1446" s="10">
        <v>0.025852716980686544</v>
      </c>
      <c r="T1446" s="10">
        <v>21.130354109546076</v>
      </c>
      <c r="U1446" s="11">
        <v>0.24805135898318997</v>
      </c>
      <c r="V1446" s="11">
        <v>0.17399225247394975</v>
      </c>
      <c r="W1446" s="11">
        <v>0.1614132579999702</v>
      </c>
      <c r="X1446" s="11">
        <v>0.16266744007922415</v>
      </c>
      <c r="Y1446" s="11">
        <v>0.024723041872220318</v>
      </c>
      <c r="Z1446" s="11">
        <v>0.2291526485914458</v>
      </c>
    </row>
    <row r="1447" ht="22.5" customHeight="1">
      <c r="Q1447" s="9" t="s">
        <v>1485</v>
      </c>
      <c r="R1447" s="10">
        <v>0.5078870063645178</v>
      </c>
      <c r="S1447" s="10">
        <v>0.022143045175371738</v>
      </c>
      <c r="T1447" s="10">
        <v>21.130201499336593</v>
      </c>
      <c r="U1447" s="11">
        <v>0.28016843510220185</v>
      </c>
      <c r="V1447" s="11">
        <v>0.0834674106265248</v>
      </c>
      <c r="W1447" s="11">
        <v>0.1689773200968353</v>
      </c>
      <c r="X1447" s="11">
        <v>0.3724176277838986</v>
      </c>
      <c r="Y1447" s="11">
        <v>0.023948160755101987</v>
      </c>
      <c r="Z1447" s="11">
        <v>0.07102104563543735</v>
      </c>
    </row>
    <row r="1448" ht="22.5" customHeight="1">
      <c r="Q1448" s="9" t="s">
        <v>1486</v>
      </c>
      <c r="R1448" s="10">
        <v>0.6240900780527293</v>
      </c>
      <c r="S1448" s="10">
        <v>0.027643292316372515</v>
      </c>
      <c r="T1448" s="10">
        <v>21.129540988386015</v>
      </c>
      <c r="U1448" s="11">
        <v>0.13150496470287168</v>
      </c>
      <c r="V1448" s="11">
        <v>0.21419089664792065</v>
      </c>
      <c r="W1448" s="11">
        <v>0.13872250296065458</v>
      </c>
      <c r="X1448" s="11">
        <v>0.1799617509538508</v>
      </c>
      <c r="Y1448" s="11">
        <v>0.1935907448239804</v>
      </c>
      <c r="Z1448" s="11">
        <v>0.14202913991072189</v>
      </c>
    </row>
    <row r="1449" ht="22.5" customHeight="1">
      <c r="Q1449" s="9" t="s">
        <v>1487</v>
      </c>
      <c r="R1449" s="10">
        <v>0.6846789572986066</v>
      </c>
      <c r="S1449" s="10">
        <v>0.030510804346014546</v>
      </c>
      <c r="T1449" s="10">
        <v>21.12953005064966</v>
      </c>
      <c r="U1449" s="11">
        <v>0.17794381355067462</v>
      </c>
      <c r="V1449" s="11">
        <v>0.20532990244431001</v>
      </c>
      <c r="W1449" s="11">
        <v>0.19354652569321712</v>
      </c>
      <c r="X1449" s="11">
        <v>0.205128671863938</v>
      </c>
      <c r="Y1449" s="11">
        <v>0.10082166008173857</v>
      </c>
      <c r="Z1449" s="11">
        <v>0.11722942636612164</v>
      </c>
    </row>
    <row r="1450" ht="22.5" customHeight="1">
      <c r="Q1450" s="9" t="s">
        <v>1488</v>
      </c>
      <c r="R1450" s="10">
        <v>0.4759427919196349</v>
      </c>
      <c r="S1450" s="10">
        <v>0.020632229262217278</v>
      </c>
      <c r="T1450" s="10">
        <v>21.129214220101467</v>
      </c>
      <c r="U1450" s="11">
        <v>0.029530690775177934</v>
      </c>
      <c r="V1450" s="11">
        <v>0.1055032285352917</v>
      </c>
      <c r="W1450" s="11">
        <v>0.14748283316426267</v>
      </c>
      <c r="X1450" s="11">
        <v>0.2948253692920708</v>
      </c>
      <c r="Y1450" s="11">
        <v>0.008029860009075282</v>
      </c>
      <c r="Z1450" s="11">
        <v>0.41462801822412165</v>
      </c>
    </row>
    <row r="1451" ht="22.5" customHeight="1">
      <c r="Q1451" s="9" t="s">
        <v>1489</v>
      </c>
      <c r="R1451" s="10">
        <v>0.6515167712526325</v>
      </c>
      <c r="S1451" s="10">
        <v>0.028943041949241632</v>
      </c>
      <c r="T1451" s="10">
        <v>21.128282656849603</v>
      </c>
      <c r="U1451" s="11">
        <v>0.18881286575815534</v>
      </c>
      <c r="V1451" s="11">
        <v>0.22850875757891329</v>
      </c>
      <c r="W1451" s="11">
        <v>0.14278502910582178</v>
      </c>
      <c r="X1451" s="11">
        <v>0.27050458555515</v>
      </c>
      <c r="Y1451" s="11">
        <v>8.39577860237982E-4</v>
      </c>
      <c r="Z1451" s="11">
        <v>0.16854918414172154</v>
      </c>
    </row>
    <row r="1452" ht="22.5" customHeight="1">
      <c r="Q1452" s="9" t="s">
        <v>1490</v>
      </c>
      <c r="R1452" s="10">
        <v>0.6937836907833749</v>
      </c>
      <c r="S1452" s="10">
        <v>0.030944499945733967</v>
      </c>
      <c r="T1452" s="10">
        <v>21.127621772201426</v>
      </c>
      <c r="U1452" s="11">
        <v>0.18617636540861118</v>
      </c>
      <c r="V1452" s="11">
        <v>0.20711169772745117</v>
      </c>
      <c r="W1452" s="11">
        <v>0.1964507330750426</v>
      </c>
      <c r="X1452" s="11">
        <v>0.19954528776193065</v>
      </c>
      <c r="Y1452" s="11">
        <v>0.1312707425082172</v>
      </c>
      <c r="Z1452" s="11">
        <v>0.07944517351874718</v>
      </c>
    </row>
    <row r="1453" ht="22.5" customHeight="1">
      <c r="Q1453" s="9" t="s">
        <v>1491</v>
      </c>
      <c r="R1453" s="10">
        <v>0.616209931427603</v>
      </c>
      <c r="S1453" s="10">
        <v>0.027272891755003748</v>
      </c>
      <c r="T1453" s="10">
        <v>21.127570064948685</v>
      </c>
      <c r="U1453" s="11">
        <v>0.10693570259686301</v>
      </c>
      <c r="V1453" s="11">
        <v>0.16716839569149783</v>
      </c>
      <c r="W1453" s="11">
        <v>0.1866133359738106</v>
      </c>
      <c r="X1453" s="11">
        <v>0.23363794827443007</v>
      </c>
      <c r="Y1453" s="11">
        <v>0.054604315549499766</v>
      </c>
      <c r="Z1453" s="11">
        <v>0.2510403019138987</v>
      </c>
    </row>
    <row r="1454" ht="22.5" customHeight="1">
      <c r="Q1454" s="9" t="s">
        <v>1492</v>
      </c>
      <c r="R1454" s="10">
        <v>0.7152640229481789</v>
      </c>
      <c r="S1454" s="10">
        <v>0.03196129323247157</v>
      </c>
      <c r="T1454" s="10">
        <v>21.12755632372641</v>
      </c>
      <c r="U1454" s="11">
        <v>0.17731246034118198</v>
      </c>
      <c r="V1454" s="11">
        <v>0.207510931335633</v>
      </c>
      <c r="W1454" s="11">
        <v>0.20856113739387144</v>
      </c>
      <c r="X1454" s="11">
        <v>0.2241608653829376</v>
      </c>
      <c r="Y1454" s="11">
        <v>0.13782864467908948</v>
      </c>
      <c r="Z1454" s="11">
        <v>0.04462596086728645</v>
      </c>
    </row>
    <row r="1455" ht="22.5" customHeight="1">
      <c r="Q1455" s="9" t="s">
        <v>1493</v>
      </c>
      <c r="R1455" s="10">
        <v>0.6232326282475098</v>
      </c>
      <c r="S1455" s="10">
        <v>0.027605470356313562</v>
      </c>
      <c r="T1455" s="10">
        <v>21.12742948116877</v>
      </c>
      <c r="U1455" s="11">
        <v>0.1836293957875639</v>
      </c>
      <c r="V1455" s="11">
        <v>0.2147224528249207</v>
      </c>
      <c r="W1455" s="11">
        <v>0.13924362807648274</v>
      </c>
      <c r="X1455" s="11">
        <v>0.18468904514269208</v>
      </c>
      <c r="Y1455" s="11">
        <v>0.12290499636325627</v>
      </c>
      <c r="Z1455" s="11">
        <v>0.1548104818050843</v>
      </c>
    </row>
    <row r="1456" ht="22.5" customHeight="1">
      <c r="Q1456" s="9" t="s">
        <v>1494</v>
      </c>
      <c r="R1456" s="10">
        <v>0.4392555523744008</v>
      </c>
      <c r="S1456" s="10">
        <v>0.01889805586001209</v>
      </c>
      <c r="T1456" s="10">
        <v>21.126805600105016</v>
      </c>
      <c r="U1456" s="11">
        <v>0.46689668096970344</v>
      </c>
      <c r="V1456" s="11">
        <v>0.09475251424288778</v>
      </c>
      <c r="W1456" s="11">
        <v>0.12449416586602265</v>
      </c>
      <c r="X1456" s="11">
        <v>0.1652838972236118</v>
      </c>
      <c r="Y1456" s="11">
        <v>0.019000688369061495</v>
      </c>
      <c r="Z1456" s="11">
        <v>0.12957205332871305</v>
      </c>
    </row>
    <row r="1457" ht="22.5" customHeight="1">
      <c r="Q1457" s="9" t="s">
        <v>1495</v>
      </c>
      <c r="R1457" s="10">
        <v>0.5843029063923338</v>
      </c>
      <c r="S1457" s="10">
        <v>0.025763919521668177</v>
      </c>
      <c r="T1457" s="10">
        <v>21.126556692375935</v>
      </c>
      <c r="U1457" s="11">
        <v>0.1524568805340179</v>
      </c>
      <c r="V1457" s="11">
        <v>0.14462540021645448</v>
      </c>
      <c r="W1457" s="11">
        <v>0.18254510586945488</v>
      </c>
      <c r="X1457" s="11">
        <v>0.1972411072751724</v>
      </c>
      <c r="Y1457" s="11">
        <v>0.1450960448640312</v>
      </c>
      <c r="Z1457" s="11">
        <v>0.1780354612408693</v>
      </c>
    </row>
    <row r="1458" ht="22.5" customHeight="1">
      <c r="Q1458" s="9" t="s">
        <v>1496</v>
      </c>
      <c r="R1458" s="10">
        <v>0.7486958268070574</v>
      </c>
      <c r="S1458" s="10">
        <v>0.03354528073244754</v>
      </c>
      <c r="T1458" s="10">
        <v>21.126543326899423</v>
      </c>
      <c r="U1458" s="11">
        <v>0.004438892689891463</v>
      </c>
      <c r="V1458" s="11">
        <v>0.2590547636185307</v>
      </c>
      <c r="W1458" s="11">
        <v>0.1685564033373438</v>
      </c>
      <c r="X1458" s="11">
        <v>0.3140044101246415</v>
      </c>
      <c r="Y1458" s="11">
        <v>0.2458026937393239</v>
      </c>
      <c r="Z1458" s="11">
        <v>0.00814283649026867</v>
      </c>
    </row>
    <row r="1459" ht="22.5" customHeight="1">
      <c r="Q1459" s="9" t="s">
        <v>1497</v>
      </c>
      <c r="R1459" s="10">
        <v>0.5744179224992447</v>
      </c>
      <c r="S1459" s="10">
        <v>0.025296333940774896</v>
      </c>
      <c r="T1459" s="10">
        <v>21.126299318725472</v>
      </c>
      <c r="U1459" s="11">
        <v>0.16770745269963414</v>
      </c>
      <c r="V1459" s="11">
        <v>0.17323310935675384</v>
      </c>
      <c r="W1459" s="11">
        <v>0.15195444254634724</v>
      </c>
      <c r="X1459" s="11">
        <v>0.11408790676846665</v>
      </c>
      <c r="Y1459" s="11">
        <v>0.19385363907704461</v>
      </c>
      <c r="Z1459" s="11">
        <v>0.1991634495517535</v>
      </c>
    </row>
    <row r="1460" ht="22.5" customHeight="1">
      <c r="Q1460" s="9" t="s">
        <v>1498</v>
      </c>
      <c r="R1460" s="10">
        <v>0.6393693193846752</v>
      </c>
      <c r="S1460" s="10">
        <v>0.02837079661554752</v>
      </c>
      <c r="T1460" s="10">
        <v>21.126277400903646</v>
      </c>
      <c r="U1460" s="11">
        <v>0.05425026336076318</v>
      </c>
      <c r="V1460" s="11">
        <v>0.19522830853548412</v>
      </c>
      <c r="W1460" s="11">
        <v>0.17680667126480387</v>
      </c>
      <c r="X1460" s="11">
        <v>0.21808382967485912</v>
      </c>
      <c r="Y1460" s="11">
        <v>0.08671209091298665</v>
      </c>
      <c r="Z1460" s="11">
        <v>0.268918836251103</v>
      </c>
    </row>
    <row r="1461" ht="22.5" customHeight="1">
      <c r="Q1461" s="9" t="s">
        <v>1499</v>
      </c>
      <c r="R1461" s="10">
        <v>0.5959726534476995</v>
      </c>
      <c r="S1461" s="10">
        <v>0.026316725385999645</v>
      </c>
      <c r="T1461" s="10">
        <v>21.126209484386454</v>
      </c>
      <c r="U1461" s="11">
        <v>0.2229128166404583</v>
      </c>
      <c r="V1461" s="11">
        <v>0.19338685776178102</v>
      </c>
      <c r="W1461" s="11">
        <v>0.14268968542175528</v>
      </c>
      <c r="X1461" s="11">
        <v>0.12240629539703825</v>
      </c>
      <c r="Y1461" s="11">
        <v>0.19209115560641524</v>
      </c>
      <c r="Z1461" s="11">
        <v>0.12651318917255192</v>
      </c>
    </row>
    <row r="1462" ht="22.5" customHeight="1">
      <c r="Q1462" s="9" t="s">
        <v>1500</v>
      </c>
      <c r="R1462" s="10">
        <v>0.41862875171810116</v>
      </c>
      <c r="S1462" s="10">
        <v>0.017922926113037804</v>
      </c>
      <c r="T1462" s="10">
        <v>21.12538707854587</v>
      </c>
      <c r="U1462" s="11">
        <v>0.25995723863255926</v>
      </c>
      <c r="V1462" s="11">
        <v>0.09188628908084559</v>
      </c>
      <c r="W1462" s="11">
        <v>0.11971105467257522</v>
      </c>
      <c r="X1462" s="11">
        <v>0.10928917933037423</v>
      </c>
      <c r="Y1462" s="11">
        <v>0.17380377467379884</v>
      </c>
      <c r="Z1462" s="11">
        <v>0.24535246360984683</v>
      </c>
    </row>
    <row r="1463" ht="22.5" customHeight="1">
      <c r="Q1463" s="9" t="s">
        <v>1501</v>
      </c>
      <c r="R1463" s="10">
        <v>0.4872850370836448</v>
      </c>
      <c r="S1463" s="10">
        <v>0.02117298387656207</v>
      </c>
      <c r="T1463" s="10">
        <v>21.125271699600994</v>
      </c>
      <c r="U1463" s="11">
        <v>0.33730003427574795</v>
      </c>
      <c r="V1463" s="11">
        <v>0.07975462403534896</v>
      </c>
      <c r="W1463" s="11">
        <v>0.16001863370743705</v>
      </c>
      <c r="X1463" s="11">
        <v>0.31344919409772604</v>
      </c>
      <c r="Y1463" s="11">
        <v>0.057577274622346616</v>
      </c>
      <c r="Z1463" s="11">
        <v>0.051900239261393276</v>
      </c>
    </row>
    <row r="1464" ht="22.5" customHeight="1">
      <c r="Q1464" s="9" t="s">
        <v>1502</v>
      </c>
      <c r="R1464" s="10">
        <v>0.6183895010389714</v>
      </c>
      <c r="S1464" s="10">
        <v>0.027380788234206564</v>
      </c>
      <c r="T1464" s="10">
        <v>21.123917109018606</v>
      </c>
      <c r="U1464" s="11">
        <v>0.20115570749916087</v>
      </c>
      <c r="V1464" s="11">
        <v>0.19837106434096827</v>
      </c>
      <c r="W1464" s="11">
        <v>0.15451906732852982</v>
      </c>
      <c r="X1464" s="11">
        <v>0.13500844557031552</v>
      </c>
      <c r="Y1464" s="11">
        <v>0.17768017272830344</v>
      </c>
      <c r="Z1464" s="11">
        <v>0.1332655425327221</v>
      </c>
    </row>
    <row r="1465" ht="22.5" customHeight="1">
      <c r="Q1465" s="9" t="s">
        <v>1503</v>
      </c>
      <c r="R1465" s="10">
        <v>0.6385406432342623</v>
      </c>
      <c r="S1465" s="10">
        <v>0.028335186267873118</v>
      </c>
      <c r="T1465" s="10">
        <v>21.12358244536748</v>
      </c>
      <c r="U1465" s="11">
        <v>0.08087767937914439</v>
      </c>
      <c r="V1465" s="11">
        <v>0.22236167187133438</v>
      </c>
      <c r="W1465" s="11">
        <v>0.1384902028735651</v>
      </c>
      <c r="X1465" s="11">
        <v>0.21127617238049484</v>
      </c>
      <c r="Y1465" s="11">
        <v>0.20537364519421708</v>
      </c>
      <c r="Z1465" s="11">
        <v>0.1416206283012442</v>
      </c>
    </row>
    <row r="1466" ht="22.5" customHeight="1">
      <c r="Q1466" s="9" t="s">
        <v>1504</v>
      </c>
      <c r="R1466" s="10">
        <v>0.522331348251574</v>
      </c>
      <c r="S1466" s="10">
        <v>0.026371889218224975</v>
      </c>
      <c r="T1466" s="10">
        <v>21.123143133566536</v>
      </c>
      <c r="U1466" s="11">
        <v>0.19669125231673934</v>
      </c>
      <c r="V1466" s="11">
        <v>0.14207927886744115</v>
      </c>
      <c r="W1466" s="11">
        <v>0.18937672302738717</v>
      </c>
      <c r="X1466" s="11">
        <v>0.20861134718593888</v>
      </c>
      <c r="Y1466" s="11">
        <v>0.16297962268203653</v>
      </c>
      <c r="Z1466" s="11">
        <v>0.10026177592045696</v>
      </c>
    </row>
    <row r="1467" ht="22.5" customHeight="1">
      <c r="Q1467" s="9" t="s">
        <v>1505</v>
      </c>
      <c r="R1467" s="10">
        <v>0.6572813058973652</v>
      </c>
      <c r="S1467" s="10">
        <v>0.02922315555351209</v>
      </c>
      <c r="T1467" s="10">
        <v>21.12302022849751</v>
      </c>
      <c r="U1467" s="11">
        <v>0.047853486701695605</v>
      </c>
      <c r="V1467" s="11">
        <v>0.21989138235083738</v>
      </c>
      <c r="W1467" s="11">
        <v>0.15684142877143842</v>
      </c>
      <c r="X1467" s="11">
        <v>0.2010892250057405</v>
      </c>
      <c r="Y1467" s="11">
        <v>0.2217557191870725</v>
      </c>
      <c r="Z1467" s="11">
        <v>0.15256875798321554</v>
      </c>
    </row>
    <row r="1468" ht="22.5" customHeight="1">
      <c r="Q1468" s="9" t="s">
        <v>1506</v>
      </c>
      <c r="R1468" s="10">
        <v>0.590705843668118</v>
      </c>
      <c r="S1468" s="10">
        <v>0.026071424494712555</v>
      </c>
      <c r="T1468" s="10">
        <v>21.122967169661344</v>
      </c>
      <c r="U1468" s="11">
        <v>0.1810728021461203</v>
      </c>
      <c r="V1468" s="11">
        <v>0.16355511565778275</v>
      </c>
      <c r="W1468" s="11">
        <v>0.17320571125713102</v>
      </c>
      <c r="X1468" s="11">
        <v>0.15670496875933565</v>
      </c>
      <c r="Y1468" s="11">
        <v>0.1184422156948983</v>
      </c>
      <c r="Z1468" s="11">
        <v>0.207019186484732</v>
      </c>
    </row>
    <row r="1469" ht="22.5" customHeight="1">
      <c r="Q1469" s="9" t="s">
        <v>1507</v>
      </c>
      <c r="R1469" s="10">
        <v>0.6689562808096868</v>
      </c>
      <c r="S1469" s="10">
        <v>0.029776893102935374</v>
      </c>
      <c r="T1469" s="10">
        <v>21.12229367367024</v>
      </c>
      <c r="U1469" s="11">
        <v>0.20643405648554347</v>
      </c>
      <c r="V1469" s="11">
        <v>0.18200900632796457</v>
      </c>
      <c r="W1469" s="11">
        <v>0.20412142642259143</v>
      </c>
      <c r="X1469" s="11">
        <v>0.26010877757348716</v>
      </c>
      <c r="Y1469" s="11">
        <v>0.011053703719526563</v>
      </c>
      <c r="Z1469" s="11">
        <v>0.1362730294708867</v>
      </c>
    </row>
    <row r="1470" ht="22.5" customHeight="1">
      <c r="Q1470" s="9" t="s">
        <v>1508</v>
      </c>
      <c r="R1470" s="10">
        <v>0.5902378100981178</v>
      </c>
      <c r="S1470" s="10">
        <v>0.02605097695450871</v>
      </c>
      <c r="T1470" s="10">
        <v>21.121580624748383</v>
      </c>
      <c r="U1470" s="11">
        <v>0.10685126824402613</v>
      </c>
      <c r="V1470" s="11">
        <v>0.17698586964297155</v>
      </c>
      <c r="W1470" s="11">
        <v>0.15767446648029637</v>
      </c>
      <c r="X1470" s="11">
        <v>0.1290979879725982</v>
      </c>
      <c r="Y1470" s="11">
        <v>0.2388130191185173</v>
      </c>
      <c r="Z1470" s="11">
        <v>0.19057738854159034</v>
      </c>
    </row>
    <row r="1471" ht="22.5" customHeight="1">
      <c r="Q1471" s="9" t="s">
        <v>1509</v>
      </c>
      <c r="R1471" s="10">
        <v>0.47433369895472166</v>
      </c>
      <c r="S1471" s="10">
        <v>0.020563607315892567</v>
      </c>
      <c r="T1471" s="10">
        <v>21.12147408198401</v>
      </c>
      <c r="U1471" s="11">
        <v>0.2069624814077761</v>
      </c>
      <c r="V1471" s="11">
        <v>0.13692045191432736</v>
      </c>
      <c r="W1471" s="11">
        <v>0.11734044928472818</v>
      </c>
      <c r="X1471" s="11">
        <v>0.07060626631135404</v>
      </c>
      <c r="Y1471" s="11">
        <v>0.2308044947887889</v>
      </c>
      <c r="Z1471" s="11">
        <v>0.23736585629302562</v>
      </c>
    </row>
    <row r="1472" ht="22.5" customHeight="1">
      <c r="Q1472" s="9" t="s">
        <v>1510</v>
      </c>
      <c r="R1472" s="10">
        <v>0.7134282366432614</v>
      </c>
      <c r="S1472" s="10">
        <v>0.03188403123173198</v>
      </c>
      <c r="T1472" s="10">
        <v>21.121176044171122</v>
      </c>
      <c r="U1472" s="11">
        <v>0.20029141474021708</v>
      </c>
      <c r="V1472" s="11">
        <v>0.21885289399856336</v>
      </c>
      <c r="W1472" s="11">
        <v>0.19476644578460256</v>
      </c>
      <c r="X1472" s="11">
        <v>0.1894273272771955</v>
      </c>
      <c r="Y1472" s="11">
        <v>0.19153049581590698</v>
      </c>
      <c r="Z1472" s="11">
        <v>0.0051314223835145145</v>
      </c>
    </row>
    <row r="1473" ht="22.5" customHeight="1">
      <c r="Q1473" s="9" t="s">
        <v>1511</v>
      </c>
      <c r="R1473" s="10">
        <v>0.7352261463821994</v>
      </c>
      <c r="S1473" s="10">
        <v>0.03291622764505245</v>
      </c>
      <c r="T1473" s="10">
        <v>21.12107601998241</v>
      </c>
      <c r="U1473" s="11">
        <v>0.22930928142432944</v>
      </c>
      <c r="V1473" s="11">
        <v>0.2276522929682718</v>
      </c>
      <c r="W1473" s="11">
        <v>0.20232079449662113</v>
      </c>
      <c r="X1473" s="11">
        <v>0.22464258533068496</v>
      </c>
      <c r="Y1473" s="11">
        <v>0.09560802576657679</v>
      </c>
      <c r="Z1473" s="11">
        <v>0.020467020013515982</v>
      </c>
    </row>
    <row r="1474" ht="22.5" customHeight="1">
      <c r="Q1474" s="9" t="s">
        <v>1512</v>
      </c>
      <c r="R1474" s="10">
        <v>0.6852840672593804</v>
      </c>
      <c r="S1474" s="10">
        <v>0.030551878068354243</v>
      </c>
      <c r="T1474" s="10">
        <v>21.120929646801915</v>
      </c>
      <c r="U1474" s="11">
        <v>0.01718691612423544</v>
      </c>
      <c r="V1474" s="11">
        <v>0.241543609996168</v>
      </c>
      <c r="W1474" s="11">
        <v>0.15084519575460983</v>
      </c>
      <c r="X1474" s="11">
        <v>0.3017807658598366</v>
      </c>
      <c r="Y1474" s="11">
        <v>0.11380637254339158</v>
      </c>
      <c r="Z1474" s="11">
        <v>0.1748371397217586</v>
      </c>
    </row>
    <row r="1475" ht="22.5" customHeight="1">
      <c r="Q1475" s="9" t="s">
        <v>1513</v>
      </c>
      <c r="R1475" s="10">
        <v>0.6530033148837066</v>
      </c>
      <c r="S1475" s="10">
        <v>0.029025174275763135</v>
      </c>
      <c r="T1475" s="10">
        <v>21.11971177363721</v>
      </c>
      <c r="U1475" s="11">
        <v>0.22275406035849168</v>
      </c>
      <c r="V1475" s="11">
        <v>0.21380071180522311</v>
      </c>
      <c r="W1475" s="11">
        <v>0.15565254246775284</v>
      </c>
      <c r="X1475" s="11">
        <v>0.15075430267004353</v>
      </c>
      <c r="Y1475" s="11">
        <v>0.24435905972529917</v>
      </c>
      <c r="Z1475" s="11">
        <v>0.012679322973189642</v>
      </c>
    </row>
    <row r="1476" ht="22.5" customHeight="1">
      <c r="Q1476" s="9" t="s">
        <v>1514</v>
      </c>
      <c r="R1476" s="10">
        <v>0.593521678184823</v>
      </c>
      <c r="S1476" s="10">
        <v>0.026208973791684374</v>
      </c>
      <c r="T1476" s="10">
        <v>21.11954792981804</v>
      </c>
      <c r="U1476" s="11">
        <v>0.03648348521141959</v>
      </c>
      <c r="V1476" s="11">
        <v>0.18508188612085016</v>
      </c>
      <c r="W1476" s="11">
        <v>0.15672177518102728</v>
      </c>
      <c r="X1476" s="11">
        <v>0.1759857062450177</v>
      </c>
      <c r="Y1476" s="11">
        <v>0.13541036101547183</v>
      </c>
      <c r="Z1476" s="11">
        <v>0.31031678622621345</v>
      </c>
    </row>
    <row r="1477" ht="22.5" customHeight="1">
      <c r="Q1477" s="9" t="s">
        <v>1515</v>
      </c>
      <c r="R1477" s="10">
        <v>0.5202027241450328</v>
      </c>
      <c r="S1477" s="10">
        <v>0.022737476497517246</v>
      </c>
      <c r="T1477" s="10">
        <v>21.119437955107603</v>
      </c>
      <c r="U1477" s="11">
        <v>0.25697664438682655</v>
      </c>
      <c r="V1477" s="11">
        <v>0.17877007061685352</v>
      </c>
      <c r="W1477" s="11">
        <v>0.1053591755400952</v>
      </c>
      <c r="X1477" s="11">
        <v>0.1500557966522523</v>
      </c>
      <c r="Y1477" s="11">
        <v>0.07363636484341779</v>
      </c>
      <c r="Z1477" s="11">
        <v>0.23520194796055457</v>
      </c>
    </row>
    <row r="1478" ht="22.5" customHeight="1">
      <c r="Q1478" s="9" t="s">
        <v>1516</v>
      </c>
      <c r="R1478" s="10">
        <v>0.6800977128877016</v>
      </c>
      <c r="S1478" s="10">
        <v>0.030308477804754274</v>
      </c>
      <c r="T1478" s="10">
        <v>21.119427937330922</v>
      </c>
      <c r="U1478" s="11">
        <v>0.01635357486154908</v>
      </c>
      <c r="V1478" s="11">
        <v>0.23738398824930568</v>
      </c>
      <c r="W1478" s="11">
        <v>0.15184969836336717</v>
      </c>
      <c r="X1478" s="11">
        <v>0.2684712660246372</v>
      </c>
      <c r="Y1478" s="11">
        <v>0.16899311260359487</v>
      </c>
      <c r="Z1478" s="11">
        <v>0.156948359897546</v>
      </c>
    </row>
    <row r="1479" ht="22.5" customHeight="1">
      <c r="Q1479" s="9" t="s">
        <v>1517</v>
      </c>
      <c r="R1479" s="10">
        <v>0.4381736568503492</v>
      </c>
      <c r="S1479" s="10">
        <v>0.018854038519579893</v>
      </c>
      <c r="T1479" s="10">
        <v>21.118746333144827</v>
      </c>
      <c r="U1479" s="11">
        <v>0.16702530118901263</v>
      </c>
      <c r="V1479" s="11">
        <v>0.15588398037687612</v>
      </c>
      <c r="W1479" s="11">
        <v>0.057668012262363726</v>
      </c>
      <c r="X1479" s="11">
        <v>0.2166735302368287</v>
      </c>
      <c r="Y1479" s="11">
        <v>0.1731910408107421</v>
      </c>
      <c r="Z1479" s="11">
        <v>0.22955813512417686</v>
      </c>
    </row>
    <row r="1480" ht="22.5" customHeight="1">
      <c r="Q1480" s="9" t="s">
        <v>1518</v>
      </c>
      <c r="R1480" s="10">
        <v>0.6297593496343687</v>
      </c>
      <c r="S1480" s="10">
        <v>0.027925988499702573</v>
      </c>
      <c r="T1480" s="10">
        <v>21.118656180806276</v>
      </c>
      <c r="U1480" s="11">
        <v>0.17893103937943208</v>
      </c>
      <c r="V1480" s="11">
        <v>0.20032723264395838</v>
      </c>
      <c r="W1480" s="11">
        <v>0.16323336559032864</v>
      </c>
      <c r="X1480" s="11">
        <v>0.1570951827570137</v>
      </c>
      <c r="Y1480" s="11">
        <v>0.12114450138705246</v>
      </c>
      <c r="Z1480" s="11">
        <v>0.17926867824221476</v>
      </c>
    </row>
    <row r="1481" ht="22.5" customHeight="1">
      <c r="Q1481" s="9" t="s">
        <v>1519</v>
      </c>
      <c r="R1481" s="10">
        <v>0.7210617526821801</v>
      </c>
      <c r="S1481" s="10">
        <v>0.03225025465873016</v>
      </c>
      <c r="T1481" s="10">
        <v>21.118027125339808</v>
      </c>
      <c r="U1481" s="11">
        <v>0.19003136374846014</v>
      </c>
      <c r="V1481" s="11">
        <v>0.21641370156560488</v>
      </c>
      <c r="W1481" s="11">
        <v>0.20466066515330034</v>
      </c>
      <c r="X1481" s="11">
        <v>0.21813015889268045</v>
      </c>
      <c r="Y1481" s="11">
        <v>0.12335149819855382</v>
      </c>
      <c r="Z1481" s="11">
        <v>0.04741261244140024</v>
      </c>
    </row>
    <row r="1482" ht="22.5" customHeight="1">
      <c r="Q1482" s="9" t="s">
        <v>1520</v>
      </c>
      <c r="R1482" s="10">
        <v>0.5897283900726682</v>
      </c>
      <c r="S1482" s="10">
        <v>0.026031351531679296</v>
      </c>
      <c r="T1482" s="10">
        <v>21.11793501784442</v>
      </c>
      <c r="U1482" s="11">
        <v>0.23013389782093902</v>
      </c>
      <c r="V1482" s="11">
        <v>0.1373734369278048</v>
      </c>
      <c r="W1482" s="11">
        <v>0.1871243394394491</v>
      </c>
      <c r="X1482" s="11">
        <v>0.20054104699879144</v>
      </c>
      <c r="Y1482" s="11">
        <v>0.1774047833602392</v>
      </c>
      <c r="Z1482" s="11">
        <v>0.06742249545277647</v>
      </c>
    </row>
    <row r="1483" ht="22.5" customHeight="1">
      <c r="Q1483" s="9" t="s">
        <v>1521</v>
      </c>
      <c r="R1483" s="10">
        <v>0.3091195731559936</v>
      </c>
      <c r="S1483" s="10">
        <v>0.012743681382689368</v>
      </c>
      <c r="T1483" s="10">
        <v>21.11788305705426</v>
      </c>
      <c r="U1483" s="11">
        <v>0.23739374545806877</v>
      </c>
      <c r="V1483" s="11">
        <v>0.04943446335072651</v>
      </c>
      <c r="W1483" s="11">
        <v>0.07029893978322464</v>
      </c>
      <c r="X1483" s="11">
        <v>0.1716145944998455</v>
      </c>
      <c r="Y1483" s="11">
        <v>0.25878413936225114</v>
      </c>
      <c r="Z1483" s="11">
        <v>0.2124741175458833</v>
      </c>
    </row>
    <row r="1484" ht="22.5" customHeight="1">
      <c r="Q1484" s="9" t="s">
        <v>1522</v>
      </c>
      <c r="R1484" s="10">
        <v>0.31249210115756443</v>
      </c>
      <c r="S1484" s="10">
        <v>0.01290338696962343</v>
      </c>
      <c r="T1484" s="10">
        <v>21.117874074384737</v>
      </c>
      <c r="U1484" s="11">
        <v>0.20505349761223726</v>
      </c>
      <c r="V1484" s="11">
        <v>0.05823215247216095</v>
      </c>
      <c r="W1484" s="11">
        <v>0.07403934316706125</v>
      </c>
      <c r="X1484" s="11">
        <v>0.13691071613467107</v>
      </c>
      <c r="Y1484" s="11">
        <v>0.2028619130854724</v>
      </c>
      <c r="Z1484" s="11">
        <v>0.32290237752839707</v>
      </c>
    </row>
    <row r="1485" ht="22.5" customHeight="1">
      <c r="Q1485" s="9" t="s">
        <v>1523</v>
      </c>
      <c r="R1485" s="10">
        <v>0.3022267541859247</v>
      </c>
      <c r="S1485" s="10">
        <v>0.012417738668588925</v>
      </c>
      <c r="T1485" s="10">
        <v>21.11711006201442</v>
      </c>
      <c r="U1485" s="11">
        <v>0.18053847522010458</v>
      </c>
      <c r="V1485" s="11">
        <v>0.08391407652230985</v>
      </c>
      <c r="W1485" s="11">
        <v>0.026707440849774965</v>
      </c>
      <c r="X1485" s="11">
        <v>0.22836104010000818</v>
      </c>
      <c r="Y1485" s="11">
        <v>0.22910857432436402</v>
      </c>
      <c r="Z1485" s="11">
        <v>0.25137039298343833</v>
      </c>
    </row>
    <row r="1486" ht="22.5" customHeight="1">
      <c r="Q1486" s="9" t="s">
        <v>1524</v>
      </c>
      <c r="R1486" s="10">
        <v>0.6295304378597928</v>
      </c>
      <c r="S1486" s="10">
        <v>0.027917906536584765</v>
      </c>
      <c r="T1486" s="10">
        <v>21.11657036630766</v>
      </c>
      <c r="U1486" s="11">
        <v>0.09312317062557585</v>
      </c>
      <c r="V1486" s="11">
        <v>0.18787123711213763</v>
      </c>
      <c r="W1486" s="11">
        <v>0.17390937183972377</v>
      </c>
      <c r="X1486" s="11">
        <v>0.15922452151027966</v>
      </c>
      <c r="Y1486" s="11">
        <v>0.21141052425351967</v>
      </c>
      <c r="Z1486" s="11">
        <v>0.1744611746587633</v>
      </c>
    </row>
    <row r="1487" ht="22.5" customHeight="1">
      <c r="Q1487" s="9" t="s">
        <v>1525</v>
      </c>
      <c r="R1487" s="10">
        <v>0.616386967946233</v>
      </c>
      <c r="S1487" s="10">
        <v>0.027295779126621865</v>
      </c>
      <c r="T1487" s="10">
        <v>21.116340562122904</v>
      </c>
      <c r="U1487" s="11">
        <v>0.14680918820569028</v>
      </c>
      <c r="V1487" s="11">
        <v>0.1681364846721525</v>
      </c>
      <c r="W1487" s="11">
        <v>0.18310263743147584</v>
      </c>
      <c r="X1487" s="11">
        <v>0.16714617826444803</v>
      </c>
      <c r="Y1487" s="11">
        <v>0.1822614067011642</v>
      </c>
      <c r="Z1487" s="11">
        <v>0.1525441047250693</v>
      </c>
    </row>
    <row r="1488" ht="22.5" customHeight="1">
      <c r="Q1488" s="9" t="s">
        <v>1526</v>
      </c>
      <c r="R1488" s="10">
        <v>0.470124164357051</v>
      </c>
      <c r="S1488" s="10">
        <v>0.020369297180347124</v>
      </c>
      <c r="T1488" s="10">
        <v>21.116298738674548</v>
      </c>
      <c r="U1488" s="11">
        <v>0.2613520296555757</v>
      </c>
      <c r="V1488" s="11">
        <v>0.14632676722724805</v>
      </c>
      <c r="W1488" s="11">
        <v>0.09760089483506884</v>
      </c>
      <c r="X1488" s="11">
        <v>0.08079533448486978</v>
      </c>
      <c r="Y1488" s="11">
        <v>0.2642380841786168</v>
      </c>
      <c r="Z1488" s="11">
        <v>0.14968688961862076</v>
      </c>
    </row>
    <row r="1489" ht="22.5" customHeight="1">
      <c r="Q1489" s="9" t="s">
        <v>1527</v>
      </c>
      <c r="R1489" s="10">
        <v>0.6570447020059585</v>
      </c>
      <c r="S1489" s="10">
        <v>0.029221414067261302</v>
      </c>
      <c r="T1489" s="10">
        <v>21.116182145930946</v>
      </c>
      <c r="U1489" s="11">
        <v>0.18767099872657714</v>
      </c>
      <c r="V1489" s="11">
        <v>0.21877280794753273</v>
      </c>
      <c r="W1489" s="11">
        <v>0.16192191984343618</v>
      </c>
      <c r="X1489" s="11">
        <v>0.20645573043055784</v>
      </c>
      <c r="Y1489" s="11">
        <v>0.052437801285905944</v>
      </c>
      <c r="Z1489" s="11">
        <v>0.17274074176599022</v>
      </c>
    </row>
    <row r="1490" ht="22.5" customHeight="1">
      <c r="Q1490" s="9" t="s">
        <v>1528</v>
      </c>
      <c r="R1490" s="10">
        <v>0.2766198855654298</v>
      </c>
      <c r="S1490" s="10">
        <v>0.011206422698315505</v>
      </c>
      <c r="T1490" s="10">
        <v>21.11466718107977</v>
      </c>
      <c r="U1490" s="11">
        <v>0.1313050374121633</v>
      </c>
      <c r="V1490" s="11">
        <v>0.07105833609713334</v>
      </c>
      <c r="W1490" s="11">
        <v>0.02133103692493317</v>
      </c>
      <c r="X1490" s="11">
        <v>0.29378191707343787</v>
      </c>
      <c r="Y1490" s="11">
        <v>0.14638636941006664</v>
      </c>
      <c r="Z1490" s="11">
        <v>0.33613730308226575</v>
      </c>
    </row>
    <row r="1491" ht="22.5" customHeight="1">
      <c r="Q1491" s="9" t="s">
        <v>1529</v>
      </c>
      <c r="R1491" s="10">
        <v>0.6182157685529532</v>
      </c>
      <c r="S1491" s="10">
        <v>0.027384621221178622</v>
      </c>
      <c r="T1491" s="10">
        <v>21.114616261545173</v>
      </c>
      <c r="U1491" s="11">
        <v>0.01315707516977298</v>
      </c>
      <c r="V1491" s="11">
        <v>0.13200138067237716</v>
      </c>
      <c r="W1491" s="11">
        <v>0.19865587609958066</v>
      </c>
      <c r="X1491" s="11">
        <v>0.32974663075516836</v>
      </c>
      <c r="Y1491" s="11">
        <v>0.30860183510534245</v>
      </c>
      <c r="Z1491" s="11">
        <v>0.017837202197758542</v>
      </c>
    </row>
    <row r="1492" ht="22.5" customHeight="1">
      <c r="Q1492" s="9" t="s">
        <v>1530</v>
      </c>
      <c r="R1492" s="10">
        <v>0.6549503619100608</v>
      </c>
      <c r="S1492" s="10">
        <v>0.029125035281985262</v>
      </c>
      <c r="T1492" s="10">
        <v>21.114149938572837</v>
      </c>
      <c r="U1492" s="11">
        <v>0.1852693176259066</v>
      </c>
      <c r="V1492" s="11">
        <v>0.20480802763263625</v>
      </c>
      <c r="W1492" s="11">
        <v>0.17654832233978876</v>
      </c>
      <c r="X1492" s="11">
        <v>0.1922222047239065</v>
      </c>
      <c r="Y1492" s="11">
        <v>0.059580975142267886</v>
      </c>
      <c r="Z1492" s="11">
        <v>0.181571152535494</v>
      </c>
    </row>
    <row r="1493" ht="22.5" customHeight="1">
      <c r="Q1493" s="9" t="s">
        <v>1531</v>
      </c>
      <c r="R1493" s="10">
        <v>0.3611231979156383</v>
      </c>
      <c r="S1493" s="10">
        <v>0.015209110774125591</v>
      </c>
      <c r="T1493" s="10">
        <v>21.11387067164684</v>
      </c>
      <c r="U1493" s="11">
        <v>0.4174738654404071</v>
      </c>
      <c r="V1493" s="11">
        <v>0.10659032529955187</v>
      </c>
      <c r="W1493" s="11">
        <v>0.05396554223884804</v>
      </c>
      <c r="X1493" s="11">
        <v>0.1583147520476723</v>
      </c>
      <c r="Y1493" s="11">
        <v>0.076121911142626</v>
      </c>
      <c r="Z1493" s="11">
        <v>0.18753360383089474</v>
      </c>
    </row>
    <row r="1494" ht="22.5" customHeight="1">
      <c r="Q1494" s="9" t="s">
        <v>1532</v>
      </c>
      <c r="R1494" s="10">
        <v>0.5211429669333668</v>
      </c>
      <c r="S1494" s="10">
        <v>0.022788026726186125</v>
      </c>
      <c r="T1494" s="10">
        <v>21.11384951029906</v>
      </c>
      <c r="U1494" s="11">
        <v>0.12433664130021917</v>
      </c>
      <c r="V1494" s="11">
        <v>0.11144893988028301</v>
      </c>
      <c r="W1494" s="11">
        <v>0.16758216561064296</v>
      </c>
      <c r="X1494" s="11">
        <v>0.21533144170056626</v>
      </c>
      <c r="Y1494" s="11">
        <v>0.17766841167733022</v>
      </c>
      <c r="Z1494" s="11">
        <v>0.2036323998309583</v>
      </c>
    </row>
    <row r="1495" ht="22.5" customHeight="1">
      <c r="Q1495" s="9" t="s">
        <v>1533</v>
      </c>
      <c r="R1495" s="10">
        <v>0.5815833062622047</v>
      </c>
      <c r="S1495" s="10">
        <v>0.02565091832432277</v>
      </c>
      <c r="T1495" s="10">
        <v>21.113603006901446</v>
      </c>
      <c r="U1495" s="11">
        <v>0.11472284377377925</v>
      </c>
      <c r="V1495" s="11">
        <v>0.20377943984015764</v>
      </c>
      <c r="W1495" s="11">
        <v>0.1218892921197665</v>
      </c>
      <c r="X1495" s="11">
        <v>0.18398476715643483</v>
      </c>
      <c r="Y1495" s="11">
        <v>0.15033833932909946</v>
      </c>
      <c r="Z1495" s="11">
        <v>0.22528531778076225</v>
      </c>
    </row>
    <row r="1496" ht="22.5" customHeight="1">
      <c r="Q1496" s="9" t="s">
        <v>1534</v>
      </c>
      <c r="R1496" s="10">
        <v>0.569067676779</v>
      </c>
      <c r="S1496" s="10">
        <v>0.02505858675408833</v>
      </c>
      <c r="T1496" s="10">
        <v>21.113228849295826</v>
      </c>
      <c r="U1496" s="11">
        <v>0.1338678739676313</v>
      </c>
      <c r="V1496" s="11">
        <v>0.14111459562528167</v>
      </c>
      <c r="W1496" s="11">
        <v>0.1751781098998199</v>
      </c>
      <c r="X1496" s="11">
        <v>0.17166281705396644</v>
      </c>
      <c r="Y1496" s="11">
        <v>0.2033109858127135</v>
      </c>
      <c r="Z1496" s="11">
        <v>0.174865617640587</v>
      </c>
    </row>
    <row r="1497" ht="22.5" customHeight="1">
      <c r="Q1497" s="9" t="s">
        <v>1535</v>
      </c>
      <c r="R1497" s="10">
        <v>0.4859573430582689</v>
      </c>
      <c r="S1497" s="10">
        <v>0.021122302801606145</v>
      </c>
      <c r="T1497" s="10">
        <v>21.113102451327332</v>
      </c>
      <c r="U1497" s="11">
        <v>0.1308234259034497</v>
      </c>
      <c r="V1497" s="11">
        <v>0.07346640877688376</v>
      </c>
      <c r="W1497" s="11">
        <v>0.1561018294948834</v>
      </c>
      <c r="X1497" s="11">
        <v>0.3439878171812117</v>
      </c>
      <c r="Y1497" s="11">
        <v>0.28537799323091045</v>
      </c>
      <c r="Z1497" s="11">
        <v>0.010242525412661114</v>
      </c>
    </row>
    <row r="1498" ht="22.5" customHeight="1">
      <c r="Q1498" s="9" t="s">
        <v>1536</v>
      </c>
      <c r="R1498" s="10">
        <v>0.5506500901671921</v>
      </c>
      <c r="S1498" s="10">
        <v>0.02418722195941018</v>
      </c>
      <c r="T1498" s="10">
        <v>21.112391122227276</v>
      </c>
      <c r="U1498" s="11">
        <v>0.061327451480340266</v>
      </c>
      <c r="V1498" s="11">
        <v>0.1280205379491054</v>
      </c>
      <c r="W1498" s="11">
        <v>0.17382581494119317</v>
      </c>
      <c r="X1498" s="11">
        <v>0.213235237800282</v>
      </c>
      <c r="Y1498" s="11">
        <v>0.20219882568241374</v>
      </c>
      <c r="Z1498" s="11">
        <v>0.22139213214666534</v>
      </c>
    </row>
    <row r="1499" ht="22.5" customHeight="1">
      <c r="Q1499" s="9" t="s">
        <v>1537</v>
      </c>
      <c r="R1499" s="10">
        <v>0.6836883600212629</v>
      </c>
      <c r="S1499" s="10">
        <v>0.03048985499701513</v>
      </c>
      <c r="T1499" s="10">
        <v>21.111558585118825</v>
      </c>
      <c r="U1499" s="11">
        <v>0.03653945517155578</v>
      </c>
      <c r="V1499" s="11">
        <v>0.19958557549431324</v>
      </c>
      <c r="W1499" s="11">
        <v>0.1962022094189357</v>
      </c>
      <c r="X1499" s="11">
        <v>0.21721420201800373</v>
      </c>
      <c r="Y1499" s="11">
        <v>0.21983786933368016</v>
      </c>
      <c r="Z1499" s="11">
        <v>0.13062068856351136</v>
      </c>
    </row>
    <row r="1500" ht="22.5" customHeight="1">
      <c r="Q1500" s="9" t="s">
        <v>1538</v>
      </c>
      <c r="R1500" s="10">
        <v>0.5948988666487219</v>
      </c>
      <c r="S1500" s="10">
        <v>0.026285551887498194</v>
      </c>
      <c r="T1500" s="10">
        <v>21.110413394540146</v>
      </c>
      <c r="U1500" s="11">
        <v>0.15317302176410796</v>
      </c>
      <c r="V1500" s="11">
        <v>0.13894937798784562</v>
      </c>
      <c r="W1500" s="11">
        <v>0.19241116002626205</v>
      </c>
      <c r="X1500" s="11">
        <v>0.2574661024969975</v>
      </c>
      <c r="Y1500" s="11">
        <v>0.08780013937360302</v>
      </c>
      <c r="Z1500" s="11">
        <v>0.1702001983511839</v>
      </c>
    </row>
    <row r="1501" ht="22.5" customHeight="1">
      <c r="Q1501" s="9" t="s">
        <v>1539</v>
      </c>
      <c r="R1501" s="10">
        <v>0.522331348251574</v>
      </c>
      <c r="S1501" s="10">
        <v>0.028757980749193352</v>
      </c>
      <c r="T1501" s="10">
        <v>21.11026896107</v>
      </c>
      <c r="U1501" s="11">
        <v>0.12445658824174458</v>
      </c>
      <c r="V1501" s="11">
        <v>0.2248082237456318</v>
      </c>
      <c r="W1501" s="11">
        <v>0.14552984425409957</v>
      </c>
      <c r="X1501" s="11">
        <v>0.21391739415022265</v>
      </c>
      <c r="Y1501" s="11">
        <v>0.1229571376614113</v>
      </c>
      <c r="Z1501" s="11">
        <v>0.16833081194689012</v>
      </c>
    </row>
    <row r="1502" ht="22.5" customHeight="1">
      <c r="Q1502" s="9" t="s">
        <v>1540</v>
      </c>
      <c r="R1502" s="10">
        <v>0.6184526674232462</v>
      </c>
      <c r="S1502" s="10">
        <v>0.027401932383610324</v>
      </c>
      <c r="T1502" s="10">
        <v>21.10992244361682</v>
      </c>
      <c r="U1502" s="11">
        <v>0.14426157385511537</v>
      </c>
      <c r="V1502" s="11">
        <v>0.2180706856171913</v>
      </c>
      <c r="W1502" s="11">
        <v>0.13292808569491893</v>
      </c>
      <c r="X1502" s="11">
        <v>0.23977254664810677</v>
      </c>
      <c r="Y1502" s="11">
        <v>0.04173236269082183</v>
      </c>
      <c r="Z1502" s="11">
        <v>0.22323474549384584</v>
      </c>
    </row>
    <row r="1503" ht="22.5" customHeight="1">
      <c r="Q1503" s="9" t="s">
        <v>1541</v>
      </c>
      <c r="R1503" s="10">
        <v>0.6526868484591029</v>
      </c>
      <c r="S1503" s="10">
        <v>0.029023905270980203</v>
      </c>
      <c r="T1503" s="10">
        <v>21.109731538150484</v>
      </c>
      <c r="U1503" s="11">
        <v>0.1882928767604689</v>
      </c>
      <c r="V1503" s="11">
        <v>0.1866868556852168</v>
      </c>
      <c r="W1503" s="11">
        <v>0.1920760914318628</v>
      </c>
      <c r="X1503" s="11">
        <v>0.21911289381319277</v>
      </c>
      <c r="Y1503" s="11">
        <v>0.03318543375753123</v>
      </c>
      <c r="Z1503" s="11">
        <v>0.18064584855172752</v>
      </c>
    </row>
    <row r="1504" ht="22.5" customHeight="1">
      <c r="Q1504" s="9" t="s">
        <v>1542</v>
      </c>
      <c r="R1504" s="10">
        <v>0.5943955903991747</v>
      </c>
      <c r="S1504" s="10">
        <v>0.026262601267045205</v>
      </c>
      <c r="T1504" s="10">
        <v>21.109698341071812</v>
      </c>
      <c r="U1504" s="11">
        <v>0.17092374560342852</v>
      </c>
      <c r="V1504" s="11">
        <v>0.17507433321247842</v>
      </c>
      <c r="W1504" s="11">
        <v>0.1656608597574851</v>
      </c>
      <c r="X1504" s="11">
        <v>0.1386723598325686</v>
      </c>
      <c r="Y1504" s="11">
        <v>0.1339160327805947</v>
      </c>
      <c r="Z1504" s="11">
        <v>0.21575266881344465</v>
      </c>
    </row>
    <row r="1505" ht="22.5" customHeight="1">
      <c r="Q1505" s="9" t="s">
        <v>1543</v>
      </c>
      <c r="R1505" s="10">
        <v>0.3610011727910402</v>
      </c>
      <c r="S1505" s="10">
        <v>0.015206565295696306</v>
      </c>
      <c r="T1505" s="10">
        <v>21.10938049119406</v>
      </c>
      <c r="U1505" s="11">
        <v>0.1700031274068827</v>
      </c>
      <c r="V1505" s="11">
        <v>0.056449541650470406</v>
      </c>
      <c r="W1505" s="11">
        <v>0.08801340494575743</v>
      </c>
      <c r="X1505" s="11">
        <v>0.23014721310108904</v>
      </c>
      <c r="Y1505" s="11">
        <v>0.381248717826679</v>
      </c>
      <c r="Z1505" s="11">
        <v>0.07413799506912139</v>
      </c>
    </row>
    <row r="1506" ht="22.5" customHeight="1">
      <c r="Q1506" s="9" t="s">
        <v>1544</v>
      </c>
      <c r="R1506" s="10">
        <v>0.3777771389926816</v>
      </c>
      <c r="S1506" s="10">
        <v>0.01600163251105949</v>
      </c>
      <c r="T1506" s="10">
        <v>21.108917403222936</v>
      </c>
      <c r="U1506" s="11">
        <v>0.22865034285765298</v>
      </c>
      <c r="V1506" s="11">
        <v>0.040933033001946145</v>
      </c>
      <c r="W1506" s="11">
        <v>0.11559804923920518</v>
      </c>
      <c r="X1506" s="11">
        <v>0.3833613291160187</v>
      </c>
      <c r="Y1506" s="11">
        <v>0.07240117644288542</v>
      </c>
      <c r="Z1506" s="11">
        <v>0.15905606934229144</v>
      </c>
    </row>
    <row r="1507" ht="22.5" customHeight="1">
      <c r="Q1507" s="9" t="s">
        <v>1545</v>
      </c>
      <c r="R1507" s="10">
        <v>0.5603633012853386</v>
      </c>
      <c r="S1507" s="10">
        <v>0.024651930935235482</v>
      </c>
      <c r="T1507" s="10">
        <v>21.108419565689</v>
      </c>
      <c r="U1507" s="11">
        <v>0.0076353759748438305</v>
      </c>
      <c r="V1507" s="11">
        <v>0.14449363673936821</v>
      </c>
      <c r="W1507" s="11">
        <v>0.16842274622609224</v>
      </c>
      <c r="X1507" s="11">
        <v>0.18772783400219395</v>
      </c>
      <c r="Y1507" s="11">
        <v>0.2239535242472025</v>
      </c>
      <c r="Z1507" s="11">
        <v>0.2677668828102993</v>
      </c>
    </row>
    <row r="1508" ht="22.5" customHeight="1">
      <c r="Q1508" s="9" t="s">
        <v>1546</v>
      </c>
      <c r="R1508" s="10">
        <v>0.5736956898294115</v>
      </c>
      <c r="S1508" s="10">
        <v>0.02528398133479094</v>
      </c>
      <c r="T1508" s="10">
        <v>21.108055838304328</v>
      </c>
      <c r="U1508" s="11">
        <v>0.12409789701093199</v>
      </c>
      <c r="V1508" s="11">
        <v>0.1850512428841811</v>
      </c>
      <c r="W1508" s="11">
        <v>0.13395657850572407</v>
      </c>
      <c r="X1508" s="11">
        <v>0.12083410382557785</v>
      </c>
      <c r="Y1508" s="11">
        <v>0.28302881863469836</v>
      </c>
      <c r="Z1508" s="11">
        <v>0.15303135913888657</v>
      </c>
    </row>
    <row r="1509" ht="22.5" customHeight="1">
      <c r="Q1509" s="9" t="s">
        <v>1547</v>
      </c>
      <c r="R1509" s="10">
        <v>0.7113615001612358</v>
      </c>
      <c r="S1509" s="10">
        <v>0.03180653060224952</v>
      </c>
      <c r="T1509" s="10">
        <v>21.107662088544597</v>
      </c>
      <c r="U1509" s="11">
        <v>0.07548977773812116</v>
      </c>
      <c r="V1509" s="11">
        <v>0.20939995242537296</v>
      </c>
      <c r="W1509" s="11">
        <v>0.20661789690752466</v>
      </c>
      <c r="X1509" s="11">
        <v>0.24604596384028227</v>
      </c>
      <c r="Y1509" s="11">
        <v>0.13365991254976747</v>
      </c>
      <c r="Z1509" s="11">
        <v>0.12878649653893154</v>
      </c>
    </row>
    <row r="1510" ht="22.5" customHeight="1">
      <c r="Q1510" s="9" t="s">
        <v>1548</v>
      </c>
      <c r="R1510" s="10">
        <v>0.4380202682700283</v>
      </c>
      <c r="S1510" s="10">
        <v>0.018856787079196965</v>
      </c>
      <c r="T1510" s="10">
        <v>21.107533674659194</v>
      </c>
      <c r="U1510" s="11">
        <v>0.1547493296136461</v>
      </c>
      <c r="V1510" s="11">
        <v>0.06704024292737296</v>
      </c>
      <c r="W1510" s="11">
        <v>0.1419289816367957</v>
      </c>
      <c r="X1510" s="11">
        <v>0.2829717351447453</v>
      </c>
      <c r="Y1510" s="11">
        <v>0.18257162174988603</v>
      </c>
      <c r="Z1510" s="11">
        <v>0.1707380889275539</v>
      </c>
    </row>
    <row r="1511" ht="22.5" customHeight="1">
      <c r="Q1511" s="9" t="s">
        <v>1549</v>
      </c>
      <c r="R1511" s="10">
        <v>0.47026776316248753</v>
      </c>
      <c r="S1511" s="10">
        <v>0.020385583637042366</v>
      </c>
      <c r="T1511" s="10">
        <v>21.10647263395755</v>
      </c>
      <c r="U1511" s="11">
        <v>0.30926952905804933</v>
      </c>
      <c r="V1511" s="11">
        <v>0.1543455285089229</v>
      </c>
      <c r="W1511" s="11">
        <v>0.08933769613144844</v>
      </c>
      <c r="X1511" s="11">
        <v>0.10053138702994172</v>
      </c>
      <c r="Y1511" s="11">
        <v>0.19197680131759176</v>
      </c>
      <c r="Z1511" s="11">
        <v>0.15453905795404593</v>
      </c>
    </row>
    <row r="1512" ht="22.5" customHeight="1">
      <c r="Q1512" s="9" t="s">
        <v>1550</v>
      </c>
      <c r="R1512" s="10">
        <v>0.6345531539558594</v>
      </c>
      <c r="S1512" s="10">
        <v>0.0281696877990628</v>
      </c>
      <c r="T1512" s="10">
        <v>21.106132172882656</v>
      </c>
      <c r="U1512" s="11">
        <v>0.10347829936265793</v>
      </c>
      <c r="V1512" s="11">
        <v>0.1886528782295995</v>
      </c>
      <c r="W1512" s="11">
        <v>0.1709808257039907</v>
      </c>
      <c r="X1512" s="11">
        <v>0.14869492521403757</v>
      </c>
      <c r="Y1512" s="11">
        <v>0.30226038303795844</v>
      </c>
      <c r="Z1512" s="11">
        <v>0.08593268845175586</v>
      </c>
    </row>
    <row r="1513" ht="22.5" customHeight="1">
      <c r="Q1513" s="9" t="s">
        <v>1551</v>
      </c>
      <c r="R1513" s="10">
        <v>0.49117896763323676</v>
      </c>
      <c r="S1513" s="10">
        <v>0.02137693139917079</v>
      </c>
      <c r="T1513" s="10">
        <v>21.105880877305804</v>
      </c>
      <c r="U1513" s="11">
        <v>0.3109108221564523</v>
      </c>
      <c r="V1513" s="11">
        <v>0.1441534045582964</v>
      </c>
      <c r="W1513" s="11">
        <v>0.11966478266569866</v>
      </c>
      <c r="X1513" s="11">
        <v>0.06773442602806101</v>
      </c>
      <c r="Y1513" s="11">
        <v>0.19287750640093976</v>
      </c>
      <c r="Z1513" s="11">
        <v>0.16465905819055193</v>
      </c>
    </row>
    <row r="1514" ht="22.5" customHeight="1">
      <c r="Q1514" s="9" t="s">
        <v>1552</v>
      </c>
      <c r="R1514" s="10">
        <v>0.6353349787956291</v>
      </c>
      <c r="S1514" s="10">
        <v>0.028207287653606774</v>
      </c>
      <c r="T1514" s="10">
        <v>21.10571516504904</v>
      </c>
      <c r="U1514" s="11">
        <v>0.1780023828723693</v>
      </c>
      <c r="V1514" s="11">
        <v>0.14981317730723284</v>
      </c>
      <c r="W1514" s="11">
        <v>0.20548483333683062</v>
      </c>
      <c r="X1514" s="11">
        <v>0.2593510544298767</v>
      </c>
      <c r="Y1514" s="11">
        <v>0.13832804180046063</v>
      </c>
      <c r="Z1514" s="11">
        <v>0.0690205102532297</v>
      </c>
    </row>
    <row r="1515" ht="22.5" customHeight="1">
      <c r="Q1515" s="9" t="s">
        <v>1553</v>
      </c>
      <c r="R1515" s="10">
        <v>0.6258297404681533</v>
      </c>
      <c r="S1515" s="10">
        <v>0.027757341243563605</v>
      </c>
      <c r="T1515" s="10">
        <v>21.10539821979513</v>
      </c>
      <c r="U1515" s="11">
        <v>0.24248158030714378</v>
      </c>
      <c r="V1515" s="11">
        <v>0.21593399596646412</v>
      </c>
      <c r="W1515" s="11">
        <v>0.1378318367963263</v>
      </c>
      <c r="X1515" s="11">
        <v>0.1728742275823153</v>
      </c>
      <c r="Y1515" s="11">
        <v>0.12882613275180113</v>
      </c>
      <c r="Z1515" s="11">
        <v>0.10205222659594929</v>
      </c>
    </row>
    <row r="1516" ht="22.5" customHeight="1">
      <c r="Q1516" s="9" t="s">
        <v>1554</v>
      </c>
      <c r="R1516" s="10">
        <v>0.7011666523208091</v>
      </c>
      <c r="S1516" s="10">
        <v>0.03132762616404134</v>
      </c>
      <c r="T1516" s="10">
        <v>21.1049074978976</v>
      </c>
      <c r="U1516" s="11">
        <v>0.18841332942875125</v>
      </c>
      <c r="V1516" s="11">
        <v>0.2256426914810428</v>
      </c>
      <c r="W1516" s="11">
        <v>0.17821847836064214</v>
      </c>
      <c r="X1516" s="11">
        <v>0.17654197472852762</v>
      </c>
      <c r="Y1516" s="11">
        <v>0.22921784400720877</v>
      </c>
      <c r="Z1516" s="11">
        <v>0.0019656819938275584</v>
      </c>
    </row>
    <row r="1517" ht="22.5" customHeight="1">
      <c r="Q1517" s="9" t="s">
        <v>1555</v>
      </c>
      <c r="R1517" s="10">
        <v>0.47376825641754017</v>
      </c>
      <c r="S1517" s="10">
        <v>0.02055374501341049</v>
      </c>
      <c r="T1517" s="10">
        <v>21.104098359424228</v>
      </c>
      <c r="U1517" s="11">
        <v>0.23545065958019248</v>
      </c>
      <c r="V1517" s="11">
        <v>0.07965302998014485</v>
      </c>
      <c r="W1517" s="11">
        <v>0.15282820853475895</v>
      </c>
      <c r="X1517" s="11">
        <v>0.24674687065610854</v>
      </c>
      <c r="Y1517" s="11">
        <v>0.21867974060823647</v>
      </c>
      <c r="Z1517" s="11">
        <v>0.06664149064055865</v>
      </c>
    </row>
    <row r="1518" ht="22.5" customHeight="1">
      <c r="Q1518" s="9" t="s">
        <v>1556</v>
      </c>
      <c r="R1518" s="10">
        <v>0.5555179968121803</v>
      </c>
      <c r="S1518" s="10">
        <v>0.02442759618223013</v>
      </c>
      <c r="T1518" s="10">
        <v>21.103918411226815</v>
      </c>
      <c r="U1518" s="11">
        <v>0.10187506434596535</v>
      </c>
      <c r="V1518" s="11">
        <v>0.15088432573233504</v>
      </c>
      <c r="W1518" s="11">
        <v>0.16171879540908018</v>
      </c>
      <c r="X1518" s="11">
        <v>0.13885072080013144</v>
      </c>
      <c r="Y1518" s="11">
        <v>0.19445070819487248</v>
      </c>
      <c r="Z1518" s="11">
        <v>0.25222038551761544</v>
      </c>
    </row>
    <row r="1519" ht="22.5" customHeight="1">
      <c r="Q1519" s="9" t="s">
        <v>1557</v>
      </c>
      <c r="R1519" s="10">
        <v>0.7076538309815291</v>
      </c>
      <c r="S1519" s="10">
        <v>0.03163769509810774</v>
      </c>
      <c r="T1519" s="10">
        <v>21.103112249838382</v>
      </c>
      <c r="U1519" s="11">
        <v>0.1678565201966943</v>
      </c>
      <c r="V1519" s="11">
        <v>0.19224870477004008</v>
      </c>
      <c r="W1519" s="11">
        <v>0.2157449993178497</v>
      </c>
      <c r="X1519" s="11">
        <v>0.23362355267530116</v>
      </c>
      <c r="Y1519" s="11">
        <v>0.17171468058016226</v>
      </c>
      <c r="Z1519" s="11">
        <v>0.018811542459952514</v>
      </c>
    </row>
    <row r="1520" ht="22.5" customHeight="1">
      <c r="Q1520" s="9" t="s">
        <v>1558</v>
      </c>
      <c r="R1520" s="10">
        <v>0.5587075056795997</v>
      </c>
      <c r="S1520" s="10">
        <v>0.02458007810793188</v>
      </c>
      <c r="T1520" s="10">
        <v>21.102760674800912</v>
      </c>
      <c r="U1520" s="11">
        <v>0.08250255718457927</v>
      </c>
      <c r="V1520" s="11">
        <v>0.1885950049648812</v>
      </c>
      <c r="W1520" s="11">
        <v>0.12849890136239958</v>
      </c>
      <c r="X1520" s="11">
        <v>0.18049888416032328</v>
      </c>
      <c r="Y1520" s="11">
        <v>0.07795012945518398</v>
      </c>
      <c r="Z1520" s="11">
        <v>0.3419545228726326</v>
      </c>
    </row>
    <row r="1521" ht="22.5" customHeight="1">
      <c r="Q1521" s="9" t="s">
        <v>1559</v>
      </c>
      <c r="R1521" s="10">
        <v>0.7024604730349014</v>
      </c>
      <c r="S1521" s="10">
        <v>0.03139247902878037</v>
      </c>
      <c r="T1521" s="10">
        <v>21.10252179917244</v>
      </c>
      <c r="U1521" s="11">
        <v>0.10431617817635969</v>
      </c>
      <c r="V1521" s="11">
        <v>0.24144255256836689</v>
      </c>
      <c r="W1521" s="11">
        <v>0.1642714350186578</v>
      </c>
      <c r="X1521" s="11">
        <v>0.2360905485932054</v>
      </c>
      <c r="Y1521" s="11">
        <v>0.15990528564404524</v>
      </c>
      <c r="Z1521" s="11">
        <v>0.09397399999936511</v>
      </c>
    </row>
    <row r="1522" ht="22.5" customHeight="1">
      <c r="Q1522" s="9" t="s">
        <v>1560</v>
      </c>
      <c r="R1522" s="10">
        <v>0.6424227732015357</v>
      </c>
      <c r="S1522" s="10">
        <v>0.028547546983520508</v>
      </c>
      <c r="T1522" s="10">
        <v>21.10243565057597</v>
      </c>
      <c r="U1522" s="11">
        <v>0.21162695776350973</v>
      </c>
      <c r="V1522" s="11">
        <v>0.21879657646438433</v>
      </c>
      <c r="W1522" s="11">
        <v>0.1456989683649825</v>
      </c>
      <c r="X1522" s="11">
        <v>0.16575338393123787</v>
      </c>
      <c r="Y1522" s="11">
        <v>0.1831362660875641</v>
      </c>
      <c r="Z1522" s="11">
        <v>0.07498784738832151</v>
      </c>
    </row>
    <row r="1523" ht="22.5" customHeight="1">
      <c r="Q1523" s="9" t="s">
        <v>1561</v>
      </c>
      <c r="R1523" s="10">
        <v>0.494953025942129</v>
      </c>
      <c r="S1523" s="10">
        <v>0.021559847779727793</v>
      </c>
      <c r="T1523" s="10">
        <v>21.101866329961307</v>
      </c>
      <c r="U1523" s="11">
        <v>0.2341118508226873</v>
      </c>
      <c r="V1523" s="11">
        <v>0.12167431680164577</v>
      </c>
      <c r="W1523" s="11">
        <v>0.14637187565843726</v>
      </c>
      <c r="X1523" s="11">
        <v>0.11389578130945907</v>
      </c>
      <c r="Y1523" s="11">
        <v>0.16106449297387174</v>
      </c>
      <c r="Z1523" s="11">
        <v>0.22288168243389891</v>
      </c>
    </row>
    <row r="1524" ht="22.5" customHeight="1">
      <c r="Q1524" s="9" t="s">
        <v>1562</v>
      </c>
      <c r="R1524" s="10">
        <v>0.6333948603867647</v>
      </c>
      <c r="S1524" s="10">
        <v>0.02812059006930491</v>
      </c>
      <c r="T1524" s="10">
        <v>21.10179263394925</v>
      </c>
      <c r="U1524" s="11">
        <v>0.1957897465978633</v>
      </c>
      <c r="V1524" s="11">
        <v>0.17890638599858572</v>
      </c>
      <c r="W1524" s="11">
        <v>0.18135396028954812</v>
      </c>
      <c r="X1524" s="11">
        <v>0.14292100766196983</v>
      </c>
      <c r="Y1524" s="11">
        <v>0.2306828983852869</v>
      </c>
      <c r="Z1524" s="11">
        <v>0.07034600106674618</v>
      </c>
    </row>
    <row r="1525" ht="22.5" customHeight="1">
      <c r="Q1525" s="9" t="s">
        <v>1563</v>
      </c>
      <c r="R1525" s="10">
        <v>0.6376107681548981</v>
      </c>
      <c r="S1525" s="10">
        <v>0.028321218188197585</v>
      </c>
      <c r="T1525" s="10">
        <v>21.101167477461928</v>
      </c>
      <c r="U1525" s="11">
        <v>0.04452329920962772</v>
      </c>
      <c r="V1525" s="11">
        <v>0.16311099175140537</v>
      </c>
      <c r="W1525" s="11">
        <v>0.19827331956826738</v>
      </c>
      <c r="X1525" s="11">
        <v>0.2375472517610896</v>
      </c>
      <c r="Y1525" s="11">
        <v>0.20796235579828898</v>
      </c>
      <c r="Z1525" s="11">
        <v>0.148582781911321</v>
      </c>
    </row>
    <row r="1526" ht="22.5" customHeight="1">
      <c r="Q1526" s="9" t="s">
        <v>1564</v>
      </c>
      <c r="R1526" s="10">
        <v>0.4156444988287277</v>
      </c>
      <c r="S1526" s="10">
        <v>0.017802649876587258</v>
      </c>
      <c r="T1526" s="10">
        <v>21.100482312060066</v>
      </c>
      <c r="U1526" s="11">
        <v>0.20942538135375288</v>
      </c>
      <c r="V1526" s="11">
        <v>0.1067284125773535</v>
      </c>
      <c r="W1526" s="11">
        <v>0.10571840801938127</v>
      </c>
      <c r="X1526" s="11">
        <v>0.07111599729899179</v>
      </c>
      <c r="Y1526" s="11">
        <v>0.22932563520731436</v>
      </c>
      <c r="Z1526" s="11">
        <v>0.2776861655432064</v>
      </c>
    </row>
    <row r="1527" ht="22.5" customHeight="1">
      <c r="Q1527" s="9" t="s">
        <v>1565</v>
      </c>
      <c r="R1527" s="10">
        <v>0.35660292762506873</v>
      </c>
      <c r="S1527" s="10">
        <v>0.015004609301569907</v>
      </c>
      <c r="T1527" s="10">
        <v>21.10037797464964</v>
      </c>
      <c r="U1527" s="11">
        <v>0.2049946394114249</v>
      </c>
      <c r="V1527" s="11">
        <v>0.11223014508640207</v>
      </c>
      <c r="W1527" s="11">
        <v>0.04198508026322217</v>
      </c>
      <c r="X1527" s="11">
        <v>0.17244444996197758</v>
      </c>
      <c r="Y1527" s="11">
        <v>0.245356044184623</v>
      </c>
      <c r="Z1527" s="11">
        <v>0.22298964109235017</v>
      </c>
    </row>
    <row r="1528" ht="22.5" customHeight="1">
      <c r="Q1528" s="9" t="s">
        <v>1566</v>
      </c>
      <c r="R1528" s="10">
        <v>0.5234854252163572</v>
      </c>
      <c r="S1528" s="10">
        <v>0.02291369551699194</v>
      </c>
      <c r="T1528" s="10">
        <v>21.100281482654008</v>
      </c>
      <c r="U1528" s="11">
        <v>0.248380546962402</v>
      </c>
      <c r="V1528" s="11">
        <v>0.17976258940774612</v>
      </c>
      <c r="W1528" s="11">
        <v>0.09595458640079439</v>
      </c>
      <c r="X1528" s="11">
        <v>0.1391142721963472</v>
      </c>
      <c r="Y1528" s="11">
        <v>0.24723135706943397</v>
      </c>
      <c r="Z1528" s="11">
        <v>0.08955664796327627</v>
      </c>
    </row>
    <row r="1529" ht="22.5" customHeight="1">
      <c r="Q1529" s="9" t="s">
        <v>1567</v>
      </c>
      <c r="R1529" s="10">
        <v>0.6520328737565965</v>
      </c>
      <c r="S1529" s="10">
        <v>0.029006177433950328</v>
      </c>
      <c r="T1529" s="10">
        <v>21.100087219360436</v>
      </c>
      <c r="U1529" s="11">
        <v>0.15468923716597968</v>
      </c>
      <c r="V1529" s="11">
        <v>0.2073612870646261</v>
      </c>
      <c r="W1529" s="11">
        <v>0.16691751097201205</v>
      </c>
      <c r="X1529" s="11">
        <v>0.1493400755593708</v>
      </c>
      <c r="Y1529" s="11">
        <v>0.2261660729501315</v>
      </c>
      <c r="Z1529" s="11">
        <v>0.0955258162878798</v>
      </c>
    </row>
    <row r="1530" ht="22.5" customHeight="1">
      <c r="Q1530" s="9" t="s">
        <v>1568</v>
      </c>
      <c r="R1530" s="10">
        <v>0.568484863807927</v>
      </c>
      <c r="S1530" s="10">
        <v>0.025046991320707646</v>
      </c>
      <c r="T1530" s="10">
        <v>21.099734376919</v>
      </c>
      <c r="U1530" s="11">
        <v>0.23829216125330777</v>
      </c>
      <c r="V1530" s="11">
        <v>0.12546082472181327</v>
      </c>
      <c r="W1530" s="11">
        <v>0.18529194795616952</v>
      </c>
      <c r="X1530" s="11">
        <v>0.24406028621596212</v>
      </c>
      <c r="Y1530" s="11">
        <v>0.07403138852141693</v>
      </c>
      <c r="Z1530" s="11">
        <v>0.13286339133133043</v>
      </c>
    </row>
    <row r="1531" ht="22.5" customHeight="1">
      <c r="Q1531" s="9" t="s">
        <v>1569</v>
      </c>
      <c r="R1531" s="10">
        <v>0.46047285685646244</v>
      </c>
      <c r="S1531" s="10">
        <v>0.019927874527508212</v>
      </c>
      <c r="T1531" s="10">
        <v>21.099734257963462</v>
      </c>
      <c r="U1531" s="11">
        <v>0.2044670832633178</v>
      </c>
      <c r="V1531" s="11">
        <v>0.10200216039706628</v>
      </c>
      <c r="W1531" s="11">
        <v>0.138288774535527</v>
      </c>
      <c r="X1531" s="11">
        <v>0.1266729005925963</v>
      </c>
      <c r="Y1531" s="11">
        <v>0.2053642927025157</v>
      </c>
      <c r="Z1531" s="11">
        <v>0.2232047885089771</v>
      </c>
    </row>
    <row r="1532" ht="22.5" customHeight="1">
      <c r="Q1532" s="9" t="s">
        <v>1570</v>
      </c>
      <c r="R1532" s="10">
        <v>0.5286284415294165</v>
      </c>
      <c r="S1532" s="10">
        <v>0.02315819075359579</v>
      </c>
      <c r="T1532" s="10">
        <v>21.099594814139216</v>
      </c>
      <c r="U1532" s="11">
        <v>0.07531426695222519</v>
      </c>
      <c r="V1532" s="11">
        <v>0.18102425651774826</v>
      </c>
      <c r="W1532" s="11">
        <v>0.11465075408998002</v>
      </c>
      <c r="X1532" s="11">
        <v>0.1906162878646235</v>
      </c>
      <c r="Y1532" s="11">
        <v>0.05995173752973102</v>
      </c>
      <c r="Z1532" s="11">
        <v>0.37844269704569194</v>
      </c>
    </row>
    <row r="1533" ht="22.5" customHeight="1">
      <c r="Q1533" s="9" t="s">
        <v>1571</v>
      </c>
      <c r="R1533" s="10">
        <v>0.7224287371513245</v>
      </c>
      <c r="S1533" s="10">
        <v>0.032343975150495315</v>
      </c>
      <c r="T1533" s="10">
        <v>21.09909910504225</v>
      </c>
      <c r="U1533" s="11">
        <v>0.16874904389493442</v>
      </c>
      <c r="V1533" s="11">
        <v>0.2140417286710316</v>
      </c>
      <c r="W1533" s="11">
        <v>0.2099126903928447</v>
      </c>
      <c r="X1533" s="11">
        <v>0.2570515453731597</v>
      </c>
      <c r="Y1533" s="11">
        <v>0.04410710335854934</v>
      </c>
      <c r="Z1533" s="11">
        <v>0.10613788830948019</v>
      </c>
    </row>
    <row r="1534" ht="22.5" customHeight="1">
      <c r="Q1534" s="9" t="s">
        <v>1572</v>
      </c>
      <c r="R1534" s="10">
        <v>0.5928937229886271</v>
      </c>
      <c r="S1534" s="10">
        <v>0.02620465735314888</v>
      </c>
      <c r="T1534" s="10">
        <v>21.09906325190658</v>
      </c>
      <c r="U1534" s="11">
        <v>0.23542574565680652</v>
      </c>
      <c r="V1534" s="11">
        <v>0.1971168860861145</v>
      </c>
      <c r="W1534" s="11">
        <v>0.13351997965739348</v>
      </c>
      <c r="X1534" s="11">
        <v>0.12321513975418384</v>
      </c>
      <c r="Y1534" s="11">
        <v>0.2221227323590363</v>
      </c>
      <c r="Z1534" s="11">
        <v>0.08859951648646543</v>
      </c>
    </row>
    <row r="1535" ht="22.5" customHeight="1">
      <c r="Q1535" s="9" t="s">
        <v>1573</v>
      </c>
      <c r="R1535" s="10">
        <v>0.7389596253717376</v>
      </c>
      <c r="S1535" s="10">
        <v>0.033128160830929905</v>
      </c>
      <c r="T1535" s="10">
        <v>21.098654674459265</v>
      </c>
      <c r="U1535" s="11">
        <v>0.11807546585246195</v>
      </c>
      <c r="V1535" s="11">
        <v>0.2524123302205989</v>
      </c>
      <c r="W1535" s="11">
        <v>0.17448362399045045</v>
      </c>
      <c r="X1535" s="11">
        <v>0.24745988662533208</v>
      </c>
      <c r="Y1535" s="11">
        <v>0.19929809595836148</v>
      </c>
      <c r="Z1535" s="11">
        <v>0.00827059735279508</v>
      </c>
    </row>
    <row r="1536" ht="22.5" customHeight="1">
      <c r="Q1536" s="9" t="s">
        <v>1574</v>
      </c>
      <c r="R1536" s="10">
        <v>0.43292926776215157</v>
      </c>
      <c r="S1536" s="10">
        <v>0.018623607039268755</v>
      </c>
      <c r="T1536" s="10">
        <v>21.098451386653597</v>
      </c>
      <c r="U1536" s="11">
        <v>0.12625883832739931</v>
      </c>
      <c r="V1536" s="11">
        <v>0.14992757567604434</v>
      </c>
      <c r="W1536" s="11">
        <v>0.04403282871864181</v>
      </c>
      <c r="X1536" s="11">
        <v>0.2976079544986911</v>
      </c>
      <c r="Y1536" s="11">
        <v>0.27455216106702734</v>
      </c>
      <c r="Z1536" s="11">
        <v>0.10762064171219625</v>
      </c>
    </row>
    <row r="1537" ht="22.5" customHeight="1">
      <c r="Q1537" s="9" t="s">
        <v>1575</v>
      </c>
      <c r="R1537" s="10">
        <v>0.5725759720645015</v>
      </c>
      <c r="S1537" s="10">
        <v>0.025243601171414</v>
      </c>
      <c r="T1537" s="10">
        <v>21.097464202833056</v>
      </c>
      <c r="U1537" s="11">
        <v>0.12395304339889182</v>
      </c>
      <c r="V1537" s="11">
        <v>0.1240570443962495</v>
      </c>
      <c r="W1537" s="11">
        <v>0.18552855963604978</v>
      </c>
      <c r="X1537" s="11">
        <v>0.2411010045856124</v>
      </c>
      <c r="Y1537" s="11">
        <v>0.22235067436815945</v>
      </c>
      <c r="Z1537" s="11">
        <v>0.10300967361503702</v>
      </c>
    </row>
    <row r="1538" ht="22.5" customHeight="1">
      <c r="Q1538" s="9" t="s">
        <v>1576</v>
      </c>
      <c r="R1538" s="10">
        <v>0.522331348251574</v>
      </c>
      <c r="S1538" s="10">
        <v>0.032730926644476056</v>
      </c>
      <c r="T1538" s="10">
        <v>21.09701357660032</v>
      </c>
      <c r="U1538" s="11">
        <v>0.01858305781480869</v>
      </c>
      <c r="V1538" s="11">
        <v>0.2035248435077917</v>
      </c>
      <c r="W1538" s="11">
        <v>0.22106884979931224</v>
      </c>
      <c r="X1538" s="11">
        <v>0.29285785888627053</v>
      </c>
      <c r="Y1538" s="11">
        <v>0.1700322145036024</v>
      </c>
      <c r="Z1538" s="11">
        <v>0.0939331754882144</v>
      </c>
    </row>
    <row r="1539" ht="22.5" customHeight="1">
      <c r="Q1539" s="9" t="s">
        <v>1577</v>
      </c>
      <c r="R1539" s="10">
        <v>0.6073414870461268</v>
      </c>
      <c r="S1539" s="10">
        <v>0.026892032770401465</v>
      </c>
      <c r="T1539" s="10">
        <v>21.097010102953888</v>
      </c>
      <c r="U1539" s="11">
        <v>0.40016944544657307</v>
      </c>
      <c r="V1539" s="11">
        <v>0.20548287066219595</v>
      </c>
      <c r="W1539" s="11">
        <v>0.13067627465704307</v>
      </c>
      <c r="X1539" s="11">
        <v>0.156547753760773</v>
      </c>
      <c r="Y1539" s="11">
        <v>0.10319059301615154</v>
      </c>
      <c r="Z1539" s="11">
        <v>0.003933062457263436</v>
      </c>
    </row>
    <row r="1540" ht="22.5" customHeight="1">
      <c r="Q1540" s="9" t="s">
        <v>1578</v>
      </c>
      <c r="R1540" s="10">
        <v>0.6800378196839175</v>
      </c>
      <c r="S1540" s="10">
        <v>0.030338065511780178</v>
      </c>
      <c r="T1540" s="10">
        <v>21.096856667917496</v>
      </c>
      <c r="U1540" s="11">
        <v>0.11067832409761828</v>
      </c>
      <c r="V1540" s="11">
        <v>0.21721239841136675</v>
      </c>
      <c r="W1540" s="11">
        <v>0.17249080325769767</v>
      </c>
      <c r="X1540" s="11">
        <v>0.17311934415556798</v>
      </c>
      <c r="Y1540" s="11">
        <v>0.27974358215461437</v>
      </c>
      <c r="Z1540" s="11">
        <v>0.04675554792313501</v>
      </c>
    </row>
    <row r="1541" ht="22.5" customHeight="1">
      <c r="Q1541" s="9" t="s">
        <v>1579</v>
      </c>
      <c r="R1541" s="10">
        <v>0.43358318947086516</v>
      </c>
      <c r="S1541" s="10">
        <v>0.018656130155637014</v>
      </c>
      <c r="T1541" s="10">
        <v>21.096721891808986</v>
      </c>
      <c r="U1541" s="11">
        <v>0.3120371094737605</v>
      </c>
      <c r="V1541" s="11">
        <v>0.1291947327177204</v>
      </c>
      <c r="W1541" s="11">
        <v>0.09511783817487754</v>
      </c>
      <c r="X1541" s="11">
        <v>0.06909409959946848</v>
      </c>
      <c r="Y1541" s="11">
        <v>0.15997351101184862</v>
      </c>
      <c r="Z1541" s="11">
        <v>0.23458270902232442</v>
      </c>
    </row>
    <row r="1542" ht="22.5" customHeight="1">
      <c r="Q1542" s="9" t="s">
        <v>1580</v>
      </c>
      <c r="R1542" s="10">
        <v>0.7522000335075284</v>
      </c>
      <c r="S1542" s="10">
        <v>0.03375972959946516</v>
      </c>
      <c r="T1542" s="10">
        <v>21.096141525932467</v>
      </c>
      <c r="U1542" s="11">
        <v>0.2502544612088715</v>
      </c>
      <c r="V1542" s="11">
        <v>0.24240970505686263</v>
      </c>
      <c r="W1542" s="11">
        <v>0.19907475351617032</v>
      </c>
      <c r="X1542" s="11">
        <v>0.25402595874253414</v>
      </c>
      <c r="Y1542" s="11">
        <v>0.02990123599240006</v>
      </c>
      <c r="Z1542" s="11">
        <v>0.02433388548316128</v>
      </c>
    </row>
    <row r="1543" ht="22.5" customHeight="1">
      <c r="Q1543" s="9" t="s">
        <v>1581</v>
      </c>
      <c r="R1543" s="10">
        <v>0.6802029999237462</v>
      </c>
      <c r="S1543" s="10">
        <v>0.030348180021001564</v>
      </c>
      <c r="T1543" s="10">
        <v>21.09526829881438</v>
      </c>
      <c r="U1543" s="11">
        <v>0.06327566437496888</v>
      </c>
      <c r="V1543" s="11">
        <v>0.2236273741011406</v>
      </c>
      <c r="W1543" s="11">
        <v>0.17422946874715736</v>
      </c>
      <c r="X1543" s="11">
        <v>0.2374433484329176</v>
      </c>
      <c r="Y1543" s="11">
        <v>0.08343133423164875</v>
      </c>
      <c r="Z1543" s="11">
        <v>0.2179928101121669</v>
      </c>
    </row>
    <row r="1544" ht="22.5" customHeight="1">
      <c r="Q1544" s="9" t="s">
        <v>1582</v>
      </c>
      <c r="R1544" s="10">
        <v>0.6110917150853207</v>
      </c>
      <c r="S1544" s="10">
        <v>0.02707239458226068</v>
      </c>
      <c r="T1544" s="10">
        <v>21.09498342860041</v>
      </c>
      <c r="U1544" s="11">
        <v>0.17506217351928416</v>
      </c>
      <c r="V1544" s="11">
        <v>0.13318393269301376</v>
      </c>
      <c r="W1544" s="11">
        <v>0.201675528438438</v>
      </c>
      <c r="X1544" s="11">
        <v>0.2824862842636141</v>
      </c>
      <c r="Y1544" s="11">
        <v>0.1448600079461803</v>
      </c>
      <c r="Z1544" s="11">
        <v>0.06273207313946964</v>
      </c>
    </row>
    <row r="1545" ht="22.5" customHeight="1">
      <c r="Q1545" s="9" t="s">
        <v>1583</v>
      </c>
      <c r="R1545" s="10">
        <v>0.5187005879098832</v>
      </c>
      <c r="S1545" s="10">
        <v>0.022693672542267247</v>
      </c>
      <c r="T1545" s="10">
        <v>21.09401142623775</v>
      </c>
      <c r="U1545" s="11">
        <v>0.12082272284821745</v>
      </c>
      <c r="V1545" s="11">
        <v>0.10911029683243548</v>
      </c>
      <c r="W1545" s="11">
        <v>0.16320871470333753</v>
      </c>
      <c r="X1545" s="11">
        <v>0.19904872299401782</v>
      </c>
      <c r="Y1545" s="11">
        <v>0.2787014766249674</v>
      </c>
      <c r="Z1545" s="11">
        <v>0.12910806599702426</v>
      </c>
    </row>
    <row r="1546" ht="22.5" customHeight="1">
      <c r="Q1546" s="9" t="s">
        <v>1584</v>
      </c>
      <c r="R1546" s="10">
        <v>0.5606759918471579</v>
      </c>
      <c r="S1546" s="10">
        <v>0.02468379872526246</v>
      </c>
      <c r="T1546" s="10">
        <v>21.093835581890225</v>
      </c>
      <c r="U1546" s="11">
        <v>0.19603558553744077</v>
      </c>
      <c r="V1546" s="11">
        <v>0.20778629736120494</v>
      </c>
      <c r="W1546" s="11">
        <v>0.08164343465455834</v>
      </c>
      <c r="X1546" s="11">
        <v>0.30751140112635583</v>
      </c>
      <c r="Y1546" s="11">
        <v>0.14638599886759107</v>
      </c>
      <c r="Z1546" s="11">
        <v>0.06063728245284897</v>
      </c>
    </row>
    <row r="1547" ht="22.5" customHeight="1">
      <c r="Q1547" s="9" t="s">
        <v>1585</v>
      </c>
      <c r="R1547" s="10">
        <v>0.5804339722516155</v>
      </c>
      <c r="S1547" s="10">
        <v>0.025621326613936662</v>
      </c>
      <c r="T1547" s="10">
        <v>21.093129969220552</v>
      </c>
      <c r="U1547" s="11">
        <v>0.22544606144249527</v>
      </c>
      <c r="V1547" s="11">
        <v>0.12069618187960343</v>
      </c>
      <c r="W1547" s="11">
        <v>0.19172348795455288</v>
      </c>
      <c r="X1547" s="11">
        <v>0.263409080493773</v>
      </c>
      <c r="Y1547" s="11">
        <v>0.14888951521051683</v>
      </c>
      <c r="Z1547" s="11">
        <v>0.04983567301905846</v>
      </c>
    </row>
    <row r="1548" ht="22.5" customHeight="1">
      <c r="Q1548" s="9" t="s">
        <v>1586</v>
      </c>
      <c r="R1548" s="10">
        <v>0.5556168741537246</v>
      </c>
      <c r="S1548" s="10">
        <v>0.02444499545260837</v>
      </c>
      <c r="T1548" s="10">
        <v>21.09294211788067</v>
      </c>
      <c r="U1548" s="11">
        <v>0.0896015928474664</v>
      </c>
      <c r="V1548" s="11">
        <v>0.20511767542809473</v>
      </c>
      <c r="W1548" s="11">
        <v>0.07936318170815806</v>
      </c>
      <c r="X1548" s="11">
        <v>0.32419440494995655</v>
      </c>
      <c r="Y1548" s="11">
        <v>0.2134485390232489</v>
      </c>
      <c r="Z1548" s="11">
        <v>0.08827460604307552</v>
      </c>
    </row>
    <row r="1549" ht="22.5" customHeight="1">
      <c r="Q1549" s="9" t="s">
        <v>1587</v>
      </c>
      <c r="R1549" s="10">
        <v>0.4899614936549127</v>
      </c>
      <c r="S1549" s="10">
        <v>0.02133266546779807</v>
      </c>
      <c r="T1549" s="10">
        <v>21.09260534433146</v>
      </c>
      <c r="U1549" s="11">
        <v>0.18337938327730777</v>
      </c>
      <c r="V1549" s="11">
        <v>0.15529865249853717</v>
      </c>
      <c r="W1549" s="11">
        <v>0.11006734806855517</v>
      </c>
      <c r="X1549" s="11">
        <v>0.08176465613580063</v>
      </c>
      <c r="Y1549" s="11">
        <v>0.22098073094587964</v>
      </c>
      <c r="Z1549" s="11">
        <v>0.24850922907391956</v>
      </c>
    </row>
    <row r="1550" ht="22.5" customHeight="1">
      <c r="Q1550" s="9" t="s">
        <v>1588</v>
      </c>
      <c r="R1550" s="10">
        <v>0.5101207955479347</v>
      </c>
      <c r="S1550" s="10">
        <v>0.022288602874851935</v>
      </c>
      <c r="T1550" s="10">
        <v>21.092429982606422</v>
      </c>
      <c r="U1550" s="11">
        <v>0.11649626153946865</v>
      </c>
      <c r="V1550" s="11">
        <v>0.167306225169281</v>
      </c>
      <c r="W1550" s="11">
        <v>0.1087951360208433</v>
      </c>
      <c r="X1550" s="11">
        <v>0.1082844967890068</v>
      </c>
      <c r="Y1550" s="11">
        <v>0.270200602383158</v>
      </c>
      <c r="Z1550" s="11">
        <v>0.2289172780982424</v>
      </c>
    </row>
    <row r="1551" ht="22.5" customHeight="1">
      <c r="Q1551" s="9" t="s">
        <v>1589</v>
      </c>
      <c r="R1551" s="10">
        <v>0.44629326774159606</v>
      </c>
      <c r="S1551" s="10">
        <v>0.01926257662852888</v>
      </c>
      <c r="T1551" s="10">
        <v>21.09236347643412</v>
      </c>
      <c r="U1551" s="11">
        <v>0.19645873632232877</v>
      </c>
      <c r="V1551" s="11">
        <v>0.16012478270495853</v>
      </c>
      <c r="W1551" s="11">
        <v>0.062460258024170844</v>
      </c>
      <c r="X1551" s="11">
        <v>0.25726410819060946</v>
      </c>
      <c r="Y1551" s="11">
        <v>0.0326471844480096</v>
      </c>
      <c r="Z1551" s="11">
        <v>0.2910449303099226</v>
      </c>
    </row>
    <row r="1552" ht="22.5" customHeight="1">
      <c r="Q1552" s="9" t="s">
        <v>1590</v>
      </c>
      <c r="R1552" s="10">
        <v>0.7017794548039689</v>
      </c>
      <c r="S1552" s="10">
        <v>0.031375895128887256</v>
      </c>
      <c r="T1552" s="10">
        <v>21.09197051065739</v>
      </c>
      <c r="U1552" s="11">
        <v>0.1690489679448037</v>
      </c>
      <c r="V1552" s="11">
        <v>0.23363434381676265</v>
      </c>
      <c r="W1552" s="11">
        <v>0.17010830760675044</v>
      </c>
      <c r="X1552" s="11">
        <v>0.1889782221388811</v>
      </c>
      <c r="Y1552" s="11">
        <v>0.2232461517617603</v>
      </c>
      <c r="Z1552" s="11">
        <v>0.014984006731041897</v>
      </c>
    </row>
    <row r="1553" ht="22.5" customHeight="1">
      <c r="Q1553" s="9" t="s">
        <v>1591</v>
      </c>
      <c r="R1553" s="10">
        <v>0.5470430705095016</v>
      </c>
      <c r="S1553" s="10">
        <v>0.024039698813868228</v>
      </c>
      <c r="T1553" s="10">
        <v>21.091906118931664</v>
      </c>
      <c r="U1553" s="11">
        <v>0.06042053225015189</v>
      </c>
      <c r="V1553" s="11">
        <v>0.19968117334020322</v>
      </c>
      <c r="W1553" s="11">
        <v>0.08208830987002941</v>
      </c>
      <c r="X1553" s="11">
        <v>0.2889214157247326</v>
      </c>
      <c r="Y1553" s="11">
        <v>0.25399723185808526</v>
      </c>
      <c r="Z1553" s="11">
        <v>0.11489133695679768</v>
      </c>
    </row>
    <row r="1554" ht="22.5" customHeight="1">
      <c r="Q1554" s="9" t="s">
        <v>1592</v>
      </c>
      <c r="R1554" s="10">
        <v>0.607084788903977</v>
      </c>
      <c r="S1554" s="10">
        <v>0.02688718348945007</v>
      </c>
      <c r="T1554" s="10">
        <v>21.091267857285548</v>
      </c>
      <c r="U1554" s="11">
        <v>0.1583801305926675</v>
      </c>
      <c r="V1554" s="11">
        <v>0.17601845906580307</v>
      </c>
      <c r="W1554" s="11">
        <v>0.17366824780268447</v>
      </c>
      <c r="X1554" s="11">
        <v>0.15441414995743483</v>
      </c>
      <c r="Y1554" s="11">
        <v>0.11921319400147733</v>
      </c>
      <c r="Z1554" s="11">
        <v>0.21830581857993275</v>
      </c>
    </row>
    <row r="1555" ht="22.5" customHeight="1">
      <c r="Q1555" s="9" t="s">
        <v>1593</v>
      </c>
      <c r="R1555" s="10">
        <v>0.6279011085124638</v>
      </c>
      <c r="S1555" s="10">
        <v>0.027874533744799562</v>
      </c>
      <c r="T1555" s="10">
        <v>21.090975508142666</v>
      </c>
      <c r="U1555" s="11">
        <v>0.18696011940650353</v>
      </c>
      <c r="V1555" s="11">
        <v>0.18031882977292515</v>
      </c>
      <c r="W1555" s="11">
        <v>0.17953478933733807</v>
      </c>
      <c r="X1555" s="11">
        <v>0.14283299870478156</v>
      </c>
      <c r="Y1555" s="11">
        <v>0.18673827314853841</v>
      </c>
      <c r="Z1555" s="11">
        <v>0.12361498962991321</v>
      </c>
    </row>
    <row r="1556" ht="22.5" customHeight="1">
      <c r="Q1556" s="9" t="s">
        <v>1594</v>
      </c>
      <c r="R1556" s="10">
        <v>0.6667204123796541</v>
      </c>
      <c r="S1556" s="10">
        <v>0.029715479426838918</v>
      </c>
      <c r="T1556" s="10">
        <v>21.09070506241277</v>
      </c>
      <c r="U1556" s="11">
        <v>0.12782922793118567</v>
      </c>
      <c r="V1556" s="11">
        <v>0.18227162990652487</v>
      </c>
      <c r="W1556" s="11">
        <v>0.2030828274208784</v>
      </c>
      <c r="X1556" s="11">
        <v>0.22200200127422226</v>
      </c>
      <c r="Y1556" s="11">
        <v>0.12691115212686735</v>
      </c>
      <c r="Z1556" s="11">
        <v>0.1379031613403216</v>
      </c>
    </row>
    <row r="1557" ht="22.5" customHeight="1">
      <c r="Q1557" s="9" t="s">
        <v>1595</v>
      </c>
      <c r="R1557" s="10">
        <v>0.2819265493114577</v>
      </c>
      <c r="S1557" s="10">
        <v>0.011470864936591612</v>
      </c>
      <c r="T1557" s="10">
        <v>21.090523744179173</v>
      </c>
      <c r="U1557" s="11">
        <v>0.29165346176497037</v>
      </c>
      <c r="V1557" s="11">
        <v>0.04060764054806539</v>
      </c>
      <c r="W1557" s="11">
        <v>0.06224457685374182</v>
      </c>
      <c r="X1557" s="11">
        <v>0.22850950665244804</v>
      </c>
      <c r="Y1557" s="11">
        <v>0.07766789242541526</v>
      </c>
      <c r="Z1557" s="11">
        <v>0.29931692175535907</v>
      </c>
    </row>
    <row r="1558" ht="22.5" customHeight="1">
      <c r="Q1558" s="9" t="s">
        <v>1596</v>
      </c>
      <c r="R1558" s="10">
        <v>0.5720276398567614</v>
      </c>
      <c r="S1558" s="10">
        <v>0.02522829656047219</v>
      </c>
      <c r="T1558" s="10">
        <v>21.088528057433123</v>
      </c>
      <c r="U1558" s="11">
        <v>0.10282461339941118</v>
      </c>
      <c r="V1558" s="11">
        <v>0.19861949033400592</v>
      </c>
      <c r="W1558" s="11">
        <v>0.11983397184676774</v>
      </c>
      <c r="X1558" s="11">
        <v>0.1611875861658262</v>
      </c>
      <c r="Y1558" s="11">
        <v>0.20673002102007138</v>
      </c>
      <c r="Z1558" s="11">
        <v>0.2108043172339174</v>
      </c>
    </row>
    <row r="1559" ht="22.5" customHeight="1">
      <c r="Q1559" s="9" t="s">
        <v>1597</v>
      </c>
      <c r="R1559" s="10">
        <v>0.6637246765760056</v>
      </c>
      <c r="S1559" s="10">
        <v>0.02957689046078395</v>
      </c>
      <c r="T1559" s="10">
        <v>21.088243789623633</v>
      </c>
      <c r="U1559" s="11">
        <v>0.07264398661844819</v>
      </c>
      <c r="V1559" s="11">
        <v>0.21677590325159538</v>
      </c>
      <c r="W1559" s="11">
        <v>0.16908170176247458</v>
      </c>
      <c r="X1559" s="11">
        <v>0.19214977009488382</v>
      </c>
      <c r="Y1559" s="11">
        <v>0.1619705455551817</v>
      </c>
      <c r="Z1559" s="11">
        <v>0.18737809271741632</v>
      </c>
    </row>
    <row r="1560" ht="22.5" customHeight="1">
      <c r="Q1560" s="9" t="s">
        <v>1598</v>
      </c>
      <c r="R1560" s="10">
        <v>0.3066372303292418</v>
      </c>
      <c r="S1560" s="10">
        <v>0.012644147230590553</v>
      </c>
      <c r="T1560" s="10">
        <v>21.087798604887674</v>
      </c>
      <c r="U1560" s="11">
        <v>0.08208550545513284</v>
      </c>
      <c r="V1560" s="11">
        <v>0.04122244921221743</v>
      </c>
      <c r="W1560" s="11">
        <v>0.08031257761467608</v>
      </c>
      <c r="X1560" s="11">
        <v>0.2484662477499484</v>
      </c>
      <c r="Y1560" s="11">
        <v>0.18974633690540257</v>
      </c>
      <c r="Z1560" s="11">
        <v>0.3581668830626227</v>
      </c>
    </row>
    <row r="1561" ht="22.5" customHeight="1">
      <c r="Q1561" s="9" t="s">
        <v>1599</v>
      </c>
      <c r="R1561" s="10">
        <v>0.4574149821053245</v>
      </c>
      <c r="S1561" s="10">
        <v>0.019794974575891126</v>
      </c>
      <c r="T1561" s="10">
        <v>21.086916808355305</v>
      </c>
      <c r="U1561" s="11">
        <v>0.2836608624276303</v>
      </c>
      <c r="V1561" s="11">
        <v>0.15792375572741918</v>
      </c>
      <c r="W1561" s="11">
        <v>0.05375898003745831</v>
      </c>
      <c r="X1561" s="11">
        <v>0.24438326284905204</v>
      </c>
      <c r="Y1561" s="11">
        <v>0.2536953871669525</v>
      </c>
      <c r="Z1561" s="11">
        <v>0.0065777517914874335</v>
      </c>
    </row>
    <row r="1562" ht="22.5" customHeight="1">
      <c r="Q1562" s="9" t="s">
        <v>1600</v>
      </c>
      <c r="R1562" s="10">
        <v>0.6897549505011268</v>
      </c>
      <c r="S1562" s="10">
        <v>0.030813310239145592</v>
      </c>
      <c r="T1562" s="10">
        <v>21.08682726582457</v>
      </c>
      <c r="U1562" s="11">
        <v>0.1023383183531638</v>
      </c>
      <c r="V1562" s="11">
        <v>0.20908685538993305</v>
      </c>
      <c r="W1562" s="11">
        <v>0.1925156156110148</v>
      </c>
      <c r="X1562" s="11">
        <v>0.19120328634738898</v>
      </c>
      <c r="Y1562" s="11">
        <v>0.1936429872983183</v>
      </c>
      <c r="Z1562" s="11">
        <v>0.11121293700018112</v>
      </c>
    </row>
    <row r="1563" ht="22.5" customHeight="1">
      <c r="Q1563" s="9" t="s">
        <v>1601</v>
      </c>
      <c r="R1563" s="10">
        <v>0.6536573322142202</v>
      </c>
      <c r="S1563" s="10">
        <v>0.02910247212160777</v>
      </c>
      <c r="T1563" s="10">
        <v>21.086089513289036</v>
      </c>
      <c r="U1563" s="11">
        <v>0.22507411009755166</v>
      </c>
      <c r="V1563" s="11">
        <v>0.19722739250781293</v>
      </c>
      <c r="W1563" s="11">
        <v>0.18310215087327278</v>
      </c>
      <c r="X1563" s="11">
        <v>0.18043601866981485</v>
      </c>
      <c r="Y1563" s="11">
        <v>0.05771508927214149</v>
      </c>
      <c r="Z1563" s="11">
        <v>0.15644523857940626</v>
      </c>
    </row>
    <row r="1564" ht="22.5" customHeight="1">
      <c r="Q1564" s="9" t="s">
        <v>1602</v>
      </c>
      <c r="R1564" s="10">
        <v>0.4940232916410258</v>
      </c>
      <c r="S1564" s="10">
        <v>0.021532795641251923</v>
      </c>
      <c r="T1564" s="10">
        <v>21.08519948850584</v>
      </c>
      <c r="U1564" s="11">
        <v>0.09229256044683205</v>
      </c>
      <c r="V1564" s="11">
        <v>0.09442588758081312</v>
      </c>
      <c r="W1564" s="11">
        <v>0.16147089108080584</v>
      </c>
      <c r="X1564" s="11">
        <v>0.25317761357179425</v>
      </c>
      <c r="Y1564" s="11">
        <v>0.1870991746457375</v>
      </c>
      <c r="Z1564" s="11">
        <v>0.21153387267401713</v>
      </c>
    </row>
    <row r="1565" ht="22.5" customHeight="1">
      <c r="Q1565" s="9" t="s">
        <v>1603</v>
      </c>
      <c r="R1565" s="10">
        <v>0.45183089813446775</v>
      </c>
      <c r="S1565" s="10">
        <v>0.01953277881296065</v>
      </c>
      <c r="T1565" s="10">
        <v>21.084091622498907</v>
      </c>
      <c r="U1565" s="11">
        <v>0.12728822303871767</v>
      </c>
      <c r="V1565" s="11">
        <v>0.14882215859796655</v>
      </c>
      <c r="W1565" s="11">
        <v>0.0952800835733343</v>
      </c>
      <c r="X1565" s="11">
        <v>0.13859526671937666</v>
      </c>
      <c r="Y1565" s="11">
        <v>0.07014750862817304</v>
      </c>
      <c r="Z1565" s="11">
        <v>0.41986675944243174</v>
      </c>
    </row>
    <row r="1566" ht="22.5" customHeight="1">
      <c r="Q1566" s="9" t="s">
        <v>1604</v>
      </c>
      <c r="R1566" s="10">
        <v>0.49783634871785926</v>
      </c>
      <c r="S1566" s="10">
        <v>0.021715008782718325</v>
      </c>
      <c r="T1566" s="10">
        <v>21.08386661497571</v>
      </c>
      <c r="U1566" s="11">
        <v>0.10913719544264829</v>
      </c>
      <c r="V1566" s="11">
        <v>0.09936845226927402</v>
      </c>
      <c r="W1566" s="11">
        <v>0.16242189872014512</v>
      </c>
      <c r="X1566" s="11">
        <v>0.2391320223614132</v>
      </c>
      <c r="Y1566" s="11">
        <v>0.15474506480165218</v>
      </c>
      <c r="Z1566" s="11">
        <v>0.23519536640486716</v>
      </c>
    </row>
    <row r="1567" ht="22.5" customHeight="1">
      <c r="Q1567" s="9" t="s">
        <v>1605</v>
      </c>
      <c r="R1567" s="10">
        <v>0.522331348251574</v>
      </c>
      <c r="S1567" s="10">
        <v>0.02401318778315385</v>
      </c>
      <c r="T1567" s="10">
        <v>21.083689749429908</v>
      </c>
      <c r="U1567" s="11">
        <v>0.24251385975169332</v>
      </c>
      <c r="V1567" s="11">
        <v>0.19918717456818777</v>
      </c>
      <c r="W1567" s="11">
        <v>0.08253221559465393</v>
      </c>
      <c r="X1567" s="11">
        <v>0.24673752318150674</v>
      </c>
      <c r="Y1567" s="11">
        <v>0.1892616175013484</v>
      </c>
      <c r="Z1567" s="11">
        <v>0.03976760940260986</v>
      </c>
    </row>
    <row r="1568" ht="22.5" customHeight="1">
      <c r="Q1568" s="9" t="s">
        <v>1606</v>
      </c>
      <c r="R1568" s="10">
        <v>0.5390628828261557</v>
      </c>
      <c r="S1568" s="10">
        <v>0.02367094671694642</v>
      </c>
      <c r="T1568" s="10">
        <v>21.08335119815332</v>
      </c>
      <c r="U1568" s="11">
        <v>0.25995633316363376</v>
      </c>
      <c r="V1568" s="11">
        <v>0.10336276471231368</v>
      </c>
      <c r="W1568" s="11">
        <v>0.17692303454792127</v>
      </c>
      <c r="X1568" s="11">
        <v>0.24590743938782955</v>
      </c>
      <c r="Y1568" s="11">
        <v>0.1897589625682362</v>
      </c>
      <c r="Z1568" s="11">
        <v>0.02409146562006552</v>
      </c>
    </row>
    <row r="1569" ht="22.5" customHeight="1">
      <c r="Q1569" s="9" t="s">
        <v>1607</v>
      </c>
      <c r="R1569" s="10">
        <v>0.522331348251574</v>
      </c>
      <c r="S1569" s="10">
        <v>0.029085327524742747</v>
      </c>
      <c r="T1569" s="10">
        <v>21.08334665378629</v>
      </c>
      <c r="U1569" s="11">
        <v>0.11143772475387762</v>
      </c>
      <c r="V1569" s="11">
        <v>0.1654665283752177</v>
      </c>
      <c r="W1569" s="11">
        <v>0.20438012487206952</v>
      </c>
      <c r="X1569" s="11">
        <v>0.22621184255148485</v>
      </c>
      <c r="Y1569" s="11">
        <v>0.21877050006898496</v>
      </c>
      <c r="Z1569" s="11">
        <v>0.07373327937836542</v>
      </c>
    </row>
    <row r="1570" ht="22.5" customHeight="1">
      <c r="Q1570" s="9" t="s">
        <v>1608</v>
      </c>
      <c r="R1570" s="10">
        <v>0.6812439152867343</v>
      </c>
      <c r="S1570" s="10">
        <v>0.03041545709538575</v>
      </c>
      <c r="T1570" s="10">
        <v>21.082830130605394</v>
      </c>
      <c r="U1570" s="11">
        <v>0.17182711975655754</v>
      </c>
      <c r="V1570" s="11">
        <v>0.1998531205235382</v>
      </c>
      <c r="W1570" s="11">
        <v>0.19764681603620238</v>
      </c>
      <c r="X1570" s="11">
        <v>0.19979016537620814</v>
      </c>
      <c r="Y1570" s="11">
        <v>0.10307508900399782</v>
      </c>
      <c r="Z1570" s="11">
        <v>0.12780768930349598</v>
      </c>
    </row>
    <row r="1571" ht="22.5" customHeight="1">
      <c r="Q1571" s="9" t="s">
        <v>1609</v>
      </c>
      <c r="R1571" s="10">
        <v>0.7287959066221195</v>
      </c>
      <c r="S1571" s="10">
        <v>0.0326716829775927</v>
      </c>
      <c r="T1571" s="10">
        <v>21.082351560968497</v>
      </c>
      <c r="U1571" s="11">
        <v>0.14258418302633938</v>
      </c>
      <c r="V1571" s="11">
        <v>0.2252281820425722</v>
      </c>
      <c r="W1571" s="11">
        <v>0.20127757871135205</v>
      </c>
      <c r="X1571" s="11">
        <v>0.20866231784621314</v>
      </c>
      <c r="Y1571" s="11">
        <v>0.1734873169617262</v>
      </c>
      <c r="Z1571" s="11">
        <v>0.048760421411797185</v>
      </c>
    </row>
    <row r="1572" ht="22.5" customHeight="1">
      <c r="Q1572" s="9" t="s">
        <v>1610</v>
      </c>
      <c r="R1572" s="10">
        <v>0.6294224362193023</v>
      </c>
      <c r="S1572" s="10">
        <v>0.027958138646301114</v>
      </c>
      <c r="T1572" s="10">
        <v>21.082320381771314</v>
      </c>
      <c r="U1572" s="11">
        <v>0.16209519379573656</v>
      </c>
      <c r="V1572" s="11">
        <v>0.18520378302408136</v>
      </c>
      <c r="W1572" s="11">
        <v>0.17705036886369477</v>
      </c>
      <c r="X1572" s="11">
        <v>0.14293564057072716</v>
      </c>
      <c r="Y1572" s="11">
        <v>0.18420930828259519</v>
      </c>
      <c r="Z1572" s="11">
        <v>0.14850570546316483</v>
      </c>
    </row>
    <row r="1573" ht="22.5" customHeight="1">
      <c r="Q1573" s="9" t="s">
        <v>1611</v>
      </c>
      <c r="R1573" s="10">
        <v>0.6605384573155656</v>
      </c>
      <c r="S1573" s="10">
        <v>0.029434222973076254</v>
      </c>
      <c r="T1573" s="10">
        <v>21.08220957227842</v>
      </c>
      <c r="U1573" s="11">
        <v>0.1582127702268881</v>
      </c>
      <c r="V1573" s="11">
        <v>0.19418473870626013</v>
      </c>
      <c r="W1573" s="11">
        <v>0.19150931737728008</v>
      </c>
      <c r="X1573" s="11">
        <v>0.22417228733504604</v>
      </c>
      <c r="Y1573" s="11">
        <v>0.025496450301595065</v>
      </c>
      <c r="Z1573" s="11">
        <v>0.20642443605293065</v>
      </c>
    </row>
    <row r="1574" ht="22.5" customHeight="1">
      <c r="Q1574" s="9" t="s">
        <v>1612</v>
      </c>
      <c r="R1574" s="10">
        <v>0.5312091556079228</v>
      </c>
      <c r="S1574" s="10">
        <v>0.023300374535782716</v>
      </c>
      <c r="T1574" s="10">
        <v>21.081599132819345</v>
      </c>
      <c r="U1574" s="11">
        <v>0.19881858208613096</v>
      </c>
      <c r="V1574" s="11">
        <v>0.18664797201256297</v>
      </c>
      <c r="W1574" s="11">
        <v>0.10071556798074596</v>
      </c>
      <c r="X1574" s="11">
        <v>0.14887145163448992</v>
      </c>
      <c r="Y1574" s="11">
        <v>0.1801545578111418</v>
      </c>
      <c r="Z1574" s="11">
        <v>0.18479186847492823</v>
      </c>
    </row>
    <row r="1575" ht="22.5" customHeight="1">
      <c r="Q1575" s="9" t="s">
        <v>1613</v>
      </c>
      <c r="R1575" s="10">
        <v>0.7087210611696377</v>
      </c>
      <c r="S1575" s="10">
        <v>0.03172253426585295</v>
      </c>
      <c r="T1575" s="10">
        <v>21.08031645786473</v>
      </c>
      <c r="U1575" s="11">
        <v>0.09284834055534963</v>
      </c>
      <c r="V1575" s="11">
        <v>0.21501257206391147</v>
      </c>
      <c r="W1575" s="11">
        <v>0.2013504432620471</v>
      </c>
      <c r="X1575" s="11">
        <v>0.2323236200205384</v>
      </c>
      <c r="Y1575" s="11">
        <v>0.110750165883866</v>
      </c>
      <c r="Z1575" s="11">
        <v>0.14771485821428743</v>
      </c>
    </row>
    <row r="1576" ht="22.5" customHeight="1">
      <c r="Q1576" s="9" t="s">
        <v>1614</v>
      </c>
      <c r="R1576" s="10">
        <v>0.6135679366367578</v>
      </c>
      <c r="S1576" s="10">
        <v>0.02720943770870889</v>
      </c>
      <c r="T1576" s="10">
        <v>21.079742359143886</v>
      </c>
      <c r="U1576" s="11">
        <v>0.20589393950259932</v>
      </c>
      <c r="V1576" s="11">
        <v>0.20899304537400845</v>
      </c>
      <c r="W1576" s="11">
        <v>0.1397684244399891</v>
      </c>
      <c r="X1576" s="11">
        <v>0.1521556146006517</v>
      </c>
      <c r="Y1576" s="11">
        <v>0.14354273213163476</v>
      </c>
      <c r="Z1576" s="11">
        <v>0.14964624395111673</v>
      </c>
    </row>
    <row r="1577" ht="22.5" customHeight="1">
      <c r="Q1577" s="9" t="s">
        <v>1615</v>
      </c>
      <c r="R1577" s="10">
        <v>0.6935852151837258</v>
      </c>
      <c r="S1577" s="10">
        <v>0.03100573315984511</v>
      </c>
      <c r="T1577" s="10">
        <v>21.079495582777273</v>
      </c>
      <c r="U1577" s="11">
        <v>0.23190770627633514</v>
      </c>
      <c r="V1577" s="11">
        <v>0.21992239589438836</v>
      </c>
      <c r="W1577" s="11">
        <v>0.18560539698671918</v>
      </c>
      <c r="X1577" s="11">
        <v>0.19432248505738584</v>
      </c>
      <c r="Y1577" s="11">
        <v>0.06933061845346682</v>
      </c>
      <c r="Z1577" s="11">
        <v>0.09891139733170472</v>
      </c>
    </row>
    <row r="1578" ht="22.5" customHeight="1">
      <c r="Q1578" s="9" t="s">
        <v>1616</v>
      </c>
      <c r="R1578" s="10">
        <v>0.5443976682946479</v>
      </c>
      <c r="S1578" s="10">
        <v>0.02392879937988911</v>
      </c>
      <c r="T1578" s="10">
        <v>21.079104734296337</v>
      </c>
      <c r="U1578" s="11">
        <v>0.13091916111561688</v>
      </c>
      <c r="V1578" s="11">
        <v>0.14220551358186675</v>
      </c>
      <c r="W1578" s="11">
        <v>0.1569884933824688</v>
      </c>
      <c r="X1578" s="11">
        <v>0.11990306784167042</v>
      </c>
      <c r="Y1578" s="11">
        <v>0.2846675272832592</v>
      </c>
      <c r="Z1578" s="11">
        <v>0.16531623679511792</v>
      </c>
    </row>
    <row r="1579" ht="22.5" customHeight="1">
      <c r="Q1579" s="9" t="s">
        <v>1617</v>
      </c>
      <c r="R1579" s="10">
        <v>0.522331348251574</v>
      </c>
      <c r="S1579" s="10">
        <v>0.02952507537872733</v>
      </c>
      <c r="T1579" s="10">
        <v>21.07901097763235</v>
      </c>
      <c r="U1579" s="11">
        <v>0.15374011855577674</v>
      </c>
      <c r="V1579" s="11">
        <v>0.18676352429102927</v>
      </c>
      <c r="W1579" s="11">
        <v>0.19851744869940172</v>
      </c>
      <c r="X1579" s="11">
        <v>0.22479900275498108</v>
      </c>
      <c r="Y1579" s="11">
        <v>0.05666356687636731</v>
      </c>
      <c r="Z1579" s="11">
        <v>0.17951633882244372</v>
      </c>
    </row>
    <row r="1580" ht="22.5" customHeight="1">
      <c r="Q1580" s="9" t="s">
        <v>1618</v>
      </c>
      <c r="R1580" s="10">
        <v>0.6070992369273631</v>
      </c>
      <c r="S1580" s="10">
        <v>0.026903690579452615</v>
      </c>
      <c r="T1580" s="10">
        <v>21.078864078242063</v>
      </c>
      <c r="U1580" s="11">
        <v>0.1825755960919512</v>
      </c>
      <c r="V1580" s="11">
        <v>0.14077213083534565</v>
      </c>
      <c r="W1580" s="11">
        <v>0.197970996506774</v>
      </c>
      <c r="X1580" s="11">
        <v>0.26513427173544785</v>
      </c>
      <c r="Y1580" s="11">
        <v>0.07261757551833499</v>
      </c>
      <c r="Z1580" s="11">
        <v>0.1409294293121464</v>
      </c>
    </row>
    <row r="1581" ht="22.5" customHeight="1">
      <c r="Q1581" s="9" t="s">
        <v>1619</v>
      </c>
      <c r="R1581" s="10">
        <v>0.6003877415480057</v>
      </c>
      <c r="S1581" s="10">
        <v>0.02658550090370099</v>
      </c>
      <c r="T1581" s="10">
        <v>21.07869788039215</v>
      </c>
      <c r="U1581" s="11">
        <v>0.11600932697334619</v>
      </c>
      <c r="V1581" s="11">
        <v>0.21520738581495932</v>
      </c>
      <c r="W1581" s="11">
        <v>0.11522233859097301</v>
      </c>
      <c r="X1581" s="11">
        <v>0.20922669583041406</v>
      </c>
      <c r="Y1581" s="11">
        <v>0.2196530806001955</v>
      </c>
      <c r="Z1581" s="11">
        <v>0.12468117219011188</v>
      </c>
    </row>
    <row r="1582" ht="22.5" customHeight="1">
      <c r="Q1582" s="9" t="s">
        <v>1620</v>
      </c>
      <c r="R1582" s="10">
        <v>0.4776059965193868</v>
      </c>
      <c r="S1582" s="10">
        <v>0.020761358156970847</v>
      </c>
      <c r="T1582" s="10">
        <v>21.077907967810667</v>
      </c>
      <c r="U1582" s="11">
        <v>0.2362636472028827</v>
      </c>
      <c r="V1582" s="11">
        <v>0.15320898629213067</v>
      </c>
      <c r="W1582" s="11">
        <v>0.10348983039527004</v>
      </c>
      <c r="X1582" s="11">
        <v>0.0801790206071151</v>
      </c>
      <c r="Y1582" s="11">
        <v>0.18014173723460447</v>
      </c>
      <c r="Z1582" s="11">
        <v>0.24671677826799715</v>
      </c>
    </row>
    <row r="1583" ht="22.5" customHeight="1">
      <c r="Q1583" s="9" t="s">
        <v>1621</v>
      </c>
      <c r="R1583" s="10">
        <v>0.7254287089975872</v>
      </c>
      <c r="S1583" s="10">
        <v>0.03251893424253887</v>
      </c>
      <c r="T1583" s="10">
        <v>21.07783434369014</v>
      </c>
      <c r="U1583" s="11">
        <v>0.21093014113951</v>
      </c>
      <c r="V1583" s="11">
        <v>0.24696611997518386</v>
      </c>
      <c r="W1583" s="11">
        <v>0.17390799778278232</v>
      </c>
      <c r="X1583" s="11">
        <v>0.22224438695851373</v>
      </c>
      <c r="Y1583" s="11">
        <v>0.12625813866562224</v>
      </c>
      <c r="Z1583" s="11">
        <v>0.019693215478387822</v>
      </c>
    </row>
    <row r="1584" ht="22.5" customHeight="1">
      <c r="Q1584" s="9" t="s">
        <v>1622</v>
      </c>
      <c r="R1584" s="10">
        <v>0.7141796142505037</v>
      </c>
      <c r="S1584" s="10">
        <v>0.031985461520066254</v>
      </c>
      <c r="T1584" s="10">
        <v>21.07768911908785</v>
      </c>
      <c r="U1584" s="11">
        <v>0.0032155018735753283</v>
      </c>
      <c r="V1584" s="11">
        <v>0.187221154809164</v>
      </c>
      <c r="W1584" s="11">
        <v>0.22454336331662889</v>
      </c>
      <c r="X1584" s="11">
        <v>0.394978314823405</v>
      </c>
      <c r="Y1584" s="11">
        <v>0.01686293993725087</v>
      </c>
      <c r="Z1584" s="11">
        <v>0.1731787252399759</v>
      </c>
    </row>
    <row r="1585" ht="22.5" customHeight="1">
      <c r="Q1585" s="9" t="s">
        <v>1623</v>
      </c>
      <c r="R1585" s="10">
        <v>0.6022543930429178</v>
      </c>
      <c r="S1585" s="10">
        <v>0.02667611044436851</v>
      </c>
      <c r="T1585" s="10">
        <v>21.07707546853455</v>
      </c>
      <c r="U1585" s="11">
        <v>0.003829688710761527</v>
      </c>
      <c r="V1585" s="11">
        <v>0.21888319297292452</v>
      </c>
      <c r="W1585" s="11">
        <v>0.11604891841298569</v>
      </c>
      <c r="X1585" s="11">
        <v>0.29866818297068454</v>
      </c>
      <c r="Y1585" s="11">
        <v>0.09440453544116811</v>
      </c>
      <c r="Z1585" s="11">
        <v>0.26816548149147557</v>
      </c>
    </row>
    <row r="1586" ht="22.5" customHeight="1">
      <c r="Q1586" s="9" t="s">
        <v>1624</v>
      </c>
      <c r="R1586" s="10">
        <v>0.5728639298702801</v>
      </c>
      <c r="S1586" s="10">
        <v>0.025281729046344497</v>
      </c>
      <c r="T1586" s="10">
        <v>21.07703665732179</v>
      </c>
      <c r="U1586" s="11">
        <v>0.19165178386329434</v>
      </c>
      <c r="V1586" s="11">
        <v>0.20645342383685067</v>
      </c>
      <c r="W1586" s="11">
        <v>0.10334619534723466</v>
      </c>
      <c r="X1586" s="11">
        <v>0.19895772708500312</v>
      </c>
      <c r="Y1586" s="11">
        <v>0.19312217293317946</v>
      </c>
      <c r="Z1586" s="11">
        <v>0.10646869693443779</v>
      </c>
    </row>
    <row r="1587" ht="22.5" customHeight="1">
      <c r="Q1587" s="9" t="s">
        <v>1625</v>
      </c>
      <c r="R1587" s="10">
        <v>0.6363214574892938</v>
      </c>
      <c r="S1587" s="10">
        <v>0.028292813118168995</v>
      </c>
      <c r="T1587" s="10">
        <v>21.076782114195275</v>
      </c>
      <c r="U1587" s="11">
        <v>0.21616562038641504</v>
      </c>
      <c r="V1587" s="11">
        <v>0.2029424816902294</v>
      </c>
      <c r="W1587" s="11">
        <v>0.16447533838329992</v>
      </c>
      <c r="X1587" s="11">
        <v>0.14180634869161046</v>
      </c>
      <c r="Y1587" s="11">
        <v>0.1329663371465937</v>
      </c>
      <c r="Z1587" s="11">
        <v>0.14164387370185155</v>
      </c>
    </row>
    <row r="1588" ht="22.5" customHeight="1">
      <c r="Q1588" s="9" t="s">
        <v>1626</v>
      </c>
      <c r="R1588" s="10">
        <v>0.6181046512441046</v>
      </c>
      <c r="S1588" s="10">
        <v>0.02742859425099177</v>
      </c>
      <c r="T1588" s="10">
        <v>21.07671453936074</v>
      </c>
      <c r="U1588" s="11">
        <v>0.17268343715091417</v>
      </c>
      <c r="V1588" s="11">
        <v>0.16405730356553422</v>
      </c>
      <c r="W1588" s="11">
        <v>0.18949564134693014</v>
      </c>
      <c r="X1588" s="11">
        <v>0.18782966878170912</v>
      </c>
      <c r="Y1588" s="11">
        <v>0.11373148048060552</v>
      </c>
      <c r="Z1588" s="11">
        <v>0.17220246867430683</v>
      </c>
    </row>
    <row r="1589" ht="22.5" customHeight="1">
      <c r="Q1589" s="9" t="s">
        <v>1627</v>
      </c>
      <c r="R1589" s="10">
        <v>0.5444598060684723</v>
      </c>
      <c r="S1589" s="10">
        <v>0.023935022304352283</v>
      </c>
      <c r="T1589" s="10">
        <v>21.076220429372345</v>
      </c>
      <c r="U1589" s="11">
        <v>0.31634104660776863</v>
      </c>
      <c r="V1589" s="11">
        <v>0.1270867502606913</v>
      </c>
      <c r="W1589" s="11">
        <v>0.17044921345636269</v>
      </c>
      <c r="X1589" s="11">
        <v>0.16911043827353917</v>
      </c>
      <c r="Y1589" s="11">
        <v>0.09071022202456072</v>
      </c>
      <c r="Z1589" s="11">
        <v>0.12630232937707758</v>
      </c>
    </row>
    <row r="1590" ht="22.5" customHeight="1">
      <c r="Q1590" s="9" t="s">
        <v>1628</v>
      </c>
      <c r="R1590" s="10">
        <v>0.7266520923341682</v>
      </c>
      <c r="S1590" s="10">
        <v>0.03258010431442017</v>
      </c>
      <c r="T1590" s="10">
        <v>21.075810123488505</v>
      </c>
      <c r="U1590" s="11">
        <v>0.09175973420930641</v>
      </c>
      <c r="V1590" s="11">
        <v>0.20959201196759067</v>
      </c>
      <c r="W1590" s="11">
        <v>0.21709927466479542</v>
      </c>
      <c r="X1590" s="11">
        <v>0.29962506629151736</v>
      </c>
      <c r="Y1590" s="11">
        <v>0.031640423801729746</v>
      </c>
      <c r="Z1590" s="11">
        <v>0.1502834890650604</v>
      </c>
    </row>
    <row r="1591" ht="22.5" customHeight="1">
      <c r="Q1591" s="9" t="s">
        <v>1629</v>
      </c>
      <c r="R1591" s="10">
        <v>0.41869795542728644</v>
      </c>
      <c r="S1591" s="10">
        <v>0.017968659493603736</v>
      </c>
      <c r="T1591" s="10">
        <v>21.075470630521476</v>
      </c>
      <c r="U1591" s="11">
        <v>0.2792815841332922</v>
      </c>
      <c r="V1591" s="11">
        <v>0.11656219900936172</v>
      </c>
      <c r="W1591" s="11">
        <v>0.09921624199973167</v>
      </c>
      <c r="X1591" s="11">
        <v>0.062062900499868054</v>
      </c>
      <c r="Y1591" s="11">
        <v>0.17253840222744007</v>
      </c>
      <c r="Z1591" s="11">
        <v>0.2703386721303063</v>
      </c>
    </row>
    <row r="1592" ht="22.5" customHeight="1">
      <c r="Q1592" s="9" t="s">
        <v>1630</v>
      </c>
      <c r="R1592" s="10">
        <v>0.7214143144164705</v>
      </c>
      <c r="S1592" s="10">
        <v>0.032332263302380565</v>
      </c>
      <c r="T1592" s="10">
        <v>21.07536698076745</v>
      </c>
      <c r="U1592" s="11">
        <v>0.09970225373068524</v>
      </c>
      <c r="V1592" s="11">
        <v>0.1944171016504859</v>
      </c>
      <c r="W1592" s="11">
        <v>0.2242976081000574</v>
      </c>
      <c r="X1592" s="11">
        <v>0.2851422811790593</v>
      </c>
      <c r="Y1592" s="11">
        <v>0.11874493821149906</v>
      </c>
      <c r="Z1592" s="11">
        <v>0.07769581712821323</v>
      </c>
    </row>
    <row r="1593" ht="22.5" customHeight="1">
      <c r="Q1593" s="9" t="s">
        <v>1631</v>
      </c>
      <c r="R1593" s="10">
        <v>0.530822082777984</v>
      </c>
      <c r="S1593" s="10">
        <v>0.023289007541136372</v>
      </c>
      <c r="T1593" s="10">
        <v>21.07526831751091</v>
      </c>
      <c r="U1593" s="11">
        <v>0.2756492743209914</v>
      </c>
      <c r="V1593" s="11">
        <v>0.18814789877010138</v>
      </c>
      <c r="W1593" s="11">
        <v>0.08806641565286621</v>
      </c>
      <c r="X1593" s="11">
        <v>0.17929010035446827</v>
      </c>
      <c r="Y1593" s="11">
        <v>0.21494867421504293</v>
      </c>
      <c r="Z1593" s="11">
        <v>0.05389763668652984</v>
      </c>
    </row>
    <row r="1594" ht="22.5" customHeight="1">
      <c r="Q1594" s="9" t="s">
        <v>1632</v>
      </c>
      <c r="R1594" s="10">
        <v>0.4886463674527278</v>
      </c>
      <c r="S1594" s="10">
        <v>0.021288948652689165</v>
      </c>
      <c r="T1594" s="10">
        <v>21.07414390311172</v>
      </c>
      <c r="U1594" s="11">
        <v>0.04834197921066728</v>
      </c>
      <c r="V1594" s="11">
        <v>0.17647722910877348</v>
      </c>
      <c r="W1594" s="11">
        <v>0.06833695404751569</v>
      </c>
      <c r="X1594" s="11">
        <v>0.25859578169663155</v>
      </c>
      <c r="Y1594" s="11">
        <v>0.2514534068148117</v>
      </c>
      <c r="Z1594" s="11">
        <v>0.1967946491216003</v>
      </c>
    </row>
    <row r="1595" ht="22.5" customHeight="1">
      <c r="Q1595" s="9" t="s">
        <v>1633</v>
      </c>
      <c r="R1595" s="10">
        <v>0.6346008223653357</v>
      </c>
      <c r="S1595" s="10">
        <v>0.02821491871732933</v>
      </c>
      <c r="T1595" s="10">
        <v>21.07398672037065</v>
      </c>
      <c r="U1595" s="11">
        <v>0.10388626791468132</v>
      </c>
      <c r="V1595" s="11">
        <v>0.19556878975080005</v>
      </c>
      <c r="W1595" s="11">
        <v>0.1721883916545586</v>
      </c>
      <c r="X1595" s="11">
        <v>0.15612092542866715</v>
      </c>
      <c r="Y1595" s="11">
        <v>0.17323596230383784</v>
      </c>
      <c r="Z1595" s="11">
        <v>0.19899966294745491</v>
      </c>
    </row>
    <row r="1596" ht="22.5" customHeight="1">
      <c r="Q1596" s="9" t="s">
        <v>1634</v>
      </c>
      <c r="R1596" s="10">
        <v>0.6864631345485267</v>
      </c>
      <c r="S1596" s="10">
        <v>0.030675931046034374</v>
      </c>
      <c r="T1596" s="10">
        <v>21.073953177766647</v>
      </c>
      <c r="U1596" s="11">
        <v>0.19209565573057907</v>
      </c>
      <c r="V1596" s="11">
        <v>0.25210885327277954</v>
      </c>
      <c r="W1596" s="11">
        <v>0.13034343585057095</v>
      </c>
      <c r="X1596" s="11">
        <v>0.32365441280198953</v>
      </c>
      <c r="Y1596" s="11">
        <v>0.08443840025394664</v>
      </c>
      <c r="Z1596" s="11">
        <v>0.017359242090134126</v>
      </c>
    </row>
    <row r="1597" ht="22.5" customHeight="1">
      <c r="Q1597" s="9" t="s">
        <v>1635</v>
      </c>
      <c r="R1597" s="10">
        <v>0.5871679179071876</v>
      </c>
      <c r="S1597" s="10">
        <v>0.02596485233644441</v>
      </c>
      <c r="T1597" s="10">
        <v>21.073407651896392</v>
      </c>
      <c r="U1597" s="11">
        <v>0.04984978311147556</v>
      </c>
      <c r="V1597" s="11">
        <v>0.18867257468742094</v>
      </c>
      <c r="W1597" s="11">
        <v>0.14438784893240988</v>
      </c>
      <c r="X1597" s="11">
        <v>0.13697809638583042</v>
      </c>
      <c r="Y1597" s="11">
        <v>0.24978371419870357</v>
      </c>
      <c r="Z1597" s="11">
        <v>0.2303279826841596</v>
      </c>
    </row>
    <row r="1598" ht="22.5" customHeight="1">
      <c r="Q1598" s="9" t="s">
        <v>1636</v>
      </c>
      <c r="R1598" s="10">
        <v>0.5591401409896744</v>
      </c>
      <c r="S1598" s="10">
        <v>0.024634984168279476</v>
      </c>
      <c r="T1598" s="10">
        <v>21.07328900410377</v>
      </c>
      <c r="U1598" s="11">
        <v>0.2238990456375551</v>
      </c>
      <c r="V1598" s="11">
        <v>0.19214497833956487</v>
      </c>
      <c r="W1598" s="11">
        <v>0.1210429168965589</v>
      </c>
      <c r="X1598" s="11">
        <v>0.14698953468774492</v>
      </c>
      <c r="Y1598" s="11">
        <v>0.08946624530819666</v>
      </c>
      <c r="Z1598" s="11">
        <v>0.22645727913037947</v>
      </c>
    </row>
    <row r="1599" ht="22.5" customHeight="1">
      <c r="Q1599" s="9" t="s">
        <v>1637</v>
      </c>
      <c r="R1599" s="10">
        <v>0.5972611294416257</v>
      </c>
      <c r="S1599" s="10">
        <v>0.026444433957217878</v>
      </c>
      <c r="T1599" s="10">
        <v>21.0729082098399</v>
      </c>
      <c r="U1599" s="11">
        <v>0.2327832113717386</v>
      </c>
      <c r="V1599" s="11">
        <v>0.1958693888856023</v>
      </c>
      <c r="W1599" s="11">
        <v>0.14713881930043626</v>
      </c>
      <c r="X1599" s="11">
        <v>0.16859071433282008</v>
      </c>
      <c r="Y1599" s="11">
        <v>0.017040992586213326</v>
      </c>
      <c r="Z1599" s="11">
        <v>0.23857687352318954</v>
      </c>
    </row>
    <row r="1600" ht="22.5" customHeight="1">
      <c r="Q1600" s="9" t="s">
        <v>1638</v>
      </c>
      <c r="R1600" s="10">
        <v>0.518553510389697</v>
      </c>
      <c r="S1600" s="10">
        <v>0.022710149714563543</v>
      </c>
      <c r="T1600" s="10">
        <v>21.072230540286164</v>
      </c>
      <c r="U1600" s="11">
        <v>0.267030143380052</v>
      </c>
      <c r="V1600" s="11">
        <v>0.1126247919958112</v>
      </c>
      <c r="W1600" s="11">
        <v>0.15943574985755554</v>
      </c>
      <c r="X1600" s="11">
        <v>0.1511529744644122</v>
      </c>
      <c r="Y1600" s="11">
        <v>0.25728900622663864</v>
      </c>
      <c r="Z1600" s="11">
        <v>0.05246733407553047</v>
      </c>
    </row>
    <row r="1601" ht="22.5" customHeight="1">
      <c r="Q1601" s="9" t="s">
        <v>1639</v>
      </c>
      <c r="R1601" s="10">
        <v>0.32917284976810574</v>
      </c>
      <c r="S1601" s="10">
        <v>0.013723071837117353</v>
      </c>
      <c r="T1601" s="10">
        <v>21.072020404787807</v>
      </c>
      <c r="U1601" s="11">
        <v>0.18783904717640457</v>
      </c>
      <c r="V1601" s="11">
        <v>0.0972619967569876</v>
      </c>
      <c r="W1601" s="11">
        <v>0.029353893613577223</v>
      </c>
      <c r="X1601" s="11">
        <v>0.22897906004234703</v>
      </c>
      <c r="Y1601" s="11">
        <v>0.2660798074951482</v>
      </c>
      <c r="Z1601" s="11">
        <v>0.19048619491553534</v>
      </c>
    </row>
    <row r="1602" ht="22.5" customHeight="1">
      <c r="Q1602" s="9" t="s">
        <v>1640</v>
      </c>
      <c r="R1602" s="10">
        <v>0.6186236040592431</v>
      </c>
      <c r="S1602" s="10">
        <v>0.027459402846292502</v>
      </c>
      <c r="T1602" s="10">
        <v>21.071966032843548</v>
      </c>
      <c r="U1602" s="11">
        <v>0.21165627194644673</v>
      </c>
      <c r="V1602" s="11">
        <v>0.18054125393026155</v>
      </c>
      <c r="W1602" s="11">
        <v>0.1772192385700118</v>
      </c>
      <c r="X1602" s="11">
        <v>0.1634252744740249</v>
      </c>
      <c r="Y1602" s="11">
        <v>0.06593123652658626</v>
      </c>
      <c r="Z1602" s="11">
        <v>0.20122672455266868</v>
      </c>
    </row>
    <row r="1603" ht="22.5" customHeight="1">
      <c r="Q1603" s="9" t="s">
        <v>1641</v>
      </c>
      <c r="R1603" s="10">
        <v>0.522331348251574</v>
      </c>
      <c r="S1603" s="10">
        <v>0.028509891697874903</v>
      </c>
      <c r="T1603" s="10">
        <v>21.071196273761718</v>
      </c>
      <c r="U1603" s="11">
        <v>0.14134743896066226</v>
      </c>
      <c r="V1603" s="11">
        <v>0.19463171476930882</v>
      </c>
      <c r="W1603" s="11">
        <v>0.1762188405281977</v>
      </c>
      <c r="X1603" s="11">
        <v>0.14885204379651917</v>
      </c>
      <c r="Y1603" s="11">
        <v>0.1788100649624355</v>
      </c>
      <c r="Z1603" s="11">
        <v>0.16013989698287664</v>
      </c>
    </row>
    <row r="1604" ht="22.5" customHeight="1">
      <c r="Q1604" s="9" t="s">
        <v>1642</v>
      </c>
      <c r="R1604" s="10">
        <v>0.48031631044056516</v>
      </c>
      <c r="S1604" s="10">
        <v>0.020896655994452985</v>
      </c>
      <c r="T1604" s="10">
        <v>21.071137437370222</v>
      </c>
      <c r="U1604" s="11">
        <v>0.14102260558861351</v>
      </c>
      <c r="V1604" s="11">
        <v>0.09435552227814567</v>
      </c>
      <c r="W1604" s="11">
        <v>0.15546954228045223</v>
      </c>
      <c r="X1604" s="11">
        <v>0.21366216766795987</v>
      </c>
      <c r="Y1604" s="11">
        <v>0.16818603073963256</v>
      </c>
      <c r="Z1604" s="11">
        <v>0.2273041314451962</v>
      </c>
    </row>
    <row r="1605" ht="22.5" customHeight="1">
      <c r="Q1605" s="9" t="s">
        <v>1643</v>
      </c>
      <c r="R1605" s="10">
        <v>0.29015393842248566</v>
      </c>
      <c r="S1605" s="10">
        <v>0.011871958709193539</v>
      </c>
      <c r="T1605" s="10">
        <v>21.070991278698493</v>
      </c>
      <c r="U1605" s="11">
        <v>0.2268392532548165</v>
      </c>
      <c r="V1605" s="11">
        <v>0.06112536238829297</v>
      </c>
      <c r="W1605" s="11">
        <v>0.04388190135456889</v>
      </c>
      <c r="X1605" s="11">
        <v>0.1699746123105517</v>
      </c>
      <c r="Y1605" s="11">
        <v>0.2720546467787722</v>
      </c>
      <c r="Z1605" s="11">
        <v>0.22612422391299766</v>
      </c>
    </row>
    <row r="1606" ht="22.5" customHeight="1">
      <c r="Q1606" s="9" t="s">
        <v>1644</v>
      </c>
      <c r="R1606" s="10">
        <v>0.8082510152936626</v>
      </c>
      <c r="S1606" s="10">
        <v>0.036461020629423385</v>
      </c>
      <c r="T1606" s="10">
        <v>21.07047477090364</v>
      </c>
      <c r="U1606" s="11">
        <v>0.10629500665421764</v>
      </c>
      <c r="V1606" s="11">
        <v>0.26394150657843524</v>
      </c>
      <c r="W1606" s="11">
        <v>0.21444615851027302</v>
      </c>
      <c r="X1606" s="11">
        <v>0.3307642130955062</v>
      </c>
      <c r="Y1606" s="11">
        <v>0.041781901890985455</v>
      </c>
      <c r="Z1606" s="11">
        <v>0.042771213270582496</v>
      </c>
    </row>
    <row r="1607" ht="22.5" customHeight="1">
      <c r="Q1607" s="9" t="s">
        <v>1645</v>
      </c>
      <c r="R1607" s="10">
        <v>0.5488965384291435</v>
      </c>
      <c r="S1607" s="10">
        <v>0.024152120034135922</v>
      </c>
      <c r="T1607" s="10">
        <v>21.07047073755362</v>
      </c>
      <c r="U1607" s="11">
        <v>0.26499296270042244</v>
      </c>
      <c r="V1607" s="11">
        <v>0.1754145751586686</v>
      </c>
      <c r="W1607" s="11">
        <v>0.1211219182995166</v>
      </c>
      <c r="X1607" s="11">
        <v>0.09412315759347531</v>
      </c>
      <c r="Y1607" s="11">
        <v>0.2912325806847887</v>
      </c>
      <c r="Z1607" s="11">
        <v>0.05311480556312829</v>
      </c>
    </row>
    <row r="1608" ht="22.5" customHeight="1">
      <c r="Q1608" s="9" t="s">
        <v>1646</v>
      </c>
      <c r="R1608" s="10">
        <v>0.5637243596646921</v>
      </c>
      <c r="S1608" s="10">
        <v>0.02485691210650838</v>
      </c>
      <c r="T1608" s="10">
        <v>21.069566381399536</v>
      </c>
      <c r="U1608" s="11">
        <v>0.24846918639682863</v>
      </c>
      <c r="V1608" s="11">
        <v>0.16664634385958946</v>
      </c>
      <c r="W1608" s="11">
        <v>0.1542175150890673</v>
      </c>
      <c r="X1608" s="11">
        <v>0.11793862887035508</v>
      </c>
      <c r="Y1608" s="11">
        <v>0.08283831175436546</v>
      </c>
      <c r="Z1608" s="11">
        <v>0.22989001402979403</v>
      </c>
    </row>
    <row r="1609" ht="22.5" customHeight="1">
      <c r="Q1609" s="9" t="s">
        <v>1647</v>
      </c>
      <c r="R1609" s="10">
        <v>0.6337289374694801</v>
      </c>
      <c r="S1609" s="10">
        <v>0.028180127692910176</v>
      </c>
      <c r="T1609" s="10">
        <v>21.069064836737983</v>
      </c>
      <c r="U1609" s="11">
        <v>0.17899274075505858</v>
      </c>
      <c r="V1609" s="11">
        <v>0.22676717219543943</v>
      </c>
      <c r="W1609" s="11">
        <v>0.1265435490231844</v>
      </c>
      <c r="X1609" s="11">
        <v>0.20973401606335484</v>
      </c>
      <c r="Y1609" s="11">
        <v>0.18697073231217953</v>
      </c>
      <c r="Z1609" s="11">
        <v>0.07099178965078315</v>
      </c>
    </row>
    <row r="1610" ht="22.5" customHeight="1">
      <c r="Q1610" s="9" t="s">
        <v>1648</v>
      </c>
      <c r="R1610" s="10">
        <v>0.7725191189578099</v>
      </c>
      <c r="S1610" s="10">
        <v>0.034767768095959314</v>
      </c>
      <c r="T1610" s="10">
        <v>21.06891408548433</v>
      </c>
      <c r="U1610" s="11">
        <v>0.13464008354230264</v>
      </c>
      <c r="V1610" s="11">
        <v>0.2724812652718728</v>
      </c>
      <c r="W1610" s="11">
        <v>0.17532547432801387</v>
      </c>
      <c r="X1610" s="11">
        <v>0.3213308325311459</v>
      </c>
      <c r="Y1610" s="11">
        <v>0.09045349902821583</v>
      </c>
      <c r="Z1610" s="11">
        <v>0.0057688452984488705</v>
      </c>
    </row>
    <row r="1611" ht="22.5" customHeight="1">
      <c r="Q1611" s="9" t="s">
        <v>1649</v>
      </c>
      <c r="R1611" s="10">
        <v>0.522331348251574</v>
      </c>
      <c r="S1611" s="10">
        <v>0.027233511810310477</v>
      </c>
      <c r="T1611" s="10">
        <v>21.06862701296872</v>
      </c>
      <c r="U1611" s="11">
        <v>0.1336383436304241</v>
      </c>
      <c r="V1611" s="11">
        <v>0.2148390993723799</v>
      </c>
      <c r="W1611" s="11">
        <v>0.1342604369401414</v>
      </c>
      <c r="X1611" s="11">
        <v>0.18815840172285803</v>
      </c>
      <c r="Y1611" s="11">
        <v>0.12491859656041908</v>
      </c>
      <c r="Z1611" s="11">
        <v>0.20418512177377746</v>
      </c>
    </row>
    <row r="1612" ht="22.5" customHeight="1">
      <c r="Q1612" s="9" t="s">
        <v>1650</v>
      </c>
      <c r="R1612" s="10">
        <v>0.42284511942707026</v>
      </c>
      <c r="S1612" s="10">
        <v>0.018171483468139293</v>
      </c>
      <c r="T1612" s="10">
        <v>21.068457074422472</v>
      </c>
      <c r="U1612" s="11">
        <v>0.26347309098654487</v>
      </c>
      <c r="V1612" s="11">
        <v>0.08572842964637285</v>
      </c>
      <c r="W1612" s="11">
        <v>0.1270588579938555</v>
      </c>
      <c r="X1612" s="11">
        <v>0.1339486790270118</v>
      </c>
      <c r="Y1612" s="11">
        <v>0.156502886652899</v>
      </c>
      <c r="Z1612" s="11">
        <v>0.23328805569331595</v>
      </c>
    </row>
    <row r="1613" ht="22.5" customHeight="1">
      <c r="Q1613" s="9" t="s">
        <v>1651</v>
      </c>
      <c r="R1613" s="10">
        <v>0.5122037551017864</v>
      </c>
      <c r="S1613" s="10">
        <v>0.022412904034731083</v>
      </c>
      <c r="T1613" s="10">
        <v>21.06838785237551</v>
      </c>
      <c r="U1613" s="11">
        <v>0.3166341699795359</v>
      </c>
      <c r="V1613" s="11">
        <v>0.11737077618054662</v>
      </c>
      <c r="W1613" s="11">
        <v>0.15181268170042503</v>
      </c>
      <c r="X1613" s="11">
        <v>0.11977267996061314</v>
      </c>
      <c r="Y1613" s="11">
        <v>0.2499732357840503</v>
      </c>
      <c r="Z1613" s="11">
        <v>0.044436456394828946</v>
      </c>
    </row>
    <row r="1614" ht="22.5" customHeight="1">
      <c r="Q1614" s="9" t="s">
        <v>1652</v>
      </c>
      <c r="R1614" s="10">
        <v>0.6636050917230124</v>
      </c>
      <c r="S1614" s="10">
        <v>0.029600969858070505</v>
      </c>
      <c r="T1614" s="10">
        <v>21.067049313351827</v>
      </c>
      <c r="U1614" s="11">
        <v>0.17878639668518556</v>
      </c>
      <c r="V1614" s="11">
        <v>0.2321123219703535</v>
      </c>
      <c r="W1614" s="11">
        <v>0.14356018864887912</v>
      </c>
      <c r="X1614" s="11">
        <v>0.19501804374823842</v>
      </c>
      <c r="Y1614" s="11">
        <v>0.20544535564327296</v>
      </c>
      <c r="Z1614" s="11">
        <v>0.04507769330407049</v>
      </c>
    </row>
    <row r="1615" ht="22.5" customHeight="1">
      <c r="Q1615" s="9" t="s">
        <v>1653</v>
      </c>
      <c r="R1615" s="10">
        <v>0.5836979501063289</v>
      </c>
      <c r="S1615" s="10">
        <v>0.025808550780177127</v>
      </c>
      <c r="T1615" s="10">
        <v>21.06658195329313</v>
      </c>
      <c r="U1615" s="11">
        <v>0.09321486245777946</v>
      </c>
      <c r="V1615" s="11">
        <v>0.19657233417826586</v>
      </c>
      <c r="W1615" s="11">
        <v>0.13549437336439932</v>
      </c>
      <c r="X1615" s="11">
        <v>0.1475912409769754</v>
      </c>
      <c r="Y1615" s="11">
        <v>0.17152773286203665</v>
      </c>
      <c r="Z1615" s="11">
        <v>0.2555994561605432</v>
      </c>
    </row>
    <row r="1616" ht="22.5" customHeight="1">
      <c r="Q1616" s="9" t="s">
        <v>1654</v>
      </c>
      <c r="R1616" s="10">
        <v>0.6088390416105582</v>
      </c>
      <c r="S1616" s="10">
        <v>0.02700253830544509</v>
      </c>
      <c r="T1616" s="10">
        <v>21.06613219749979</v>
      </c>
      <c r="U1616" s="11">
        <v>0.04102408745003604</v>
      </c>
      <c r="V1616" s="11">
        <v>0.19386012927011173</v>
      </c>
      <c r="W1616" s="11">
        <v>0.15806408497552987</v>
      </c>
      <c r="X1616" s="11">
        <v>0.16351218036025592</v>
      </c>
      <c r="Y1616" s="11">
        <v>0.1646958824595221</v>
      </c>
      <c r="Z1616" s="11">
        <v>0.27884363548454427</v>
      </c>
    </row>
    <row r="1617" ht="22.5" customHeight="1">
      <c r="Q1617" s="9" t="s">
        <v>1655</v>
      </c>
      <c r="R1617" s="10">
        <v>0.4336969126174929</v>
      </c>
      <c r="S1617" s="10">
        <v>0.018688910991739787</v>
      </c>
      <c r="T1617" s="10">
        <v>21.065802752846377</v>
      </c>
      <c r="U1617" s="11">
        <v>0.24341804021054514</v>
      </c>
      <c r="V1617" s="11">
        <v>0.12452112291132796</v>
      </c>
      <c r="W1617" s="11">
        <v>0.10078151515596927</v>
      </c>
      <c r="X1617" s="11">
        <v>0.05850862623251618</v>
      </c>
      <c r="Y1617" s="11">
        <v>0.22102898620734424</v>
      </c>
      <c r="Z1617" s="11">
        <v>0.25174170928229717</v>
      </c>
    </row>
    <row r="1618" ht="22.5" customHeight="1">
      <c r="Q1618" s="9" t="s">
        <v>1656</v>
      </c>
      <c r="R1618" s="10">
        <v>0.7350568800499664</v>
      </c>
      <c r="S1618" s="10">
        <v>0.03299461916176141</v>
      </c>
      <c r="T1618" s="10">
        <v>21.06576459156381</v>
      </c>
      <c r="U1618" s="11">
        <v>0.20061521610451935</v>
      </c>
      <c r="V1618" s="11">
        <v>0.19018714129378114</v>
      </c>
      <c r="W1618" s="11">
        <v>0.23417940848392607</v>
      </c>
      <c r="X1618" s="11">
        <v>0.3343043953810169</v>
      </c>
      <c r="Y1618" s="11">
        <v>0.016968645853073814</v>
      </c>
      <c r="Z1618" s="11">
        <v>0.023745192883682563</v>
      </c>
    </row>
    <row r="1619" ht="22.5" customHeight="1">
      <c r="Q1619" s="9" t="s">
        <v>1657</v>
      </c>
      <c r="R1619" s="10">
        <v>0.502706174498855</v>
      </c>
      <c r="S1619" s="10">
        <v>0.021965144006927163</v>
      </c>
      <c r="T1619" s="10">
        <v>21.065474205538152</v>
      </c>
      <c r="U1619" s="11">
        <v>0.25088008199118167</v>
      </c>
      <c r="V1619" s="11">
        <v>0.1755942209424596</v>
      </c>
      <c r="W1619" s="11">
        <v>0.09570224978777549</v>
      </c>
      <c r="X1619" s="11">
        <v>0.15270145400397214</v>
      </c>
      <c r="Y1619" s="11">
        <v>0.0747747155826707</v>
      </c>
      <c r="Z1619" s="11">
        <v>0.25034727769194065</v>
      </c>
    </row>
    <row r="1620" ht="22.5" customHeight="1">
      <c r="Q1620" s="9" t="s">
        <v>1658</v>
      </c>
      <c r="R1620" s="10">
        <v>0.6770767696062215</v>
      </c>
      <c r="S1620" s="10">
        <v>0.030242878600315968</v>
      </c>
      <c r="T1620" s="10">
        <v>21.065348243654476</v>
      </c>
      <c r="U1620" s="11">
        <v>0.1860144318224905</v>
      </c>
      <c r="V1620" s="11">
        <v>0.197466572512665</v>
      </c>
      <c r="W1620" s="11">
        <v>0.19806786064475596</v>
      </c>
      <c r="X1620" s="11">
        <v>0.20459202514368055</v>
      </c>
      <c r="Y1620" s="11">
        <v>0.07032684320432744</v>
      </c>
      <c r="Z1620" s="11">
        <v>0.1435322666720805</v>
      </c>
    </row>
    <row r="1621" ht="22.5" customHeight="1">
      <c r="Q1621" s="9" t="s">
        <v>1659</v>
      </c>
      <c r="R1621" s="10">
        <v>0.6559581070432073</v>
      </c>
      <c r="S1621" s="10">
        <v>0.029241573735884683</v>
      </c>
      <c r="T1621" s="10">
        <v>21.064465018423945</v>
      </c>
      <c r="U1621" s="11">
        <v>0.13378307842108023</v>
      </c>
      <c r="V1621" s="11">
        <v>0.22649398040248567</v>
      </c>
      <c r="W1621" s="11">
        <v>0.14732485805109824</v>
      </c>
      <c r="X1621" s="11">
        <v>0.1839180081052748</v>
      </c>
      <c r="Y1621" s="11">
        <v>0.21133347310031814</v>
      </c>
      <c r="Z1621" s="11">
        <v>0.09714660191974278</v>
      </c>
    </row>
    <row r="1622" ht="22.5" customHeight="1">
      <c r="Q1622" s="9" t="s">
        <v>1660</v>
      </c>
      <c r="R1622" s="10">
        <v>0.5823213273828525</v>
      </c>
      <c r="S1622" s="10">
        <v>0.025745947826673717</v>
      </c>
      <c r="T1622" s="10">
        <v>21.064337232167784</v>
      </c>
      <c r="U1622" s="11">
        <v>0.11971841126201228</v>
      </c>
      <c r="V1622" s="11">
        <v>0.1843737091911578</v>
      </c>
      <c r="W1622" s="11">
        <v>0.14631631665784425</v>
      </c>
      <c r="X1622" s="11">
        <v>0.11452816912928085</v>
      </c>
      <c r="Y1622" s="11">
        <v>0.22545444872413117</v>
      </c>
      <c r="Z1622" s="11">
        <v>0.2096089450355736</v>
      </c>
    </row>
    <row r="1623" ht="22.5" customHeight="1">
      <c r="Q1623" s="9" t="s">
        <v>1661</v>
      </c>
      <c r="R1623" s="10">
        <v>0.6817786623816819</v>
      </c>
      <c r="S1623" s="10">
        <v>0.030468638083608883</v>
      </c>
      <c r="T1623" s="10">
        <v>21.06358218639702</v>
      </c>
      <c r="U1623" s="11">
        <v>0.14606196108105682</v>
      </c>
      <c r="V1623" s="11">
        <v>0.2348242131714512</v>
      </c>
      <c r="W1623" s="11">
        <v>0.16098293620734802</v>
      </c>
      <c r="X1623" s="11">
        <v>0.22498914256721408</v>
      </c>
      <c r="Y1623" s="11">
        <v>0.08096568492611608</v>
      </c>
      <c r="Z1623" s="11">
        <v>0.15217606204681375</v>
      </c>
    </row>
    <row r="1624" ht="22.5" customHeight="1">
      <c r="Q1624" s="9" t="s">
        <v>1662</v>
      </c>
      <c r="R1624" s="10">
        <v>0.4444675720396547</v>
      </c>
      <c r="S1624" s="10">
        <v>0.019202782903870907</v>
      </c>
      <c r="T1624" s="10">
        <v>21.062966449416137</v>
      </c>
      <c r="U1624" s="11">
        <v>0.2477296595156487</v>
      </c>
      <c r="V1624" s="11">
        <v>0.1267610447042479</v>
      </c>
      <c r="W1624" s="11">
        <v>0.10305791769774524</v>
      </c>
      <c r="X1624" s="11">
        <v>0.059165642137699676</v>
      </c>
      <c r="Y1624" s="11">
        <v>0.2617571751381031</v>
      </c>
      <c r="Z1624" s="11">
        <v>0.20152856080655546</v>
      </c>
    </row>
    <row r="1625" ht="22.5" customHeight="1">
      <c r="Q1625" s="9" t="s">
        <v>1663</v>
      </c>
      <c r="R1625" s="10">
        <v>0.6763574195449485</v>
      </c>
      <c r="S1625" s="10">
        <v>0.0302125060830214</v>
      </c>
      <c r="T1625" s="10">
        <v>21.062715479354555</v>
      </c>
      <c r="U1625" s="11">
        <v>0.20198009404045308</v>
      </c>
      <c r="V1625" s="11">
        <v>0.18608081884113148</v>
      </c>
      <c r="W1625" s="11">
        <v>0.20240875551106632</v>
      </c>
      <c r="X1625" s="11">
        <v>0.1787418063667206</v>
      </c>
      <c r="Y1625" s="11">
        <v>0.2023817210367415</v>
      </c>
      <c r="Z1625" s="11">
        <v>0.02840680420388706</v>
      </c>
    </row>
    <row r="1626" ht="22.5" customHeight="1">
      <c r="Q1626" s="9" t="s">
        <v>1664</v>
      </c>
      <c r="R1626" s="10">
        <v>0.6327212111409231</v>
      </c>
      <c r="S1626" s="10">
        <v>0.028141078797897928</v>
      </c>
      <c r="T1626" s="10">
        <v>21.06249072388788</v>
      </c>
      <c r="U1626" s="11">
        <v>0.05738165202836486</v>
      </c>
      <c r="V1626" s="11">
        <v>0.21265668441014657</v>
      </c>
      <c r="W1626" s="11">
        <v>0.1505932790927598</v>
      </c>
      <c r="X1626" s="11">
        <v>0.17327611638179966</v>
      </c>
      <c r="Y1626" s="11">
        <v>0.20749573102728922</v>
      </c>
      <c r="Z1626" s="11">
        <v>0.19859653705963995</v>
      </c>
    </row>
    <row r="1627" ht="22.5" customHeight="1">
      <c r="Q1627" s="9" t="s">
        <v>1665</v>
      </c>
      <c r="R1627" s="10">
        <v>0.5394084011699121</v>
      </c>
      <c r="S1627" s="10">
        <v>0.023711122374144508</v>
      </c>
      <c r="T1627" s="10">
        <v>21.062199978963697</v>
      </c>
      <c r="U1627" s="11">
        <v>0.17979240702998087</v>
      </c>
      <c r="V1627" s="11">
        <v>0.1791544714532465</v>
      </c>
      <c r="W1627" s="11">
        <v>0.12571612895776352</v>
      </c>
      <c r="X1627" s="11">
        <v>0.14619346376646428</v>
      </c>
      <c r="Y1627" s="11">
        <v>0.047607521659089436</v>
      </c>
      <c r="Z1627" s="11">
        <v>0.32153600713345537</v>
      </c>
    </row>
    <row r="1628" ht="22.5" customHeight="1">
      <c r="Q1628" s="9" t="s">
        <v>1666</v>
      </c>
      <c r="R1628" s="10">
        <v>0.5157400660610368</v>
      </c>
      <c r="S1628" s="10">
        <v>0.022588017047111088</v>
      </c>
      <c r="T1628" s="10">
        <v>21.061612671391266</v>
      </c>
      <c r="U1628" s="11">
        <v>0.2898410089229489</v>
      </c>
      <c r="V1628" s="11">
        <v>0.11783550356163199</v>
      </c>
      <c r="W1628" s="11">
        <v>0.15077435217739235</v>
      </c>
      <c r="X1628" s="11">
        <v>0.1243264357800932</v>
      </c>
      <c r="Y1628" s="11">
        <v>0.30463472712525846</v>
      </c>
      <c r="Z1628" s="11">
        <v>0.012587972432675216</v>
      </c>
    </row>
    <row r="1629" ht="22.5" customHeight="1">
      <c r="Q1629" s="9" t="s">
        <v>1667</v>
      </c>
      <c r="R1629" s="10">
        <v>0.6457993633911068</v>
      </c>
      <c r="S1629" s="10">
        <v>0.02876421021743942</v>
      </c>
      <c r="T1629" s="10">
        <v>21.06087248047636</v>
      </c>
      <c r="U1629" s="11">
        <v>0.08779649627103353</v>
      </c>
      <c r="V1629" s="11">
        <v>0.22680770689762436</v>
      </c>
      <c r="W1629" s="11">
        <v>0.1392097371333037</v>
      </c>
      <c r="X1629" s="11">
        <v>0.20396636816170477</v>
      </c>
      <c r="Y1629" s="11">
        <v>0.21302549256193049</v>
      </c>
      <c r="Z1629" s="11">
        <v>0.12919419897440312</v>
      </c>
    </row>
    <row r="1630" ht="22.5" customHeight="1">
      <c r="Q1630" s="9" t="s">
        <v>1668</v>
      </c>
      <c r="R1630" s="10">
        <v>0.522331348251574</v>
      </c>
      <c r="S1630" s="10">
        <v>0.027489334752928044</v>
      </c>
      <c r="T1630" s="10">
        <v>21.060854550302963</v>
      </c>
      <c r="U1630" s="11">
        <v>0.19089345408238298</v>
      </c>
      <c r="V1630" s="11">
        <v>0.1951345070021266</v>
      </c>
      <c r="W1630" s="11">
        <v>0.1607879554116371</v>
      </c>
      <c r="X1630" s="11">
        <v>0.12432292069838735</v>
      </c>
      <c r="Y1630" s="11">
        <v>0.17121433854557602</v>
      </c>
      <c r="Z1630" s="11">
        <v>0.1576468242598899</v>
      </c>
    </row>
    <row r="1631" ht="22.5" customHeight="1">
      <c r="Q1631" s="9" t="s">
        <v>1669</v>
      </c>
      <c r="R1631" s="10">
        <v>0.6396281577586863</v>
      </c>
      <c r="S1631" s="10">
        <v>0.028472544962615146</v>
      </c>
      <c r="T1631" s="10">
        <v>21.05987218725992</v>
      </c>
      <c r="U1631" s="11">
        <v>0.21680071556199443</v>
      </c>
      <c r="V1631" s="11">
        <v>0.16488521653059243</v>
      </c>
      <c r="W1631" s="11">
        <v>0.2012733916868008</v>
      </c>
      <c r="X1631" s="11">
        <v>0.2458617492580899</v>
      </c>
      <c r="Y1631" s="11">
        <v>0.01877969247092919</v>
      </c>
      <c r="Z1631" s="11">
        <v>0.15239923449159315</v>
      </c>
    </row>
    <row r="1632" ht="22.5" customHeight="1">
      <c r="Q1632" s="9" t="s">
        <v>1670</v>
      </c>
      <c r="R1632" s="10">
        <v>0.5845157364770487</v>
      </c>
      <c r="S1632" s="10">
        <v>0.025856503046713178</v>
      </c>
      <c r="T1632" s="10">
        <v>21.05914073118508</v>
      </c>
      <c r="U1632" s="11">
        <v>0.051914091347083365</v>
      </c>
      <c r="V1632" s="11">
        <v>0.19699961272068964</v>
      </c>
      <c r="W1632" s="11">
        <v>0.12957818510416044</v>
      </c>
      <c r="X1632" s="11">
        <v>0.15083422552090686</v>
      </c>
      <c r="Y1632" s="11">
        <v>0.2791671944475813</v>
      </c>
      <c r="Z1632" s="11">
        <v>0.1915066908595784</v>
      </c>
    </row>
    <row r="1633" ht="22.5" customHeight="1">
      <c r="Q1633" s="9" t="s">
        <v>1671</v>
      </c>
      <c r="R1633" s="10">
        <v>0.5569874164645146</v>
      </c>
      <c r="S1633" s="10">
        <v>0.024549391034782382</v>
      </c>
      <c r="T1633" s="10">
        <v>21.059072941240366</v>
      </c>
      <c r="U1633" s="11">
        <v>0.13860276280864492</v>
      </c>
      <c r="V1633" s="11">
        <v>0.19450355499971392</v>
      </c>
      <c r="W1633" s="11">
        <v>0.11719859061820433</v>
      </c>
      <c r="X1633" s="11">
        <v>0.15830038050584985</v>
      </c>
      <c r="Y1633" s="11">
        <v>0.1291698971228932</v>
      </c>
      <c r="Z1633" s="11">
        <v>0.2622248139446937</v>
      </c>
    </row>
    <row r="1634" ht="22.5" customHeight="1">
      <c r="Q1634" s="9" t="s">
        <v>1672</v>
      </c>
      <c r="R1634" s="10">
        <v>0.6743409301133753</v>
      </c>
      <c r="S1634" s="10">
        <v>0.030122060441092353</v>
      </c>
      <c r="T1634" s="10">
        <v>21.05901524744339</v>
      </c>
      <c r="U1634" s="11">
        <v>0.029748421725517084</v>
      </c>
      <c r="V1634" s="11">
        <v>0.21349121898006712</v>
      </c>
      <c r="W1634" s="11">
        <v>0.1820673111414761</v>
      </c>
      <c r="X1634" s="11">
        <v>0.21825513088724494</v>
      </c>
      <c r="Y1634" s="11">
        <v>0.12265909506058087</v>
      </c>
      <c r="Z1634" s="11">
        <v>0.233778822205114</v>
      </c>
    </row>
    <row r="1635" ht="22.5" customHeight="1">
      <c r="Q1635" s="9" t="s">
        <v>1673</v>
      </c>
      <c r="R1635" s="10">
        <v>0.6775223965244983</v>
      </c>
      <c r="S1635" s="10">
        <v>0.03027481973223044</v>
      </c>
      <c r="T1635" s="10">
        <v>21.0578428596156</v>
      </c>
      <c r="U1635" s="11">
        <v>0.12135905121806691</v>
      </c>
      <c r="V1635" s="11">
        <v>0.1763408984749954</v>
      </c>
      <c r="W1635" s="11">
        <v>0.21224140890667842</v>
      </c>
      <c r="X1635" s="11">
        <v>0.2356018217800703</v>
      </c>
      <c r="Y1635" s="11">
        <v>0.1754669138933138</v>
      </c>
      <c r="Z1635" s="11">
        <v>0.07898990572687517</v>
      </c>
    </row>
    <row r="1636" ht="22.5" customHeight="1">
      <c r="Q1636" s="9" t="s">
        <v>1674</v>
      </c>
      <c r="R1636" s="10">
        <v>0.666978387721914</v>
      </c>
      <c r="S1636" s="10">
        <v>0.02977430840523026</v>
      </c>
      <c r="T1636" s="10">
        <v>21.057697770463637</v>
      </c>
      <c r="U1636" s="11">
        <v>0.06953154849923458</v>
      </c>
      <c r="V1636" s="11">
        <v>0.23123391578658783</v>
      </c>
      <c r="W1636" s="11">
        <v>0.14725023196912682</v>
      </c>
      <c r="X1636" s="11">
        <v>0.20742984338837822</v>
      </c>
      <c r="Y1636" s="11">
        <v>0.2600064343504783</v>
      </c>
      <c r="Z1636" s="11">
        <v>0.08454802600619414</v>
      </c>
    </row>
    <row r="1637" ht="22.5" customHeight="1">
      <c r="Q1637" s="9" t="s">
        <v>1675</v>
      </c>
      <c r="R1637" s="10">
        <v>0.6595707628496922</v>
      </c>
      <c r="S1637" s="10">
        <v>0.02942258291112266</v>
      </c>
      <c r="T1637" s="10">
        <v>21.057660529710834</v>
      </c>
      <c r="U1637" s="11">
        <v>0.10766991124833987</v>
      </c>
      <c r="V1637" s="11">
        <v>0.1867205837504033</v>
      </c>
      <c r="W1637" s="11">
        <v>0.19292053048682647</v>
      </c>
      <c r="X1637" s="11">
        <v>0.17306659563666685</v>
      </c>
      <c r="Y1637" s="11">
        <v>0.23432760469345126</v>
      </c>
      <c r="Z1637" s="11">
        <v>0.10529477418431223</v>
      </c>
    </row>
    <row r="1638" ht="22.5" customHeight="1">
      <c r="Q1638" s="9" t="s">
        <v>1676</v>
      </c>
      <c r="R1638" s="10">
        <v>0.6030021954042806</v>
      </c>
      <c r="S1638" s="10">
        <v>0.026736243729795994</v>
      </c>
      <c r="T1638" s="10">
        <v>21.0576399996252</v>
      </c>
      <c r="U1638" s="11">
        <v>0.20947349535471463</v>
      </c>
      <c r="V1638" s="11">
        <v>0.2048838970168194</v>
      </c>
      <c r="W1638" s="11">
        <v>0.1347356240931748</v>
      </c>
      <c r="X1638" s="11">
        <v>0.13355349769210256</v>
      </c>
      <c r="Y1638" s="11">
        <v>0.19622805000278618</v>
      </c>
      <c r="Z1638" s="11">
        <v>0.12112543584040256</v>
      </c>
    </row>
    <row r="1639" ht="22.5" customHeight="1">
      <c r="Q1639" s="9" t="s">
        <v>1677</v>
      </c>
      <c r="R1639" s="10">
        <v>0.4172896407016681</v>
      </c>
      <c r="S1639" s="10">
        <v>0.017917511655402153</v>
      </c>
      <c r="T1639" s="10">
        <v>21.057033362549245</v>
      </c>
      <c r="U1639" s="11">
        <v>0.18881896792175754</v>
      </c>
      <c r="V1639" s="11">
        <v>0.06521012394659638</v>
      </c>
      <c r="W1639" s="11">
        <v>0.13412323323786632</v>
      </c>
      <c r="X1639" s="11">
        <v>0.31897960098227746</v>
      </c>
      <c r="Y1639" s="11">
        <v>0.01587517672046448</v>
      </c>
      <c r="Z1639" s="11">
        <v>0.2769928971910378</v>
      </c>
    </row>
    <row r="1640" ht="22.5" customHeight="1">
      <c r="Q1640" s="9" t="s">
        <v>1678</v>
      </c>
      <c r="R1640" s="10">
        <v>0.4757528403618266</v>
      </c>
      <c r="S1640" s="10">
        <v>0.02069408844106821</v>
      </c>
      <c r="T1640" s="10">
        <v>21.056875329529298</v>
      </c>
      <c r="U1640" s="11">
        <v>0.20368767097041174</v>
      </c>
      <c r="V1640" s="11">
        <v>0.15746602702153337</v>
      </c>
      <c r="W1640" s="11">
        <v>0.09660118536531913</v>
      </c>
      <c r="X1640" s="11">
        <v>0.09143280976769726</v>
      </c>
      <c r="Y1640" s="11">
        <v>0.1981905536352382</v>
      </c>
      <c r="Z1640" s="11">
        <v>0.25262175323980046</v>
      </c>
    </row>
    <row r="1641" ht="22.5" customHeight="1">
      <c r="Q1641" s="9" t="s">
        <v>1679</v>
      </c>
      <c r="R1641" s="10">
        <v>0.644724188210545</v>
      </c>
      <c r="S1641" s="10">
        <v>0.028719424443565334</v>
      </c>
      <c r="T1641" s="10">
        <v>21.05627810887537</v>
      </c>
      <c r="U1641" s="11">
        <v>0.018504986255065276</v>
      </c>
      <c r="V1641" s="11">
        <v>0.1498738809748658</v>
      </c>
      <c r="W1641" s="11">
        <v>0.2093057021412586</v>
      </c>
      <c r="X1641" s="11">
        <v>0.30378256071105414</v>
      </c>
      <c r="Y1641" s="11">
        <v>0.21697897734872182</v>
      </c>
      <c r="Z1641" s="11">
        <v>0.10155389256903441</v>
      </c>
    </row>
    <row r="1642" ht="22.5" customHeight="1">
      <c r="Q1642" s="9" t="s">
        <v>1680</v>
      </c>
      <c r="R1642" s="10">
        <v>0.7402995102285633</v>
      </c>
      <c r="S1642" s="10">
        <v>0.03325865478639828</v>
      </c>
      <c r="T1642" s="10">
        <v>21.056158606720416</v>
      </c>
      <c r="U1642" s="11">
        <v>0.22343832719607168</v>
      </c>
      <c r="V1642" s="11">
        <v>0.23372385006550334</v>
      </c>
      <c r="W1642" s="11">
        <v>0.20277648628721173</v>
      </c>
      <c r="X1642" s="11">
        <v>0.2415611878775684</v>
      </c>
      <c r="Y1642" s="11">
        <v>0.026835178034574924</v>
      </c>
      <c r="Z1642" s="11">
        <v>0.07166497053906985</v>
      </c>
    </row>
    <row r="1643" ht="22.5" customHeight="1">
      <c r="Q1643" s="9" t="s">
        <v>1681</v>
      </c>
      <c r="R1643" s="10">
        <v>0.6587504875568497</v>
      </c>
      <c r="S1643" s="10">
        <v>0.02938673468550204</v>
      </c>
      <c r="T1643" s="10">
        <v>21.055435187976517</v>
      </c>
      <c r="U1643" s="11">
        <v>0.18830556658361447</v>
      </c>
      <c r="V1643" s="11">
        <v>0.2265111766945494</v>
      </c>
      <c r="W1643" s="11">
        <v>0.15034365508364883</v>
      </c>
      <c r="X1643" s="11">
        <v>0.17352239637267403</v>
      </c>
      <c r="Y1643" s="11">
        <v>0.17645088689405564</v>
      </c>
      <c r="Z1643" s="11">
        <v>0.08486631837145761</v>
      </c>
    </row>
    <row r="1644" ht="22.5" customHeight="1">
      <c r="Q1644" s="9" t="s">
        <v>1682</v>
      </c>
      <c r="R1644" s="10">
        <v>0.5787820804171333</v>
      </c>
      <c r="S1644" s="10">
        <v>0.025589008529073913</v>
      </c>
      <c r="T1644" s="10">
        <v>21.055215164158305</v>
      </c>
      <c r="U1644" s="11">
        <v>0.16485384397435748</v>
      </c>
      <c r="V1644" s="11">
        <v>0.17649261431659594</v>
      </c>
      <c r="W1644" s="11">
        <v>0.1539467613804815</v>
      </c>
      <c r="X1644" s="11">
        <v>0.10852115407269937</v>
      </c>
      <c r="Y1644" s="11">
        <v>0.1760901957135997</v>
      </c>
      <c r="Z1644" s="11">
        <v>0.2200954305422661</v>
      </c>
    </row>
    <row r="1645" ht="22.5" customHeight="1">
      <c r="Q1645" s="9" t="s">
        <v>1683</v>
      </c>
      <c r="R1645" s="10">
        <v>0.6509999677268637</v>
      </c>
      <c r="S1645" s="10">
        <v>0.029020526782866797</v>
      </c>
      <c r="T1645" s="10">
        <v>21.054061916187795</v>
      </c>
      <c r="U1645" s="11">
        <v>0.25722859562211536</v>
      </c>
      <c r="V1645" s="11">
        <v>0.17834969815546933</v>
      </c>
      <c r="W1645" s="11">
        <v>0.19730573954332284</v>
      </c>
      <c r="X1645" s="11">
        <v>0.19469321721880792</v>
      </c>
      <c r="Y1645" s="11">
        <v>0.05773267674105551</v>
      </c>
      <c r="Z1645" s="11">
        <v>0.114690072719229</v>
      </c>
    </row>
    <row r="1646" ht="22.5" customHeight="1">
      <c r="Q1646" s="9" t="s">
        <v>1684</v>
      </c>
      <c r="R1646" s="10">
        <v>0.65654502660288</v>
      </c>
      <c r="S1646" s="10">
        <v>0.02928442411008256</v>
      </c>
      <c r="T1646" s="10">
        <v>21.053684521342696</v>
      </c>
      <c r="U1646" s="11">
        <v>0.10617700120054822</v>
      </c>
      <c r="V1646" s="11">
        <v>0.1727079551043448</v>
      </c>
      <c r="W1646" s="11">
        <v>0.19971144971530014</v>
      </c>
      <c r="X1646" s="11">
        <v>0.19563281850653072</v>
      </c>
      <c r="Y1646" s="11">
        <v>0.27194032185981915</v>
      </c>
      <c r="Z1646" s="11">
        <v>0.053830453613456966</v>
      </c>
    </row>
    <row r="1647" ht="22.5" customHeight="1">
      <c r="Q1647" s="9" t="s">
        <v>1685</v>
      </c>
      <c r="R1647" s="10">
        <v>0.5872570833786941</v>
      </c>
      <c r="S1647" s="10">
        <v>0.025994233906618366</v>
      </c>
      <c r="T1647" s="10">
        <v>21.05301834801746</v>
      </c>
      <c r="U1647" s="11">
        <v>0.1649077415093539</v>
      </c>
      <c r="V1647" s="11">
        <v>0.20571289271006066</v>
      </c>
      <c r="W1647" s="11">
        <v>0.12573014197071797</v>
      </c>
      <c r="X1647" s="11">
        <v>0.16787903816454786</v>
      </c>
      <c r="Y1647" s="11">
        <v>0.11938279954876697</v>
      </c>
      <c r="Z1647" s="11">
        <v>0.21638738609655273</v>
      </c>
    </row>
    <row r="1648" ht="22.5" customHeight="1">
      <c r="Q1648" s="9" t="s">
        <v>1686</v>
      </c>
      <c r="R1648" s="10">
        <v>0.390864254970187</v>
      </c>
      <c r="S1648" s="10">
        <v>0.01666602508815595</v>
      </c>
      <c r="T1648" s="10">
        <v>21.052665714486167</v>
      </c>
      <c r="U1648" s="11">
        <v>0.2897753996003479</v>
      </c>
      <c r="V1648" s="11">
        <v>0.0937734069336988</v>
      </c>
      <c r="W1648" s="11">
        <v>0.08666772626425322</v>
      </c>
      <c r="X1648" s="11">
        <v>0.09197316217639297</v>
      </c>
      <c r="Y1648" s="11">
        <v>0.32828129363476494</v>
      </c>
      <c r="Z1648" s="11">
        <v>0.109529011390542</v>
      </c>
    </row>
    <row r="1649" ht="22.5" customHeight="1">
      <c r="Q1649" s="9" t="s">
        <v>1687</v>
      </c>
      <c r="R1649" s="10">
        <v>0.4314970841545229</v>
      </c>
      <c r="S1649" s="10">
        <v>0.018596375254864923</v>
      </c>
      <c r="T1649" s="10">
        <v>21.05233298366062</v>
      </c>
      <c r="U1649" s="11">
        <v>0.20676177602598225</v>
      </c>
      <c r="V1649" s="11">
        <v>0.07793553226371577</v>
      </c>
      <c r="W1649" s="11">
        <v>0.13327163594010058</v>
      </c>
      <c r="X1649" s="11">
        <v>0.17391836674970962</v>
      </c>
      <c r="Y1649" s="11">
        <v>0.23951070783744846</v>
      </c>
      <c r="Z1649" s="11">
        <v>0.16860198118304331</v>
      </c>
    </row>
    <row r="1650" ht="22.5" customHeight="1">
      <c r="Q1650" s="9" t="s">
        <v>1688</v>
      </c>
      <c r="R1650" s="10">
        <v>0.629294713885345</v>
      </c>
      <c r="S1650" s="10">
        <v>0.027992160514061223</v>
      </c>
      <c r="T1650" s="10">
        <v>21.05213399263434</v>
      </c>
      <c r="U1650" s="11">
        <v>0.20667843021101953</v>
      </c>
      <c r="V1650" s="11">
        <v>0.18461757405476167</v>
      </c>
      <c r="W1650" s="11">
        <v>0.1778002591257823</v>
      </c>
      <c r="X1650" s="11">
        <v>0.1322956144860519</v>
      </c>
      <c r="Y1650" s="11">
        <v>0.16741976946952009</v>
      </c>
      <c r="Z1650" s="11">
        <v>0.13118835265286452</v>
      </c>
    </row>
    <row r="1651" ht="22.5" customHeight="1">
      <c r="Q1651" s="9" t="s">
        <v>1689</v>
      </c>
      <c r="R1651" s="10">
        <v>0.6396925568162408</v>
      </c>
      <c r="S1651" s="10">
        <v>0.028486757557891998</v>
      </c>
      <c r="T1651" s="10">
        <v>21.0516256754571</v>
      </c>
      <c r="U1651" s="11">
        <v>0.18657543156451215</v>
      </c>
      <c r="V1651" s="11">
        <v>0.2174466052509493</v>
      </c>
      <c r="W1651" s="11">
        <v>0.14980408627718944</v>
      </c>
      <c r="X1651" s="11">
        <v>0.15935598132372983</v>
      </c>
      <c r="Y1651" s="11">
        <v>0.14923804057170562</v>
      </c>
      <c r="Z1651" s="11">
        <v>0.1375798550119137</v>
      </c>
    </row>
    <row r="1652" ht="22.5" customHeight="1">
      <c r="Q1652" s="9" t="s">
        <v>1690</v>
      </c>
      <c r="R1652" s="10">
        <v>0.7209698405099734</v>
      </c>
      <c r="S1652" s="10">
        <v>0.03234874259456697</v>
      </c>
      <c r="T1652" s="10">
        <v>21.050890572307544</v>
      </c>
      <c r="U1652" s="11">
        <v>0.18475837386607663</v>
      </c>
      <c r="V1652" s="11">
        <v>0.21947826956505745</v>
      </c>
      <c r="W1652" s="11">
        <v>0.20261195178599414</v>
      </c>
      <c r="X1652" s="11">
        <v>0.19051758255211504</v>
      </c>
      <c r="Y1652" s="11">
        <v>0.16080420659601605</v>
      </c>
      <c r="Z1652" s="11">
        <v>0.041829615634740545</v>
      </c>
    </row>
    <row r="1653" ht="22.5" customHeight="1">
      <c r="Q1653" s="9" t="s">
        <v>1691</v>
      </c>
      <c r="R1653" s="10">
        <v>0.5081427483315654</v>
      </c>
      <c r="S1653" s="10">
        <v>0.02224029541517363</v>
      </c>
      <c r="T1653" s="10">
        <v>21.0493044086173</v>
      </c>
      <c r="U1653" s="11">
        <v>0.18612143012723545</v>
      </c>
      <c r="V1653" s="11">
        <v>0.10158216244550552</v>
      </c>
      <c r="W1653" s="11">
        <v>0.16485971897185073</v>
      </c>
      <c r="X1653" s="11">
        <v>0.2049213637315644</v>
      </c>
      <c r="Y1653" s="11">
        <v>0.19869322362524686</v>
      </c>
      <c r="Z1653" s="11">
        <v>0.14382210109859697</v>
      </c>
    </row>
    <row r="1654" ht="22.5" customHeight="1">
      <c r="Q1654" s="9" t="s">
        <v>1692</v>
      </c>
      <c r="R1654" s="10">
        <v>0.5939571311728018</v>
      </c>
      <c r="S1654" s="10">
        <v>0.02631772749140416</v>
      </c>
      <c r="T1654" s="10">
        <v>21.04882085103032</v>
      </c>
      <c r="U1654" s="11">
        <v>0.2145603493224607</v>
      </c>
      <c r="V1654" s="11">
        <v>0.135145490315225</v>
      </c>
      <c r="W1654" s="11">
        <v>0.19126058984636155</v>
      </c>
      <c r="X1654" s="11">
        <v>0.20532151570452645</v>
      </c>
      <c r="Y1654" s="11">
        <v>0.1982172643990444</v>
      </c>
      <c r="Z1654" s="11">
        <v>0.055494790412381846</v>
      </c>
    </row>
    <row r="1655" ht="22.5" customHeight="1">
      <c r="Q1655" s="9" t="s">
        <v>1693</v>
      </c>
      <c r="R1655" s="10">
        <v>0.26274102952273737</v>
      </c>
      <c r="S1655" s="10">
        <v>0.010582340073166465</v>
      </c>
      <c r="T1655" s="10">
        <v>21.048371908547864</v>
      </c>
      <c r="U1655" s="11">
        <v>0.29579676353831</v>
      </c>
      <c r="V1655" s="11">
        <v>0.052203476431886234</v>
      </c>
      <c r="W1655" s="11">
        <v>0.02678456374120682</v>
      </c>
      <c r="X1655" s="11">
        <v>0.26329029137163623</v>
      </c>
      <c r="Y1655" s="11">
        <v>0.136189558746136</v>
      </c>
      <c r="Z1655" s="11">
        <v>0.22573534617082475</v>
      </c>
    </row>
    <row r="1656" ht="22.5" customHeight="1">
      <c r="Q1656" s="9" t="s">
        <v>1694</v>
      </c>
      <c r="R1656" s="10">
        <v>0.5575797412710674</v>
      </c>
      <c r="S1656" s="10">
        <v>0.024590025777179676</v>
      </c>
      <c r="T1656" s="10">
        <v>21.048361069690205</v>
      </c>
      <c r="U1656" s="11">
        <v>0.14071316376910295</v>
      </c>
      <c r="V1656" s="11">
        <v>0.17077590429505507</v>
      </c>
      <c r="W1656" s="11">
        <v>0.1295917299298445</v>
      </c>
      <c r="X1656" s="11">
        <v>0.11240332666327482</v>
      </c>
      <c r="Y1656" s="11">
        <v>0.3882657415162526</v>
      </c>
      <c r="Z1656" s="11">
        <v>0.05825013382647</v>
      </c>
    </row>
    <row r="1657" ht="22.5" customHeight="1">
      <c r="Q1657" s="9" t="s">
        <v>1695</v>
      </c>
      <c r="R1657" s="10">
        <v>0.4142646041224961</v>
      </c>
      <c r="S1657" s="10">
        <v>0.017781235400821653</v>
      </c>
      <c r="T1657" s="10">
        <v>21.048290272632112</v>
      </c>
      <c r="U1657" s="11">
        <v>0.257482085811397</v>
      </c>
      <c r="V1657" s="11">
        <v>0.08757358214861106</v>
      </c>
      <c r="W1657" s="11">
        <v>0.1217912116581124</v>
      </c>
      <c r="X1657" s="11">
        <v>0.11786392419451502</v>
      </c>
      <c r="Y1657" s="11">
        <v>0.14950789096327832</v>
      </c>
      <c r="Z1657" s="11">
        <v>0.26578130522408616</v>
      </c>
    </row>
    <row r="1658" ht="22.5" customHeight="1">
      <c r="Q1658" s="9" t="s">
        <v>1696</v>
      </c>
      <c r="R1658" s="10">
        <v>0.5570470000458004</v>
      </c>
      <c r="S1658" s="10">
        <v>0.024565467258050245</v>
      </c>
      <c r="T1658" s="10">
        <v>21.04771688706068</v>
      </c>
      <c r="U1658" s="11">
        <v>0.2325740106707603</v>
      </c>
      <c r="V1658" s="11">
        <v>0.16799327089612984</v>
      </c>
      <c r="W1658" s="11">
        <v>0.14704217142319026</v>
      </c>
      <c r="X1658" s="11">
        <v>0.09086085842832421</v>
      </c>
      <c r="Y1658" s="11">
        <v>0.15560699692972182</v>
      </c>
      <c r="Z1658" s="11">
        <v>0.20592269165187355</v>
      </c>
    </row>
    <row r="1659" ht="22.5" customHeight="1">
      <c r="Q1659" s="9" t="s">
        <v>1697</v>
      </c>
      <c r="R1659" s="10">
        <v>0.45856313973808127</v>
      </c>
      <c r="S1659" s="10">
        <v>0.019886421024594005</v>
      </c>
      <c r="T1659" s="10">
        <v>21.04768571581756</v>
      </c>
      <c r="U1659" s="11">
        <v>0.19416162097041173</v>
      </c>
      <c r="V1659" s="11">
        <v>0.1597672052221103</v>
      </c>
      <c r="W1659" s="11">
        <v>0.07520982146311014</v>
      </c>
      <c r="X1659" s="11">
        <v>0.14008971670479703</v>
      </c>
      <c r="Y1659" s="11">
        <v>0.2026993644362124</v>
      </c>
      <c r="Z1659" s="11">
        <v>0.22807227120335832</v>
      </c>
    </row>
    <row r="1660" ht="22.5" customHeight="1">
      <c r="Q1660" s="9" t="s">
        <v>1698</v>
      </c>
      <c r="R1660" s="10">
        <v>0.28081127731897404</v>
      </c>
      <c r="S1660" s="10">
        <v>0.01144123101892848</v>
      </c>
      <c r="T1660" s="10">
        <v>21.047671961222843</v>
      </c>
      <c r="U1660" s="11">
        <v>0.23510832660144393</v>
      </c>
      <c r="V1660" s="11">
        <v>0.04369869950465336</v>
      </c>
      <c r="W1660" s="11">
        <v>0.06165660050038444</v>
      </c>
      <c r="X1660" s="11">
        <v>0.18453549297601268</v>
      </c>
      <c r="Y1660" s="11">
        <v>0.1524299661884541</v>
      </c>
      <c r="Z1660" s="11">
        <v>0.32257091422905154</v>
      </c>
    </row>
    <row r="1661" ht="22.5" customHeight="1">
      <c r="Q1661" s="9" t="s">
        <v>1699</v>
      </c>
      <c r="R1661" s="10">
        <v>0.3844634031695801</v>
      </c>
      <c r="S1661" s="10">
        <v>0.016366254747776622</v>
      </c>
      <c r="T1661" s="10">
        <v>21.04717349681826</v>
      </c>
      <c r="U1661" s="11">
        <v>0.0526722859958307</v>
      </c>
      <c r="V1661" s="11">
        <v>0.05563106734422777</v>
      </c>
      <c r="W1661" s="11">
        <v>0.11799710125330094</v>
      </c>
      <c r="X1661" s="11">
        <v>0.2740853296318409</v>
      </c>
      <c r="Y1661" s="11">
        <v>0.22631938885440253</v>
      </c>
      <c r="Z1661" s="11">
        <v>0.2732948269203972</v>
      </c>
    </row>
    <row r="1662" ht="22.5" customHeight="1">
      <c r="Q1662" s="9" t="s">
        <v>1700</v>
      </c>
      <c r="R1662" s="10">
        <v>0.2729983791230296</v>
      </c>
      <c r="S1662" s="10">
        <v>0.0110703713629892</v>
      </c>
      <c r="T1662" s="10">
        <v>21.047024664592264</v>
      </c>
      <c r="U1662" s="11">
        <v>0.2149397558840113</v>
      </c>
      <c r="V1662" s="11">
        <v>0.04305253773241126</v>
      </c>
      <c r="W1662" s="11">
        <v>0.056065478366820395</v>
      </c>
      <c r="X1662" s="11">
        <v>0.2625400901563062</v>
      </c>
      <c r="Y1662" s="11">
        <v>0.0320207925336998</v>
      </c>
      <c r="Z1662" s="11">
        <v>0.39138134532675123</v>
      </c>
    </row>
    <row r="1663" ht="22.5" customHeight="1">
      <c r="Q1663" s="9" t="s">
        <v>1701</v>
      </c>
      <c r="R1663" s="10">
        <v>0.5460859809550785</v>
      </c>
      <c r="S1663" s="10">
        <v>0.024046359225070393</v>
      </c>
      <c r="T1663" s="10">
        <v>21.046262189555932</v>
      </c>
      <c r="U1663" s="11">
        <v>0.1176993091266288</v>
      </c>
      <c r="V1663" s="11">
        <v>0.126190641166531</v>
      </c>
      <c r="W1663" s="11">
        <v>0.1757070012182291</v>
      </c>
      <c r="X1663" s="11">
        <v>0.21608684343339776</v>
      </c>
      <c r="Y1663" s="11">
        <v>0.10978216133135014</v>
      </c>
      <c r="Z1663" s="11">
        <v>0.2545340437238632</v>
      </c>
    </row>
    <row r="1664" ht="22.5" customHeight="1">
      <c r="Q1664" s="9" t="s">
        <v>1702</v>
      </c>
      <c r="R1664" s="10">
        <v>0.5902899614271786</v>
      </c>
      <c r="S1664" s="10">
        <v>0.02614704468442999</v>
      </c>
      <c r="T1664" s="10">
        <v>21.04597166022608</v>
      </c>
      <c r="U1664" s="11">
        <v>0.14416003077032316</v>
      </c>
      <c r="V1664" s="11">
        <v>0.2112850076386176</v>
      </c>
      <c r="W1664" s="11">
        <v>0.11300145944525909</v>
      </c>
      <c r="X1664" s="11">
        <v>0.18817696001149964</v>
      </c>
      <c r="Y1664" s="11">
        <v>0.22219212152985435</v>
      </c>
      <c r="Z1664" s="11">
        <v>0.12118442060444606</v>
      </c>
    </row>
    <row r="1665" ht="22.5" customHeight="1">
      <c r="Q1665" s="9" t="s">
        <v>1703</v>
      </c>
      <c r="R1665" s="10">
        <v>0.6954740861028632</v>
      </c>
      <c r="S1665" s="10">
        <v>0.03114584245654143</v>
      </c>
      <c r="T1665" s="10">
        <v>21.045315663477798</v>
      </c>
      <c r="U1665" s="11">
        <v>0.09215577940607757</v>
      </c>
      <c r="V1665" s="11">
        <v>0.24793315870221028</v>
      </c>
      <c r="W1665" s="11">
        <v>0.1526487077444668</v>
      </c>
      <c r="X1665" s="11">
        <v>0.3251900336343987</v>
      </c>
      <c r="Y1665" s="11">
        <v>0.0016712832547708754</v>
      </c>
      <c r="Z1665" s="11">
        <v>0.18040103725807588</v>
      </c>
    </row>
    <row r="1666" ht="22.5" customHeight="1">
      <c r="Q1666" s="9" t="s">
        <v>1704</v>
      </c>
      <c r="R1666" s="10">
        <v>0.48400408504135456</v>
      </c>
      <c r="S1666" s="10">
        <v>0.02109803237950836</v>
      </c>
      <c r="T1666" s="10">
        <v>21.04481010620674</v>
      </c>
      <c r="U1666" s="11">
        <v>0.29767909135730014</v>
      </c>
      <c r="V1666" s="11">
        <v>0.15724346938430395</v>
      </c>
      <c r="W1666" s="11">
        <v>0.0962254417627319</v>
      </c>
      <c r="X1666" s="11">
        <v>0.08488502927218163</v>
      </c>
      <c r="Y1666" s="11">
        <v>0.23169004469477184</v>
      </c>
      <c r="Z1666" s="11">
        <v>0.13227692352871065</v>
      </c>
    </row>
    <row r="1667" ht="22.5" customHeight="1">
      <c r="Q1667" s="9" t="s">
        <v>1705</v>
      </c>
      <c r="R1667" s="10">
        <v>0.5742294238690361</v>
      </c>
      <c r="S1667" s="10">
        <v>0.025385665906908036</v>
      </c>
      <c r="T1667" s="10">
        <v>21.04453063504864</v>
      </c>
      <c r="U1667" s="11">
        <v>0.18091624385475794</v>
      </c>
      <c r="V1667" s="11">
        <v>0.12073855009672031</v>
      </c>
      <c r="W1667" s="11">
        <v>0.1871426906161898</v>
      </c>
      <c r="X1667" s="11">
        <v>0.23184237924616302</v>
      </c>
      <c r="Y1667" s="11">
        <v>0.23913172110420242</v>
      </c>
      <c r="Z1667" s="11">
        <v>0.04022841508196639</v>
      </c>
    </row>
    <row r="1668" ht="22.5" customHeight="1">
      <c r="Q1668" s="9" t="s">
        <v>1706</v>
      </c>
      <c r="R1668" s="10">
        <v>0.5726149476256612</v>
      </c>
      <c r="S1668" s="10">
        <v>0.025309016772664963</v>
      </c>
      <c r="T1668" s="10">
        <v>21.044474086441504</v>
      </c>
      <c r="U1668" s="11">
        <v>0.1613852633256141</v>
      </c>
      <c r="V1668" s="11">
        <v>0.15155849144558575</v>
      </c>
      <c r="W1668" s="11">
        <v>0.1702427036338856</v>
      </c>
      <c r="X1668" s="11">
        <v>0.12800181541947894</v>
      </c>
      <c r="Y1668" s="11">
        <v>0.21596206497985104</v>
      </c>
      <c r="Z1668" s="11">
        <v>0.1728496611955846</v>
      </c>
    </row>
    <row r="1669" ht="22.5" customHeight="1">
      <c r="Q1669" s="9" t="s">
        <v>1707</v>
      </c>
      <c r="R1669" s="10">
        <v>0.671188793855759</v>
      </c>
      <c r="S1669" s="10">
        <v>0.029993355548845746</v>
      </c>
      <c r="T1669" s="10">
        <v>21.04428738651249</v>
      </c>
      <c r="U1669" s="11">
        <v>0.13283847658640255</v>
      </c>
      <c r="V1669" s="11">
        <v>0.2090008295316295</v>
      </c>
      <c r="W1669" s="11">
        <v>0.18562925923352222</v>
      </c>
      <c r="X1669" s="11">
        <v>0.21923190127109976</v>
      </c>
      <c r="Y1669" s="11">
        <v>0.02837439362908675</v>
      </c>
      <c r="Z1669" s="11">
        <v>0.22492513974825915</v>
      </c>
    </row>
    <row r="1670" ht="22.5" customHeight="1">
      <c r="Q1670" s="9" t="s">
        <v>1708</v>
      </c>
      <c r="R1670" s="10">
        <v>0.6529220811271023</v>
      </c>
      <c r="S1670" s="10">
        <v>0.029125551123486876</v>
      </c>
      <c r="T1670" s="10">
        <v>21.04413676254322</v>
      </c>
      <c r="U1670" s="11">
        <v>0.011197769251096527</v>
      </c>
      <c r="V1670" s="11">
        <v>0.23360306751894186</v>
      </c>
      <c r="W1670" s="11">
        <v>0.13941922425195036</v>
      </c>
      <c r="X1670" s="11">
        <v>0.2780084128256364</v>
      </c>
      <c r="Y1670" s="11">
        <v>0.10605325658218329</v>
      </c>
      <c r="Z1670" s="11">
        <v>0.2317182695701915</v>
      </c>
    </row>
    <row r="1671" ht="22.5" customHeight="1">
      <c r="Q1671" s="9" t="s">
        <v>1709</v>
      </c>
      <c r="R1671" s="10">
        <v>0.6675729339527903</v>
      </c>
      <c r="S1671" s="10">
        <v>0.029823080886402148</v>
      </c>
      <c r="T1671" s="10">
        <v>21.04319591739204</v>
      </c>
      <c r="U1671" s="11">
        <v>0.1581173159091374</v>
      </c>
      <c r="V1671" s="11">
        <v>0.22395865547537347</v>
      </c>
      <c r="W1671" s="11">
        <v>0.16611040833028695</v>
      </c>
      <c r="X1671" s="11">
        <v>0.22753362971269325</v>
      </c>
      <c r="Y1671" s="11">
        <v>0.010231031847099352</v>
      </c>
      <c r="Z1671" s="11">
        <v>0.21404895872540963</v>
      </c>
    </row>
    <row r="1672" ht="22.5" customHeight="1">
      <c r="Q1672" s="9" t="s">
        <v>1710</v>
      </c>
      <c r="R1672" s="10">
        <v>0.522331348251574</v>
      </c>
      <c r="S1672" s="10">
        <v>0.03226367243240744</v>
      </c>
      <c r="T1672" s="10">
        <v>21.043024168646955</v>
      </c>
      <c r="U1672" s="11">
        <v>0.00695296914629372</v>
      </c>
      <c r="V1672" s="11">
        <v>0.2280773596991181</v>
      </c>
      <c r="W1672" s="11">
        <v>0.1964627827673056</v>
      </c>
      <c r="X1672" s="11">
        <v>0.26627533108720675</v>
      </c>
      <c r="Y1672" s="11">
        <v>0.0946073347813411</v>
      </c>
      <c r="Z1672" s="11">
        <v>0.2076242225187346</v>
      </c>
    </row>
    <row r="1673" ht="22.5" customHeight="1">
      <c r="Q1673" s="9" t="s">
        <v>1711</v>
      </c>
      <c r="R1673" s="10">
        <v>0.4037740920670129</v>
      </c>
      <c r="S1673" s="10">
        <v>0.017287978941563874</v>
      </c>
      <c r="T1673" s="10">
        <v>21.042025403699725</v>
      </c>
      <c r="U1673" s="11">
        <v>0.4103986592193607</v>
      </c>
      <c r="V1673" s="11">
        <v>0.10530504216908745</v>
      </c>
      <c r="W1673" s="11">
        <v>0.09075108640553571</v>
      </c>
      <c r="X1673" s="11">
        <v>0.07244678530641215</v>
      </c>
      <c r="Y1673" s="11">
        <v>0.18315001894331276</v>
      </c>
      <c r="Z1673" s="11">
        <v>0.1379484079562913</v>
      </c>
    </row>
    <row r="1674" ht="22.5" customHeight="1">
      <c r="Q1674" s="9" t="s">
        <v>1712</v>
      </c>
      <c r="R1674" s="10">
        <v>0.39042979465571503</v>
      </c>
      <c r="S1674" s="10">
        <v>0.01665394364779431</v>
      </c>
      <c r="T1674" s="10">
        <v>21.041850631104236</v>
      </c>
      <c r="U1674" s="11">
        <v>0.28329052261814763</v>
      </c>
      <c r="V1674" s="11">
        <v>0.1342621554965331</v>
      </c>
      <c r="W1674" s="11">
        <v>0.04112583600863472</v>
      </c>
      <c r="X1674" s="11">
        <v>0.23671553045679616</v>
      </c>
      <c r="Y1674" s="11">
        <v>0.10599566214263405</v>
      </c>
      <c r="Z1674" s="11">
        <v>0.1986102932772542</v>
      </c>
    </row>
    <row r="1675" ht="22.5" customHeight="1">
      <c r="Q1675" s="9" t="s">
        <v>1713</v>
      </c>
      <c r="R1675" s="10">
        <v>0.6426012822755246</v>
      </c>
      <c r="S1675" s="10">
        <v>0.02863841538773804</v>
      </c>
      <c r="T1675" s="10">
        <v>21.041711774791043</v>
      </c>
      <c r="U1675" s="11">
        <v>0.13721780674530823</v>
      </c>
      <c r="V1675" s="11">
        <v>0.18470889546478472</v>
      </c>
      <c r="W1675" s="11">
        <v>0.18758398971285115</v>
      </c>
      <c r="X1675" s="11">
        <v>0.1620055050490962</v>
      </c>
      <c r="Y1675" s="11">
        <v>0.16363709986982625</v>
      </c>
      <c r="Z1675" s="11">
        <v>0.16484670315813357</v>
      </c>
    </row>
    <row r="1676" ht="22.5" customHeight="1">
      <c r="Q1676" s="9" t="s">
        <v>1714</v>
      </c>
      <c r="R1676" s="10">
        <v>0.34019126566788127</v>
      </c>
      <c r="S1676" s="10">
        <v>0.014266850955958017</v>
      </c>
      <c r="T1676" s="10">
        <v>21.04117205643882</v>
      </c>
      <c r="U1676" s="11">
        <v>0.08979061144711316</v>
      </c>
      <c r="V1676" s="11">
        <v>0.09329520509640897</v>
      </c>
      <c r="W1676" s="11">
        <v>0.058672924351323014</v>
      </c>
      <c r="X1676" s="11">
        <v>0.12239666884225625</v>
      </c>
      <c r="Y1676" s="11">
        <v>0.30071864087847516</v>
      </c>
      <c r="Z1676" s="11">
        <v>0.3351259493844234</v>
      </c>
    </row>
    <row r="1677" ht="22.5" customHeight="1">
      <c r="Q1677" s="9" t="s">
        <v>1715</v>
      </c>
      <c r="R1677" s="10">
        <v>0.6239877772206832</v>
      </c>
      <c r="S1677" s="10">
        <v>0.02775522845416136</v>
      </c>
      <c r="T1677" s="10">
        <v>21.040640259371582</v>
      </c>
      <c r="U1677" s="11">
        <v>0.1424021916310612</v>
      </c>
      <c r="V1677" s="11">
        <v>0.21181632784506096</v>
      </c>
      <c r="W1677" s="11">
        <v>0.14551313691342127</v>
      </c>
      <c r="X1677" s="11">
        <v>0.15103633466449617</v>
      </c>
      <c r="Y1677" s="11">
        <v>0.17858255616387902</v>
      </c>
      <c r="Z1677" s="11">
        <v>0.17064945278208132</v>
      </c>
    </row>
    <row r="1678" ht="22.5" customHeight="1">
      <c r="Q1678" s="9" t="s">
        <v>1716</v>
      </c>
      <c r="R1678" s="10">
        <v>0.6293103451140049</v>
      </c>
      <c r="S1678" s="10">
        <v>0.02800848955870367</v>
      </c>
      <c r="T1678" s="10">
        <v>21.040418615893405</v>
      </c>
      <c r="U1678" s="11">
        <v>0.21711027494048996</v>
      </c>
      <c r="V1678" s="11">
        <v>0.17786832238069566</v>
      </c>
      <c r="W1678" s="11">
        <v>0.18582015797120816</v>
      </c>
      <c r="X1678" s="11">
        <v>0.1604345078087312</v>
      </c>
      <c r="Y1678" s="11">
        <v>0.09567997883642947</v>
      </c>
      <c r="Z1678" s="11">
        <v>0.16308675806244555</v>
      </c>
    </row>
    <row r="1679" ht="22.5" customHeight="1">
      <c r="Q1679" s="9" t="s">
        <v>1717</v>
      </c>
      <c r="R1679" s="10">
        <v>0.6555163461917757</v>
      </c>
      <c r="S1679" s="10">
        <v>0.029254448954416156</v>
      </c>
      <c r="T1679" s="10">
        <v>21.040093667491874</v>
      </c>
      <c r="U1679" s="11">
        <v>0.2063454991753567</v>
      </c>
      <c r="V1679" s="11">
        <v>0.20316383523153772</v>
      </c>
      <c r="W1679" s="11">
        <v>0.1783378542837832</v>
      </c>
      <c r="X1679" s="11">
        <v>0.14752816125890467</v>
      </c>
      <c r="Y1679" s="11">
        <v>0.1303639750598299</v>
      </c>
      <c r="Z1679" s="11">
        <v>0.1342606749905877</v>
      </c>
    </row>
    <row r="1680" ht="22.5" customHeight="1">
      <c r="Q1680" s="9" t="s">
        <v>1718</v>
      </c>
      <c r="R1680" s="10">
        <v>0.6288823751730789</v>
      </c>
      <c r="S1680" s="10">
        <v>0.02798868668031709</v>
      </c>
      <c r="T1680" s="10">
        <v>21.040014556567513</v>
      </c>
      <c r="U1680" s="11">
        <v>0.13401176785942548</v>
      </c>
      <c r="V1680" s="11">
        <v>0.18660327444712388</v>
      </c>
      <c r="W1680" s="11">
        <v>0.17689332193974402</v>
      </c>
      <c r="X1680" s="11">
        <v>0.14025505148917905</v>
      </c>
      <c r="Y1680" s="11">
        <v>0.18659932408754765</v>
      </c>
      <c r="Z1680" s="11">
        <v>0.1756372601769799</v>
      </c>
    </row>
    <row r="1681" ht="22.5" customHeight="1">
      <c r="Q1681" s="9" t="s">
        <v>1719</v>
      </c>
      <c r="R1681" s="10">
        <v>0.7691424327146155</v>
      </c>
      <c r="S1681" s="10">
        <v>0.034655273456230644</v>
      </c>
      <c r="T1681" s="10">
        <v>21.03986954930588</v>
      </c>
      <c r="U1681" s="11">
        <v>0.04889259289712565</v>
      </c>
      <c r="V1681" s="11">
        <v>0.23879297420429166</v>
      </c>
      <c r="W1681" s="11">
        <v>0.2146269303527529</v>
      </c>
      <c r="X1681" s="11">
        <v>0.25453917798357834</v>
      </c>
      <c r="Y1681" s="11">
        <v>0.18828174758456298</v>
      </c>
      <c r="Z1681" s="11">
        <v>0.05486657697768852</v>
      </c>
    </row>
    <row r="1682" ht="22.5" customHeight="1">
      <c r="Q1682" s="9" t="s">
        <v>1720</v>
      </c>
      <c r="R1682" s="10">
        <v>0.37415638160199505</v>
      </c>
      <c r="S1682" s="10">
        <v>0.015882569994307538</v>
      </c>
      <c r="T1682" s="10">
        <v>21.039188350610754</v>
      </c>
      <c r="U1682" s="11">
        <v>0.06017360967386621</v>
      </c>
      <c r="V1682" s="11">
        <v>0.12446686397845498</v>
      </c>
      <c r="W1682" s="11">
        <v>0.035477422461657686</v>
      </c>
      <c r="X1682" s="11">
        <v>0.2702774669798601</v>
      </c>
      <c r="Y1682" s="11">
        <v>0.2642326958562654</v>
      </c>
      <c r="Z1682" s="11">
        <v>0.2453719410498956</v>
      </c>
    </row>
    <row r="1683" ht="22.5" customHeight="1">
      <c r="Q1683" s="9" t="s">
        <v>1721</v>
      </c>
      <c r="R1683" s="10">
        <v>0.565683182042791</v>
      </c>
      <c r="S1683" s="10">
        <v>0.02498597631982638</v>
      </c>
      <c r="T1683" s="10">
        <v>21.039129122429415</v>
      </c>
      <c r="U1683" s="11">
        <v>0.21905970849633633</v>
      </c>
      <c r="V1683" s="11">
        <v>0.1250190064774129</v>
      </c>
      <c r="W1683" s="11">
        <v>0.18199673186008897</v>
      </c>
      <c r="X1683" s="11">
        <v>0.19249838156261254</v>
      </c>
      <c r="Y1683" s="11">
        <v>0.2056129003087597</v>
      </c>
      <c r="Z1683" s="11">
        <v>0.07581327129478943</v>
      </c>
    </row>
    <row r="1684" ht="22.5" customHeight="1">
      <c r="Q1684" s="9" t="s">
        <v>1722</v>
      </c>
      <c r="R1684" s="10">
        <v>0.3952114851555285</v>
      </c>
      <c r="S1684" s="10">
        <v>0.016883393579006076</v>
      </c>
      <c r="T1684" s="10">
        <v>21.039104697364984</v>
      </c>
      <c r="U1684" s="11">
        <v>0.24523901625548727</v>
      </c>
      <c r="V1684" s="11">
        <v>0.11720902322699138</v>
      </c>
      <c r="W1684" s="11">
        <v>0.07420650561580575</v>
      </c>
      <c r="X1684" s="11">
        <v>0.07763944934383524</v>
      </c>
      <c r="Y1684" s="11">
        <v>0.2654497665013021</v>
      </c>
      <c r="Z1684" s="11">
        <v>0.22025623905657837</v>
      </c>
    </row>
    <row r="1685" ht="22.5" customHeight="1">
      <c r="Q1685" s="9" t="s">
        <v>1723</v>
      </c>
      <c r="R1685" s="10">
        <v>0.2996631505843529</v>
      </c>
      <c r="S1685" s="10">
        <v>0.01234218008531239</v>
      </c>
      <c r="T1685" s="10">
        <v>21.038677834020653</v>
      </c>
      <c r="U1685" s="11">
        <v>0.2979634583963625</v>
      </c>
      <c r="V1685" s="11">
        <v>0.04967008222606059</v>
      </c>
      <c r="W1685" s="11">
        <v>0.06930547484093416</v>
      </c>
      <c r="X1685" s="11">
        <v>0.15967926995254683</v>
      </c>
      <c r="Y1685" s="11">
        <v>0.15069300132600133</v>
      </c>
      <c r="Z1685" s="11">
        <v>0.27268871325809446</v>
      </c>
    </row>
    <row r="1686" ht="22.5" customHeight="1">
      <c r="Q1686" s="9" t="s">
        <v>1724</v>
      </c>
      <c r="R1686" s="10">
        <v>0.4138048088001175</v>
      </c>
      <c r="S1686" s="10">
        <v>0.017767577073211808</v>
      </c>
      <c r="T1686" s="10">
        <v>21.038592221091495</v>
      </c>
      <c r="U1686" s="11">
        <v>0.037973543816642356</v>
      </c>
      <c r="V1686" s="11">
        <v>0.12778368650584757</v>
      </c>
      <c r="W1686" s="11">
        <v>0.03768067604905226</v>
      </c>
      <c r="X1686" s="11">
        <v>0.38968748085921306</v>
      </c>
      <c r="Y1686" s="11">
        <v>0.3838292114200686</v>
      </c>
      <c r="Z1686" s="11">
        <v>0.023045401349176146</v>
      </c>
    </row>
    <row r="1687" ht="22.5" customHeight="1">
      <c r="Q1687" s="9" t="s">
        <v>1725</v>
      </c>
      <c r="R1687" s="10">
        <v>0.535201066354346</v>
      </c>
      <c r="S1687" s="10">
        <v>0.02353785461099308</v>
      </c>
      <c r="T1687" s="10">
        <v>21.03849626648081</v>
      </c>
      <c r="U1687" s="11">
        <v>0.3673315666679784</v>
      </c>
      <c r="V1687" s="11">
        <v>0.1695683989200616</v>
      </c>
      <c r="W1687" s="11">
        <v>0.11954034043286958</v>
      </c>
      <c r="X1687" s="11">
        <v>0.08005454065964697</v>
      </c>
      <c r="Y1687" s="11">
        <v>0.2086183843030579</v>
      </c>
      <c r="Z1687" s="11">
        <v>0.05488676901638557</v>
      </c>
    </row>
    <row r="1688" ht="22.5" customHeight="1">
      <c r="Q1688" s="9" t="s">
        <v>1726</v>
      </c>
      <c r="R1688" s="10">
        <v>0.48545472976855164</v>
      </c>
      <c r="S1688" s="10">
        <v>0.021173933808211486</v>
      </c>
      <c r="T1688" s="10">
        <v>21.037882417286077</v>
      </c>
      <c r="U1688" s="11">
        <v>0.18077414439284523</v>
      </c>
      <c r="V1688" s="11">
        <v>0.10364271946561593</v>
      </c>
      <c r="W1688" s="11">
        <v>0.15499100635504584</v>
      </c>
      <c r="X1688" s="11">
        <v>0.17838092225163513</v>
      </c>
      <c r="Y1688" s="11">
        <v>0.12817022773375863</v>
      </c>
      <c r="Z1688" s="11">
        <v>0.25404097980109913</v>
      </c>
    </row>
    <row r="1689" ht="22.5" customHeight="1">
      <c r="Q1689" s="9" t="s">
        <v>1727</v>
      </c>
      <c r="R1689" s="10">
        <v>0.27428686044541223</v>
      </c>
      <c r="S1689" s="10">
        <v>0.011136443711151448</v>
      </c>
      <c r="T1689" s="10">
        <v>21.037852524752555</v>
      </c>
      <c r="U1689" s="11">
        <v>0.003038342259319696</v>
      </c>
      <c r="V1689" s="11">
        <v>0.037773136690105236</v>
      </c>
      <c r="W1689" s="11">
        <v>0.04172414111709151</v>
      </c>
      <c r="X1689" s="11">
        <v>0.3970534544990755</v>
      </c>
      <c r="Y1689" s="11">
        <v>0.22823493874648096</v>
      </c>
      <c r="Z1689" s="11">
        <v>0.29217598668792716</v>
      </c>
    </row>
    <row r="1690" ht="22.5" customHeight="1">
      <c r="Q1690" s="9" t="s">
        <v>1728</v>
      </c>
      <c r="R1690" s="10">
        <v>0.6993832928057815</v>
      </c>
      <c r="S1690" s="10">
        <v>0.03134332280442142</v>
      </c>
      <c r="T1690" s="10">
        <v>21.03744063513158</v>
      </c>
      <c r="U1690" s="11">
        <v>0.0076964491835038815</v>
      </c>
      <c r="V1690" s="11">
        <v>0.18679511638099452</v>
      </c>
      <c r="W1690" s="11">
        <v>0.2127467118476954</v>
      </c>
      <c r="X1690" s="11">
        <v>0.2500646837110857</v>
      </c>
      <c r="Y1690" s="11">
        <v>0.2965324131206751</v>
      </c>
      <c r="Z1690" s="11">
        <v>0.04616462575604527</v>
      </c>
    </row>
    <row r="1691" ht="22.5" customHeight="1">
      <c r="Q1691" s="9" t="s">
        <v>1729</v>
      </c>
      <c r="R1691" s="10">
        <v>0.4749428756999483</v>
      </c>
      <c r="S1691" s="10">
        <v>0.020674845139065912</v>
      </c>
      <c r="T1691" s="10">
        <v>21.037297874512593</v>
      </c>
      <c r="U1691" s="11">
        <v>0.04257705336597557</v>
      </c>
      <c r="V1691" s="11">
        <v>0.16914599271003222</v>
      </c>
      <c r="W1691" s="11">
        <v>0.0758022777833992</v>
      </c>
      <c r="X1691" s="11">
        <v>0.19416692965588458</v>
      </c>
      <c r="Y1691" s="11">
        <v>0.23868196802329675</v>
      </c>
      <c r="Z1691" s="11">
        <v>0.27962577846141173</v>
      </c>
    </row>
    <row r="1692" ht="22.5" customHeight="1">
      <c r="Q1692" s="9" t="s">
        <v>1730</v>
      </c>
      <c r="R1692" s="10">
        <v>0.6274140762909658</v>
      </c>
      <c r="S1692" s="10">
        <v>0.027922880115186358</v>
      </c>
      <c r="T1692" s="10">
        <v>21.037016019400166</v>
      </c>
      <c r="U1692" s="11">
        <v>0.1368143504501397</v>
      </c>
      <c r="V1692" s="11">
        <v>0.23241883050405657</v>
      </c>
      <c r="W1692" s="11">
        <v>0.110787018831821</v>
      </c>
      <c r="X1692" s="11">
        <v>0.28222416706072506</v>
      </c>
      <c r="Y1692" s="11">
        <v>0.15658660466759178</v>
      </c>
      <c r="Z1692" s="11">
        <v>0.08116902848566586</v>
      </c>
    </row>
    <row r="1693" ht="22.5" customHeight="1">
      <c r="Q1693" s="9" t="s">
        <v>1731</v>
      </c>
      <c r="R1693" s="10">
        <v>0.6945327882319692</v>
      </c>
      <c r="S1693" s="10">
        <v>0.031113895329314672</v>
      </c>
      <c r="T1693" s="10">
        <v>21.03667127835601</v>
      </c>
      <c r="U1693" s="11">
        <v>0.11075102670567102</v>
      </c>
      <c r="V1693" s="11">
        <v>0.21643555448646795</v>
      </c>
      <c r="W1693" s="11">
        <v>0.19322349240315256</v>
      </c>
      <c r="X1693" s="11">
        <v>0.22397338103506254</v>
      </c>
      <c r="Y1693" s="11">
        <v>0.06059847171285558</v>
      </c>
      <c r="Z1693" s="11">
        <v>0.19501807365679025</v>
      </c>
    </row>
    <row r="1694" ht="22.5" customHeight="1">
      <c r="Q1694" s="9" t="s">
        <v>1732</v>
      </c>
      <c r="R1694" s="10">
        <v>0.41954055149931374</v>
      </c>
      <c r="S1694" s="10">
        <v>0.018042061379495575</v>
      </c>
      <c r="T1694" s="10">
        <v>21.03642945870108</v>
      </c>
      <c r="U1694" s="11">
        <v>0.18042805883070123</v>
      </c>
      <c r="V1694" s="11">
        <v>0.14529359941263992</v>
      </c>
      <c r="W1694" s="11">
        <v>0.05362440521687335</v>
      </c>
      <c r="X1694" s="11">
        <v>0.18550316875417228</v>
      </c>
      <c r="Y1694" s="11">
        <v>0.23979752058078038</v>
      </c>
      <c r="Z1694" s="11">
        <v>0.1953532472048329</v>
      </c>
    </row>
    <row r="1695" ht="22.5" customHeight="1">
      <c r="Q1695" s="9" t="s">
        <v>1733</v>
      </c>
      <c r="R1695" s="10">
        <v>0.5074384411341241</v>
      </c>
      <c r="S1695" s="10">
        <v>0.022220650019600947</v>
      </c>
      <c r="T1695" s="10">
        <v>21.036218144914496</v>
      </c>
      <c r="U1695" s="11">
        <v>0.1677670145327842</v>
      </c>
      <c r="V1695" s="11">
        <v>0.0965204371426578</v>
      </c>
      <c r="W1695" s="11">
        <v>0.1691105403866065</v>
      </c>
      <c r="X1695" s="11">
        <v>0.3132137153795759</v>
      </c>
      <c r="Y1695" s="11">
        <v>0.022016836412893617</v>
      </c>
      <c r="Z1695" s="11">
        <v>0.23137145614548227</v>
      </c>
    </row>
    <row r="1696" ht="22.5" customHeight="1">
      <c r="Q1696" s="9" t="s">
        <v>1734</v>
      </c>
      <c r="R1696" s="10">
        <v>0.5691698664452778</v>
      </c>
      <c r="S1696" s="10">
        <v>0.025156412004484312</v>
      </c>
      <c r="T1696" s="10">
        <v>21.03518841840201</v>
      </c>
      <c r="U1696" s="11">
        <v>0.17879219539048666</v>
      </c>
      <c r="V1696" s="11">
        <v>0.2108576995188838</v>
      </c>
      <c r="W1696" s="11">
        <v>0.08845489275689601</v>
      </c>
      <c r="X1696" s="11">
        <v>0.26579539377658135</v>
      </c>
      <c r="Y1696" s="11">
        <v>0.1837211147415728</v>
      </c>
      <c r="Z1696" s="11">
        <v>0.07237870381557944</v>
      </c>
    </row>
    <row r="1697" ht="22.5" customHeight="1">
      <c r="Q1697" s="9" t="s">
        <v>1735</v>
      </c>
      <c r="R1697" s="10">
        <v>0.675285374671929</v>
      </c>
      <c r="S1697" s="10">
        <v>0.030203197391749106</v>
      </c>
      <c r="T1697" s="10">
        <v>21.033712637506248</v>
      </c>
      <c r="U1697" s="11">
        <v>0.05613552697875375</v>
      </c>
      <c r="V1697" s="11">
        <v>0.25037390596170384</v>
      </c>
      <c r="W1697" s="11">
        <v>0.12179907925202961</v>
      </c>
      <c r="X1697" s="11">
        <v>0.3463048913187335</v>
      </c>
      <c r="Y1697" s="11">
        <v>0.17315052182265758</v>
      </c>
      <c r="Z1697" s="11">
        <v>0.05223607466612169</v>
      </c>
    </row>
    <row r="1698" ht="22.5" customHeight="1">
      <c r="Q1698" s="9" t="s">
        <v>1736</v>
      </c>
      <c r="R1698" s="10">
        <v>0.6157552906724938</v>
      </c>
      <c r="S1698" s="10">
        <v>0.027373065443345865</v>
      </c>
      <c r="T1698" s="10">
        <v>21.033643157874906</v>
      </c>
      <c r="U1698" s="11">
        <v>0.13038152907989103</v>
      </c>
      <c r="V1698" s="11">
        <v>0.145501579601242</v>
      </c>
      <c r="W1698" s="11">
        <v>0.19763167347267738</v>
      </c>
      <c r="X1698" s="11">
        <v>0.2191271751843258</v>
      </c>
      <c r="Y1698" s="11">
        <v>0.2192577680236086</v>
      </c>
      <c r="Z1698" s="11">
        <v>0.08810027463825514</v>
      </c>
    </row>
    <row r="1699" ht="22.5" customHeight="1">
      <c r="Q1699" s="9" t="s">
        <v>1737</v>
      </c>
      <c r="R1699" s="10">
        <v>0.49603852192074804</v>
      </c>
      <c r="S1699" s="10">
        <v>0.021681834908550874</v>
      </c>
      <c r="T1699" s="10">
        <v>21.033207006889246</v>
      </c>
      <c r="U1699" s="11">
        <v>0.1670998756206045</v>
      </c>
      <c r="V1699" s="11">
        <v>0.10470922637864802</v>
      </c>
      <c r="W1699" s="11">
        <v>0.15763366824563166</v>
      </c>
      <c r="X1699" s="11">
        <v>0.17043554342744935</v>
      </c>
      <c r="Y1699" s="11">
        <v>0.2078967160291877</v>
      </c>
      <c r="Z1699" s="11">
        <v>0.19222497029847863</v>
      </c>
    </row>
    <row r="1700" ht="22.5" customHeight="1">
      <c r="Q1700" s="9" t="s">
        <v>1738</v>
      </c>
      <c r="R1700" s="10">
        <v>0.6973579153609284</v>
      </c>
      <c r="S1700" s="10">
        <v>0.031254924655952</v>
      </c>
      <c r="T1700" s="10">
        <v>21.032138858019774</v>
      </c>
      <c r="U1700" s="11">
        <v>0.1425459938120934</v>
      </c>
      <c r="V1700" s="11">
        <v>0.20115149520967185</v>
      </c>
      <c r="W1700" s="11">
        <v>0.20596799121165657</v>
      </c>
      <c r="X1700" s="11">
        <v>0.19499311277483825</v>
      </c>
      <c r="Y1700" s="11">
        <v>0.16337992249642339</v>
      </c>
      <c r="Z1700" s="11">
        <v>0.09196148449531655</v>
      </c>
    </row>
    <row r="1701" ht="22.5" customHeight="1">
      <c r="Q1701" s="9" t="s">
        <v>1739</v>
      </c>
      <c r="R1701" s="10">
        <v>0.36092933754428913</v>
      </c>
      <c r="S1701" s="10">
        <v>0.015259875246580635</v>
      </c>
      <c r="T1701" s="10">
        <v>21.030927996361015</v>
      </c>
      <c r="U1701" s="11">
        <v>0.22705842852676603</v>
      </c>
      <c r="V1701" s="11">
        <v>0.05303648478342484</v>
      </c>
      <c r="W1701" s="11">
        <v>0.10571682162909218</v>
      </c>
      <c r="X1701" s="11">
        <v>0.1938816801915796</v>
      </c>
      <c r="Y1701" s="11">
        <v>0.2115269941977174</v>
      </c>
      <c r="Z1701" s="11">
        <v>0.20877959067142</v>
      </c>
    </row>
    <row r="1702" ht="22.5" customHeight="1">
      <c r="Q1702" s="9" t="s">
        <v>1740</v>
      </c>
      <c r="R1702" s="10">
        <v>0.5569675814932482</v>
      </c>
      <c r="S1702" s="10">
        <v>0.024581532395274837</v>
      </c>
      <c r="T1702" s="10">
        <v>21.03073043536626</v>
      </c>
      <c r="U1702" s="11">
        <v>0.08927724989470819</v>
      </c>
      <c r="V1702" s="11">
        <v>0.19279156511000461</v>
      </c>
      <c r="W1702" s="11">
        <v>0.1158056685958779</v>
      </c>
      <c r="X1702" s="11">
        <v>0.1432362212367166</v>
      </c>
      <c r="Y1702" s="11">
        <v>0.23665802743018968</v>
      </c>
      <c r="Z1702" s="11">
        <v>0.22223126773250299</v>
      </c>
    </row>
    <row r="1703" ht="22.5" customHeight="1">
      <c r="Q1703" s="9" t="s">
        <v>1741</v>
      </c>
      <c r="R1703" s="10">
        <v>0.700313272158026</v>
      </c>
      <c r="S1703" s="10">
        <v>0.031398433321081005</v>
      </c>
      <c r="T1703" s="10">
        <v>21.030134383000874</v>
      </c>
      <c r="U1703" s="11">
        <v>0.2124753654795105</v>
      </c>
      <c r="V1703" s="11">
        <v>0.2063147794238385</v>
      </c>
      <c r="W1703" s="11">
        <v>0.2038841219057168</v>
      </c>
      <c r="X1703" s="11">
        <v>0.19066197451160027</v>
      </c>
      <c r="Y1703" s="11">
        <v>0.10354310013807765</v>
      </c>
      <c r="Z1703" s="11">
        <v>0.08312065854125623</v>
      </c>
    </row>
    <row r="1704" ht="22.5" customHeight="1">
      <c r="Q1704" s="9" t="s">
        <v>1742</v>
      </c>
      <c r="R1704" s="10">
        <v>0.4817377190896699</v>
      </c>
      <c r="S1704" s="10">
        <v>0.021005038260062968</v>
      </c>
      <c r="T1704" s="10">
        <v>21.030084002729435</v>
      </c>
      <c r="U1704" s="11">
        <v>0.14409226089612845</v>
      </c>
      <c r="V1704" s="11">
        <v>0.09609415331668344</v>
      </c>
      <c r="W1704" s="11">
        <v>0.15737656677206688</v>
      </c>
      <c r="X1704" s="11">
        <v>0.22682212967143575</v>
      </c>
      <c r="Y1704" s="11">
        <v>0.10520397204396933</v>
      </c>
      <c r="Z1704" s="11">
        <v>0.2704109172997163</v>
      </c>
    </row>
    <row r="1705" ht="22.5" customHeight="1">
      <c r="Q1705" s="9" t="s">
        <v>1743</v>
      </c>
      <c r="R1705" s="10">
        <v>0.540500952089108</v>
      </c>
      <c r="S1705" s="10">
        <v>0.023799321903876892</v>
      </c>
      <c r="T1705" s="10">
        <v>21.03005094475304</v>
      </c>
      <c r="U1705" s="11">
        <v>0.16053416073205556</v>
      </c>
      <c r="V1705" s="11">
        <v>0.11055405922299139</v>
      </c>
      <c r="W1705" s="11">
        <v>0.17783677083788368</v>
      </c>
      <c r="X1705" s="11">
        <v>0.22965201030717194</v>
      </c>
      <c r="Y1705" s="11">
        <v>0.1921271845374284</v>
      </c>
      <c r="Z1705" s="11">
        <v>0.12929581436246887</v>
      </c>
    </row>
    <row r="1706" ht="22.5" customHeight="1">
      <c r="Q1706" s="9" t="s">
        <v>1744</v>
      </c>
      <c r="R1706" s="10">
        <v>0.5259681564192406</v>
      </c>
      <c r="S1706" s="10">
        <v>0.023108500348668598</v>
      </c>
      <c r="T1706" s="10">
        <v>21.029843957279546</v>
      </c>
      <c r="U1706" s="11">
        <v>0.17625051673063177</v>
      </c>
      <c r="V1706" s="11">
        <v>0.18724759077177475</v>
      </c>
      <c r="W1706" s="11">
        <v>0.09850076113880654</v>
      </c>
      <c r="X1706" s="11">
        <v>0.15455041225312036</v>
      </c>
      <c r="Y1706" s="11">
        <v>0.15547712183879664</v>
      </c>
      <c r="Z1706" s="11">
        <v>0.2279735972668699</v>
      </c>
    </row>
    <row r="1707" ht="22.5" customHeight="1">
      <c r="Q1707" s="9" t="s">
        <v>1745</v>
      </c>
      <c r="R1707" s="10">
        <v>0.3457251316101998</v>
      </c>
      <c r="S1707" s="10">
        <v>0.014537727129337527</v>
      </c>
      <c r="T1707" s="10">
        <v>21.029775073521517</v>
      </c>
      <c r="U1707" s="11">
        <v>0.2825703293850639</v>
      </c>
      <c r="V1707" s="11">
        <v>0.07719961467717158</v>
      </c>
      <c r="W1707" s="11">
        <v>0.08340111639935131</v>
      </c>
      <c r="X1707" s="11">
        <v>0.09051853942793331</v>
      </c>
      <c r="Y1707" s="11">
        <v>0.16449772546856364</v>
      </c>
      <c r="Z1707" s="11">
        <v>0.3018126746419163</v>
      </c>
    </row>
    <row r="1708" ht="22.5" customHeight="1">
      <c r="Q1708" s="9" t="s">
        <v>1746</v>
      </c>
      <c r="R1708" s="10">
        <v>0.5430716094592509</v>
      </c>
      <c r="S1708" s="10">
        <v>0.023922408150720696</v>
      </c>
      <c r="T1708" s="10">
        <v>21.029304670737975</v>
      </c>
      <c r="U1708" s="11">
        <v>0.15104226571772092</v>
      </c>
      <c r="V1708" s="11">
        <v>0.1960540799351996</v>
      </c>
      <c r="W1708" s="11">
        <v>0.09551791638369775</v>
      </c>
      <c r="X1708" s="11">
        <v>0.18330024557724128</v>
      </c>
      <c r="Y1708" s="11">
        <v>0.20821005574221393</v>
      </c>
      <c r="Z1708" s="11">
        <v>0.1658754366439265</v>
      </c>
    </row>
    <row r="1709" ht="22.5" customHeight="1">
      <c r="Q1709" s="9" t="s">
        <v>1747</v>
      </c>
      <c r="R1709" s="10">
        <v>0.7719494177394375</v>
      </c>
      <c r="S1709" s="10">
        <v>0.034807181576631444</v>
      </c>
      <c r="T1709" s="10">
        <v>21.02868961475604</v>
      </c>
      <c r="U1709" s="11">
        <v>0.1371899860843211</v>
      </c>
      <c r="V1709" s="11">
        <v>0.2524272670940237</v>
      </c>
      <c r="W1709" s="11">
        <v>0.2025094378842435</v>
      </c>
      <c r="X1709" s="11">
        <v>0.23404260482790784</v>
      </c>
      <c r="Y1709" s="11">
        <v>0.15842934437885578</v>
      </c>
      <c r="Z1709" s="11">
        <v>0.01540135973064812</v>
      </c>
    </row>
    <row r="1710" ht="22.5" customHeight="1">
      <c r="Q1710" s="9" t="s">
        <v>1748</v>
      </c>
      <c r="R1710" s="10">
        <v>0.7241306053634464</v>
      </c>
      <c r="S1710" s="10">
        <v>0.03253345171247014</v>
      </c>
      <c r="T1710" s="10">
        <v>21.028528156488775</v>
      </c>
      <c r="U1710" s="11">
        <v>0.18491108150570382</v>
      </c>
      <c r="V1710" s="11">
        <v>0.2187131589935202</v>
      </c>
      <c r="W1710" s="11">
        <v>0.20887755244767392</v>
      </c>
      <c r="X1710" s="11">
        <v>0.24728068963905156</v>
      </c>
      <c r="Y1710" s="11">
        <v>0.014234089449899514</v>
      </c>
      <c r="Z1710" s="11">
        <v>0.1259834279641509</v>
      </c>
    </row>
    <row r="1711" ht="22.5" customHeight="1">
      <c r="Q1711" s="9" t="s">
        <v>1749</v>
      </c>
      <c r="R1711" s="10">
        <v>0.48327222307664974</v>
      </c>
      <c r="S1711" s="10">
        <v>0.02107958106815534</v>
      </c>
      <c r="T1711" s="10">
        <v>21.028511982446158</v>
      </c>
      <c r="U1711" s="11">
        <v>0.3752728963243497</v>
      </c>
      <c r="V1711" s="11">
        <v>0.09508514234495517</v>
      </c>
      <c r="W1711" s="11">
        <v>0.14941749697757528</v>
      </c>
      <c r="X1711" s="11">
        <v>0.16036848000100679</v>
      </c>
      <c r="Y1711" s="11">
        <v>0.19353801237119908</v>
      </c>
      <c r="Z1711" s="11">
        <v>0.026317971980913967</v>
      </c>
    </row>
    <row r="1712" ht="22.5" customHeight="1">
      <c r="Q1712" s="9" t="s">
        <v>1750</v>
      </c>
      <c r="R1712" s="10">
        <v>0.6022547600450061</v>
      </c>
      <c r="S1712" s="10">
        <v>0.026737860316544616</v>
      </c>
      <c r="T1712" s="10">
        <v>21.02841264740616</v>
      </c>
      <c r="U1712" s="11">
        <v>0.04547790640594235</v>
      </c>
      <c r="V1712" s="11">
        <v>0.21882212365807135</v>
      </c>
      <c r="W1712" s="11">
        <v>0.1189163871969333</v>
      </c>
      <c r="X1712" s="11">
        <v>0.24991327010294534</v>
      </c>
      <c r="Y1712" s="11">
        <v>0.1142236838987507</v>
      </c>
      <c r="Z1712" s="11">
        <v>0.25264662873735694</v>
      </c>
    </row>
    <row r="1713" ht="22.5" customHeight="1">
      <c r="Q1713" s="9" t="s">
        <v>1751</v>
      </c>
      <c r="R1713" s="10">
        <v>0.5951157681862629</v>
      </c>
      <c r="S1713" s="10">
        <v>0.026399019445713247</v>
      </c>
      <c r="T1713" s="10">
        <v>21.02789345368675</v>
      </c>
      <c r="U1713" s="11">
        <v>0.15316601893007067</v>
      </c>
      <c r="V1713" s="11">
        <v>0.17506827029598565</v>
      </c>
      <c r="W1713" s="11">
        <v>0.16431306716121752</v>
      </c>
      <c r="X1713" s="11">
        <v>0.10928883931353968</v>
      </c>
      <c r="Y1713" s="11">
        <v>0.22648630775110085</v>
      </c>
      <c r="Z1713" s="11">
        <v>0.1716774965480856</v>
      </c>
    </row>
    <row r="1714" ht="22.5" customHeight="1">
      <c r="Q1714" s="9" t="s">
        <v>1752</v>
      </c>
      <c r="R1714" s="10">
        <v>0.6203441606817628</v>
      </c>
      <c r="S1714" s="10">
        <v>0.02759886665584024</v>
      </c>
      <c r="T1714" s="10">
        <v>21.02782581323698</v>
      </c>
      <c r="U1714" s="11">
        <v>0.1398884448917516</v>
      </c>
      <c r="V1714" s="11">
        <v>0.19403110596659984</v>
      </c>
      <c r="W1714" s="11">
        <v>0.16438627397043917</v>
      </c>
      <c r="X1714" s="11">
        <v>0.1270059555369306</v>
      </c>
      <c r="Y1714" s="11">
        <v>0.18488324838592535</v>
      </c>
      <c r="Z1714" s="11">
        <v>0.1898049712483536</v>
      </c>
    </row>
    <row r="1715" ht="22.5" customHeight="1">
      <c r="Q1715" s="9" t="s">
        <v>1753</v>
      </c>
      <c r="R1715" s="10">
        <v>0.5330478577791006</v>
      </c>
      <c r="S1715" s="10">
        <v>0.02344791388955861</v>
      </c>
      <c r="T1715" s="10">
        <v>21.027365594286643</v>
      </c>
      <c r="U1715" s="11">
        <v>0.21988311720237896</v>
      </c>
      <c r="V1715" s="11">
        <v>0.10450250823345575</v>
      </c>
      <c r="W1715" s="11">
        <v>0.17627017746319232</v>
      </c>
      <c r="X1715" s="11">
        <v>0.23360216859715063</v>
      </c>
      <c r="Y1715" s="11">
        <v>0.17405041488970163</v>
      </c>
      <c r="Z1715" s="11">
        <v>0.09169161361412081</v>
      </c>
    </row>
    <row r="1716" ht="22.5" customHeight="1">
      <c r="Q1716" s="9" t="s">
        <v>1754</v>
      </c>
      <c r="R1716" s="10">
        <v>0.4877555264781691</v>
      </c>
      <c r="S1716" s="10">
        <v>0.021294409976290642</v>
      </c>
      <c r="T1716" s="10">
        <v>21.026904571514475</v>
      </c>
      <c r="U1716" s="11">
        <v>0.2371177095948029</v>
      </c>
      <c r="V1716" s="11">
        <v>0.1298061426411935</v>
      </c>
      <c r="W1716" s="11">
        <v>0.1320080885321905</v>
      </c>
      <c r="X1716" s="11">
        <v>0.06761691448262729</v>
      </c>
      <c r="Y1716" s="11">
        <v>0.2505385895229081</v>
      </c>
      <c r="Z1716" s="11">
        <v>0.1829125552262777</v>
      </c>
    </row>
    <row r="1717" ht="22.5" customHeight="1">
      <c r="Q1717" s="9" t="s">
        <v>1755</v>
      </c>
      <c r="R1717" s="10">
        <v>0.6710296048773408</v>
      </c>
      <c r="S1717" s="10">
        <v>0.03001139501533838</v>
      </c>
      <c r="T1717" s="10">
        <v>21.02633364942985</v>
      </c>
      <c r="U1717" s="11">
        <v>0.24290204564525622</v>
      </c>
      <c r="V1717" s="11">
        <v>0.2418343669657743</v>
      </c>
      <c r="W1717" s="11">
        <v>0.13658767277375694</v>
      </c>
      <c r="X1717" s="11">
        <v>0.23054577882480456</v>
      </c>
      <c r="Y1717" s="11">
        <v>0.12351157879221428</v>
      </c>
      <c r="Z1717" s="11">
        <v>0.024618556998193732</v>
      </c>
    </row>
    <row r="1718" ht="22.5" customHeight="1">
      <c r="Q1718" s="9" t="s">
        <v>1756</v>
      </c>
      <c r="R1718" s="10">
        <v>0.5989759004587503</v>
      </c>
      <c r="S1718" s="10">
        <v>0.0265853163349327</v>
      </c>
      <c r="T1718" s="10">
        <v>21.025738171272554</v>
      </c>
      <c r="U1718" s="11">
        <v>0.022695351083803366</v>
      </c>
      <c r="V1718" s="11">
        <v>0.1630715955535726</v>
      </c>
      <c r="W1718" s="11">
        <v>0.17765588570592172</v>
      </c>
      <c r="X1718" s="11">
        <v>0.16840181900620552</v>
      </c>
      <c r="Y1718" s="11">
        <v>0.24398117172666023</v>
      </c>
      <c r="Z1718" s="11">
        <v>0.2241941769238366</v>
      </c>
    </row>
    <row r="1719" ht="22.5" customHeight="1">
      <c r="Q1719" s="9" t="s">
        <v>1757</v>
      </c>
      <c r="R1719" s="10">
        <v>0.7310327674499556</v>
      </c>
      <c r="S1719" s="10">
        <v>0.03286612302557062</v>
      </c>
      <c r="T1719" s="10">
        <v>21.025685533773355</v>
      </c>
      <c r="U1719" s="11">
        <v>0.11550091612783014</v>
      </c>
      <c r="V1719" s="11">
        <v>0.23423070478215557</v>
      </c>
      <c r="W1719" s="11">
        <v>0.19740239409493512</v>
      </c>
      <c r="X1719" s="11">
        <v>0.21819069489031986</v>
      </c>
      <c r="Y1719" s="11">
        <v>0.12255582961329187</v>
      </c>
      <c r="Z1719" s="11">
        <v>0.11211946049146734</v>
      </c>
    </row>
    <row r="1720" ht="22.5" customHeight="1">
      <c r="Q1720" s="9" t="s">
        <v>1758</v>
      </c>
      <c r="R1720" s="10">
        <v>0.6876370926244589</v>
      </c>
      <c r="S1720" s="10">
        <v>0.03080301751694316</v>
      </c>
      <c r="T1720" s="10">
        <v>21.025118473156954</v>
      </c>
      <c r="U1720" s="11">
        <v>0.209580945279799</v>
      </c>
      <c r="V1720" s="11">
        <v>0.196196781656998</v>
      </c>
      <c r="W1720" s="11">
        <v>0.2031225133494799</v>
      </c>
      <c r="X1720" s="11">
        <v>0.17220400720395226</v>
      </c>
      <c r="Y1720" s="11">
        <v>0.16735322197776134</v>
      </c>
      <c r="Z1720" s="11">
        <v>0.05154253053200951</v>
      </c>
    </row>
    <row r="1721" ht="22.5" customHeight="1">
      <c r="Q1721" s="9" t="s">
        <v>1759</v>
      </c>
      <c r="R1721" s="10">
        <v>0.613021688935663</v>
      </c>
      <c r="S1721" s="10">
        <v>0.02725473664151012</v>
      </c>
      <c r="T1721" s="10">
        <v>21.02466431698799</v>
      </c>
      <c r="U1721" s="11">
        <v>0.18472612686591686</v>
      </c>
      <c r="V1721" s="11">
        <v>0.17332472892844553</v>
      </c>
      <c r="W1721" s="11">
        <v>0.18179795515489294</v>
      </c>
      <c r="X1721" s="11">
        <v>0.18679346239947944</v>
      </c>
      <c r="Y1721" s="11">
        <v>0.027833030068894343</v>
      </c>
      <c r="Z1721" s="11">
        <v>0.24552469658237078</v>
      </c>
    </row>
    <row r="1722" ht="22.5" customHeight="1">
      <c r="Q1722" s="9" t="s">
        <v>1760</v>
      </c>
      <c r="R1722" s="10">
        <v>0.5055430782408414</v>
      </c>
      <c r="S1722" s="10">
        <v>0.02214293371286527</v>
      </c>
      <c r="T1722" s="10">
        <v>21.024453411534903</v>
      </c>
      <c r="U1722" s="11">
        <v>0.0631235738096384</v>
      </c>
      <c r="V1722" s="11">
        <v>0.17886906308092643</v>
      </c>
      <c r="W1722" s="11">
        <v>0.09251438773712667</v>
      </c>
      <c r="X1722" s="11">
        <v>0.1630606076570216</v>
      </c>
      <c r="Y1722" s="11">
        <v>0.22035628312108302</v>
      </c>
      <c r="Z1722" s="11">
        <v>0.28207608459420386</v>
      </c>
    </row>
    <row r="1723" ht="22.5" customHeight="1">
      <c r="Q1723" s="9" t="s">
        <v>1761</v>
      </c>
      <c r="R1723" s="10">
        <v>0.60511993012787</v>
      </c>
      <c r="S1723" s="10">
        <v>0.026879213049116158</v>
      </c>
      <c r="T1723" s="10">
        <v>21.024422444780328</v>
      </c>
      <c r="U1723" s="11">
        <v>0.10802942877278947</v>
      </c>
      <c r="V1723" s="11">
        <v>0.2172183298951769</v>
      </c>
      <c r="W1723" s="11">
        <v>0.11992755670155576</v>
      </c>
      <c r="X1723" s="11">
        <v>0.1961187375531788</v>
      </c>
      <c r="Y1723" s="11">
        <v>0.20401274485452223</v>
      </c>
      <c r="Z1723" s="11">
        <v>0.15469320222277674</v>
      </c>
    </row>
    <row r="1724" ht="22.5" customHeight="1">
      <c r="Q1724" s="9" t="s">
        <v>1762</v>
      </c>
      <c r="R1724" s="10">
        <v>0.780146964205204</v>
      </c>
      <c r="S1724" s="10">
        <v>0.03520437795646668</v>
      </c>
      <c r="T1724" s="10">
        <v>21.024287522434314</v>
      </c>
      <c r="U1724" s="11">
        <v>0.13833799279800596</v>
      </c>
      <c r="V1724" s="11">
        <v>0.22470368587995057</v>
      </c>
      <c r="W1724" s="11">
        <v>0.23539167354249996</v>
      </c>
      <c r="X1724" s="11">
        <v>0.2836804409868663</v>
      </c>
      <c r="Y1724" s="11">
        <v>0.09774736543860542</v>
      </c>
      <c r="Z1724" s="11">
        <v>0.020138841354071808</v>
      </c>
    </row>
    <row r="1725" ht="22.5" customHeight="1">
      <c r="Q1725" s="9" t="s">
        <v>1763</v>
      </c>
      <c r="R1725" s="10">
        <v>0.6567186516691473</v>
      </c>
      <c r="S1725" s="10">
        <v>0.029334367785135856</v>
      </c>
      <c r="T1725" s="10">
        <v>21.02375807743324</v>
      </c>
      <c r="U1725" s="11">
        <v>0.18598278230815427</v>
      </c>
      <c r="V1725" s="11">
        <v>0.22993481836787955</v>
      </c>
      <c r="W1725" s="11">
        <v>0.14146220232097464</v>
      </c>
      <c r="X1725" s="11">
        <v>0.17852603155775548</v>
      </c>
      <c r="Y1725" s="11">
        <v>0.220823194240464</v>
      </c>
      <c r="Z1725" s="11">
        <v>0.04327097120477199</v>
      </c>
    </row>
    <row r="1726" ht="22.5" customHeight="1">
      <c r="Q1726" s="9" t="s">
        <v>1764</v>
      </c>
      <c r="R1726" s="10">
        <v>0.5828885832669536</v>
      </c>
      <c r="S1726" s="10">
        <v>0.025823771489090236</v>
      </c>
      <c r="T1726" s="10">
        <v>21.02282323464284</v>
      </c>
      <c r="U1726" s="11">
        <v>0.23453903909544968</v>
      </c>
      <c r="V1726" s="11">
        <v>0.12644530400561912</v>
      </c>
      <c r="W1726" s="11">
        <v>0.19072642801650114</v>
      </c>
      <c r="X1726" s="11">
        <v>0.2184823694906402</v>
      </c>
      <c r="Y1726" s="11">
        <v>0.1800541708950691</v>
      </c>
      <c r="Z1726" s="11">
        <v>0.0497526884967208</v>
      </c>
    </row>
    <row r="1727" ht="22.5" customHeight="1">
      <c r="Q1727" s="9" t="s">
        <v>1765</v>
      </c>
      <c r="R1727" s="10">
        <v>0.8146608748638091</v>
      </c>
      <c r="S1727" s="10">
        <v>0.036850093278979076</v>
      </c>
      <c r="T1727" s="10">
        <v>21.021951532093134</v>
      </c>
      <c r="U1727" s="11">
        <v>0.06393859003711405</v>
      </c>
      <c r="V1727" s="11">
        <v>0.24595163384628116</v>
      </c>
      <c r="W1727" s="11">
        <v>0.23765567389442072</v>
      </c>
      <c r="X1727" s="11">
        <v>0.3209776210795384</v>
      </c>
      <c r="Y1727" s="11">
        <v>0.09647678469868043</v>
      </c>
      <c r="Z1727" s="11">
        <v>0.03499969644396518</v>
      </c>
    </row>
    <row r="1728" ht="22.5" customHeight="1">
      <c r="Q1728" s="9" t="s">
        <v>1766</v>
      </c>
      <c r="R1728" s="10">
        <v>0.5797896482397858</v>
      </c>
      <c r="S1728" s="10">
        <v>0.025679452859652185</v>
      </c>
      <c r="T1728" s="10">
        <v>21.020293975496212</v>
      </c>
      <c r="U1728" s="11">
        <v>0.1698256962382345</v>
      </c>
      <c r="V1728" s="11">
        <v>0.15408510521391797</v>
      </c>
      <c r="W1728" s="11">
        <v>0.17648643813815384</v>
      </c>
      <c r="X1728" s="11">
        <v>0.1563952202096186</v>
      </c>
      <c r="Y1728" s="11">
        <v>0.10851846049537153</v>
      </c>
      <c r="Z1728" s="11">
        <v>0.2346890797047036</v>
      </c>
    </row>
    <row r="1729" ht="22.5" customHeight="1">
      <c r="Q1729" s="9" t="s">
        <v>1767</v>
      </c>
      <c r="R1729" s="10">
        <v>0.5105782347417345</v>
      </c>
      <c r="S1729" s="10">
        <v>0.02238711377711454</v>
      </c>
      <c r="T1729" s="10">
        <v>21.020049275971786</v>
      </c>
      <c r="U1729" s="11">
        <v>0.23137679315300672</v>
      </c>
      <c r="V1729" s="11">
        <v>0.1879865868466686</v>
      </c>
      <c r="W1729" s="11">
        <v>0.07196602085734811</v>
      </c>
      <c r="X1729" s="11">
        <v>0.2432107065671457</v>
      </c>
      <c r="Y1729" s="11">
        <v>0.14970080170406697</v>
      </c>
      <c r="Z1729" s="11">
        <v>0.11575909087176392</v>
      </c>
    </row>
    <row r="1730" ht="22.5" customHeight="1">
      <c r="Q1730" s="9" t="s">
        <v>1768</v>
      </c>
      <c r="R1730" s="10">
        <v>0.6269909296965286</v>
      </c>
      <c r="S1730" s="10">
        <v>0.0279273306444568</v>
      </c>
      <c r="T1730" s="10">
        <v>21.018511835932962</v>
      </c>
      <c r="U1730" s="11">
        <v>0.09178562449041848</v>
      </c>
      <c r="V1730" s="11">
        <v>0.18225416036304834</v>
      </c>
      <c r="W1730" s="11">
        <v>0.18069746747097848</v>
      </c>
      <c r="X1730" s="11">
        <v>0.15237193776824265</v>
      </c>
      <c r="Y1730" s="11">
        <v>0.18718943624909581</v>
      </c>
      <c r="Z1730" s="11">
        <v>0.2057013736582162</v>
      </c>
    </row>
    <row r="1731" ht="22.5" customHeight="1">
      <c r="Q1731" s="9" t="s">
        <v>1769</v>
      </c>
      <c r="R1731" s="10">
        <v>0.5392062538836639</v>
      </c>
      <c r="S1731" s="10">
        <v>0.023751208584034993</v>
      </c>
      <c r="T1731" s="10">
        <v>21.018141123951846</v>
      </c>
      <c r="U1731" s="11">
        <v>0.14494627564491736</v>
      </c>
      <c r="V1731" s="11">
        <v>0.1991014348344293</v>
      </c>
      <c r="W1731" s="11">
        <v>0.0782795278690336</v>
      </c>
      <c r="X1731" s="11">
        <v>0.2630477789424391</v>
      </c>
      <c r="Y1731" s="11">
        <v>0.22000387609207395</v>
      </c>
      <c r="Z1731" s="11">
        <v>0.09462110661710664</v>
      </c>
    </row>
    <row r="1732" ht="22.5" customHeight="1">
      <c r="Q1732" s="9" t="s">
        <v>1770</v>
      </c>
      <c r="R1732" s="10">
        <v>0.6622674193442719</v>
      </c>
      <c r="S1732" s="10">
        <v>0.02960682907701819</v>
      </c>
      <c r="T1732" s="10">
        <v>21.01769891417709</v>
      </c>
      <c r="U1732" s="11">
        <v>0.23442149559280018</v>
      </c>
      <c r="V1732" s="11">
        <v>0.19418315039299552</v>
      </c>
      <c r="W1732" s="11">
        <v>0.1859132255536217</v>
      </c>
      <c r="X1732" s="11">
        <v>0.12866968123063266</v>
      </c>
      <c r="Y1732" s="11">
        <v>0.2371448120509523</v>
      </c>
      <c r="Z1732" s="11">
        <v>0.019667635178997684</v>
      </c>
    </row>
    <row r="1733" ht="22.5" customHeight="1">
      <c r="Q1733" s="9" t="s">
        <v>1771</v>
      </c>
      <c r="R1733" s="10">
        <v>0.5035078652932116</v>
      </c>
      <c r="S1733" s="10">
        <v>0.022053447116658843</v>
      </c>
      <c r="T1733" s="10">
        <v>21.017479165109055</v>
      </c>
      <c r="U1733" s="11">
        <v>0.17766768621436999</v>
      </c>
      <c r="V1733" s="11">
        <v>0.08376835854098902</v>
      </c>
      <c r="W1733" s="11">
        <v>0.16353861772008266</v>
      </c>
      <c r="X1733" s="11">
        <v>0.2819332151143477</v>
      </c>
      <c r="Y1733" s="11">
        <v>0.29116758902551</v>
      </c>
      <c r="Z1733" s="11">
        <v>0.0019245333847006264</v>
      </c>
    </row>
    <row r="1734" ht="22.5" customHeight="1">
      <c r="Q1734" s="9" t="s">
        <v>1772</v>
      </c>
      <c r="R1734" s="10">
        <v>0.6978411294148515</v>
      </c>
      <c r="S1734" s="10">
        <v>0.031300243910503484</v>
      </c>
      <c r="T1734" s="10">
        <v>21.017124700235915</v>
      </c>
      <c r="U1734" s="11">
        <v>0.12548933990339448</v>
      </c>
      <c r="V1734" s="11">
        <v>0.24141252905306176</v>
      </c>
      <c r="W1734" s="11">
        <v>0.16114842301995133</v>
      </c>
      <c r="X1734" s="11">
        <v>0.20000369312768462</v>
      </c>
      <c r="Y1734" s="11">
        <v>0.2067007479292269</v>
      </c>
      <c r="Z1734" s="11">
        <v>0.06524526696668087</v>
      </c>
    </row>
    <row r="1735" ht="22.5" customHeight="1">
      <c r="Q1735" s="9" t="s">
        <v>1773</v>
      </c>
      <c r="R1735" s="10">
        <v>0.48112100237043964</v>
      </c>
      <c r="S1735" s="10">
        <v>0.020988701045016392</v>
      </c>
      <c r="T1735" s="10">
        <v>21.01707015714441</v>
      </c>
      <c r="U1735" s="11">
        <v>0.22214248700517758</v>
      </c>
      <c r="V1735" s="11">
        <v>0.13035292543332685</v>
      </c>
      <c r="W1735" s="11">
        <v>0.12712380415191196</v>
      </c>
      <c r="X1735" s="11">
        <v>0.06298500057567834</v>
      </c>
      <c r="Y1735" s="11">
        <v>0.26225223503502</v>
      </c>
      <c r="Z1735" s="11">
        <v>0.19514354779888524</v>
      </c>
    </row>
    <row r="1736" ht="22.5" customHeight="1">
      <c r="Q1736" s="9" t="s">
        <v>1774</v>
      </c>
      <c r="R1736" s="10">
        <v>0.7057965830954315</v>
      </c>
      <c r="S1736" s="10">
        <v>0.03167926486283437</v>
      </c>
      <c r="T1736" s="10">
        <v>21.016793981117086</v>
      </c>
      <c r="U1736" s="11">
        <v>0.12280743320919184</v>
      </c>
      <c r="V1736" s="11">
        <v>0.2252652842140601</v>
      </c>
      <c r="W1736" s="11">
        <v>0.18979880552554834</v>
      </c>
      <c r="X1736" s="11">
        <v>0.18755266548778338</v>
      </c>
      <c r="Y1736" s="11">
        <v>0.15162766140189185</v>
      </c>
      <c r="Z1736" s="11">
        <v>0.12294815016152447</v>
      </c>
    </row>
    <row r="1737" ht="22.5" customHeight="1">
      <c r="Q1737" s="9" t="s">
        <v>1775</v>
      </c>
      <c r="R1737" s="10">
        <v>0.5830332684854045</v>
      </c>
      <c r="S1737" s="10">
        <v>0.025838488899162057</v>
      </c>
      <c r="T1737" s="10">
        <v>21.016448392344454</v>
      </c>
      <c r="U1737" s="11">
        <v>0.01846908310946244</v>
      </c>
      <c r="V1737" s="11">
        <v>0.2180579499196263</v>
      </c>
      <c r="W1737" s="11">
        <v>0.0896018561038168</v>
      </c>
      <c r="X1737" s="11">
        <v>0.4103472797027972</v>
      </c>
      <c r="Y1737" s="11">
        <v>0.05934626698789118</v>
      </c>
      <c r="Z1737" s="11">
        <v>0.20417756417640615</v>
      </c>
    </row>
    <row r="1738" ht="22.5" customHeight="1">
      <c r="Q1738" s="9" t="s">
        <v>1776</v>
      </c>
      <c r="R1738" s="10">
        <v>0.6284843809710858</v>
      </c>
      <c r="S1738" s="10">
        <v>0.02800122850830925</v>
      </c>
      <c r="T1738" s="10">
        <v>21.01637722060857</v>
      </c>
      <c r="U1738" s="11">
        <v>0.15661731074406177</v>
      </c>
      <c r="V1738" s="11">
        <v>0.13632983499667495</v>
      </c>
      <c r="W1738" s="11">
        <v>0.21110598471222494</v>
      </c>
      <c r="X1738" s="11">
        <v>0.3237805887278113</v>
      </c>
      <c r="Y1738" s="11">
        <v>0.08418839127306345</v>
      </c>
      <c r="Z1738" s="11">
        <v>0.0879778895461636</v>
      </c>
    </row>
    <row r="1739" ht="22.5" customHeight="1">
      <c r="Q1739" s="9" t="s">
        <v>1777</v>
      </c>
      <c r="R1739" s="10">
        <v>0.7370617712480214</v>
      </c>
      <c r="S1739" s="10">
        <v>0.03316804403048476</v>
      </c>
      <c r="T1739" s="10">
        <v>21.016065059710836</v>
      </c>
      <c r="U1739" s="11">
        <v>0.2728720403776245</v>
      </c>
      <c r="V1739" s="11">
        <v>0.2372731416408885</v>
      </c>
      <c r="W1739" s="11">
        <v>0.19587253674536997</v>
      </c>
      <c r="X1739" s="11">
        <v>0.19643206638687108</v>
      </c>
      <c r="Y1739" s="11">
        <v>0.08338454858301296</v>
      </c>
      <c r="Z1739" s="11">
        <v>0.014165666266232987</v>
      </c>
    </row>
    <row r="1740" ht="22.5" customHeight="1">
      <c r="Q1740" s="9" t="s">
        <v>1778</v>
      </c>
      <c r="R1740" s="10">
        <v>0.5006738458950843</v>
      </c>
      <c r="S1740" s="10">
        <v>0.021920309913454013</v>
      </c>
      <c r="T1740" s="10">
        <v>21.015845474535784</v>
      </c>
      <c r="U1740" s="11">
        <v>0.21926098597449162</v>
      </c>
      <c r="V1740" s="11">
        <v>0.16142124225351956</v>
      </c>
      <c r="W1740" s="11">
        <v>0.10902924916109513</v>
      </c>
      <c r="X1740" s="11">
        <v>0.07417482312495709</v>
      </c>
      <c r="Y1740" s="11">
        <v>0.24235162708577784</v>
      </c>
      <c r="Z1740" s="11">
        <v>0.19376207240015864</v>
      </c>
    </row>
    <row r="1741" ht="22.5" customHeight="1">
      <c r="Q1741" s="9" t="s">
        <v>1779</v>
      </c>
      <c r="R1741" s="10">
        <v>0.6998344047157135</v>
      </c>
      <c r="S1741" s="10">
        <v>0.031397033229119055</v>
      </c>
      <c r="T1741" s="10">
        <v>21.01582018595797</v>
      </c>
      <c r="U1741" s="11">
        <v>0.041621676452759694</v>
      </c>
      <c r="V1741" s="11">
        <v>0.24271585180967303</v>
      </c>
      <c r="W1741" s="11">
        <v>0.15814612129235417</v>
      </c>
      <c r="X1741" s="11">
        <v>0.22405153639104228</v>
      </c>
      <c r="Y1741" s="11">
        <v>0.26741688633880817</v>
      </c>
      <c r="Z1741" s="11">
        <v>0.06604792771536266</v>
      </c>
    </row>
    <row r="1742" ht="22.5" customHeight="1">
      <c r="Q1742" s="9" t="s">
        <v>1780</v>
      </c>
      <c r="R1742" s="10">
        <v>0.3904904212676227</v>
      </c>
      <c r="S1742" s="10">
        <v>0.01667760441280825</v>
      </c>
      <c r="T1742" s="10">
        <v>21.01563345623243</v>
      </c>
      <c r="U1742" s="11">
        <v>0.15703271170888727</v>
      </c>
      <c r="V1742" s="11">
        <v>0.13257859110997242</v>
      </c>
      <c r="W1742" s="11">
        <v>0.041571835829078245</v>
      </c>
      <c r="X1742" s="11">
        <v>0.21790946268396227</v>
      </c>
      <c r="Y1742" s="11">
        <v>0.25270858410432046</v>
      </c>
      <c r="Z1742" s="11">
        <v>0.19819881456377936</v>
      </c>
    </row>
    <row r="1743" ht="22.5" customHeight="1">
      <c r="Q1743" s="9" t="s">
        <v>1781</v>
      </c>
      <c r="R1743" s="10">
        <v>0.6113449680227265</v>
      </c>
      <c r="S1743" s="10">
        <v>0.02718667260874054</v>
      </c>
      <c r="T1743" s="10">
        <v>21.015626893562494</v>
      </c>
      <c r="U1743" s="11">
        <v>0.12713139654127123</v>
      </c>
      <c r="V1743" s="11">
        <v>0.1571985406773943</v>
      </c>
      <c r="W1743" s="11">
        <v>0.1917481636040807</v>
      </c>
      <c r="X1743" s="11">
        <v>0.19395208045625917</v>
      </c>
      <c r="Y1743" s="11">
        <v>0.13594187236374478</v>
      </c>
      <c r="Z1743" s="11">
        <v>0.1940279463572498</v>
      </c>
    </row>
    <row r="1744" ht="22.5" customHeight="1">
      <c r="Q1744" s="9" t="s">
        <v>1782</v>
      </c>
      <c r="R1744" s="10">
        <v>0.6506533301927758</v>
      </c>
      <c r="S1744" s="10">
        <v>0.029057891922377663</v>
      </c>
      <c r="T1744" s="10">
        <v>21.01505958601587</v>
      </c>
      <c r="U1744" s="11">
        <v>0.19668282970683904</v>
      </c>
      <c r="V1744" s="11">
        <v>0.21540970746775048</v>
      </c>
      <c r="W1744" s="11">
        <v>0.16233128544491487</v>
      </c>
      <c r="X1744" s="11">
        <v>0.14870599583194355</v>
      </c>
      <c r="Y1744" s="11">
        <v>0.12952978448359773</v>
      </c>
      <c r="Z1744" s="11">
        <v>0.14734039706495422</v>
      </c>
    </row>
    <row r="1745" ht="22.5" customHeight="1">
      <c r="Q1745" s="9" t="s">
        <v>1783</v>
      </c>
      <c r="R1745" s="10">
        <v>0.5146952082440647</v>
      </c>
      <c r="S1745" s="10">
        <v>0.022590308765529896</v>
      </c>
      <c r="T1745" s="10">
        <v>21.01322355400439</v>
      </c>
      <c r="U1745" s="11">
        <v>0.2336665388192599</v>
      </c>
      <c r="V1745" s="11">
        <v>0.16806032354247816</v>
      </c>
      <c r="W1745" s="11">
        <v>0.11997052623934118</v>
      </c>
      <c r="X1745" s="11">
        <v>0.11161093037669492</v>
      </c>
      <c r="Y1745" s="11">
        <v>0.05971645206086038</v>
      </c>
      <c r="Z1745" s="11">
        <v>0.3069752289613655</v>
      </c>
    </row>
    <row r="1746" ht="22.5" customHeight="1">
      <c r="Q1746" s="9" t="s">
        <v>1784</v>
      </c>
      <c r="R1746" s="10">
        <v>0.5474113383667434</v>
      </c>
      <c r="S1746" s="10">
        <v>0.0241475582833169</v>
      </c>
      <c r="T1746" s="10">
        <v>21.012946005282217</v>
      </c>
      <c r="U1746" s="11">
        <v>0.12443521950547401</v>
      </c>
      <c r="V1746" s="11">
        <v>0.19833841837472696</v>
      </c>
      <c r="W1746" s="11">
        <v>0.09800627048630255</v>
      </c>
      <c r="X1746" s="11">
        <v>0.1867673819215866</v>
      </c>
      <c r="Y1746" s="11">
        <v>0.19854404464140557</v>
      </c>
      <c r="Z1746" s="11">
        <v>0.1939086650705043</v>
      </c>
    </row>
    <row r="1747" ht="22.5" customHeight="1">
      <c r="Q1747" s="9" t="s">
        <v>1785</v>
      </c>
      <c r="R1747" s="10">
        <v>0.5587881458731928</v>
      </c>
      <c r="S1747" s="10">
        <v>0.024688994622652283</v>
      </c>
      <c r="T1747" s="10">
        <v>21.012931219046155</v>
      </c>
      <c r="U1747" s="11">
        <v>0.25778697669542006</v>
      </c>
      <c r="V1747" s="11">
        <v>0.15458932776710643</v>
      </c>
      <c r="W1747" s="11">
        <v>0.16329400063041166</v>
      </c>
      <c r="X1747" s="11">
        <v>0.14175914994018432</v>
      </c>
      <c r="Y1747" s="11">
        <v>0.03166763789950131</v>
      </c>
      <c r="Z1747" s="11">
        <v>0.2509029070673763</v>
      </c>
    </row>
    <row r="1748" ht="22.5" customHeight="1">
      <c r="Q1748" s="9" t="s">
        <v>1786</v>
      </c>
      <c r="R1748" s="10">
        <v>0.7114186878487765</v>
      </c>
      <c r="S1748" s="10">
        <v>0.03195293567994765</v>
      </c>
      <c r="T1748" s="10">
        <v>21.012738690865618</v>
      </c>
      <c r="U1748" s="11">
        <v>0.02899164549684536</v>
      </c>
      <c r="V1748" s="11">
        <v>0.2276718177521815</v>
      </c>
      <c r="W1748" s="11">
        <v>0.19332692270743446</v>
      </c>
      <c r="X1748" s="11">
        <v>0.2512251287569409</v>
      </c>
      <c r="Y1748" s="11">
        <v>0.07886983496414986</v>
      </c>
      <c r="Z1748" s="11">
        <v>0.21991465032244784</v>
      </c>
    </row>
    <row r="1749" ht="22.5" customHeight="1">
      <c r="Q1749" s="9" t="s">
        <v>1787</v>
      </c>
      <c r="R1749" s="10">
        <v>0.4739916351221998</v>
      </c>
      <c r="S1749" s="10">
        <v>0.02065392923421318</v>
      </c>
      <c r="T1749" s="10">
        <v>21.012545855114762</v>
      </c>
      <c r="U1749" s="11">
        <v>0.22493633872636187</v>
      </c>
      <c r="V1749" s="11">
        <v>0.10526997799830624</v>
      </c>
      <c r="W1749" s="11">
        <v>0.14638809014812704</v>
      </c>
      <c r="X1749" s="11">
        <v>0.13037257661722285</v>
      </c>
      <c r="Y1749" s="11">
        <v>0.16191816662910694</v>
      </c>
      <c r="Z1749" s="11">
        <v>0.23111484988087505</v>
      </c>
    </row>
    <row r="1750" ht="22.5" customHeight="1">
      <c r="Q1750" s="9" t="s">
        <v>1788</v>
      </c>
      <c r="R1750" s="10">
        <v>0.624011468352549</v>
      </c>
      <c r="S1750" s="10">
        <v>0.027793547348608665</v>
      </c>
      <c r="T1750" s="10">
        <v>21.012483977932536</v>
      </c>
      <c r="U1750" s="11">
        <v>0.21888306354903242</v>
      </c>
      <c r="V1750" s="11">
        <v>0.20693019248309583</v>
      </c>
      <c r="W1750" s="11">
        <v>0.15522110856934906</v>
      </c>
      <c r="X1750" s="11">
        <v>0.17981048021922189</v>
      </c>
      <c r="Y1750" s="11">
        <v>0.006969628721833945</v>
      </c>
      <c r="Z1750" s="11">
        <v>0.2321855264574668</v>
      </c>
    </row>
    <row r="1751" ht="22.5" customHeight="1">
      <c r="Q1751" s="9" t="s">
        <v>1789</v>
      </c>
      <c r="R1751" s="10">
        <v>0.7462212480529101</v>
      </c>
      <c r="S1751" s="10">
        <v>0.033610430464133985</v>
      </c>
      <c r="T1751" s="10">
        <v>21.01196677045019</v>
      </c>
      <c r="U1751" s="11">
        <v>0.04305400636837862</v>
      </c>
      <c r="V1751" s="11">
        <v>0.24255554099070903</v>
      </c>
      <c r="W1751" s="11">
        <v>0.19764676093358033</v>
      </c>
      <c r="X1751" s="11">
        <v>0.23453230324040814</v>
      </c>
      <c r="Y1751" s="11">
        <v>0.17657660775941028</v>
      </c>
      <c r="Z1751" s="11">
        <v>0.10563478070751356</v>
      </c>
    </row>
    <row r="1752" ht="22.5" customHeight="1">
      <c r="Q1752" s="9" t="s">
        <v>1790</v>
      </c>
      <c r="R1752" s="10">
        <v>0.6974437646597333</v>
      </c>
      <c r="S1752" s="10">
        <v>0.031289254102753246</v>
      </c>
      <c r="T1752" s="10">
        <v>21.01180688106856</v>
      </c>
      <c r="U1752" s="11">
        <v>0.16960811834772227</v>
      </c>
      <c r="V1752" s="11">
        <v>0.19857451560029185</v>
      </c>
      <c r="W1752" s="11">
        <v>0.20701356630050163</v>
      </c>
      <c r="X1752" s="11">
        <v>0.18069449014806374</v>
      </c>
      <c r="Y1752" s="11">
        <v>0.19292650961352723</v>
      </c>
      <c r="Z1752" s="11">
        <v>0.051182799989893266</v>
      </c>
    </row>
    <row r="1753" ht="22.5" customHeight="1">
      <c r="Q1753" s="9" t="s">
        <v>1791</v>
      </c>
      <c r="R1753" s="10">
        <v>0.6838933224657777</v>
      </c>
      <c r="S1753" s="10">
        <v>0.030644461843091532</v>
      </c>
      <c r="T1753" s="10">
        <v>21.011735358992333</v>
      </c>
      <c r="U1753" s="11">
        <v>0.14823568563292772</v>
      </c>
      <c r="V1753" s="11">
        <v>0.1946180794966314</v>
      </c>
      <c r="W1753" s="11">
        <v>0.2040242904175741</v>
      </c>
      <c r="X1753" s="11">
        <v>0.1852983685505649</v>
      </c>
      <c r="Y1753" s="11">
        <v>0.1616428090492688</v>
      </c>
      <c r="Z1753" s="11">
        <v>0.10618076685303292</v>
      </c>
    </row>
    <row r="1754" ht="22.5" customHeight="1">
      <c r="Q1754" s="9" t="s">
        <v>1792</v>
      </c>
      <c r="R1754" s="10">
        <v>0.6969545784606415</v>
      </c>
      <c r="S1754" s="10">
        <v>0.03126663499687134</v>
      </c>
      <c r="T1754" s="10">
        <v>21.011361744760155</v>
      </c>
      <c r="U1754" s="11">
        <v>0.05659968489056723</v>
      </c>
      <c r="V1754" s="11">
        <v>0.22590877849458665</v>
      </c>
      <c r="W1754" s="11">
        <v>0.18545882596179653</v>
      </c>
      <c r="X1754" s="11">
        <v>0.22142487516889503</v>
      </c>
      <c r="Y1754" s="11">
        <v>0.1000447296545192</v>
      </c>
      <c r="Z1754" s="11">
        <v>0.21056310582963533</v>
      </c>
    </row>
    <row r="1755" ht="22.5" customHeight="1">
      <c r="Q1755" s="9" t="s">
        <v>1793</v>
      </c>
      <c r="R1755" s="10">
        <v>0.5359399570867273</v>
      </c>
      <c r="S1755" s="10">
        <v>0.023604488769314626</v>
      </c>
      <c r="T1755" s="10">
        <v>21.010408737656693</v>
      </c>
      <c r="U1755" s="11">
        <v>0.2738194000444947</v>
      </c>
      <c r="V1755" s="11">
        <v>0.185707398014446</v>
      </c>
      <c r="W1755" s="11">
        <v>0.09968114554941247</v>
      </c>
      <c r="X1755" s="11">
        <v>0.1284303844981043</v>
      </c>
      <c r="Y1755" s="11">
        <v>0.2369991026306013</v>
      </c>
      <c r="Z1755" s="11">
        <v>0.07536256926294119</v>
      </c>
    </row>
    <row r="1756" ht="22.5" customHeight="1">
      <c r="Q1756" s="9" t="s">
        <v>1794</v>
      </c>
      <c r="R1756" s="10">
        <v>0.5615875266831319</v>
      </c>
      <c r="S1756" s="10">
        <v>0.024825470707890433</v>
      </c>
      <c r="T1756" s="10">
        <v>21.010176718113648</v>
      </c>
      <c r="U1756" s="11">
        <v>0.21978152334855017</v>
      </c>
      <c r="V1756" s="11">
        <v>0.20171992053314014</v>
      </c>
      <c r="W1756" s="11">
        <v>0.09710868538235466</v>
      </c>
      <c r="X1756" s="11">
        <v>0.18316944448484423</v>
      </c>
      <c r="Y1756" s="11">
        <v>0.24070330082260347</v>
      </c>
      <c r="Z1756" s="11">
        <v>0.05751712542850744</v>
      </c>
    </row>
    <row r="1757" ht="22.5" customHeight="1">
      <c r="Q1757" s="9" t="s">
        <v>1795</v>
      </c>
      <c r="R1757" s="10">
        <v>0.7212912855462557</v>
      </c>
      <c r="S1757" s="10">
        <v>0.03242684675565908</v>
      </c>
      <c r="T1757" s="10">
        <v>21.010099769486768</v>
      </c>
      <c r="U1757" s="11">
        <v>0.14050573281870052</v>
      </c>
      <c r="V1757" s="11">
        <v>0.24142217894569845</v>
      </c>
      <c r="W1757" s="11">
        <v>0.1818149420552179</v>
      </c>
      <c r="X1757" s="11">
        <v>0.20178307611441562</v>
      </c>
      <c r="Y1757" s="11">
        <v>0.14576612718940943</v>
      </c>
      <c r="Z1757" s="11">
        <v>0.08870794287655807</v>
      </c>
    </row>
    <row r="1758" ht="22.5" customHeight="1">
      <c r="Q1758" s="9" t="s">
        <v>1796</v>
      </c>
      <c r="R1758" s="10">
        <v>0.7236357202730819</v>
      </c>
      <c r="S1758" s="10">
        <v>0.0325393602356903</v>
      </c>
      <c r="T1758" s="10">
        <v>21.00950096502655</v>
      </c>
      <c r="U1758" s="11">
        <v>0.026321599026930216</v>
      </c>
      <c r="V1758" s="11">
        <v>0.22724820360440734</v>
      </c>
      <c r="W1758" s="11">
        <v>0.20024141165208023</v>
      </c>
      <c r="X1758" s="11">
        <v>0.23139637544140562</v>
      </c>
      <c r="Y1758" s="11">
        <v>0.15157070390963873</v>
      </c>
      <c r="Z1758" s="11">
        <v>0.16322170636553782</v>
      </c>
    </row>
    <row r="1759" ht="22.5" customHeight="1">
      <c r="Q1759" s="9" t="s">
        <v>1797</v>
      </c>
      <c r="R1759" s="10">
        <v>0.6219734545398946</v>
      </c>
      <c r="S1759" s="10">
        <v>0.027700785491879244</v>
      </c>
      <c r="T1759" s="10">
        <v>21.0092762427443</v>
      </c>
      <c r="U1759" s="11">
        <v>0.3042145667177285</v>
      </c>
      <c r="V1759" s="11">
        <v>0.20238761635212857</v>
      </c>
      <c r="W1759" s="11">
        <v>0.14961339805189267</v>
      </c>
      <c r="X1759" s="11">
        <v>0.10540924133096811</v>
      </c>
      <c r="Y1759" s="11">
        <v>0.2006897925973125</v>
      </c>
      <c r="Z1759" s="11">
        <v>0.03768538494996967</v>
      </c>
    </row>
    <row r="1760" ht="22.5" customHeight="1">
      <c r="Q1760" s="9" t="s">
        <v>1798</v>
      </c>
      <c r="R1760" s="10">
        <v>0.7966254864878044</v>
      </c>
      <c r="S1760" s="10">
        <v>0.03601408373987538</v>
      </c>
      <c r="T1760" s="10">
        <v>21.009155527954093</v>
      </c>
      <c r="U1760" s="11">
        <v>0.1572678017793528</v>
      </c>
      <c r="V1760" s="11">
        <v>0.2778787270667522</v>
      </c>
      <c r="W1760" s="11">
        <v>0.1901211399898398</v>
      </c>
      <c r="X1760" s="11">
        <v>0.3315917078415679</v>
      </c>
      <c r="Y1760" s="11">
        <v>0.017925608641461404</v>
      </c>
      <c r="Z1760" s="11">
        <v>0.025215014681025973</v>
      </c>
    </row>
    <row r="1761" ht="22.5" customHeight="1">
      <c r="Q1761" s="9" t="s">
        <v>1799</v>
      </c>
      <c r="R1761" s="10">
        <v>0.6675606294569791</v>
      </c>
      <c r="S1761" s="10">
        <v>0.029870830911732513</v>
      </c>
      <c r="T1761" s="10">
        <v>21.009145387063505</v>
      </c>
      <c r="U1761" s="11">
        <v>0.13190771142318272</v>
      </c>
      <c r="V1761" s="11">
        <v>0.1697899592160212</v>
      </c>
      <c r="W1761" s="11">
        <v>0.21060581353324911</v>
      </c>
      <c r="X1761" s="11">
        <v>0.21645434962591756</v>
      </c>
      <c r="Y1761" s="11">
        <v>0.21865702036137385</v>
      </c>
      <c r="Z1761" s="11">
        <v>0.052585145840255594</v>
      </c>
    </row>
    <row r="1762" ht="22.5" customHeight="1">
      <c r="Q1762" s="9" t="s">
        <v>1800</v>
      </c>
      <c r="R1762" s="10">
        <v>0.4552294069574884</v>
      </c>
      <c r="S1762" s="10">
        <v>0.019764944878989252</v>
      </c>
      <c r="T1762" s="10">
        <v>21.00837667394105</v>
      </c>
      <c r="U1762" s="11">
        <v>0.11884674132936146</v>
      </c>
      <c r="V1762" s="11">
        <v>0.09310992625782058</v>
      </c>
      <c r="W1762" s="11">
        <v>0.14022324777966114</v>
      </c>
      <c r="X1762" s="11">
        <v>0.15656472491374243</v>
      </c>
      <c r="Y1762" s="11">
        <v>0.2626648521066139</v>
      </c>
      <c r="Z1762" s="11">
        <v>0.22859050761280045</v>
      </c>
    </row>
    <row r="1763" ht="22.5" customHeight="1">
      <c r="Q1763" s="9" t="s">
        <v>1801</v>
      </c>
      <c r="R1763" s="10">
        <v>0.5657394103299456</v>
      </c>
      <c r="S1763" s="10">
        <v>0.02502532834578363</v>
      </c>
      <c r="T1763" s="10">
        <v>21.008292201629565</v>
      </c>
      <c r="U1763" s="11">
        <v>0.10990525384598265</v>
      </c>
      <c r="V1763" s="11">
        <v>0.14388129642794806</v>
      </c>
      <c r="W1763" s="11">
        <v>0.17528888188715933</v>
      </c>
      <c r="X1763" s="11">
        <v>0.1630979382456606</v>
      </c>
      <c r="Y1763" s="11">
        <v>0.1620833202608902</v>
      </c>
      <c r="Z1763" s="11">
        <v>0.24574330933235924</v>
      </c>
    </row>
    <row r="1764" ht="22.5" customHeight="1">
      <c r="Q1764" s="9" t="s">
        <v>1802</v>
      </c>
      <c r="R1764" s="10">
        <v>0.5798588513839041</v>
      </c>
      <c r="S1764" s="10">
        <v>0.02569748935218306</v>
      </c>
      <c r="T1764" s="10">
        <v>21.008233294123023</v>
      </c>
      <c r="U1764" s="11">
        <v>0.20521376828242643</v>
      </c>
      <c r="V1764" s="11">
        <v>0.13959594620310387</v>
      </c>
      <c r="W1764" s="11">
        <v>0.18525809174432317</v>
      </c>
      <c r="X1764" s="11">
        <v>0.185241889002543</v>
      </c>
      <c r="Y1764" s="11">
        <v>0.11819513102637585</v>
      </c>
      <c r="Z1764" s="11">
        <v>0.16649517374122763</v>
      </c>
    </row>
    <row r="1765" ht="22.5" customHeight="1">
      <c r="Q1765" s="9" t="s">
        <v>1803</v>
      </c>
      <c r="R1765" s="10">
        <v>0.7209800941399662</v>
      </c>
      <c r="S1765" s="10">
        <v>0.03241621580583628</v>
      </c>
      <c r="T1765" s="10">
        <v>21.00739019689526</v>
      </c>
      <c r="U1765" s="11">
        <v>0.08683845925505372</v>
      </c>
      <c r="V1765" s="11">
        <v>0.2320574463155416</v>
      </c>
      <c r="W1765" s="11">
        <v>0.193921227686685</v>
      </c>
      <c r="X1765" s="11">
        <v>0.21412445084838924</v>
      </c>
      <c r="Y1765" s="11">
        <v>0.1288485459700701</v>
      </c>
      <c r="Z1765" s="11">
        <v>0.14420986992426046</v>
      </c>
    </row>
    <row r="1766" ht="22.5" customHeight="1">
      <c r="Q1766" s="9" t="s">
        <v>1804</v>
      </c>
      <c r="R1766" s="10">
        <v>0.5883807225467242</v>
      </c>
      <c r="S1766" s="10">
        <v>0.026104211417652092</v>
      </c>
      <c r="T1766" s="10">
        <v>21.007365967619318</v>
      </c>
      <c r="U1766" s="11">
        <v>0.003110402369933478</v>
      </c>
      <c r="V1766" s="11">
        <v>0.14746425300390895</v>
      </c>
      <c r="W1766" s="11">
        <v>0.18505666894798892</v>
      </c>
      <c r="X1766" s="11">
        <v>0.22093654682500866</v>
      </c>
      <c r="Y1766" s="11">
        <v>0.17870455876688365</v>
      </c>
      <c r="Z1766" s="11">
        <v>0.2647275700862764</v>
      </c>
    </row>
    <row r="1767" ht="22.5" customHeight="1">
      <c r="Q1767" s="9" t="s">
        <v>1805</v>
      </c>
      <c r="R1767" s="10">
        <v>0.5099032683578706</v>
      </c>
      <c r="S1767" s="10">
        <v>0.022368875617971087</v>
      </c>
      <c r="T1767" s="10">
        <v>21.007013333309956</v>
      </c>
      <c r="U1767" s="11">
        <v>0.07844232671071456</v>
      </c>
      <c r="V1767" s="11">
        <v>0.0902008625747217</v>
      </c>
      <c r="W1767" s="11">
        <v>0.16810945564315816</v>
      </c>
      <c r="X1767" s="11">
        <v>0.29019542164006246</v>
      </c>
      <c r="Y1767" s="11">
        <v>0.2594147918680448</v>
      </c>
      <c r="Z1767" s="11">
        <v>0.11363714156329836</v>
      </c>
    </row>
    <row r="1768" ht="22.5" customHeight="1">
      <c r="Q1768" s="9" t="s">
        <v>1806</v>
      </c>
      <c r="R1768" s="10">
        <v>0.6695886873366564</v>
      </c>
      <c r="S1768" s="10">
        <v>0.029970525399248514</v>
      </c>
      <c r="T1768" s="10">
        <v>21.00692860567746</v>
      </c>
      <c r="U1768" s="11">
        <v>0.0469741078110589</v>
      </c>
      <c r="V1768" s="11">
        <v>0.22527765449761702</v>
      </c>
      <c r="W1768" s="11">
        <v>0.16762998824186165</v>
      </c>
      <c r="X1768" s="11">
        <v>0.26024060787181963</v>
      </c>
      <c r="Y1768" s="11">
        <v>0.013624906171727316</v>
      </c>
      <c r="Z1768" s="11">
        <v>0.28625273540591545</v>
      </c>
    </row>
    <row r="1769" ht="22.5" customHeight="1">
      <c r="Q1769" s="9" t="s">
        <v>1807</v>
      </c>
      <c r="R1769" s="10">
        <v>0.2705694024844287</v>
      </c>
      <c r="S1769" s="10">
        <v>0.010975947603535426</v>
      </c>
      <c r="T1769" s="10">
        <v>21.006787824876344</v>
      </c>
      <c r="U1769" s="11">
        <v>0.2783262221602973</v>
      </c>
      <c r="V1769" s="11">
        <v>0.054833081020814044</v>
      </c>
      <c r="W1769" s="11">
        <v>0.0319380416304047</v>
      </c>
      <c r="X1769" s="11">
        <v>0.21447206303182154</v>
      </c>
      <c r="Y1769" s="11">
        <v>0.20894576685497906</v>
      </c>
      <c r="Z1769" s="11">
        <v>0.2114848253016833</v>
      </c>
    </row>
    <row r="1770" ht="22.5" customHeight="1">
      <c r="Q1770" s="9" t="s">
        <v>1808</v>
      </c>
      <c r="R1770" s="10">
        <v>0.506641812429996</v>
      </c>
      <c r="S1770" s="10">
        <v>0.02221446217223606</v>
      </c>
      <c r="T1770" s="10">
        <v>21.006216977569295</v>
      </c>
      <c r="U1770" s="11">
        <v>0.14726177978661434</v>
      </c>
      <c r="V1770" s="11">
        <v>0.08682072897896222</v>
      </c>
      <c r="W1770" s="11">
        <v>0.16728789346388803</v>
      </c>
      <c r="X1770" s="11">
        <v>0.28025561958109924</v>
      </c>
      <c r="Y1770" s="11">
        <v>0.25335468002291994</v>
      </c>
      <c r="Z1770" s="11">
        <v>0.06501929816651628</v>
      </c>
    </row>
    <row r="1771" ht="22.5" customHeight="1">
      <c r="Q1771" s="9" t="s">
        <v>1809</v>
      </c>
      <c r="R1771" s="10">
        <v>0.6456916737813652</v>
      </c>
      <c r="S1771" s="10">
        <v>0.028833945704827103</v>
      </c>
      <c r="T1771" s="10">
        <v>21.006201509215092</v>
      </c>
      <c r="U1771" s="11">
        <v>0.399438474952969</v>
      </c>
      <c r="V1771" s="11">
        <v>0.1671979891859216</v>
      </c>
      <c r="W1771" s="11">
        <v>0.199132281678315</v>
      </c>
      <c r="X1771" s="11">
        <v>0.18901960823656017</v>
      </c>
      <c r="Y1771" s="11">
        <v>0.04406674520287774</v>
      </c>
      <c r="Z1771" s="11">
        <v>0.0011449007433563365</v>
      </c>
    </row>
    <row r="1772" ht="22.5" customHeight="1">
      <c r="Q1772" s="9" t="s">
        <v>1810</v>
      </c>
      <c r="R1772" s="10">
        <v>0.6512889648277247</v>
      </c>
      <c r="S1772" s="10">
        <v>0.029100611560005367</v>
      </c>
      <c r="T1772" s="10">
        <v>21.006052177537534</v>
      </c>
      <c r="U1772" s="11">
        <v>0.0487446132345749</v>
      </c>
      <c r="V1772" s="11">
        <v>0.21759794149614048</v>
      </c>
      <c r="W1772" s="11">
        <v>0.16359070357894845</v>
      </c>
      <c r="X1772" s="11">
        <v>0.20205309350052464</v>
      </c>
      <c r="Y1772" s="11">
        <v>0.09976103676145233</v>
      </c>
      <c r="Z1772" s="11">
        <v>0.26825261142835927</v>
      </c>
    </row>
    <row r="1773" ht="22.5" customHeight="1">
      <c r="Q1773" s="9" t="s">
        <v>1811</v>
      </c>
      <c r="R1773" s="10">
        <v>0.7242718656058049</v>
      </c>
      <c r="S1773" s="10">
        <v>0.03257525746098577</v>
      </c>
      <c r="T1773" s="10">
        <v>21.005877433979858</v>
      </c>
      <c r="U1773" s="11">
        <v>0.22910331359177494</v>
      </c>
      <c r="V1773" s="11">
        <v>0.23415600443890866</v>
      </c>
      <c r="W1773" s="11">
        <v>0.1928279835462579</v>
      </c>
      <c r="X1773" s="11">
        <v>0.2006718066337439</v>
      </c>
      <c r="Y1773" s="11">
        <v>0.06576245829527697</v>
      </c>
      <c r="Z1773" s="11">
        <v>0.0774784334940376</v>
      </c>
    </row>
    <row r="1774" ht="22.5" customHeight="1">
      <c r="Q1774" s="9" t="s">
        <v>1812</v>
      </c>
      <c r="R1774" s="10">
        <v>0.4461587448875854</v>
      </c>
      <c r="S1774" s="10">
        <v>0.019335486761595636</v>
      </c>
      <c r="T1774" s="10">
        <v>21.005871219870322</v>
      </c>
      <c r="U1774" s="11">
        <v>0.06484615328195949</v>
      </c>
      <c r="V1774" s="11">
        <v>0.1481996406339659</v>
      </c>
      <c r="W1774" s="11">
        <v>0.08008876763296874</v>
      </c>
      <c r="X1774" s="11">
        <v>0.1248615855010677</v>
      </c>
      <c r="Y1774" s="11">
        <v>0.3009310671451018</v>
      </c>
      <c r="Z1774" s="11">
        <v>0.28107278580493633</v>
      </c>
    </row>
    <row r="1775" ht="22.5" customHeight="1">
      <c r="Q1775" s="9" t="s">
        <v>1813</v>
      </c>
      <c r="R1775" s="10">
        <v>0.6191472998579659</v>
      </c>
      <c r="S1775" s="10">
        <v>0.027571017514485235</v>
      </c>
      <c r="T1775" s="10">
        <v>21.00565565103624</v>
      </c>
      <c r="U1775" s="11">
        <v>0.14101997488122267</v>
      </c>
      <c r="V1775" s="11">
        <v>0.20581006572614285</v>
      </c>
      <c r="W1775" s="11">
        <v>0.14370691818968429</v>
      </c>
      <c r="X1775" s="11">
        <v>0.12697257726880978</v>
      </c>
      <c r="Y1775" s="11">
        <v>0.2856372562966806</v>
      </c>
      <c r="Z1775" s="11">
        <v>0.09685320763745994</v>
      </c>
    </row>
    <row r="1776" ht="22.5" customHeight="1">
      <c r="Q1776" s="9" t="s">
        <v>1814</v>
      </c>
      <c r="R1776" s="10">
        <v>0.6563353871314281</v>
      </c>
      <c r="S1776" s="10">
        <v>0.02934145844335072</v>
      </c>
      <c r="T1776" s="10">
        <v>21.005615256698334</v>
      </c>
      <c r="U1776" s="11">
        <v>0.19382405434281808</v>
      </c>
      <c r="V1776" s="11">
        <v>0.2014815546983951</v>
      </c>
      <c r="W1776" s="11">
        <v>0.18375365065296687</v>
      </c>
      <c r="X1776" s="11">
        <v>0.18656596863904737</v>
      </c>
      <c r="Y1776" s="11">
        <v>0.026768070400221194</v>
      </c>
      <c r="Z1776" s="11">
        <v>0.2076067012665514</v>
      </c>
    </row>
    <row r="1777" ht="22.5" customHeight="1">
      <c r="Q1777" s="9" t="s">
        <v>1815</v>
      </c>
      <c r="R1777" s="10">
        <v>0.6262987074476464</v>
      </c>
      <c r="S1777" s="10">
        <v>0.02791211943911329</v>
      </c>
      <c r="T1777" s="10">
        <v>21.005166186916828</v>
      </c>
      <c r="U1777" s="11">
        <v>0.2034110787818245</v>
      </c>
      <c r="V1777" s="11">
        <v>0.20026654312844083</v>
      </c>
      <c r="W1777" s="11">
        <v>0.16384123227731298</v>
      </c>
      <c r="X1777" s="11">
        <v>0.13640034214877508</v>
      </c>
      <c r="Y1777" s="11">
        <v>0.09851920975232525</v>
      </c>
      <c r="Z1777" s="11">
        <v>0.1975615939113212</v>
      </c>
    </row>
    <row r="1778" ht="22.5" customHeight="1">
      <c r="Q1778" s="9" t="s">
        <v>1816</v>
      </c>
      <c r="R1778" s="10">
        <v>0.516078412409498</v>
      </c>
      <c r="S1778" s="10">
        <v>0.022665270590059315</v>
      </c>
      <c r="T1778" s="10">
        <v>21.004753087673247</v>
      </c>
      <c r="U1778" s="11">
        <v>0.1810998678956099</v>
      </c>
      <c r="V1778" s="11">
        <v>0.19050669005621793</v>
      </c>
      <c r="W1778" s="11">
        <v>0.07046879618602671</v>
      </c>
      <c r="X1778" s="11">
        <v>0.258544559351224</v>
      </c>
      <c r="Y1778" s="11">
        <v>0.19866499599314413</v>
      </c>
      <c r="Z1778" s="11">
        <v>0.10071509051777731</v>
      </c>
    </row>
    <row r="1779" ht="22.5" customHeight="1">
      <c r="Q1779" s="9" t="s">
        <v>1817</v>
      </c>
      <c r="R1779" s="10">
        <v>0.6459159098781282</v>
      </c>
      <c r="S1779" s="10">
        <v>0.02884721415842424</v>
      </c>
      <c r="T1779" s="10">
        <v>21.004312809914186</v>
      </c>
      <c r="U1779" s="11">
        <v>0.15644430145392701</v>
      </c>
      <c r="V1779" s="11">
        <v>0.21692042978235157</v>
      </c>
      <c r="W1779" s="11">
        <v>0.14961271404554705</v>
      </c>
      <c r="X1779" s="11">
        <v>0.14115691427938912</v>
      </c>
      <c r="Y1779" s="11">
        <v>0.277585287651352</v>
      </c>
      <c r="Z1779" s="11">
        <v>0.058280352787433314</v>
      </c>
    </row>
    <row r="1780" ht="22.5" customHeight="1">
      <c r="Q1780" s="9" t="s">
        <v>1818</v>
      </c>
      <c r="R1780" s="10">
        <v>0.7064686445450994</v>
      </c>
      <c r="S1780" s="10">
        <v>0.031731416050613324</v>
      </c>
      <c r="T1780" s="10">
        <v>21.003432165839868</v>
      </c>
      <c r="U1780" s="11">
        <v>0.05280860170586724</v>
      </c>
      <c r="V1780" s="11">
        <v>0.20842004205311118</v>
      </c>
      <c r="W1780" s="11">
        <v>0.200124052799854</v>
      </c>
      <c r="X1780" s="11">
        <v>0.18973803431658445</v>
      </c>
      <c r="Y1780" s="11">
        <v>0.3068350415910626</v>
      </c>
      <c r="Z1780" s="11">
        <v>0.042074227533520546</v>
      </c>
    </row>
    <row r="1781" ht="22.5" customHeight="1">
      <c r="Q1781" s="9" t="s">
        <v>1819</v>
      </c>
      <c r="R1781" s="10">
        <v>0.6533267933574676</v>
      </c>
      <c r="S1781" s="10">
        <v>0.029201334164292065</v>
      </c>
      <c r="T1781" s="10">
        <v>21.00338258200048</v>
      </c>
      <c r="U1781" s="11">
        <v>0.0543561157770162</v>
      </c>
      <c r="V1781" s="11">
        <v>0.21842299291341513</v>
      </c>
      <c r="W1781" s="11">
        <v>0.1613586930766045</v>
      </c>
      <c r="X1781" s="11">
        <v>0.17337434586633552</v>
      </c>
      <c r="Y1781" s="11">
        <v>0.1871119902242377</v>
      </c>
      <c r="Z1781" s="11">
        <v>0.20537586214239092</v>
      </c>
    </row>
    <row r="1782" ht="22.5" customHeight="1">
      <c r="Q1782" s="9" t="s">
        <v>1820</v>
      </c>
      <c r="R1782" s="10">
        <v>0.5874402209345311</v>
      </c>
      <c r="S1782" s="10">
        <v>0.026065808393246966</v>
      </c>
      <c r="T1782" s="10">
        <v>21.0022345240733</v>
      </c>
      <c r="U1782" s="11">
        <v>0.1863444456272024</v>
      </c>
      <c r="V1782" s="11">
        <v>0.12588489214724857</v>
      </c>
      <c r="W1782" s="11">
        <v>0.1961845592351561</v>
      </c>
      <c r="X1782" s="11">
        <v>0.26468821163639283</v>
      </c>
      <c r="Y1782" s="11">
        <v>0.11073156200050832</v>
      </c>
      <c r="Z1782" s="11">
        <v>0.11616632935349187</v>
      </c>
    </row>
    <row r="1783" ht="22.5" customHeight="1">
      <c r="Q1783" s="9" t="s">
        <v>1821</v>
      </c>
      <c r="R1783" s="10">
        <v>0.5244090538638152</v>
      </c>
      <c r="S1783" s="10">
        <v>0.023064652242355536</v>
      </c>
      <c r="T1783" s="10">
        <v>21.00222664420904</v>
      </c>
      <c r="U1783" s="11">
        <v>0.0892638201409618</v>
      </c>
      <c r="V1783" s="11">
        <v>0.19307537483225787</v>
      </c>
      <c r="W1783" s="11">
        <v>0.0819317528365906</v>
      </c>
      <c r="X1783" s="11">
        <v>0.23159937935466224</v>
      </c>
      <c r="Y1783" s="11">
        <v>0.20643599251680503</v>
      </c>
      <c r="Z1783" s="11">
        <v>0.19769368031872245</v>
      </c>
    </row>
    <row r="1784" ht="22.5" customHeight="1">
      <c r="Q1784" s="9" t="s">
        <v>1822</v>
      </c>
      <c r="R1784" s="10">
        <v>0.621820004820509</v>
      </c>
      <c r="S1784" s="10">
        <v>0.027702825537025653</v>
      </c>
      <c r="T1784" s="10">
        <v>21.00218997671877</v>
      </c>
      <c r="U1784" s="11">
        <v>0.2011770153940433</v>
      </c>
      <c r="V1784" s="11">
        <v>0.1937432042205945</v>
      </c>
      <c r="W1784" s="11">
        <v>0.16728451075440928</v>
      </c>
      <c r="X1784" s="11">
        <v>0.1266012879399414</v>
      </c>
      <c r="Y1784" s="11">
        <v>0.11951501585574124</v>
      </c>
      <c r="Z1784" s="11">
        <v>0.19167896583527025</v>
      </c>
    </row>
    <row r="1785" ht="22.5" customHeight="1">
      <c r="Q1785" s="9" t="s">
        <v>1823</v>
      </c>
      <c r="R1785" s="10">
        <v>0.7010556704145066</v>
      </c>
      <c r="S1785" s="10">
        <v>0.03147587141058039</v>
      </c>
      <c r="T1785" s="10">
        <v>21.001981542989064</v>
      </c>
      <c r="U1785" s="11">
        <v>0.08495808003805169</v>
      </c>
      <c r="V1785" s="11">
        <v>0.2426221656615204</v>
      </c>
      <c r="W1785" s="11">
        <v>0.15804411650741387</v>
      </c>
      <c r="X1785" s="11">
        <v>0.20759073897678768</v>
      </c>
      <c r="Y1785" s="11">
        <v>0.280323139746706</v>
      </c>
      <c r="Z1785" s="11">
        <v>0.026461759069520505</v>
      </c>
    </row>
    <row r="1786" ht="22.5" customHeight="1">
      <c r="Q1786" s="9" t="s">
        <v>1824</v>
      </c>
      <c r="R1786" s="10">
        <v>0.6333856306673289</v>
      </c>
      <c r="S1786" s="10">
        <v>0.02825396204119922</v>
      </c>
      <c r="T1786" s="10">
        <v>21.001855591158108</v>
      </c>
      <c r="U1786" s="11">
        <v>0.14640055094195012</v>
      </c>
      <c r="V1786" s="11">
        <v>0.20190616050951085</v>
      </c>
      <c r="W1786" s="11">
        <v>0.1685861457943507</v>
      </c>
      <c r="X1786" s="11">
        <v>0.1596989237387502</v>
      </c>
      <c r="Y1786" s="11">
        <v>0.0812666688596731</v>
      </c>
      <c r="Z1786" s="11">
        <v>0.2421415501557651</v>
      </c>
    </row>
    <row r="1787" ht="22.5" customHeight="1">
      <c r="Q1787" s="9" t="s">
        <v>1825</v>
      </c>
      <c r="R1787" s="10">
        <v>0.7559739835184479</v>
      </c>
      <c r="S1787" s="10">
        <v>0.03409172648335136</v>
      </c>
      <c r="T1787" s="10">
        <v>21.001399969229855</v>
      </c>
      <c r="U1787" s="11">
        <v>0.21028661261565817</v>
      </c>
      <c r="V1787" s="11">
        <v>0.22770031523477036</v>
      </c>
      <c r="W1787" s="11">
        <v>0.22005726260757386</v>
      </c>
      <c r="X1787" s="11">
        <v>0.2507549298068131</v>
      </c>
      <c r="Y1787" s="11">
        <v>0.027800660623404277</v>
      </c>
      <c r="Z1787" s="11">
        <v>0.0634002191117801</v>
      </c>
    </row>
    <row r="1788" ht="22.5" customHeight="1">
      <c r="Q1788" s="9" t="s">
        <v>1826</v>
      </c>
      <c r="R1788" s="10">
        <v>0.522331348251574</v>
      </c>
      <c r="S1788" s="10">
        <v>0.029410207863199922</v>
      </c>
      <c r="T1788" s="10">
        <v>21.00121577521401</v>
      </c>
      <c r="U1788" s="11">
        <v>0.13906722482005404</v>
      </c>
      <c r="V1788" s="11">
        <v>0.18261294486370605</v>
      </c>
      <c r="W1788" s="11">
        <v>0.2005960862955365</v>
      </c>
      <c r="X1788" s="11">
        <v>0.20333553008414737</v>
      </c>
      <c r="Y1788" s="11">
        <v>0.09049267791128882</v>
      </c>
      <c r="Z1788" s="11">
        <v>0.18389553602526706</v>
      </c>
    </row>
    <row r="1789" ht="22.5" customHeight="1">
      <c r="Q1789" s="9" t="s">
        <v>1827</v>
      </c>
      <c r="R1789" s="10">
        <v>0.6239269321841936</v>
      </c>
      <c r="S1789" s="10">
        <v>0.027805106503354576</v>
      </c>
      <c r="T1789" s="10">
        <v>21.00070834520073</v>
      </c>
      <c r="U1789" s="11">
        <v>0.17121258280346377</v>
      </c>
      <c r="V1789" s="11">
        <v>0.19910075818254774</v>
      </c>
      <c r="W1789" s="11">
        <v>0.16204893440775725</v>
      </c>
      <c r="X1789" s="11">
        <v>0.12147056377451448</v>
      </c>
      <c r="Y1789" s="11">
        <v>0.16701671371339952</v>
      </c>
      <c r="Z1789" s="11">
        <v>0.17915044711831737</v>
      </c>
    </row>
    <row r="1790" ht="22.5" customHeight="1">
      <c r="Q1790" s="9" t="s">
        <v>1828</v>
      </c>
      <c r="R1790" s="10">
        <v>0.5192818414951349</v>
      </c>
      <c r="S1790" s="10">
        <v>0.02282226203166717</v>
      </c>
      <c r="T1790" s="10">
        <v>21.00062828259988</v>
      </c>
      <c r="U1790" s="11">
        <v>0.18228848549316048</v>
      </c>
      <c r="V1790" s="11">
        <v>0.19221483519276</v>
      </c>
      <c r="W1790" s="11">
        <v>0.08213573671812237</v>
      </c>
      <c r="X1790" s="11">
        <v>0.2422187662270197</v>
      </c>
      <c r="Y1790" s="11">
        <v>0.07597554312232607</v>
      </c>
      <c r="Z1790" s="11">
        <v>0.2251666332466115</v>
      </c>
    </row>
    <row r="1791" ht="22.5" customHeight="1">
      <c r="Q1791" s="9" t="s">
        <v>1829</v>
      </c>
      <c r="R1791" s="10">
        <v>0.5531850825103326</v>
      </c>
      <c r="S1791" s="10">
        <v>0.024437332629928924</v>
      </c>
      <c r="T1791" s="10">
        <v>21.000044901865593</v>
      </c>
      <c r="U1791" s="11">
        <v>0.22758029640374305</v>
      </c>
      <c r="V1791" s="11">
        <v>0.1389847954635314</v>
      </c>
      <c r="W1791" s="11">
        <v>0.17005148354039612</v>
      </c>
      <c r="X1791" s="11">
        <v>0.13170472800828362</v>
      </c>
      <c r="Y1791" s="11">
        <v>0.14751108636921773</v>
      </c>
      <c r="Z1791" s="11">
        <v>0.1841676102148281</v>
      </c>
    </row>
    <row r="1792" ht="22.5" customHeight="1">
      <c r="Q1792" s="9" t="s">
        <v>1830</v>
      </c>
      <c r="R1792" s="10">
        <v>0.6151917242769619</v>
      </c>
      <c r="S1792" s="10">
        <v>0.02739005244072505</v>
      </c>
      <c r="T1792" s="10">
        <v>21.000022746277583</v>
      </c>
      <c r="U1792" s="11">
        <v>0.23171712904484199</v>
      </c>
      <c r="V1792" s="11">
        <v>0.20708707557947578</v>
      </c>
      <c r="W1792" s="11">
        <v>0.14168365665239893</v>
      </c>
      <c r="X1792" s="11">
        <v>0.11809692051149383</v>
      </c>
      <c r="Y1792" s="11">
        <v>0.20405900218126233</v>
      </c>
      <c r="Z1792" s="11">
        <v>0.09735621603052726</v>
      </c>
    </row>
    <row r="1793" ht="22.5" customHeight="1">
      <c r="Q1793" s="9" t="s">
        <v>1831</v>
      </c>
      <c r="R1793" s="10">
        <v>0.7210880535367054</v>
      </c>
      <c r="S1793" s="10">
        <v>0.032435509568432344</v>
      </c>
      <c r="T1793" s="10">
        <v>20.998222707115104</v>
      </c>
      <c r="U1793" s="11">
        <v>0.07722099022755011</v>
      </c>
      <c r="V1793" s="11">
        <v>0.23637526734658615</v>
      </c>
      <c r="W1793" s="11">
        <v>0.1904708416635966</v>
      </c>
      <c r="X1793" s="11">
        <v>0.23263186897531465</v>
      </c>
      <c r="Y1793" s="11">
        <v>0.08850502290320202</v>
      </c>
      <c r="Z1793" s="11">
        <v>0.17479600888375044</v>
      </c>
    </row>
    <row r="1794" ht="22.5" customHeight="1">
      <c r="Q1794" s="9" t="s">
        <v>1832</v>
      </c>
      <c r="R1794" s="10">
        <v>0.7096609277774751</v>
      </c>
      <c r="S1794" s="10">
        <v>0.03189223961971743</v>
      </c>
      <c r="T1794" s="10">
        <v>20.997613706735606</v>
      </c>
      <c r="U1794" s="11">
        <v>0.13185212772473437</v>
      </c>
      <c r="V1794" s="11">
        <v>0.20639065893795497</v>
      </c>
      <c r="W1794" s="11">
        <v>0.21228943505497946</v>
      </c>
      <c r="X1794" s="11">
        <v>0.2618055618112573</v>
      </c>
      <c r="Y1794" s="11">
        <v>0.011623418581513618</v>
      </c>
      <c r="Z1794" s="11">
        <v>0.1760387978895602</v>
      </c>
    </row>
    <row r="1795" ht="22.5" customHeight="1">
      <c r="Q1795" s="9" t="s">
        <v>1833</v>
      </c>
      <c r="R1795" s="10">
        <v>0.3385354105349518</v>
      </c>
      <c r="S1795" s="10">
        <v>0.014217741208952098</v>
      </c>
      <c r="T1795" s="10">
        <v>20.997386726027983</v>
      </c>
      <c r="U1795" s="11">
        <v>0.14502625124145355</v>
      </c>
      <c r="V1795" s="11">
        <v>0.042148422567712486</v>
      </c>
      <c r="W1795" s="11">
        <v>0.09578053851459521</v>
      </c>
      <c r="X1795" s="11">
        <v>0.24440594840686325</v>
      </c>
      <c r="Y1795" s="11">
        <v>0.24673576594822583</v>
      </c>
      <c r="Z1795" s="11">
        <v>0.22590307332114962</v>
      </c>
    </row>
    <row r="1796" ht="22.5" customHeight="1">
      <c r="Q1796" s="9" t="s">
        <v>1834</v>
      </c>
      <c r="R1796" s="10">
        <v>0.40319400519806264</v>
      </c>
      <c r="S1796" s="10">
        <v>0.017297256600022112</v>
      </c>
      <c r="T1796" s="10">
        <v>20.997202827967435</v>
      </c>
      <c r="U1796" s="11">
        <v>0.39902092802944245</v>
      </c>
      <c r="V1796" s="11">
        <v>0.0891342796850083</v>
      </c>
      <c r="W1796" s="11">
        <v>0.09538948897267313</v>
      </c>
      <c r="X1796" s="11">
        <v>0.10278881108460504</v>
      </c>
      <c r="Y1796" s="11">
        <v>0.2988402178474243</v>
      </c>
      <c r="Z1796" s="11">
        <v>0.01482627438084671</v>
      </c>
    </row>
    <row r="1797" ht="22.5" customHeight="1">
      <c r="Q1797" s="9" t="s">
        <v>1835</v>
      </c>
      <c r="R1797" s="10">
        <v>0.5742348453711192</v>
      </c>
      <c r="S1797" s="10">
        <v>0.025443542968549712</v>
      </c>
      <c r="T1797" s="10">
        <v>20.996873196137695</v>
      </c>
      <c r="U1797" s="11">
        <v>0.2536656900237261</v>
      </c>
      <c r="V1797" s="11">
        <v>0.21540691874272225</v>
      </c>
      <c r="W1797" s="11">
        <v>0.07894498454769532</v>
      </c>
      <c r="X1797" s="11">
        <v>0.369234304011873</v>
      </c>
      <c r="Y1797" s="11">
        <v>0.05488900792552459</v>
      </c>
      <c r="Z1797" s="11">
        <v>0.02785909474845861</v>
      </c>
    </row>
    <row r="1798" ht="22.5" customHeight="1">
      <c r="Q1798" s="9" t="s">
        <v>1836</v>
      </c>
      <c r="R1798" s="10">
        <v>0.522141264912123</v>
      </c>
      <c r="S1798" s="10">
        <v>0.022962832979778126</v>
      </c>
      <c r="T1798" s="10">
        <v>20.996593292156653</v>
      </c>
      <c r="U1798" s="11">
        <v>0.21270939418089574</v>
      </c>
      <c r="V1798" s="11">
        <v>0.18711220645113646</v>
      </c>
      <c r="W1798" s="11">
        <v>0.08823536111320865</v>
      </c>
      <c r="X1798" s="11">
        <v>0.1627777655468567</v>
      </c>
      <c r="Y1798" s="11">
        <v>0.21704658339121444</v>
      </c>
      <c r="Z1798" s="11">
        <v>0.13211868931668802</v>
      </c>
    </row>
    <row r="1799" ht="22.5" customHeight="1">
      <c r="Q1799" s="9" t="s">
        <v>1837</v>
      </c>
      <c r="R1799" s="10">
        <v>0.7442778744088533</v>
      </c>
      <c r="S1799" s="10">
        <v>0.033542889869313995</v>
      </c>
      <c r="T1799" s="10">
        <v>20.99633863250247</v>
      </c>
      <c r="U1799" s="11">
        <v>0.2799357217261676</v>
      </c>
      <c r="V1799" s="11">
        <v>0.24923888055982196</v>
      </c>
      <c r="W1799" s="11">
        <v>0.1881842816745924</v>
      </c>
      <c r="X1799" s="11">
        <v>0.22335151268698264</v>
      </c>
      <c r="Y1799" s="11">
        <v>0.03503082807790666</v>
      </c>
      <c r="Z1799" s="11">
        <v>0.024258775274528674</v>
      </c>
    </row>
    <row r="1800" ht="22.5" customHeight="1">
      <c r="Q1800" s="9" t="s">
        <v>1838</v>
      </c>
      <c r="R1800" s="10">
        <v>0.5845335105666851</v>
      </c>
      <c r="S1800" s="10">
        <v>0.02593612420055019</v>
      </c>
      <c r="T1800" s="10">
        <v>20.99517670242857</v>
      </c>
      <c r="U1800" s="11">
        <v>0.16085432362125038</v>
      </c>
      <c r="V1800" s="11">
        <v>0.14118092051452005</v>
      </c>
      <c r="W1800" s="11">
        <v>0.18745328884201976</v>
      </c>
      <c r="X1800" s="11">
        <v>0.19370152580917688</v>
      </c>
      <c r="Y1800" s="11">
        <v>0.1299902084645152</v>
      </c>
      <c r="Z1800" s="11">
        <v>0.18681973274851774</v>
      </c>
    </row>
    <row r="1801" ht="22.5" customHeight="1">
      <c r="Q1801" s="9" t="s">
        <v>1839</v>
      </c>
      <c r="R1801" s="10">
        <v>0.5143618011099087</v>
      </c>
      <c r="S1801" s="10">
        <v>0.02259421578963823</v>
      </c>
      <c r="T1801" s="10">
        <v>20.994833612567884</v>
      </c>
      <c r="U1801" s="11">
        <v>0.19852884776993393</v>
      </c>
      <c r="V1801" s="11">
        <v>0.17721763712115174</v>
      </c>
      <c r="W1801" s="11">
        <v>0.10247835897907019</v>
      </c>
      <c r="X1801" s="11">
        <v>0.10836185439578501</v>
      </c>
      <c r="Y1801" s="11">
        <v>0.19600347305985508</v>
      </c>
      <c r="Z1801" s="11">
        <v>0.2174098286742042</v>
      </c>
    </row>
    <row r="1802" ht="22.5" customHeight="1">
      <c r="Q1802" s="9" t="s">
        <v>1840</v>
      </c>
      <c r="R1802" s="10">
        <v>0.508924425808313</v>
      </c>
      <c r="S1802" s="10">
        <v>0.022335237272440786</v>
      </c>
      <c r="T1802" s="10">
        <v>20.994826250935507</v>
      </c>
      <c r="U1802" s="11">
        <v>0.028785727633802164</v>
      </c>
      <c r="V1802" s="11">
        <v>0.11746255392181469</v>
      </c>
      <c r="W1802" s="11">
        <v>0.15331494439309873</v>
      </c>
      <c r="X1802" s="11">
        <v>0.16403806206414445</v>
      </c>
      <c r="Y1802" s="11">
        <v>0.32800372635607417</v>
      </c>
      <c r="Z1802" s="11">
        <v>0.20839498563106598</v>
      </c>
    </row>
    <row r="1803" ht="22.5" customHeight="1">
      <c r="Q1803" s="9" t="s">
        <v>1841</v>
      </c>
      <c r="R1803" s="10">
        <v>0.48943624114530887</v>
      </c>
      <c r="S1803" s="10">
        <v>0.021407395332046854</v>
      </c>
      <c r="T1803" s="10">
        <v>20.99443833190221</v>
      </c>
      <c r="U1803" s="11">
        <v>0.1559089553508957</v>
      </c>
      <c r="V1803" s="11">
        <v>0.0816541600838676</v>
      </c>
      <c r="W1803" s="11">
        <v>0.16534042634459495</v>
      </c>
      <c r="X1803" s="11">
        <v>0.31922208282765013</v>
      </c>
      <c r="Y1803" s="11">
        <v>0.10340276122573006</v>
      </c>
      <c r="Z1803" s="11">
        <v>0.1744716141672615</v>
      </c>
    </row>
    <row r="1804" ht="22.5" customHeight="1">
      <c r="Q1804" s="9" t="s">
        <v>1842</v>
      </c>
      <c r="R1804" s="10">
        <v>0.7294275037163327</v>
      </c>
      <c r="S1804" s="10">
        <v>0.032838694636045135</v>
      </c>
      <c r="T1804" s="10">
        <v>20.99436385512072</v>
      </c>
      <c r="U1804" s="11">
        <v>0.20157778046274397</v>
      </c>
      <c r="V1804" s="11">
        <v>0.210717483078858</v>
      </c>
      <c r="W1804" s="11">
        <v>0.21841185000913613</v>
      </c>
      <c r="X1804" s="11">
        <v>0.2173580946129653</v>
      </c>
      <c r="Y1804" s="11">
        <v>0.09418281109715514</v>
      </c>
      <c r="Z1804" s="11">
        <v>0.05775198073914166</v>
      </c>
    </row>
    <row r="1805" ht="22.5" customHeight="1">
      <c r="Q1805" s="9" t="s">
        <v>1843</v>
      </c>
      <c r="R1805" s="10">
        <v>0.6308035191439759</v>
      </c>
      <c r="S1805" s="10">
        <v>0.028141055386387604</v>
      </c>
      <c r="T1805" s="10">
        <v>20.99436254369335</v>
      </c>
      <c r="U1805" s="11">
        <v>0.16061594736170842</v>
      </c>
      <c r="V1805" s="11">
        <v>0.15558326733709427</v>
      </c>
      <c r="W1805" s="11">
        <v>0.20195142932849525</v>
      </c>
      <c r="X1805" s="11">
        <v>0.20558583459285823</v>
      </c>
      <c r="Y1805" s="11">
        <v>0.16936074717347793</v>
      </c>
      <c r="Z1805" s="11">
        <v>0.10690277420636578</v>
      </c>
    </row>
    <row r="1806" ht="22.5" customHeight="1">
      <c r="Q1806" s="9" t="s">
        <v>1844</v>
      </c>
      <c r="R1806" s="10">
        <v>0.6535175567810034</v>
      </c>
      <c r="S1806" s="10">
        <v>0.029223545599119473</v>
      </c>
      <c r="T1806" s="10">
        <v>20.993946634575686</v>
      </c>
      <c r="U1806" s="11">
        <v>0.11894879573242556</v>
      </c>
      <c r="V1806" s="11">
        <v>0.15688123894406505</v>
      </c>
      <c r="W1806" s="11">
        <v>0.2137572745267154</v>
      </c>
      <c r="X1806" s="11">
        <v>0.2655373295273096</v>
      </c>
      <c r="Y1806" s="11">
        <v>0.13943395651397</v>
      </c>
      <c r="Z1806" s="11">
        <v>0.10544140475551442</v>
      </c>
    </row>
    <row r="1807" ht="22.5" customHeight="1">
      <c r="Q1807" s="9" t="s">
        <v>1845</v>
      </c>
      <c r="R1807" s="10">
        <v>0.678733931175104</v>
      </c>
      <c r="S1807" s="10">
        <v>0.030425582880390017</v>
      </c>
      <c r="T1807" s="10">
        <v>20.99331781698692</v>
      </c>
      <c r="U1807" s="11">
        <v>0.13459709485340873</v>
      </c>
      <c r="V1807" s="11">
        <v>0.24416945052888486</v>
      </c>
      <c r="W1807" s="11">
        <v>0.14501073041988247</v>
      </c>
      <c r="X1807" s="11">
        <v>0.23516329102095787</v>
      </c>
      <c r="Y1807" s="11">
        <v>0.1244470518652369</v>
      </c>
      <c r="Z1807" s="11">
        <v>0.11661238131162913</v>
      </c>
    </row>
    <row r="1808" ht="22.5" customHeight="1">
      <c r="Q1808" s="9" t="s">
        <v>1846</v>
      </c>
      <c r="R1808" s="10">
        <v>0.467925033719635</v>
      </c>
      <c r="S1808" s="10">
        <v>0.02038394713964508</v>
      </c>
      <c r="T1808" s="10">
        <v>20.99323702068264</v>
      </c>
      <c r="U1808" s="11">
        <v>0.21364738816566495</v>
      </c>
      <c r="V1808" s="11">
        <v>0.17140691428756002</v>
      </c>
      <c r="W1808" s="11">
        <v>0.047505705765102504</v>
      </c>
      <c r="X1808" s="11">
        <v>0.36793245587585477</v>
      </c>
      <c r="Y1808" s="11">
        <v>0.07790161375084868</v>
      </c>
      <c r="Z1808" s="11">
        <v>0.12160592215496925</v>
      </c>
    </row>
    <row r="1809" ht="22.5" customHeight="1">
      <c r="Q1809" s="9" t="s">
        <v>1847</v>
      </c>
      <c r="R1809" s="10">
        <v>0.5665826555819005</v>
      </c>
      <c r="S1809" s="10">
        <v>0.02508366341646611</v>
      </c>
      <c r="T1809" s="10">
        <v>20.99305220449683</v>
      </c>
      <c r="U1809" s="11">
        <v>0.04358071819579974</v>
      </c>
      <c r="V1809" s="11">
        <v>0.1945524979947844</v>
      </c>
      <c r="W1809" s="11">
        <v>0.12160663087401855</v>
      </c>
      <c r="X1809" s="11">
        <v>0.14392808519893394</v>
      </c>
      <c r="Y1809" s="11">
        <v>0.2615491959894523</v>
      </c>
      <c r="Z1809" s="11">
        <v>0.23478287174701118</v>
      </c>
    </row>
    <row r="1810" ht="22.5" customHeight="1">
      <c r="Q1810" s="9" t="s">
        <v>1848</v>
      </c>
      <c r="R1810" s="10">
        <v>0.2718137745545368</v>
      </c>
      <c r="S1810" s="10">
        <v>0.011042664564120352</v>
      </c>
      <c r="T1810" s="10">
        <v>20.99255783859834</v>
      </c>
      <c r="U1810" s="11">
        <v>0.22109377250317844</v>
      </c>
      <c r="V1810" s="11">
        <v>0.03151647972855666</v>
      </c>
      <c r="W1810" s="11">
        <v>0.05851013300077277</v>
      </c>
      <c r="X1810" s="11">
        <v>0.3148795612398751</v>
      </c>
      <c r="Y1810" s="11">
        <v>0.05197002822221088</v>
      </c>
      <c r="Z1810" s="11">
        <v>0.32203002530540614</v>
      </c>
    </row>
    <row r="1811" ht="22.5" customHeight="1">
      <c r="Q1811" s="9" t="s">
        <v>1849</v>
      </c>
      <c r="R1811" s="10">
        <v>0.7161550544720623</v>
      </c>
      <c r="S1811" s="10">
        <v>0.03220953566445221</v>
      </c>
      <c r="T1811" s="10">
        <v>20.99238751890159</v>
      </c>
      <c r="U1811" s="11">
        <v>0.19093507189817352</v>
      </c>
      <c r="V1811" s="11">
        <v>0.23081296720903674</v>
      </c>
      <c r="W1811" s="11">
        <v>0.18788489384240437</v>
      </c>
      <c r="X1811" s="11">
        <v>0.1628527584723475</v>
      </c>
      <c r="Y1811" s="11">
        <v>0.19694742296518777</v>
      </c>
      <c r="Z1811" s="11">
        <v>0.03056688561285005</v>
      </c>
    </row>
    <row r="1812" ht="22.5" customHeight="1">
      <c r="Q1812" s="9" t="s">
        <v>1850</v>
      </c>
      <c r="R1812" s="10">
        <v>0.7561234733321263</v>
      </c>
      <c r="S1812" s="10">
        <v>0.03411392416548028</v>
      </c>
      <c r="T1812" s="10">
        <v>20.992116587301563</v>
      </c>
      <c r="U1812" s="11">
        <v>0.013443824425596225</v>
      </c>
      <c r="V1812" s="11">
        <v>0.22868485032508698</v>
      </c>
      <c r="W1812" s="11">
        <v>0.21663353719475725</v>
      </c>
      <c r="X1812" s="11">
        <v>0.24271574505877047</v>
      </c>
      <c r="Y1812" s="11">
        <v>0.22274569258782106</v>
      </c>
      <c r="Z1812" s="11">
        <v>0.07577635040796808</v>
      </c>
    </row>
    <row r="1813" ht="22.5" customHeight="1">
      <c r="Q1813" s="9" t="s">
        <v>1851</v>
      </c>
      <c r="R1813" s="10">
        <v>0.7284188207596065</v>
      </c>
      <c r="S1813" s="10">
        <v>0.03279429067761599</v>
      </c>
      <c r="T1813" s="10">
        <v>20.992032653704946</v>
      </c>
      <c r="U1813" s="11">
        <v>0.027592958736263384</v>
      </c>
      <c r="V1813" s="11">
        <v>0.21561916396586722</v>
      </c>
      <c r="W1813" s="11">
        <v>0.215331431787618</v>
      </c>
      <c r="X1813" s="11">
        <v>0.267745987257973</v>
      </c>
      <c r="Y1813" s="11">
        <v>0.09298540139690625</v>
      </c>
      <c r="Z1813" s="11">
        <v>0.1807250568553723</v>
      </c>
    </row>
    <row r="1814" ht="22.5" customHeight="1">
      <c r="Q1814" s="9" t="s">
        <v>1852</v>
      </c>
      <c r="R1814" s="10">
        <v>0.606466931496307</v>
      </c>
      <c r="S1814" s="10">
        <v>0.02698580966549348</v>
      </c>
      <c r="T1814" s="10">
        <v>20.991289070738663</v>
      </c>
      <c r="U1814" s="11">
        <v>0.1677428800619721</v>
      </c>
      <c r="V1814" s="11">
        <v>0.17868310673448887</v>
      </c>
      <c r="W1814" s="11">
        <v>0.17040990973363146</v>
      </c>
      <c r="X1814" s="11">
        <v>0.11248172900101634</v>
      </c>
      <c r="Y1814" s="11">
        <v>0.1889122448411885</v>
      </c>
      <c r="Z1814" s="11">
        <v>0.18177012962770264</v>
      </c>
    </row>
    <row r="1815" ht="22.5" customHeight="1">
      <c r="Q1815" s="9" t="s">
        <v>1853</v>
      </c>
      <c r="R1815" s="10">
        <v>0.6896742618259525</v>
      </c>
      <c r="S1815" s="10">
        <v>0.03095005931806348</v>
      </c>
      <c r="T1815" s="10">
        <v>20.991050619627764</v>
      </c>
      <c r="U1815" s="11">
        <v>0.16546418499915552</v>
      </c>
      <c r="V1815" s="11">
        <v>0.1909071479379507</v>
      </c>
      <c r="W1815" s="11">
        <v>0.21148530956047445</v>
      </c>
      <c r="X1815" s="11">
        <v>0.20567109442496423</v>
      </c>
      <c r="Y1815" s="11">
        <v>0.12110014561948847</v>
      </c>
      <c r="Z1815" s="11">
        <v>0.10537211745796672</v>
      </c>
    </row>
    <row r="1816" ht="22.5" customHeight="1">
      <c r="Q1816" s="9" t="s">
        <v>1854</v>
      </c>
      <c r="R1816" s="10">
        <v>0.4147005543935298</v>
      </c>
      <c r="S1816" s="10">
        <v>0.017850582503011324</v>
      </c>
      <c r="T1816" s="10">
        <v>20.99094269502518</v>
      </c>
      <c r="U1816" s="11">
        <v>0.1730411731877874</v>
      </c>
      <c r="V1816" s="11">
        <v>0.14705213308232998</v>
      </c>
      <c r="W1816" s="11">
        <v>0.046262917422641506</v>
      </c>
      <c r="X1816" s="11">
        <v>0.22640377860487362</v>
      </c>
      <c r="Y1816" s="11">
        <v>0.19725357800994878</v>
      </c>
      <c r="Z1816" s="11">
        <v>0.2099864196924188</v>
      </c>
    </row>
    <row r="1817" ht="22.5" customHeight="1">
      <c r="Q1817" s="9" t="s">
        <v>1855</v>
      </c>
      <c r="R1817" s="10">
        <v>0.6293498264952829</v>
      </c>
      <c r="S1817" s="10">
        <v>0.028076451654415108</v>
      </c>
      <c r="T1817" s="10">
        <v>20.99089421090025</v>
      </c>
      <c r="U1817" s="11">
        <v>0.06722417578469399</v>
      </c>
      <c r="V1817" s="11">
        <v>0.1586964482779037</v>
      </c>
      <c r="W1817" s="11">
        <v>0.19856642295963448</v>
      </c>
      <c r="X1817" s="11">
        <v>0.20810346126426232</v>
      </c>
      <c r="Y1817" s="11">
        <v>0.22106801137647716</v>
      </c>
      <c r="Z1817" s="11">
        <v>0.14634148033702837</v>
      </c>
    </row>
    <row r="1818" ht="22.5" customHeight="1">
      <c r="Q1818" s="9" t="s">
        <v>1856</v>
      </c>
      <c r="R1818" s="10">
        <v>0.624339772035569</v>
      </c>
      <c r="S1818" s="10">
        <v>0.027840632043522884</v>
      </c>
      <c r="T1818" s="10">
        <v>20.988739448230863</v>
      </c>
      <c r="U1818" s="11">
        <v>0.20745501570525904</v>
      </c>
      <c r="V1818" s="11">
        <v>0.15763372304026083</v>
      </c>
      <c r="W1818" s="11">
        <v>0.19533690291536507</v>
      </c>
      <c r="X1818" s="11">
        <v>0.16626051093096872</v>
      </c>
      <c r="Y1818" s="11">
        <v>0.20232683482641722</v>
      </c>
      <c r="Z1818" s="11">
        <v>0.0709870125817291</v>
      </c>
    </row>
    <row r="1819" ht="22.5" customHeight="1">
      <c r="Q1819" s="9" t="s">
        <v>1857</v>
      </c>
      <c r="R1819" s="10">
        <v>0.522331348251574</v>
      </c>
      <c r="S1819" s="10">
        <v>0.023182228062909524</v>
      </c>
      <c r="T1819" s="10">
        <v>20.988572784606813</v>
      </c>
      <c r="U1819" s="11">
        <v>0.18296119079594395</v>
      </c>
      <c r="V1819" s="11">
        <v>0.12685817760323526</v>
      </c>
      <c r="W1819" s="11">
        <v>0.16498012727506228</v>
      </c>
      <c r="X1819" s="11">
        <v>0.1507851841203375</v>
      </c>
      <c r="Y1819" s="11">
        <v>0.12113284427416897</v>
      </c>
      <c r="Z1819" s="11">
        <v>0.2532824759312521</v>
      </c>
    </row>
    <row r="1820" ht="22.5" customHeight="1">
      <c r="Q1820" s="9" t="s">
        <v>1858</v>
      </c>
      <c r="R1820" s="10">
        <v>0.5332749255508641</v>
      </c>
      <c r="S1820" s="10">
        <v>0.023502267340721455</v>
      </c>
      <c r="T1820" s="10">
        <v>20.988397349058577</v>
      </c>
      <c r="U1820" s="11">
        <v>0.09434654616028368</v>
      </c>
      <c r="V1820" s="11">
        <v>0.11287071035382636</v>
      </c>
      <c r="W1820" s="11">
        <v>0.1761793207654649</v>
      </c>
      <c r="X1820" s="11">
        <v>0.3114821441894916</v>
      </c>
      <c r="Y1820" s="11">
        <v>0.00859364116850787</v>
      </c>
      <c r="Z1820" s="11">
        <v>0.2965276373624256</v>
      </c>
    </row>
    <row r="1821" ht="22.5" customHeight="1">
      <c r="Q1821" s="9" t="s">
        <v>1859</v>
      </c>
      <c r="R1821" s="10">
        <v>0.708619231821683</v>
      </c>
      <c r="S1821" s="10">
        <v>0.031857440999859266</v>
      </c>
      <c r="T1821" s="10">
        <v>20.987851215816004</v>
      </c>
      <c r="U1821" s="11">
        <v>0.1427493339682343</v>
      </c>
      <c r="V1821" s="11">
        <v>0.20390211801899916</v>
      </c>
      <c r="W1821" s="11">
        <v>0.21293609486650042</v>
      </c>
      <c r="X1821" s="11">
        <v>0.21529634263332134</v>
      </c>
      <c r="Y1821" s="11">
        <v>0.1048206719928609</v>
      </c>
      <c r="Z1821" s="11">
        <v>0.12029543852008383</v>
      </c>
    </row>
    <row r="1822" ht="22.5" customHeight="1">
      <c r="Q1822" s="9" t="s">
        <v>1860</v>
      </c>
      <c r="R1822" s="10">
        <v>0.6931005576224187</v>
      </c>
      <c r="S1822" s="10">
        <v>0.031118436417828108</v>
      </c>
      <c r="T1822" s="10">
        <v>20.987576266789866</v>
      </c>
      <c r="U1822" s="11">
        <v>0.1584485652783156</v>
      </c>
      <c r="V1822" s="11">
        <v>0.1862450549665918</v>
      </c>
      <c r="W1822" s="11">
        <v>0.2158107463588324</v>
      </c>
      <c r="X1822" s="11">
        <v>0.21221861006354684</v>
      </c>
      <c r="Y1822" s="11">
        <v>0.1565756535796137</v>
      </c>
      <c r="Z1822" s="11">
        <v>0.07070136975309983</v>
      </c>
    </row>
    <row r="1823" ht="22.5" customHeight="1">
      <c r="Q1823" s="9" t="s">
        <v>1861</v>
      </c>
      <c r="R1823" s="10">
        <v>0.522331348251574</v>
      </c>
      <c r="S1823" s="10">
        <v>0.025464076708814735</v>
      </c>
      <c r="T1823" s="10">
        <v>20.987259823762297</v>
      </c>
      <c r="U1823" s="11">
        <v>0.18190386206827824</v>
      </c>
      <c r="V1823" s="11">
        <v>0.2074203117588133</v>
      </c>
      <c r="W1823" s="11">
        <v>0.11277139954867307</v>
      </c>
      <c r="X1823" s="11">
        <v>0.18362362600879517</v>
      </c>
      <c r="Y1823" s="11">
        <v>0.10142764881013537</v>
      </c>
      <c r="Z1823" s="11">
        <v>0.2128531518053049</v>
      </c>
    </row>
    <row r="1824" ht="22.5" customHeight="1">
      <c r="Q1824" s="9" t="s">
        <v>1862</v>
      </c>
      <c r="R1824" s="10">
        <v>0.42747161584504817</v>
      </c>
      <c r="S1824" s="10">
        <v>0.018462352723990934</v>
      </c>
      <c r="T1824" s="10">
        <v>20.987120202808583</v>
      </c>
      <c r="U1824" s="11">
        <v>0.17010213789335757</v>
      </c>
      <c r="V1824" s="11">
        <v>0.15165356986977635</v>
      </c>
      <c r="W1824" s="11">
        <v>0.044478055581269625</v>
      </c>
      <c r="X1824" s="11">
        <v>0.2577333037927652</v>
      </c>
      <c r="Y1824" s="11">
        <v>0.2290937415016219</v>
      </c>
      <c r="Z1824" s="11">
        <v>0.14693919136120934</v>
      </c>
    </row>
    <row r="1825" ht="22.5" customHeight="1">
      <c r="Q1825" s="9" t="s">
        <v>1863</v>
      </c>
      <c r="R1825" s="10">
        <v>0.6983122025493707</v>
      </c>
      <c r="S1825" s="10">
        <v>0.03136783548743888</v>
      </c>
      <c r="T1825" s="10">
        <v>20.98685460184172</v>
      </c>
      <c r="U1825" s="11">
        <v>0.21670795494762113</v>
      </c>
      <c r="V1825" s="11">
        <v>0.19785425550149785</v>
      </c>
      <c r="W1825" s="11">
        <v>0.20677406493136005</v>
      </c>
      <c r="X1825" s="11">
        <v>0.16341970302767783</v>
      </c>
      <c r="Y1825" s="11">
        <v>0.2118373771652376</v>
      </c>
      <c r="Z1825" s="11">
        <v>0.0034066444266054787</v>
      </c>
    </row>
    <row r="1826" ht="22.5" customHeight="1">
      <c r="Q1826" s="9" t="s">
        <v>1864</v>
      </c>
      <c r="R1826" s="10">
        <v>0.4441868470514249</v>
      </c>
      <c r="S1826" s="10">
        <v>0.019259842894994515</v>
      </c>
      <c r="T1826" s="10">
        <v>20.98598878791841</v>
      </c>
      <c r="U1826" s="11">
        <v>0.1692868238145559</v>
      </c>
      <c r="V1826" s="11">
        <v>0.06610400360202316</v>
      </c>
      <c r="W1826" s="11">
        <v>0.14341441739473346</v>
      </c>
      <c r="X1826" s="11">
        <v>0.270227182634025</v>
      </c>
      <c r="Y1826" s="11">
        <v>0.2502081151463018</v>
      </c>
      <c r="Z1826" s="11">
        <v>0.10075945740836062</v>
      </c>
    </row>
    <row r="1827" ht="22.5" customHeight="1">
      <c r="Q1827" s="9" t="s">
        <v>1865</v>
      </c>
      <c r="R1827" s="10">
        <v>0.645017265902929</v>
      </c>
      <c r="S1827" s="10">
        <v>0.02882967028311792</v>
      </c>
      <c r="T1827" s="10">
        <v>20.98592387500231</v>
      </c>
      <c r="U1827" s="11">
        <v>0.10318720299292958</v>
      </c>
      <c r="V1827" s="11">
        <v>0.2099454485133326</v>
      </c>
      <c r="W1827" s="11">
        <v>0.16327210372453066</v>
      </c>
      <c r="X1827" s="11">
        <v>0.13690707367971697</v>
      </c>
      <c r="Y1827" s="11">
        <v>0.2292749872809452</v>
      </c>
      <c r="Z1827" s="11">
        <v>0.1574131838085451</v>
      </c>
    </row>
    <row r="1828" ht="22.5" customHeight="1">
      <c r="Q1828" s="9" t="s">
        <v>1866</v>
      </c>
      <c r="R1828" s="10">
        <v>0.7045207433363395</v>
      </c>
      <c r="S1828" s="10">
        <v>0.03166585082361753</v>
      </c>
      <c r="T1828" s="10">
        <v>20.985406235815272</v>
      </c>
      <c r="U1828" s="11">
        <v>0.0832507075308944</v>
      </c>
      <c r="V1828" s="11">
        <v>0.20349149944254422</v>
      </c>
      <c r="W1828" s="11">
        <v>0.21043865941581932</v>
      </c>
      <c r="X1828" s="11">
        <v>0.2128248320070945</v>
      </c>
      <c r="Y1828" s="11">
        <v>0.152273126499944</v>
      </c>
      <c r="Z1828" s="11">
        <v>0.13772117510370355</v>
      </c>
    </row>
    <row r="1829" ht="22.5" customHeight="1">
      <c r="Q1829" s="9" t="s">
        <v>1867</v>
      </c>
      <c r="R1829" s="10">
        <v>0.6121486494144281</v>
      </c>
      <c r="S1829" s="10">
        <v>0.02726460560117331</v>
      </c>
      <c r="T1829" s="10">
        <v>20.985033041879255</v>
      </c>
      <c r="U1829" s="11">
        <v>0.1812806151043204</v>
      </c>
      <c r="V1829" s="11">
        <v>0.17443958468753365</v>
      </c>
      <c r="W1829" s="11">
        <v>0.16979240760922706</v>
      </c>
      <c r="X1829" s="11">
        <v>0.10635936738098474</v>
      </c>
      <c r="Y1829" s="11">
        <v>0.3164594423751378</v>
      </c>
      <c r="Z1829" s="11">
        <v>0.051668582842796504</v>
      </c>
    </row>
    <row r="1830" ht="22.5" customHeight="1">
      <c r="Q1830" s="9" t="s">
        <v>1868</v>
      </c>
      <c r="R1830" s="10">
        <v>0.663338153624872</v>
      </c>
      <c r="S1830" s="10">
        <v>0.02970411463015374</v>
      </c>
      <c r="T1830" s="10">
        <v>20.984909376564907</v>
      </c>
      <c r="U1830" s="11">
        <v>0.2151563503528748</v>
      </c>
      <c r="V1830" s="11">
        <v>0.15469938684450707</v>
      </c>
      <c r="W1830" s="11">
        <v>0.21839710217252875</v>
      </c>
      <c r="X1830" s="11">
        <v>0.2583353164376936</v>
      </c>
      <c r="Y1830" s="11">
        <v>0.14785404973902685</v>
      </c>
      <c r="Z1830" s="11">
        <v>0.00555779445336884</v>
      </c>
    </row>
    <row r="1831" ht="22.5" customHeight="1">
      <c r="Q1831" s="9" t="s">
        <v>1869</v>
      </c>
      <c r="R1831" s="10">
        <v>0.522331348251574</v>
      </c>
      <c r="S1831" s="10">
        <v>0.027680110213375922</v>
      </c>
      <c r="T1831" s="10">
        <v>20.984277835813725</v>
      </c>
      <c r="U1831" s="11">
        <v>0.20731135559984948</v>
      </c>
      <c r="V1831" s="11">
        <v>0.21491631563676244</v>
      </c>
      <c r="W1831" s="11">
        <v>0.1383534663500624</v>
      </c>
      <c r="X1831" s="11">
        <v>0.13960770497860944</v>
      </c>
      <c r="Y1831" s="11">
        <v>0.1730228356005265</v>
      </c>
      <c r="Z1831" s="11">
        <v>0.12678832183418992</v>
      </c>
    </row>
    <row r="1832" ht="22.5" customHeight="1">
      <c r="Q1832" s="9" t="s">
        <v>1870</v>
      </c>
      <c r="R1832" s="10">
        <v>0.7428220461872854</v>
      </c>
      <c r="S1832" s="10">
        <v>0.033494881809327526</v>
      </c>
      <c r="T1832" s="10">
        <v>20.982968388667853</v>
      </c>
      <c r="U1832" s="11">
        <v>0.10124552510012202</v>
      </c>
      <c r="V1832" s="11">
        <v>0.22271031645280517</v>
      </c>
      <c r="W1832" s="11">
        <v>0.2142460427437176</v>
      </c>
      <c r="X1832" s="11">
        <v>0.20544170558832003</v>
      </c>
      <c r="Y1832" s="11">
        <v>0.21010269862110922</v>
      </c>
      <c r="Z1832" s="11">
        <v>0.046253711493925966</v>
      </c>
    </row>
    <row r="1833" ht="22.5" customHeight="1">
      <c r="Q1833" s="9" t="s">
        <v>1871</v>
      </c>
      <c r="R1833" s="10">
        <v>0.6822069866448605</v>
      </c>
      <c r="S1833" s="10">
        <v>0.03060650551634457</v>
      </c>
      <c r="T1833" s="10">
        <v>20.982695535166773</v>
      </c>
      <c r="U1833" s="11">
        <v>0.22380228657713336</v>
      </c>
      <c r="V1833" s="11">
        <v>0.2065424210442807</v>
      </c>
      <c r="W1833" s="11">
        <v>0.19270820540478775</v>
      </c>
      <c r="X1833" s="11">
        <v>0.1494730920574662</v>
      </c>
      <c r="Y1833" s="11">
        <v>0.1376033006525296</v>
      </c>
      <c r="Z1833" s="11">
        <v>0.08987069426380247</v>
      </c>
    </row>
    <row r="1834" ht="22.5" customHeight="1">
      <c r="Q1834" s="9" t="s">
        <v>1872</v>
      </c>
      <c r="R1834" s="10">
        <v>0.44170568731688153</v>
      </c>
      <c r="S1834" s="10">
        <v>0.01914497993736248</v>
      </c>
      <c r="T1834" s="10">
        <v>20.982298682535095</v>
      </c>
      <c r="U1834" s="11">
        <v>0.0872423732247696</v>
      </c>
      <c r="V1834" s="11">
        <v>0.07934370591001455</v>
      </c>
      <c r="W1834" s="11">
        <v>0.14049123189870147</v>
      </c>
      <c r="X1834" s="11">
        <v>0.21055909966695477</v>
      </c>
      <c r="Y1834" s="11">
        <v>0.24521454545045035</v>
      </c>
      <c r="Z1834" s="11">
        <v>0.23714904384910923</v>
      </c>
    </row>
    <row r="1835" ht="22.5" customHeight="1">
      <c r="Q1835" s="9" t="s">
        <v>1873</v>
      </c>
      <c r="R1835" s="10">
        <v>0.42737202295476034</v>
      </c>
      <c r="S1835" s="10">
        <v>0.01846220671909531</v>
      </c>
      <c r="T1835" s="10">
        <v>20.9818917558812</v>
      </c>
      <c r="U1835" s="11">
        <v>0.1594073961054271</v>
      </c>
      <c r="V1835" s="11">
        <v>0.08122682968574876</v>
      </c>
      <c r="W1835" s="11">
        <v>0.13452366641155597</v>
      </c>
      <c r="X1835" s="11">
        <v>0.16897721223017623</v>
      </c>
      <c r="Y1835" s="11">
        <v>0.17790799981870778</v>
      </c>
      <c r="Z1835" s="11">
        <v>0.2779568957483843</v>
      </c>
    </row>
    <row r="1836" ht="22.5" customHeight="1">
      <c r="Q1836" s="9" t="s">
        <v>1874</v>
      </c>
      <c r="R1836" s="10">
        <v>0.6211851024325002</v>
      </c>
      <c r="S1836" s="10">
        <v>0.027699902898776482</v>
      </c>
      <c r="T1836" s="10">
        <v>20.981485189905538</v>
      </c>
      <c r="U1836" s="11">
        <v>0.10675535402794392</v>
      </c>
      <c r="V1836" s="11">
        <v>0.23411833268284002</v>
      </c>
      <c r="W1836" s="11">
        <v>0.10295265649853852</v>
      </c>
      <c r="X1836" s="11">
        <v>0.3483185416873674</v>
      </c>
      <c r="Y1836" s="11">
        <v>0.07820645759232057</v>
      </c>
      <c r="Z1836" s="11">
        <v>0.12964865751098947</v>
      </c>
    </row>
    <row r="1837" ht="22.5" customHeight="1">
      <c r="Q1837" s="9" t="s">
        <v>1875</v>
      </c>
      <c r="R1837" s="10">
        <v>0.7073025243586375</v>
      </c>
      <c r="S1837" s="10">
        <v>0.03180494391917702</v>
      </c>
      <c r="T1837" s="10">
        <v>20.98109419888908</v>
      </c>
      <c r="U1837" s="11">
        <v>0.18333510303551112</v>
      </c>
      <c r="V1837" s="11">
        <v>0.23521514689508835</v>
      </c>
      <c r="W1837" s="11">
        <v>0.18195821494554365</v>
      </c>
      <c r="X1837" s="11">
        <v>0.2026226773827596</v>
      </c>
      <c r="Y1837" s="11">
        <v>0.05877083583377675</v>
      </c>
      <c r="Z1837" s="11">
        <v>0.13809802190732046</v>
      </c>
    </row>
    <row r="1838" ht="22.5" customHeight="1">
      <c r="Q1838" s="9" t="s">
        <v>1876</v>
      </c>
      <c r="R1838" s="10">
        <v>0.49849928022213486</v>
      </c>
      <c r="S1838" s="10">
        <v>0.021853062422064876</v>
      </c>
      <c r="T1838" s="10">
        <v>20.981008124481058</v>
      </c>
      <c r="U1838" s="11">
        <v>0.24157224103412125</v>
      </c>
      <c r="V1838" s="11">
        <v>0.1691498673422074</v>
      </c>
      <c r="W1838" s="11">
        <v>0.10220225268129637</v>
      </c>
      <c r="X1838" s="11">
        <v>0.09571260289134226</v>
      </c>
      <c r="Y1838" s="11">
        <v>0.1470357856057301</v>
      </c>
      <c r="Z1838" s="11">
        <v>0.24432725044530246</v>
      </c>
    </row>
    <row r="1839" ht="22.5" customHeight="1">
      <c r="Q1839" s="9" t="s">
        <v>1877</v>
      </c>
      <c r="R1839" s="10">
        <v>0.7291699551069991</v>
      </c>
      <c r="S1839" s="10">
        <v>0.032847795149169946</v>
      </c>
      <c r="T1839" s="10">
        <v>20.980706679925035</v>
      </c>
      <c r="U1839" s="11">
        <v>0.03382556241669102</v>
      </c>
      <c r="V1839" s="11">
        <v>0.2587382719900778</v>
      </c>
      <c r="W1839" s="11">
        <v>0.15855269406344208</v>
      </c>
      <c r="X1839" s="11">
        <v>0.26280298760605825</v>
      </c>
      <c r="Y1839" s="11">
        <v>0.26225118684475573</v>
      </c>
      <c r="Z1839" s="11">
        <v>0.02382929707897515</v>
      </c>
    </row>
    <row r="1840" ht="22.5" customHeight="1">
      <c r="Q1840" s="9" t="s">
        <v>1878</v>
      </c>
      <c r="R1840" s="10">
        <v>0.6670055691703958</v>
      </c>
      <c r="S1840" s="10">
        <v>0.02988617742499693</v>
      </c>
      <c r="T1840" s="10">
        <v>20.9797847430955</v>
      </c>
      <c r="U1840" s="11">
        <v>0.20286929839190934</v>
      </c>
      <c r="V1840" s="11">
        <v>0.1750489871718684</v>
      </c>
      <c r="W1840" s="11">
        <v>0.20974840439952597</v>
      </c>
      <c r="X1840" s="11">
        <v>0.2008522569935359</v>
      </c>
      <c r="Y1840" s="11">
        <v>0.12520150201626862</v>
      </c>
      <c r="Z1840" s="11">
        <v>0.08627955102689179</v>
      </c>
    </row>
    <row r="1841" ht="22.5" customHeight="1">
      <c r="Q1841" s="9" t="s">
        <v>1879</v>
      </c>
      <c r="R1841" s="10">
        <v>0.5440311189167216</v>
      </c>
      <c r="S1841" s="10">
        <v>0.024024660778710696</v>
      </c>
      <c r="T1841" s="10">
        <v>20.97973925872725</v>
      </c>
      <c r="U1841" s="11">
        <v>0.10422653668573505</v>
      </c>
      <c r="V1841" s="11">
        <v>0.19940689609771664</v>
      </c>
      <c r="W1841" s="11">
        <v>0.07767124663019626</v>
      </c>
      <c r="X1841" s="11">
        <v>0.27309121008362625</v>
      </c>
      <c r="Y1841" s="11">
        <v>0.2843497676332088</v>
      </c>
      <c r="Z1841" s="11">
        <v>0.06125434286951697</v>
      </c>
    </row>
    <row r="1842" ht="22.5" customHeight="1">
      <c r="Q1842" s="9" t="s">
        <v>1880</v>
      </c>
      <c r="R1842" s="10">
        <v>0.5963008685766834</v>
      </c>
      <c r="S1842" s="10">
        <v>0.02651610071182847</v>
      </c>
      <c r="T1842" s="10">
        <v>20.979738862151976</v>
      </c>
      <c r="U1842" s="11">
        <v>0.09841241174855524</v>
      </c>
      <c r="V1842" s="11">
        <v>0.15568115233882812</v>
      </c>
      <c r="W1842" s="11">
        <v>0.18328575034586495</v>
      </c>
      <c r="X1842" s="11">
        <v>0.15835982303647103</v>
      </c>
      <c r="Y1842" s="11">
        <v>0.20826555341004635</v>
      </c>
      <c r="Z1842" s="11">
        <v>0.19599530912023425</v>
      </c>
    </row>
    <row r="1843" ht="22.5" customHeight="1">
      <c r="Q1843" s="9" t="s">
        <v>1881</v>
      </c>
      <c r="R1843" s="10">
        <v>0.5899496840502658</v>
      </c>
      <c r="S1843" s="10">
        <v>0.026213767260773107</v>
      </c>
      <c r="T1843" s="10">
        <v>20.97942194189018</v>
      </c>
      <c r="U1843" s="11">
        <v>0.18226992967148026</v>
      </c>
      <c r="V1843" s="11">
        <v>0.16721527327004113</v>
      </c>
      <c r="W1843" s="11">
        <v>0.16603462843424943</v>
      </c>
      <c r="X1843" s="11">
        <v>0.09641590945650247</v>
      </c>
      <c r="Y1843" s="11">
        <v>0.2654964091623968</v>
      </c>
      <c r="Z1843" s="11">
        <v>0.12256785000532991</v>
      </c>
    </row>
    <row r="1844" ht="22.5" customHeight="1">
      <c r="Q1844" s="9" t="s">
        <v>1882</v>
      </c>
      <c r="R1844" s="10">
        <v>0.6806157738809111</v>
      </c>
      <c r="S1844" s="10">
        <v>0.03053544699904347</v>
      </c>
      <c r="T1844" s="10">
        <v>20.979413659835355</v>
      </c>
      <c r="U1844" s="11">
        <v>0.12587610688518933</v>
      </c>
      <c r="V1844" s="11">
        <v>0.1773594404878171</v>
      </c>
      <c r="W1844" s="11">
        <v>0.21429013542619965</v>
      </c>
      <c r="X1844" s="11">
        <v>0.21522110762036972</v>
      </c>
      <c r="Y1844" s="11">
        <v>0.1978557062105541</v>
      </c>
      <c r="Z1844" s="11">
        <v>0.06939750336987012</v>
      </c>
    </row>
    <row r="1845" ht="22.5" customHeight="1">
      <c r="Q1845" s="9" t="s">
        <v>1883</v>
      </c>
      <c r="R1845" s="10">
        <v>0.5502725383019805</v>
      </c>
      <c r="S1845" s="10">
        <v>0.024323350799832416</v>
      </c>
      <c r="T1845" s="10">
        <v>20.978710643169123</v>
      </c>
      <c r="U1845" s="11">
        <v>0.14280106299097145</v>
      </c>
      <c r="V1845" s="11">
        <v>0.1388821096974628</v>
      </c>
      <c r="W1845" s="11">
        <v>0.17004871935228041</v>
      </c>
      <c r="X1845" s="11">
        <v>0.14189720776228604</v>
      </c>
      <c r="Y1845" s="11">
        <v>0.16404812467846594</v>
      </c>
      <c r="Z1845" s="11">
        <v>0.24232277551853332</v>
      </c>
    </row>
    <row r="1846" ht="22.5" customHeight="1">
      <c r="Q1846" s="9" t="s">
        <v>1884</v>
      </c>
      <c r="R1846" s="10">
        <v>0.7586289848026796</v>
      </c>
      <c r="S1846" s="10">
        <v>0.03425628306285858</v>
      </c>
      <c r="T1846" s="10">
        <v>20.978019812716724</v>
      </c>
      <c r="U1846" s="11">
        <v>0.016934682732378654</v>
      </c>
      <c r="V1846" s="11">
        <v>0.21789839566353553</v>
      </c>
      <c r="W1846" s="11">
        <v>0.224637724447112</v>
      </c>
      <c r="X1846" s="11">
        <v>0.24730398136258075</v>
      </c>
      <c r="Y1846" s="11">
        <v>0.28229517186505176</v>
      </c>
      <c r="Z1846" s="11">
        <v>0.010930043929341365</v>
      </c>
    </row>
    <row r="1847" ht="22.5" customHeight="1">
      <c r="Q1847" s="9" t="s">
        <v>1885</v>
      </c>
      <c r="R1847" s="10">
        <v>0.6706397232199228</v>
      </c>
      <c r="S1847" s="10">
        <v>0.030062086846563165</v>
      </c>
      <c r="T1847" s="10">
        <v>20.977909033351768</v>
      </c>
      <c r="U1847" s="11">
        <v>0.11685347496956565</v>
      </c>
      <c r="V1847" s="11">
        <v>0.24732884973720398</v>
      </c>
      <c r="W1847" s="11">
        <v>0.12538829342935923</v>
      </c>
      <c r="X1847" s="11">
        <v>0.27405493882820253</v>
      </c>
      <c r="Y1847" s="11">
        <v>0.20790483742916202</v>
      </c>
      <c r="Z1847" s="11">
        <v>0.02846960560650667</v>
      </c>
    </row>
    <row r="1848" ht="22.5" customHeight="1">
      <c r="Q1848" s="9" t="s">
        <v>1886</v>
      </c>
      <c r="R1848" s="10">
        <v>0.6586956086936216</v>
      </c>
      <c r="S1848" s="10">
        <v>0.029493504971086847</v>
      </c>
      <c r="T1848" s="10">
        <v>20.977351091372253</v>
      </c>
      <c r="U1848" s="11">
        <v>0.19570526412948472</v>
      </c>
      <c r="V1848" s="11">
        <v>0.19294840952863887</v>
      </c>
      <c r="W1848" s="11">
        <v>0.19359971550663377</v>
      </c>
      <c r="X1848" s="11">
        <v>0.19758568740030708</v>
      </c>
      <c r="Y1848" s="11">
        <v>0.0168473629257912</v>
      </c>
      <c r="Z1848" s="11">
        <v>0.20331356050914437</v>
      </c>
    </row>
    <row r="1849" ht="22.5" customHeight="1">
      <c r="Q1849" s="9" t="s">
        <v>1887</v>
      </c>
      <c r="R1849" s="10">
        <v>0.46112736615219524</v>
      </c>
      <c r="S1849" s="10">
        <v>0.020075487960587574</v>
      </c>
      <c r="T1849" s="10">
        <v>20.977192035329715</v>
      </c>
      <c r="U1849" s="11">
        <v>0.18518622691698905</v>
      </c>
      <c r="V1849" s="11">
        <v>0.09172878196495865</v>
      </c>
      <c r="W1849" s="11">
        <v>0.14483068438966254</v>
      </c>
      <c r="X1849" s="11">
        <v>0.1550543289328251</v>
      </c>
      <c r="Y1849" s="11">
        <v>0.2323729829367831</v>
      </c>
      <c r="Z1849" s="11">
        <v>0.19082699485878152</v>
      </c>
    </row>
    <row r="1850" ht="22.5" customHeight="1">
      <c r="Q1850" s="9" t="s">
        <v>1888</v>
      </c>
      <c r="R1850" s="10">
        <v>0.593062817476883</v>
      </c>
      <c r="S1850" s="10">
        <v>0.02636527130410555</v>
      </c>
      <c r="T1850" s="10">
        <v>20.976943916020357</v>
      </c>
      <c r="U1850" s="11">
        <v>0.1888755494022537</v>
      </c>
      <c r="V1850" s="11">
        <v>0.2125604732524716</v>
      </c>
      <c r="W1850" s="11">
        <v>0.12127909600659799</v>
      </c>
      <c r="X1850" s="11">
        <v>0.17341197405413677</v>
      </c>
      <c r="Y1850" s="11">
        <v>0.1125063405473359</v>
      </c>
      <c r="Z1850" s="11">
        <v>0.19136656673720398</v>
      </c>
    </row>
    <row r="1851" ht="22.5" customHeight="1">
      <c r="Q1851" s="9" t="s">
        <v>1889</v>
      </c>
      <c r="R1851" s="10">
        <v>0.7671558842348603</v>
      </c>
      <c r="S1851" s="10">
        <v>0.03466474426641257</v>
      </c>
      <c r="T1851" s="10">
        <v>20.976813751931164</v>
      </c>
      <c r="U1851" s="11">
        <v>0.1923129229771113</v>
      </c>
      <c r="V1851" s="11">
        <v>0.25067712029124506</v>
      </c>
      <c r="W1851" s="11">
        <v>0.20405116772270107</v>
      </c>
      <c r="X1851" s="11">
        <v>0.21987449925735186</v>
      </c>
      <c r="Y1851" s="11">
        <v>0.09920067856559554</v>
      </c>
      <c r="Z1851" s="11">
        <v>0.03388361118599513</v>
      </c>
    </row>
    <row r="1852" ht="22.5" customHeight="1">
      <c r="Q1852" s="9" t="s">
        <v>1890</v>
      </c>
      <c r="R1852" s="10">
        <v>0.5599909842800738</v>
      </c>
      <c r="S1852" s="10">
        <v>0.024788852864867972</v>
      </c>
      <c r="T1852" s="10">
        <v>20.976807079969056</v>
      </c>
      <c r="U1852" s="11">
        <v>0.2424903916058675</v>
      </c>
      <c r="V1852" s="11">
        <v>0.13100796796657055</v>
      </c>
      <c r="W1852" s="11">
        <v>0.18052753067446373</v>
      </c>
      <c r="X1852" s="11">
        <v>0.19342016689672178</v>
      </c>
      <c r="Y1852" s="11">
        <v>0.063491029290189</v>
      </c>
      <c r="Z1852" s="11">
        <v>0.1890629135661874</v>
      </c>
    </row>
    <row r="1853" ht="22.5" customHeight="1">
      <c r="Q1853" s="9" t="s">
        <v>1891</v>
      </c>
      <c r="R1853" s="10">
        <v>0.6006982288576018</v>
      </c>
      <c r="S1853" s="10">
        <v>0.02672960727752219</v>
      </c>
      <c r="T1853" s="10">
        <v>20.97667290941126</v>
      </c>
      <c r="U1853" s="11">
        <v>0.28090954779583077</v>
      </c>
      <c r="V1853" s="11">
        <v>0.18080037676293542</v>
      </c>
      <c r="W1853" s="11">
        <v>0.16023129437995806</v>
      </c>
      <c r="X1853" s="11">
        <v>0.08313823340290771</v>
      </c>
      <c r="Y1853" s="11">
        <v>0.20912927578779264</v>
      </c>
      <c r="Z1853" s="11">
        <v>0.08579127187057539</v>
      </c>
    </row>
    <row r="1854" ht="22.5" customHeight="1">
      <c r="Q1854" s="9" t="s">
        <v>1892</v>
      </c>
      <c r="R1854" s="10">
        <v>0.7871035320941939</v>
      </c>
      <c r="S1854" s="10">
        <v>0.03561672589049858</v>
      </c>
      <c r="T1854" s="10">
        <v>20.976199058586054</v>
      </c>
      <c r="U1854" s="11">
        <v>0.16333856806310998</v>
      </c>
      <c r="V1854" s="11">
        <v>0.2704775046892082</v>
      </c>
      <c r="W1854" s="11">
        <v>0.19406748802046095</v>
      </c>
      <c r="X1854" s="11">
        <v>0.2622782195171133</v>
      </c>
      <c r="Y1854" s="11">
        <v>0.09641087499378527</v>
      </c>
      <c r="Z1854" s="11">
        <v>0.013427344716322266</v>
      </c>
    </row>
    <row r="1855" ht="22.5" customHeight="1">
      <c r="Q1855" s="9" t="s">
        <v>1893</v>
      </c>
      <c r="R1855" s="10">
        <v>0.36953528110171874</v>
      </c>
      <c r="S1855" s="10">
        <v>0.01570997342671047</v>
      </c>
      <c r="T1855" s="10">
        <v>20.976183227747224</v>
      </c>
      <c r="U1855" s="11">
        <v>0.01504665498725892</v>
      </c>
      <c r="V1855" s="11">
        <v>0.12579902809863314</v>
      </c>
      <c r="W1855" s="11">
        <v>0.03303431716729253</v>
      </c>
      <c r="X1855" s="11">
        <v>0.31556718027638575</v>
      </c>
      <c r="Y1855" s="11">
        <v>0.18282828350896854</v>
      </c>
      <c r="Z1855" s="11">
        <v>0.3277245359614612</v>
      </c>
    </row>
    <row r="1856" ht="22.5" customHeight="1">
      <c r="Q1856" s="9" t="s">
        <v>1894</v>
      </c>
      <c r="R1856" s="10">
        <v>0.5415550624620595</v>
      </c>
      <c r="S1856" s="10">
        <v>0.023911050234425767</v>
      </c>
      <c r="T1856" s="10">
        <v>20.97586921296954</v>
      </c>
      <c r="U1856" s="11">
        <v>0.21807169048606984</v>
      </c>
      <c r="V1856" s="11">
        <v>0.11741380097422115</v>
      </c>
      <c r="W1856" s="11">
        <v>0.17589830372274448</v>
      </c>
      <c r="X1856" s="11">
        <v>0.18159251915705205</v>
      </c>
      <c r="Y1856" s="11">
        <v>0.17590058681185072</v>
      </c>
      <c r="Z1856" s="11">
        <v>0.1311230988480617</v>
      </c>
    </row>
    <row r="1857" ht="22.5" customHeight="1">
      <c r="Q1857" s="9" t="s">
        <v>1895</v>
      </c>
      <c r="R1857" s="10">
        <v>0.7508668356650403</v>
      </c>
      <c r="S1857" s="10">
        <v>0.03389014771179356</v>
      </c>
      <c r="T1857" s="10">
        <v>20.975619277624546</v>
      </c>
      <c r="U1857" s="11">
        <v>0.22984828279029645</v>
      </c>
      <c r="V1857" s="11">
        <v>0.21608922300397237</v>
      </c>
      <c r="W1857" s="11">
        <v>0.2272183641338296</v>
      </c>
      <c r="X1857" s="11">
        <v>0.25375942352243297</v>
      </c>
      <c r="Y1857" s="11">
        <v>0.0250811232273532</v>
      </c>
      <c r="Z1857" s="11">
        <v>0.04800358332211538</v>
      </c>
    </row>
    <row r="1858" ht="22.5" customHeight="1">
      <c r="Q1858" s="9" t="s">
        <v>1896</v>
      </c>
      <c r="R1858" s="10">
        <v>0.5847968471039434</v>
      </c>
      <c r="S1858" s="10">
        <v>0.025972956426082473</v>
      </c>
      <c r="T1858" s="10">
        <v>20.975542335906333</v>
      </c>
      <c r="U1858" s="11">
        <v>0.1937992525363692</v>
      </c>
      <c r="V1858" s="11">
        <v>0.21220111381126264</v>
      </c>
      <c r="W1858" s="11">
        <v>0.11519784258407018</v>
      </c>
      <c r="X1858" s="11">
        <v>0.22826868552592502</v>
      </c>
      <c r="Y1858" s="11">
        <v>0.013761312831707026</v>
      </c>
      <c r="Z1858" s="11">
        <v>0.2367717927106661</v>
      </c>
    </row>
    <row r="1859" ht="22.5" customHeight="1">
      <c r="Q1859" s="9" t="s">
        <v>1897</v>
      </c>
      <c r="R1859" s="10">
        <v>0.5036918938962989</v>
      </c>
      <c r="S1859" s="10">
        <v>0.02210649492765785</v>
      </c>
      <c r="T1859" s="10">
        <v>20.97536924843591</v>
      </c>
      <c r="U1859" s="11">
        <v>0.1119340888207949</v>
      </c>
      <c r="V1859" s="11">
        <v>0.13091382183177439</v>
      </c>
      <c r="W1859" s="11">
        <v>0.13842467718577206</v>
      </c>
      <c r="X1859" s="11">
        <v>0.09545590669860782</v>
      </c>
      <c r="Y1859" s="11">
        <v>0.349403337934743</v>
      </c>
      <c r="Z1859" s="11">
        <v>0.17386816752830794</v>
      </c>
    </row>
    <row r="1860" ht="22.5" customHeight="1">
      <c r="Q1860" s="9" t="s">
        <v>1898</v>
      </c>
      <c r="R1860" s="10">
        <v>0.31501037396458353</v>
      </c>
      <c r="S1860" s="10">
        <v>0.013111163668521407</v>
      </c>
      <c r="T1860" s="10">
        <v>20.975283423915755</v>
      </c>
      <c r="U1860" s="11">
        <v>0.30507813269461703</v>
      </c>
      <c r="V1860" s="11">
        <v>0.02921646451789927</v>
      </c>
      <c r="W1860" s="11">
        <v>0.07050042296303181</v>
      </c>
      <c r="X1860" s="11">
        <v>0.33266841231910577</v>
      </c>
      <c r="Y1860" s="11">
        <v>0.2608326886394807</v>
      </c>
      <c r="Z1860" s="11">
        <v>0.0017038788658653738</v>
      </c>
    </row>
    <row r="1861" ht="22.5" customHeight="1">
      <c r="Q1861" s="9" t="s">
        <v>1899</v>
      </c>
      <c r="R1861" s="10">
        <v>0.42181080728911624</v>
      </c>
      <c r="S1861" s="10">
        <v>0.018203188285181426</v>
      </c>
      <c r="T1861" s="10">
        <v>20.974941384303264</v>
      </c>
      <c r="U1861" s="11">
        <v>0.21469424733748593</v>
      </c>
      <c r="V1861" s="11">
        <v>0.1486722493239665</v>
      </c>
      <c r="W1861" s="11">
        <v>0.044044530392857134</v>
      </c>
      <c r="X1861" s="11">
        <v>0.24134759398478922</v>
      </c>
      <c r="Y1861" s="11">
        <v>0.21763670254295017</v>
      </c>
      <c r="Z1861" s="11">
        <v>0.133604676417951</v>
      </c>
    </row>
    <row r="1862" ht="22.5" customHeight="1">
      <c r="Q1862" s="9" t="s">
        <v>1900</v>
      </c>
      <c r="R1862" s="10">
        <v>0.45357000776695366</v>
      </c>
      <c r="S1862" s="10">
        <v>0.019717530716798964</v>
      </c>
      <c r="T1862" s="10">
        <v>20.974736325101794</v>
      </c>
      <c r="U1862" s="11">
        <v>0.18435582611004037</v>
      </c>
      <c r="V1862" s="11">
        <v>0.16640651605945161</v>
      </c>
      <c r="W1862" s="11">
        <v>0.05692482362916771</v>
      </c>
      <c r="X1862" s="11">
        <v>0.24441372708150333</v>
      </c>
      <c r="Y1862" s="11">
        <v>0.1238295558022832</v>
      </c>
      <c r="Z1862" s="11">
        <v>0.2240695513175538</v>
      </c>
    </row>
    <row r="1863" ht="22.5" customHeight="1">
      <c r="Q1863" s="9" t="s">
        <v>1901</v>
      </c>
      <c r="R1863" s="10">
        <v>0.6171110678989243</v>
      </c>
      <c r="S1863" s="10">
        <v>0.027514783052880944</v>
      </c>
      <c r="T1863" s="10">
        <v>20.974581801708872</v>
      </c>
      <c r="U1863" s="11">
        <v>0.13922968790617168</v>
      </c>
      <c r="V1863" s="11">
        <v>0.16327123836749002</v>
      </c>
      <c r="W1863" s="11">
        <v>0.19036610862066633</v>
      </c>
      <c r="X1863" s="11">
        <v>0.1619669052838051</v>
      </c>
      <c r="Y1863" s="11">
        <v>0.17517282062185738</v>
      </c>
      <c r="Z1863" s="11">
        <v>0.16999323920000947</v>
      </c>
    </row>
    <row r="1864" ht="22.5" customHeight="1">
      <c r="Q1864" s="9" t="s">
        <v>1902</v>
      </c>
      <c r="R1864" s="10">
        <v>0.6954585647621976</v>
      </c>
      <c r="S1864" s="10">
        <v>0.03125055859419757</v>
      </c>
      <c r="T1864" s="10">
        <v>20.9742991564925</v>
      </c>
      <c r="U1864" s="11">
        <v>0.1382708005034585</v>
      </c>
      <c r="V1864" s="11">
        <v>0.22227340339369897</v>
      </c>
      <c r="W1864" s="11">
        <v>0.18437038176024428</v>
      </c>
      <c r="X1864" s="11">
        <v>0.15351942577995747</v>
      </c>
      <c r="Y1864" s="11">
        <v>0.21534288797557294</v>
      </c>
      <c r="Z1864" s="11">
        <v>0.08622310058706789</v>
      </c>
    </row>
    <row r="1865" ht="22.5" customHeight="1">
      <c r="Q1865" s="9" t="s">
        <v>1903</v>
      </c>
      <c r="R1865" s="10">
        <v>0.6825185019847402</v>
      </c>
      <c r="S1865" s="10">
        <v>0.030633786881888215</v>
      </c>
      <c r="T1865" s="10">
        <v>20.974178101520316</v>
      </c>
      <c r="U1865" s="11">
        <v>0.15929522540217114</v>
      </c>
      <c r="V1865" s="11">
        <v>0.1940310038818522</v>
      </c>
      <c r="W1865" s="11">
        <v>0.2061649300525539</v>
      </c>
      <c r="X1865" s="11">
        <v>0.19632290211288062</v>
      </c>
      <c r="Y1865" s="11">
        <v>0.09865575701026921</v>
      </c>
      <c r="Z1865" s="11">
        <v>0.14553018154027292</v>
      </c>
    </row>
    <row r="1866" ht="22.5" customHeight="1">
      <c r="Q1866" s="9" t="s">
        <v>1904</v>
      </c>
      <c r="R1866" s="10">
        <v>0.3889553442909146</v>
      </c>
      <c r="S1866" s="10">
        <v>0.016637701102887884</v>
      </c>
      <c r="T1866" s="10">
        <v>20.973771684739834</v>
      </c>
      <c r="U1866" s="11">
        <v>0.19621815650395832</v>
      </c>
      <c r="V1866" s="11">
        <v>0.043278563503572426</v>
      </c>
      <c r="W1866" s="11">
        <v>0.11421953759355669</v>
      </c>
      <c r="X1866" s="11">
        <v>0.32556991769379784</v>
      </c>
      <c r="Y1866" s="11">
        <v>0.29962656472313626</v>
      </c>
      <c r="Z1866" s="11">
        <v>0.02108725998197854</v>
      </c>
    </row>
    <row r="1867" ht="22.5" customHeight="1">
      <c r="Q1867" s="9" t="s">
        <v>1905</v>
      </c>
      <c r="R1867" s="10">
        <v>0.6457381913038064</v>
      </c>
      <c r="S1867" s="10">
        <v>0.02888118457002653</v>
      </c>
      <c r="T1867" s="10">
        <v>20.973453835839322</v>
      </c>
      <c r="U1867" s="11">
        <v>0.20540193113945288</v>
      </c>
      <c r="V1867" s="11">
        <v>0.23369836190426674</v>
      </c>
      <c r="W1867" s="11">
        <v>0.12591621691554253</v>
      </c>
      <c r="X1867" s="11">
        <v>0.20339088488849227</v>
      </c>
      <c r="Y1867" s="11">
        <v>0.20893834105222503</v>
      </c>
      <c r="Z1867" s="11">
        <v>0.022654264100020645</v>
      </c>
    </row>
    <row r="1868" ht="22.5" customHeight="1">
      <c r="Q1868" s="9" t="s">
        <v>1906</v>
      </c>
      <c r="R1868" s="10">
        <v>0.5448664295617088</v>
      </c>
      <c r="S1868" s="10">
        <v>0.02407178953824107</v>
      </c>
      <c r="T1868" s="10">
        <v>20.97336505703761</v>
      </c>
      <c r="U1868" s="11">
        <v>0.16687000363363325</v>
      </c>
      <c r="V1868" s="11">
        <v>0.13855057086824513</v>
      </c>
      <c r="W1868" s="11">
        <v>0.167331850195702</v>
      </c>
      <c r="X1868" s="11">
        <v>0.1323367277567459</v>
      </c>
      <c r="Y1868" s="11">
        <v>0.15112296554496807</v>
      </c>
      <c r="Z1868" s="11">
        <v>0.24378788200070584</v>
      </c>
    </row>
    <row r="1869" ht="22.5" customHeight="1">
      <c r="Q1869" s="9" t="s">
        <v>1907</v>
      </c>
      <c r="R1869" s="10">
        <v>0.6272926533985147</v>
      </c>
      <c r="S1869" s="10">
        <v>0.02800230185818526</v>
      </c>
      <c r="T1869" s="10">
        <v>20.973013446280135</v>
      </c>
      <c r="U1869" s="11">
        <v>0.13540512429854173</v>
      </c>
      <c r="V1869" s="11">
        <v>0.15169479738017336</v>
      </c>
      <c r="W1869" s="11">
        <v>0.20196267967005224</v>
      </c>
      <c r="X1869" s="11">
        <v>0.2085360122652316</v>
      </c>
      <c r="Y1869" s="11">
        <v>0.20296868491462092</v>
      </c>
      <c r="Z1869" s="11">
        <v>0.09943270147138013</v>
      </c>
    </row>
    <row r="1870" ht="22.5" customHeight="1">
      <c r="Q1870" s="9" t="s">
        <v>1908</v>
      </c>
      <c r="R1870" s="10">
        <v>0.553091417409521</v>
      </c>
      <c r="S1870" s="10">
        <v>0.024465060516209777</v>
      </c>
      <c r="T1870" s="10">
        <v>20.9724156238879</v>
      </c>
      <c r="U1870" s="11">
        <v>0.3229308298113827</v>
      </c>
      <c r="V1870" s="11">
        <v>0.14374874113396888</v>
      </c>
      <c r="W1870" s="11">
        <v>0.16502470233246017</v>
      </c>
      <c r="X1870" s="11">
        <v>0.10758342794954318</v>
      </c>
      <c r="Y1870" s="11">
        <v>0.12019026739034284</v>
      </c>
      <c r="Z1870" s="11">
        <v>0.14052203138230213</v>
      </c>
    </row>
    <row r="1871" ht="22.5" customHeight="1">
      <c r="Q1871" s="9" t="s">
        <v>1909</v>
      </c>
      <c r="R1871" s="10">
        <v>0.5647557047854367</v>
      </c>
      <c r="S1871" s="10">
        <v>0.025021966458156967</v>
      </c>
      <c r="T1871" s="10">
        <v>20.97180114372547</v>
      </c>
      <c r="U1871" s="11">
        <v>0.2651009214448566</v>
      </c>
      <c r="V1871" s="11">
        <v>0.19949245654741787</v>
      </c>
      <c r="W1871" s="11">
        <v>0.11620058247173025</v>
      </c>
      <c r="X1871" s="11">
        <v>0.15892295616708568</v>
      </c>
      <c r="Y1871" s="11">
        <v>0.05437532535206474</v>
      </c>
      <c r="Z1871" s="11">
        <v>0.20590775801684488</v>
      </c>
    </row>
    <row r="1872" ht="22.5" customHeight="1">
      <c r="Q1872" s="9" t="s">
        <v>1910</v>
      </c>
      <c r="R1872" s="10">
        <v>0.5084909847285827</v>
      </c>
      <c r="S1872" s="10">
        <v>0.02233957640499057</v>
      </c>
      <c r="T1872" s="10">
        <v>20.971345930441355</v>
      </c>
      <c r="U1872" s="11">
        <v>0.29264385050949787</v>
      </c>
      <c r="V1872" s="11">
        <v>0.09357064370724238</v>
      </c>
      <c r="W1872" s="11">
        <v>0.17014079265465093</v>
      </c>
      <c r="X1872" s="11">
        <v>0.2600595092406317</v>
      </c>
      <c r="Y1872" s="11">
        <v>0.06517731655595246</v>
      </c>
      <c r="Z1872" s="11">
        <v>0.11840788733202474</v>
      </c>
    </row>
    <row r="1873" ht="22.5" customHeight="1">
      <c r="Q1873" s="9" t="s">
        <v>1911</v>
      </c>
      <c r="R1873" s="10">
        <v>0.612343053269742</v>
      </c>
      <c r="S1873" s="10">
        <v>0.027292230298759573</v>
      </c>
      <c r="T1873" s="10">
        <v>20.970915421879422</v>
      </c>
      <c r="U1873" s="11">
        <v>0.014378295709453084</v>
      </c>
      <c r="V1873" s="11">
        <v>0.15750470856662394</v>
      </c>
      <c r="W1873" s="11">
        <v>0.1939394704398734</v>
      </c>
      <c r="X1873" s="11">
        <v>0.2596388866315827</v>
      </c>
      <c r="Y1873" s="11">
        <v>0.07542454522102499</v>
      </c>
      <c r="Z1873" s="11">
        <v>0.299114093431442</v>
      </c>
    </row>
    <row r="1874" ht="22.5" customHeight="1">
      <c r="Q1874" s="9" t="s">
        <v>1912</v>
      </c>
      <c r="R1874" s="10">
        <v>0.6824983126741654</v>
      </c>
      <c r="S1874" s="10">
        <v>0.030637832929884843</v>
      </c>
      <c r="T1874" s="10">
        <v>20.970749274093006</v>
      </c>
      <c r="U1874" s="11">
        <v>0.23675914047485222</v>
      </c>
      <c r="V1874" s="11">
        <v>0.23892222437686353</v>
      </c>
      <c r="W1874" s="11">
        <v>0.1549918247234033</v>
      </c>
      <c r="X1874" s="11">
        <v>0.18258975608319386</v>
      </c>
      <c r="Y1874" s="11">
        <v>0.12137048850896609</v>
      </c>
      <c r="Z1874" s="11">
        <v>0.0653665658327209</v>
      </c>
    </row>
    <row r="1875" ht="22.5" customHeight="1">
      <c r="Q1875" s="9" t="s">
        <v>1913</v>
      </c>
      <c r="R1875" s="10">
        <v>0.6610231168312716</v>
      </c>
      <c r="S1875" s="10">
        <v>0.02961464617831103</v>
      </c>
      <c r="T1875" s="10">
        <v>20.970134611504903</v>
      </c>
      <c r="U1875" s="11">
        <v>0.06116164508201245</v>
      </c>
      <c r="V1875" s="11">
        <v>0.19188864424005306</v>
      </c>
      <c r="W1875" s="11">
        <v>0.19460677124229764</v>
      </c>
      <c r="X1875" s="11">
        <v>0.1786499220322116</v>
      </c>
      <c r="Y1875" s="11">
        <v>0.17614212506790922</v>
      </c>
      <c r="Z1875" s="11">
        <v>0.19755089233551604</v>
      </c>
    </row>
    <row r="1876" ht="22.5" customHeight="1">
      <c r="Q1876" s="9" t="s">
        <v>1914</v>
      </c>
      <c r="R1876" s="10">
        <v>0.42775824216720126</v>
      </c>
      <c r="S1876" s="10">
        <v>0.018491614233810894</v>
      </c>
      <c r="T1876" s="10">
        <v>20.969410093912018</v>
      </c>
      <c r="U1876" s="11">
        <v>0.25236160699563653</v>
      </c>
      <c r="V1876" s="11">
        <v>0.11032241468218185</v>
      </c>
      <c r="W1876" s="11">
        <v>0.11081468308212597</v>
      </c>
      <c r="X1876" s="11">
        <v>0.05473702214597012</v>
      </c>
      <c r="Y1876" s="11">
        <v>0.22807030883606239</v>
      </c>
      <c r="Z1876" s="11">
        <v>0.24369396425802317</v>
      </c>
    </row>
    <row r="1877" ht="22.5" customHeight="1">
      <c r="Q1877" s="9" t="s">
        <v>1915</v>
      </c>
      <c r="R1877" s="10">
        <v>0.4439701513268674</v>
      </c>
      <c r="S1877" s="10">
        <v>0.0192647631719508</v>
      </c>
      <c r="T1877" s="10">
        <v>20.969380610660284</v>
      </c>
      <c r="U1877" s="11">
        <v>0.3314413292963692</v>
      </c>
      <c r="V1877" s="11">
        <v>0.06843899611486746</v>
      </c>
      <c r="W1877" s="11">
        <v>0.1396858849936712</v>
      </c>
      <c r="X1877" s="11">
        <v>0.2246289955313826</v>
      </c>
      <c r="Y1877" s="11">
        <v>0.2283658471628799</v>
      </c>
      <c r="Z1877" s="11">
        <v>0.007438946900829782</v>
      </c>
    </row>
    <row r="1878" ht="22.5" customHeight="1">
      <c r="Q1878" s="9" t="s">
        <v>1916</v>
      </c>
      <c r="R1878" s="10">
        <v>0.6666085026458591</v>
      </c>
      <c r="S1878" s="10">
        <v>0.029882834977488455</v>
      </c>
      <c r="T1878" s="10">
        <v>20.968843923874697</v>
      </c>
      <c r="U1878" s="11">
        <v>0.11771118790656825</v>
      </c>
      <c r="V1878" s="11">
        <v>0.22262913735792259</v>
      </c>
      <c r="W1878" s="11">
        <v>0.16457552571228332</v>
      </c>
      <c r="X1878" s="11">
        <v>0.15017010110302753</v>
      </c>
      <c r="Y1878" s="11">
        <v>0.21180269863937384</v>
      </c>
      <c r="Z1878" s="11">
        <v>0.1331113492808245</v>
      </c>
    </row>
    <row r="1879" ht="22.5" customHeight="1">
      <c r="Q1879" s="9" t="s">
        <v>1917</v>
      </c>
      <c r="R1879" s="10">
        <v>0.5857721225403254</v>
      </c>
      <c r="S1879" s="10">
        <v>0.026028604565579642</v>
      </c>
      <c r="T1879" s="10">
        <v>20.96816681682802</v>
      </c>
      <c r="U1879" s="11">
        <v>0.23871947126955115</v>
      </c>
      <c r="V1879" s="11">
        <v>0.13336278304827417</v>
      </c>
      <c r="W1879" s="11">
        <v>0.19222610266115212</v>
      </c>
      <c r="X1879" s="11">
        <v>0.2146860635536845</v>
      </c>
      <c r="Y1879" s="11">
        <v>0.09323099156177196</v>
      </c>
      <c r="Z1879" s="11">
        <v>0.12777458790556617</v>
      </c>
    </row>
    <row r="1880" ht="22.5" customHeight="1">
      <c r="Q1880" s="9" t="s">
        <v>1918</v>
      </c>
      <c r="R1880" s="10">
        <v>0.5725096828866323</v>
      </c>
      <c r="S1880" s="10">
        <v>0.02539618901320989</v>
      </c>
      <c r="T1880" s="10">
        <v>20.96809417387963</v>
      </c>
      <c r="U1880" s="11">
        <v>0.03644362099546146</v>
      </c>
      <c r="V1880" s="11">
        <v>0.19081119462852847</v>
      </c>
      <c r="W1880" s="11">
        <v>0.1309514840094577</v>
      </c>
      <c r="X1880" s="11">
        <v>0.12625049359689844</v>
      </c>
      <c r="Y1880" s="11">
        <v>0.2847428039492911</v>
      </c>
      <c r="Z1880" s="11">
        <v>0.23080040282036277</v>
      </c>
    </row>
    <row r="1881" ht="22.5" customHeight="1">
      <c r="Q1881" s="9" t="s">
        <v>1919</v>
      </c>
      <c r="R1881" s="10">
        <v>0.6110266088031534</v>
      </c>
      <c r="S1881" s="10">
        <v>0.027233730691319694</v>
      </c>
      <c r="T1881" s="10">
        <v>20.967623395980734</v>
      </c>
      <c r="U1881" s="11">
        <v>0.10965362117358123</v>
      </c>
      <c r="V1881" s="11">
        <v>0.19696445743662339</v>
      </c>
      <c r="W1881" s="11">
        <v>0.1561122066406091</v>
      </c>
      <c r="X1881" s="11">
        <v>0.11800976506481459</v>
      </c>
      <c r="Y1881" s="11">
        <v>0.20098949849614572</v>
      </c>
      <c r="Z1881" s="11">
        <v>0.21827045118822602</v>
      </c>
    </row>
    <row r="1882" ht="22.5" customHeight="1">
      <c r="Q1882" s="9" t="s">
        <v>1920</v>
      </c>
      <c r="R1882" s="10">
        <v>0.4303980542183876</v>
      </c>
      <c r="S1882" s="10">
        <v>0.01861926779878583</v>
      </c>
      <c r="T1882" s="10">
        <v>20.967422480697422</v>
      </c>
      <c r="U1882" s="11">
        <v>0.21709601071864357</v>
      </c>
      <c r="V1882" s="11">
        <v>0.11485179456068151</v>
      </c>
      <c r="W1882" s="11">
        <v>0.1109994648844804</v>
      </c>
      <c r="X1882" s="11">
        <v>0.05472014504055873</v>
      </c>
      <c r="Y1882" s="11">
        <v>0.21337139929266508</v>
      </c>
      <c r="Z1882" s="11">
        <v>0.2889611855029707</v>
      </c>
    </row>
    <row r="1883" ht="22.5" customHeight="1">
      <c r="Q1883" s="9" t="s">
        <v>1921</v>
      </c>
      <c r="R1883" s="10">
        <v>0.5003593287098353</v>
      </c>
      <c r="S1883" s="10">
        <v>0.02195601731259309</v>
      </c>
      <c r="T1883" s="10">
        <v>20.967342216741272</v>
      </c>
      <c r="U1883" s="11">
        <v>0.03005444047493752</v>
      </c>
      <c r="V1883" s="11">
        <v>0.18161489259006505</v>
      </c>
      <c r="W1883" s="11">
        <v>0.07892563734026092</v>
      </c>
      <c r="X1883" s="11">
        <v>0.21290723526273653</v>
      </c>
      <c r="Y1883" s="11">
        <v>0.2479824641544442</v>
      </c>
      <c r="Z1883" s="11">
        <v>0.24851533017755584</v>
      </c>
    </row>
    <row r="1884" ht="22.5" customHeight="1">
      <c r="Q1884" s="9" t="s">
        <v>1922</v>
      </c>
      <c r="R1884" s="10">
        <v>0.707412777280837</v>
      </c>
      <c r="S1884" s="10">
        <v>0.031832025180884245</v>
      </c>
      <c r="T1884" s="10">
        <v>20.96670800831206</v>
      </c>
      <c r="U1884" s="11">
        <v>0.1557828449689408</v>
      </c>
      <c r="V1884" s="11">
        <v>0.20937271718953535</v>
      </c>
      <c r="W1884" s="11">
        <v>0.20430146229646365</v>
      </c>
      <c r="X1884" s="11">
        <v>0.1645681665147612</v>
      </c>
      <c r="Y1884" s="11">
        <v>0.2151368132133558</v>
      </c>
      <c r="Z1884" s="11">
        <v>0.05083799581694326</v>
      </c>
    </row>
    <row r="1885" ht="22.5" customHeight="1">
      <c r="Q1885" s="9" t="s">
        <v>1923</v>
      </c>
      <c r="R1885" s="10">
        <v>0.6954957431065072</v>
      </c>
      <c r="S1885" s="10">
        <v>0.03126389210680842</v>
      </c>
      <c r="T1885" s="10">
        <v>20.966543156786233</v>
      </c>
      <c r="U1885" s="11">
        <v>0.07802926877442888</v>
      </c>
      <c r="V1885" s="11">
        <v>0.24222553532902216</v>
      </c>
      <c r="W1885" s="11">
        <v>0.16416461824194287</v>
      </c>
      <c r="X1885" s="11">
        <v>0.21530254227783172</v>
      </c>
      <c r="Y1885" s="11">
        <v>0.13755605093408993</v>
      </c>
      <c r="Z1885" s="11">
        <v>0.16272198444268446</v>
      </c>
    </row>
    <row r="1886" ht="22.5" customHeight="1">
      <c r="Q1886" s="9" t="s">
        <v>1924</v>
      </c>
      <c r="R1886" s="10">
        <v>0.5825815421023844</v>
      </c>
      <c r="S1886" s="10">
        <v>0.025879074677444595</v>
      </c>
      <c r="T1886" s="10">
        <v>20.9660333248036</v>
      </c>
      <c r="U1886" s="11">
        <v>0.043114641261557986</v>
      </c>
      <c r="V1886" s="11">
        <v>0.11961832447824332</v>
      </c>
      <c r="W1886" s="11">
        <v>0.18781563456862657</v>
      </c>
      <c r="X1886" s="11">
        <v>0.2766423106626383</v>
      </c>
      <c r="Y1886" s="11">
        <v>0.35049873865147674</v>
      </c>
      <c r="Z1886" s="11">
        <v>0.02231035037745704</v>
      </c>
    </row>
    <row r="1887" ht="22.5" customHeight="1">
      <c r="Q1887" s="9" t="s">
        <v>1925</v>
      </c>
      <c r="R1887" s="10">
        <v>0.6844476210535793</v>
      </c>
      <c r="S1887" s="10">
        <v>0.03073771199207829</v>
      </c>
      <c r="T1887" s="10">
        <v>20.966024446441104</v>
      </c>
      <c r="U1887" s="11">
        <v>0.1278347506954131</v>
      </c>
      <c r="V1887" s="11">
        <v>0.24220161584979746</v>
      </c>
      <c r="W1887" s="11">
        <v>0.15237708660537863</v>
      </c>
      <c r="X1887" s="11">
        <v>0.20033586277386592</v>
      </c>
      <c r="Y1887" s="11">
        <v>0.1781270085139308</v>
      </c>
      <c r="Z1887" s="11">
        <v>0.09912367556161394</v>
      </c>
    </row>
    <row r="1888" ht="22.5" customHeight="1">
      <c r="Q1888" s="9" t="s">
        <v>1926</v>
      </c>
      <c r="R1888" s="10">
        <v>0.712424730343511</v>
      </c>
      <c r="S1888" s="10">
        <v>0.032072836192856065</v>
      </c>
      <c r="T1888" s="10">
        <v>20.965552478744847</v>
      </c>
      <c r="U1888" s="11">
        <v>0.14468452785572272</v>
      </c>
      <c r="V1888" s="11">
        <v>0.19997860738853906</v>
      </c>
      <c r="W1888" s="11">
        <v>0.21857419780969467</v>
      </c>
      <c r="X1888" s="11">
        <v>0.22314522353267413</v>
      </c>
      <c r="Y1888" s="11">
        <v>0.10657289692902372</v>
      </c>
      <c r="Z1888" s="11">
        <v>0.1070445464843456</v>
      </c>
    </row>
    <row r="1889" ht="22.5" customHeight="1">
      <c r="Q1889" s="9" t="s">
        <v>1927</v>
      </c>
      <c r="R1889" s="10">
        <v>0.6346785313897363</v>
      </c>
      <c r="S1889" s="10">
        <v>0.028364591127004322</v>
      </c>
      <c r="T1889" s="10">
        <v>20.965524541743754</v>
      </c>
      <c r="U1889" s="11">
        <v>0.07364117241176554</v>
      </c>
      <c r="V1889" s="11">
        <v>0.21073786529523716</v>
      </c>
      <c r="W1889" s="11">
        <v>0.15814737980678759</v>
      </c>
      <c r="X1889" s="11">
        <v>0.14729541088273457</v>
      </c>
      <c r="Y1889" s="11">
        <v>0.18688502673953872</v>
      </c>
      <c r="Z1889" s="11">
        <v>0.22329314486393645</v>
      </c>
    </row>
    <row r="1890" ht="22.5" customHeight="1">
      <c r="Q1890" s="9" t="s">
        <v>1928</v>
      </c>
      <c r="R1890" s="10">
        <v>0.5163079512780687</v>
      </c>
      <c r="S1890" s="10">
        <v>0.022718933954457916</v>
      </c>
      <c r="T1890" s="10">
        <v>20.965242129444523</v>
      </c>
      <c r="U1890" s="11">
        <v>0.23603947779607526</v>
      </c>
      <c r="V1890" s="11">
        <v>0.18968679128132215</v>
      </c>
      <c r="W1890" s="11">
        <v>0.07750899110746348</v>
      </c>
      <c r="X1890" s="11">
        <v>0.20791318042797555</v>
      </c>
      <c r="Y1890" s="11">
        <v>0.16823683625271577</v>
      </c>
      <c r="Z1890" s="11">
        <v>0.12061472313444793</v>
      </c>
    </row>
    <row r="1891" ht="22.5" customHeight="1">
      <c r="Q1891" s="9" t="s">
        <v>1929</v>
      </c>
      <c r="R1891" s="10">
        <v>0.48902043397984185</v>
      </c>
      <c r="S1891" s="10">
        <v>0.021417457378881274</v>
      </c>
      <c r="T1891" s="10">
        <v>20.965160618113302</v>
      </c>
      <c r="U1891" s="11">
        <v>0.16886909084548654</v>
      </c>
      <c r="V1891" s="11">
        <v>0.17757653414129435</v>
      </c>
      <c r="W1891" s="11">
        <v>0.0786882305901684</v>
      </c>
      <c r="X1891" s="11">
        <v>0.17286925017021396</v>
      </c>
      <c r="Y1891" s="11">
        <v>0.16513463845277643</v>
      </c>
      <c r="Z1891" s="11">
        <v>0.23686225580006043</v>
      </c>
    </row>
    <row r="1892" ht="22.5" customHeight="1">
      <c r="Q1892" s="9" t="s">
        <v>1930</v>
      </c>
      <c r="R1892" s="10">
        <v>0.5281559284723321</v>
      </c>
      <c r="S1892" s="10">
        <v>0.023284382111251944</v>
      </c>
      <c r="T1892" s="10">
        <v>20.964950933202374</v>
      </c>
      <c r="U1892" s="11">
        <v>0.1980774688527482</v>
      </c>
      <c r="V1892" s="11">
        <v>0.17761398158249744</v>
      </c>
      <c r="W1892" s="11">
        <v>0.10913989455937018</v>
      </c>
      <c r="X1892" s="11">
        <v>0.09252120946867509</v>
      </c>
      <c r="Y1892" s="11">
        <v>0.26733781235350274</v>
      </c>
      <c r="Z1892" s="11">
        <v>0.15530963318320634</v>
      </c>
    </row>
    <row r="1893" ht="22.5" customHeight="1">
      <c r="Q1893" s="9" t="s">
        <v>1931</v>
      </c>
      <c r="R1893" s="10">
        <v>0.6586664794811254</v>
      </c>
      <c r="S1893" s="10">
        <v>0.0295102547205265</v>
      </c>
      <c r="T1893" s="10">
        <v>20.964457451829396</v>
      </c>
      <c r="U1893" s="11">
        <v>0.18143484029677898</v>
      </c>
      <c r="V1893" s="11">
        <v>0.21300142363094926</v>
      </c>
      <c r="W1893" s="11">
        <v>0.1746930329872216</v>
      </c>
      <c r="X1893" s="11">
        <v>0.1787418382687756</v>
      </c>
      <c r="Y1893" s="11">
        <v>0.03229316414286333</v>
      </c>
      <c r="Z1893" s="11">
        <v>0.21983570067341127</v>
      </c>
    </row>
    <row r="1894" ht="22.5" customHeight="1">
      <c r="Q1894" s="9" t="s">
        <v>1932</v>
      </c>
      <c r="R1894" s="10">
        <v>0.6453795167969756</v>
      </c>
      <c r="S1894" s="10">
        <v>0.028876606935610487</v>
      </c>
      <c r="T1894" s="10">
        <v>20.96435769433924</v>
      </c>
      <c r="U1894" s="11">
        <v>0.13467586731299197</v>
      </c>
      <c r="V1894" s="11">
        <v>0.23299845613245718</v>
      </c>
      <c r="W1894" s="11">
        <v>0.13444481998025115</v>
      </c>
      <c r="X1894" s="11">
        <v>0.20535043437184136</v>
      </c>
      <c r="Y1894" s="11">
        <v>0.14780322716230282</v>
      </c>
      <c r="Z1894" s="11">
        <v>0.14472719504015558</v>
      </c>
    </row>
    <row r="1895" ht="22.5" customHeight="1">
      <c r="Q1895" s="9" t="s">
        <v>1933</v>
      </c>
      <c r="R1895" s="10">
        <v>0.5413310008379179</v>
      </c>
      <c r="S1895" s="10">
        <v>0.023913556386486103</v>
      </c>
      <c r="T1895" s="10">
        <v>20.964301283151144</v>
      </c>
      <c r="U1895" s="11">
        <v>0.17034910915266954</v>
      </c>
      <c r="V1895" s="11">
        <v>0.1795741426354733</v>
      </c>
      <c r="W1895" s="11">
        <v>0.12125372762026716</v>
      </c>
      <c r="X1895" s="11">
        <v>0.08642998008240081</v>
      </c>
      <c r="Y1895" s="11">
        <v>0.23800528795682255</v>
      </c>
      <c r="Z1895" s="11">
        <v>0.20438775255236655</v>
      </c>
    </row>
    <row r="1896" ht="22.5" customHeight="1">
      <c r="Q1896" s="9" t="s">
        <v>1934</v>
      </c>
      <c r="R1896" s="10">
        <v>0.48256935233716997</v>
      </c>
      <c r="S1896" s="10">
        <v>0.02111099912161304</v>
      </c>
      <c r="T1896" s="10">
        <v>20.963922635195217</v>
      </c>
      <c r="U1896" s="11">
        <v>0.18809180301290435</v>
      </c>
      <c r="V1896" s="11">
        <v>0.17568184817844956</v>
      </c>
      <c r="W1896" s="11">
        <v>0.0700764757415341</v>
      </c>
      <c r="X1896" s="11">
        <v>0.19269899263118398</v>
      </c>
      <c r="Y1896" s="11">
        <v>0.19455653233510756</v>
      </c>
      <c r="Z1896" s="11">
        <v>0.17889434810082036</v>
      </c>
    </row>
    <row r="1897" ht="22.5" customHeight="1">
      <c r="Q1897" s="9" t="s">
        <v>1935</v>
      </c>
      <c r="R1897" s="10">
        <v>0.7238277047456845</v>
      </c>
      <c r="S1897" s="10">
        <v>0.0326193571587197</v>
      </c>
      <c r="T1897" s="10">
        <v>20.963862084047413</v>
      </c>
      <c r="U1897" s="11">
        <v>0.1346315083988016</v>
      </c>
      <c r="V1897" s="11">
        <v>0.25434461698187444</v>
      </c>
      <c r="W1897" s="11">
        <v>0.17020785489105025</v>
      </c>
      <c r="X1897" s="11">
        <v>0.282062886435231</v>
      </c>
      <c r="Y1897" s="11">
        <v>0.0023273037505311717</v>
      </c>
      <c r="Z1897" s="11">
        <v>0.1564258295425115</v>
      </c>
    </row>
    <row r="1898" ht="22.5" customHeight="1">
      <c r="Q1898" s="9" t="s">
        <v>1936</v>
      </c>
      <c r="R1898" s="10">
        <v>0.6382080325329567</v>
      </c>
      <c r="S1898" s="10">
        <v>0.028535255258814844</v>
      </c>
      <c r="T1898" s="10">
        <v>20.96382272060327</v>
      </c>
      <c r="U1898" s="11">
        <v>0.19368686633029472</v>
      </c>
      <c r="V1898" s="11">
        <v>0.14380541061509367</v>
      </c>
      <c r="W1898" s="11">
        <v>0.2129232201591904</v>
      </c>
      <c r="X1898" s="11">
        <v>0.26910656346171336</v>
      </c>
      <c r="Y1898" s="11">
        <v>0.12230678332384484</v>
      </c>
      <c r="Z1898" s="11">
        <v>0.05817115610986309</v>
      </c>
    </row>
    <row r="1899" ht="22.5" customHeight="1">
      <c r="Q1899" s="9" t="s">
        <v>1937</v>
      </c>
      <c r="R1899" s="10">
        <v>0.5720094572888064</v>
      </c>
      <c r="S1899" s="10">
        <v>0.025377944351074943</v>
      </c>
      <c r="T1899" s="10">
        <v>20.963457478236286</v>
      </c>
      <c r="U1899" s="11">
        <v>0.21854116712328675</v>
      </c>
      <c r="V1899" s="11">
        <v>0.12019761830979594</v>
      </c>
      <c r="W1899" s="11">
        <v>0.187735870179405</v>
      </c>
      <c r="X1899" s="11">
        <v>0.21130802484731478</v>
      </c>
      <c r="Y1899" s="11">
        <v>0.2260202799777948</v>
      </c>
      <c r="Z1899" s="11">
        <v>0.03619703956240272</v>
      </c>
    </row>
    <row r="1900" ht="22.5" customHeight="1">
      <c r="Q1900" s="9" t="s">
        <v>1938</v>
      </c>
      <c r="R1900" s="10">
        <v>0.7556042962771232</v>
      </c>
      <c r="S1900" s="10">
        <v>0.03413634129273468</v>
      </c>
      <c r="T1900" s="10">
        <v>20.963122267277864</v>
      </c>
      <c r="U1900" s="11">
        <v>0.062187985137805435</v>
      </c>
      <c r="V1900" s="11">
        <v>0.2256570884317868</v>
      </c>
      <c r="W1900" s="11">
        <v>0.21991857873716258</v>
      </c>
      <c r="X1900" s="11">
        <v>0.22275294396414116</v>
      </c>
      <c r="Y1900" s="11">
        <v>0.21633019848115753</v>
      </c>
      <c r="Z1900" s="11">
        <v>0.053153205247946436</v>
      </c>
    </row>
    <row r="1901" ht="22.5" customHeight="1">
      <c r="Q1901" s="9" t="s">
        <v>1939</v>
      </c>
      <c r="R1901" s="10">
        <v>0.3260426921124377</v>
      </c>
      <c r="S1901" s="10">
        <v>0.013645228914142115</v>
      </c>
      <c r="T1901" s="10">
        <v>20.962835721720936</v>
      </c>
      <c r="U1901" s="11">
        <v>0.3424280376223688</v>
      </c>
      <c r="V1901" s="11">
        <v>0.06072961278900702</v>
      </c>
      <c r="W1901" s="11">
        <v>0.0806622697906089</v>
      </c>
      <c r="X1901" s="11">
        <v>0.1299695566100337</v>
      </c>
      <c r="Y1901" s="11">
        <v>0.12359424201058296</v>
      </c>
      <c r="Z1901" s="11">
        <v>0.26261628117739866</v>
      </c>
    </row>
    <row r="1902" ht="22.5" customHeight="1">
      <c r="Q1902" s="9" t="s">
        <v>1940</v>
      </c>
      <c r="R1902" s="10">
        <v>0.5494796379699186</v>
      </c>
      <c r="S1902" s="10">
        <v>0.02430454725956964</v>
      </c>
      <c r="T1902" s="10">
        <v>20.962317566698008</v>
      </c>
      <c r="U1902" s="11">
        <v>0.1561541681625867</v>
      </c>
      <c r="V1902" s="11">
        <v>0.10702425174040325</v>
      </c>
      <c r="W1902" s="11">
        <v>0.184804854742671</v>
      </c>
      <c r="X1902" s="11">
        <v>0.2620243534597106</v>
      </c>
      <c r="Y1902" s="11">
        <v>0.18201391977128115</v>
      </c>
      <c r="Z1902" s="11">
        <v>0.10797845212334724</v>
      </c>
    </row>
    <row r="1903" ht="22.5" customHeight="1">
      <c r="Q1903" s="9" t="s">
        <v>1941</v>
      </c>
      <c r="R1903" s="10">
        <v>0.5894064815207364</v>
      </c>
      <c r="S1903" s="10">
        <v>0.02620926927322642</v>
      </c>
      <c r="T1903" s="10">
        <v>20.962296803977363</v>
      </c>
      <c r="U1903" s="11">
        <v>0.14786889318426497</v>
      </c>
      <c r="V1903" s="11">
        <v>0.14357752425136033</v>
      </c>
      <c r="W1903" s="11">
        <v>0.1882201803233336</v>
      </c>
      <c r="X1903" s="11">
        <v>0.17806119166233741</v>
      </c>
      <c r="Y1903" s="11">
        <v>0.17236598706032905</v>
      </c>
      <c r="Z1903" s="11">
        <v>0.16990622351837475</v>
      </c>
    </row>
    <row r="1904" ht="22.5" customHeight="1">
      <c r="Q1904" s="9" t="s">
        <v>1942</v>
      </c>
      <c r="R1904" s="10">
        <v>0.6953201819899546</v>
      </c>
      <c r="S1904" s="10">
        <v>0.03126220204104536</v>
      </c>
      <c r="T1904" s="10">
        <v>20.96206086601191</v>
      </c>
      <c r="U1904" s="11">
        <v>0.09186311459424688</v>
      </c>
      <c r="V1904" s="11">
        <v>0.205613826144032</v>
      </c>
      <c r="W1904" s="11">
        <v>0.20499274281225907</v>
      </c>
      <c r="X1904" s="11">
        <v>0.2060678442173246</v>
      </c>
      <c r="Y1904" s="11">
        <v>0.10963155032034946</v>
      </c>
      <c r="Z1904" s="11">
        <v>0.1818309219117879</v>
      </c>
    </row>
    <row r="1905" ht="22.5" customHeight="1">
      <c r="Q1905" s="9" t="s">
        <v>1943</v>
      </c>
      <c r="R1905" s="10">
        <v>0.7363037818585657</v>
      </c>
      <c r="S1905" s="10">
        <v>0.03321773447854175</v>
      </c>
      <c r="T1905" s="10">
        <v>20.96180828672616</v>
      </c>
      <c r="U1905" s="11">
        <v>0.1093794586101871</v>
      </c>
      <c r="V1905" s="11">
        <v>0.25953990832219664</v>
      </c>
      <c r="W1905" s="11">
        <v>0.17274540239871056</v>
      </c>
      <c r="X1905" s="11">
        <v>0.28163932578087675</v>
      </c>
      <c r="Y1905" s="11">
        <v>0.03819068632724149</v>
      </c>
      <c r="Z1905" s="11">
        <v>0.13850521856078749</v>
      </c>
    </row>
    <row r="1906" ht="22.5" customHeight="1">
      <c r="Q1906" s="9" t="s">
        <v>1944</v>
      </c>
      <c r="R1906" s="10">
        <v>0.6832714272987086</v>
      </c>
      <c r="S1906" s="10">
        <v>0.030687907843092038</v>
      </c>
      <c r="T1906" s="10">
        <v>20.96172311868798</v>
      </c>
      <c r="U1906" s="11">
        <v>0.15606461316571998</v>
      </c>
      <c r="V1906" s="11">
        <v>0.20978086614956915</v>
      </c>
      <c r="W1906" s="11">
        <v>0.19433599835209084</v>
      </c>
      <c r="X1906" s="11">
        <v>0.1961815625921355</v>
      </c>
      <c r="Y1906" s="11">
        <v>0.044648266161604354</v>
      </c>
      <c r="Z1906" s="11">
        <v>0.1989886935788802</v>
      </c>
    </row>
    <row r="1907" ht="22.5" customHeight="1">
      <c r="Q1907" s="9" t="s">
        <v>1945</v>
      </c>
      <c r="R1907" s="10">
        <v>0.6428633819077361</v>
      </c>
      <c r="S1907" s="10">
        <v>0.02876059181951541</v>
      </c>
      <c r="T1907" s="10">
        <v>20.961438682866916</v>
      </c>
      <c r="U1907" s="11">
        <v>0.10744320186995879</v>
      </c>
      <c r="V1907" s="11">
        <v>0.17050584118939457</v>
      </c>
      <c r="W1907" s="11">
        <v>0.20244055364951308</v>
      </c>
      <c r="X1907" s="11">
        <v>0.25949728930329385</v>
      </c>
      <c r="Y1907" s="11">
        <v>0.011078712513977277</v>
      </c>
      <c r="Z1907" s="11">
        <v>0.24903440147386235</v>
      </c>
    </row>
    <row r="1908" ht="22.5" customHeight="1">
      <c r="Q1908" s="9" t="s">
        <v>1946</v>
      </c>
      <c r="R1908" s="10">
        <v>0.29425915780817036</v>
      </c>
      <c r="S1908" s="10">
        <v>0.012130049048954546</v>
      </c>
      <c r="T1908" s="10">
        <v>20.96109890257074</v>
      </c>
      <c r="U1908" s="11">
        <v>0.27488013900890246</v>
      </c>
      <c r="V1908" s="11">
        <v>0.023705311781428276</v>
      </c>
      <c r="W1908" s="11">
        <v>0.06729254399236155</v>
      </c>
      <c r="X1908" s="11">
        <v>0.3389204408958945</v>
      </c>
      <c r="Y1908" s="11">
        <v>0.185939869922358</v>
      </c>
      <c r="Z1908" s="11">
        <v>0.1092616943990551</v>
      </c>
    </row>
    <row r="1909" ht="22.5" customHeight="1">
      <c r="Q1909" s="9" t="s">
        <v>1947</v>
      </c>
      <c r="R1909" s="10">
        <v>0.4265530138367797</v>
      </c>
      <c r="S1909" s="10">
        <v>0.018442095673962763</v>
      </c>
      <c r="T1909" s="10">
        <v>20.96036267627272</v>
      </c>
      <c r="U1909" s="11">
        <v>0.1444134270244411</v>
      </c>
      <c r="V1909" s="11">
        <v>0.10365887426737197</v>
      </c>
      <c r="W1909" s="11">
        <v>0.1165739992219156</v>
      </c>
      <c r="X1909" s="11">
        <v>0.07850311734668046</v>
      </c>
      <c r="Y1909" s="11">
        <v>0.26955495492110076</v>
      </c>
      <c r="Z1909" s="11">
        <v>0.28729562721849017</v>
      </c>
    </row>
    <row r="1910" ht="22.5" customHeight="1">
      <c r="Q1910" s="9" t="s">
        <v>1948</v>
      </c>
      <c r="R1910" s="10">
        <v>0.6923927811230479</v>
      </c>
      <c r="S1910" s="10">
        <v>0.03112544473107385</v>
      </c>
      <c r="T1910" s="10">
        <v>20.960111148925577</v>
      </c>
      <c r="U1910" s="11">
        <v>0.18216182656512206</v>
      </c>
      <c r="V1910" s="11">
        <v>0.19307326858132814</v>
      </c>
      <c r="W1910" s="11">
        <v>0.207690624000358</v>
      </c>
      <c r="X1910" s="11">
        <v>0.16434754809953842</v>
      </c>
      <c r="Y1910" s="11">
        <v>0.23227277431099122</v>
      </c>
      <c r="Z1910" s="11">
        <v>0.0204539584426621</v>
      </c>
    </row>
    <row r="1911" ht="22.5" customHeight="1">
      <c r="Q1911" s="9" t="s">
        <v>1949</v>
      </c>
      <c r="R1911" s="10">
        <v>0.6683963250369057</v>
      </c>
      <c r="S1911" s="10">
        <v>0.02998073035319736</v>
      </c>
      <c r="T1911" s="10">
        <v>20.960007232441853</v>
      </c>
      <c r="U1911" s="11">
        <v>0.22664968150424045</v>
      </c>
      <c r="V1911" s="11">
        <v>0.22830041446807112</v>
      </c>
      <c r="W1911" s="11">
        <v>0.15442529965736185</v>
      </c>
      <c r="X1911" s="11">
        <v>0.14187455507827645</v>
      </c>
      <c r="Y1911" s="11">
        <v>0.22139234465245794</v>
      </c>
      <c r="Z1911" s="11">
        <v>0.0273577046395922</v>
      </c>
    </row>
    <row r="1912" ht="22.5" customHeight="1">
      <c r="Q1912" s="9" t="s">
        <v>1950</v>
      </c>
      <c r="R1912" s="10">
        <v>0.6559324257964605</v>
      </c>
      <c r="S1912" s="10">
        <v>0.029386487032803454</v>
      </c>
      <c r="T1912" s="10">
        <v>20.959716114039402</v>
      </c>
      <c r="U1912" s="11">
        <v>0.0031907328477417986</v>
      </c>
      <c r="V1912" s="11">
        <v>0.2054180031530519</v>
      </c>
      <c r="W1912" s="11">
        <v>0.1752154313185894</v>
      </c>
      <c r="X1912" s="11">
        <v>0.15989039975302505</v>
      </c>
      <c r="Y1912" s="11">
        <v>0.27310857912958647</v>
      </c>
      <c r="Z1912" s="11">
        <v>0.18317685379800544</v>
      </c>
    </row>
    <row r="1913" ht="22.5" customHeight="1">
      <c r="Q1913" s="9" t="s">
        <v>1951</v>
      </c>
      <c r="R1913" s="10">
        <v>0.6860949877183143</v>
      </c>
      <c r="S1913" s="10">
        <v>0.030826727610831054</v>
      </c>
      <c r="T1913" s="10">
        <v>20.958922266251417</v>
      </c>
      <c r="U1913" s="11">
        <v>0.2507967224867187</v>
      </c>
      <c r="V1913" s="11">
        <v>0.16408660166076333</v>
      </c>
      <c r="W1913" s="11">
        <v>0.22659176497617503</v>
      </c>
      <c r="X1913" s="11">
        <v>0.2920724108306158</v>
      </c>
      <c r="Y1913" s="11">
        <v>0.04218693208271533</v>
      </c>
      <c r="Z1913" s="11">
        <v>0.024265567963011866</v>
      </c>
    </row>
    <row r="1914" ht="22.5" customHeight="1">
      <c r="Q1914" s="9" t="s">
        <v>1952</v>
      </c>
      <c r="R1914" s="10">
        <v>0.33171069129777037</v>
      </c>
      <c r="S1914" s="10">
        <v>0.013918485445696243</v>
      </c>
      <c r="T1914" s="10">
        <v>20.958508196591943</v>
      </c>
      <c r="U1914" s="11">
        <v>0.32743906847733895</v>
      </c>
      <c r="V1914" s="11">
        <v>0.03738257904118596</v>
      </c>
      <c r="W1914" s="11">
        <v>0.08421273244972642</v>
      </c>
      <c r="X1914" s="11">
        <v>0.2533799241867754</v>
      </c>
      <c r="Y1914" s="11">
        <v>0.25262043776319204</v>
      </c>
      <c r="Z1914" s="11">
        <v>0.04496525808178133</v>
      </c>
    </row>
    <row r="1915" ht="22.5" customHeight="1">
      <c r="Q1915" s="9" t="s">
        <v>1953</v>
      </c>
      <c r="R1915" s="10">
        <v>0.6547622540690553</v>
      </c>
      <c r="S1915" s="10">
        <v>0.029332784044364447</v>
      </c>
      <c r="T1915" s="10">
        <v>20.95819657415595</v>
      </c>
      <c r="U1915" s="11">
        <v>0.018420367135405697</v>
      </c>
      <c r="V1915" s="11">
        <v>0.22646705600427963</v>
      </c>
      <c r="W1915" s="11">
        <v>0.15129761736434888</v>
      </c>
      <c r="X1915" s="11">
        <v>0.18671034454175242</v>
      </c>
      <c r="Y1915" s="11">
        <v>0.22596688237904847</v>
      </c>
      <c r="Z1915" s="11">
        <v>0.1911377325751648</v>
      </c>
    </row>
    <row r="1916" ht="22.5" customHeight="1">
      <c r="Q1916" s="9" t="s">
        <v>1954</v>
      </c>
      <c r="R1916" s="10">
        <v>0.522331348251574</v>
      </c>
      <c r="S1916" s="10">
        <v>0.026020072595674217</v>
      </c>
      <c r="T1916" s="10">
        <v>20.957883810544374</v>
      </c>
      <c r="U1916" s="11">
        <v>0.2929510206767649</v>
      </c>
      <c r="V1916" s="11">
        <v>0.17439800534218836</v>
      </c>
      <c r="W1916" s="11">
        <v>0.15020254770744085</v>
      </c>
      <c r="X1916" s="11">
        <v>0.07262103380234425</v>
      </c>
      <c r="Y1916" s="11">
        <v>0.2935353615857568</v>
      </c>
      <c r="Z1916" s="11">
        <v>0.016292030885505</v>
      </c>
    </row>
    <row r="1917" ht="22.5" customHeight="1">
      <c r="Q1917" s="9" t="s">
        <v>1955</v>
      </c>
      <c r="R1917" s="10">
        <v>0.5276853383945217</v>
      </c>
      <c r="S1917" s="10">
        <v>0.023269850401953573</v>
      </c>
      <c r="T1917" s="10">
        <v>20.957820096410206</v>
      </c>
      <c r="U1917" s="11">
        <v>0.31596460333092014</v>
      </c>
      <c r="V1917" s="11">
        <v>0.1479601336250338</v>
      </c>
      <c r="W1917" s="11">
        <v>0.14811690275413014</v>
      </c>
      <c r="X1917" s="11">
        <v>0.09385230229699373</v>
      </c>
      <c r="Y1917" s="11">
        <v>0.06544739375522109</v>
      </c>
      <c r="Z1917" s="11">
        <v>0.2286586642377011</v>
      </c>
    </row>
    <row r="1918" ht="22.5" customHeight="1">
      <c r="Q1918" s="9" t="s">
        <v>1956</v>
      </c>
      <c r="R1918" s="10">
        <v>0.6557300143990844</v>
      </c>
      <c r="S1918" s="10">
        <v>0.029380870592621754</v>
      </c>
      <c r="T1918" s="10">
        <v>20.95683354439841</v>
      </c>
      <c r="U1918" s="11">
        <v>0.08454405038404497</v>
      </c>
      <c r="V1918" s="11">
        <v>0.165672003104025</v>
      </c>
      <c r="W1918" s="11">
        <v>0.2091220433995262</v>
      </c>
      <c r="X1918" s="11">
        <v>0.21943623062004883</v>
      </c>
      <c r="Y1918" s="11">
        <v>0.20867965654983345</v>
      </c>
      <c r="Z1918" s="11">
        <v>0.11254601594252148</v>
      </c>
    </row>
    <row r="1919" ht="22.5" customHeight="1">
      <c r="Q1919" s="9" t="s">
        <v>1957</v>
      </c>
      <c r="R1919" s="10">
        <v>0.5196962078399199</v>
      </c>
      <c r="S1919" s="10">
        <v>0.022890083236621308</v>
      </c>
      <c r="T1919" s="10">
        <v>20.95650779777267</v>
      </c>
      <c r="U1919" s="11">
        <v>0.1041150307580263</v>
      </c>
      <c r="V1919" s="11">
        <v>0.14568245221381096</v>
      </c>
      <c r="W1919" s="11">
        <v>0.1420571733786102</v>
      </c>
      <c r="X1919" s="11">
        <v>0.08194597490651497</v>
      </c>
      <c r="Y1919" s="11">
        <v>0.2795051483469713</v>
      </c>
      <c r="Z1919" s="11">
        <v>0.2466942203960662</v>
      </c>
    </row>
    <row r="1920" ht="22.5" customHeight="1">
      <c r="Q1920" s="9" t="s">
        <v>1958</v>
      </c>
      <c r="R1920" s="10">
        <v>0.58577736094484</v>
      </c>
      <c r="S1920" s="10">
        <v>0.02604375647707767</v>
      </c>
      <c r="T1920" s="10">
        <v>20.956168954551707</v>
      </c>
      <c r="U1920" s="11">
        <v>0.1345360465244744</v>
      </c>
      <c r="V1920" s="11">
        <v>0.19593378235195477</v>
      </c>
      <c r="W1920" s="11">
        <v>0.141573704937737</v>
      </c>
      <c r="X1920" s="11">
        <v>0.12387876229534434</v>
      </c>
      <c r="Y1920" s="11">
        <v>0.1311882852003808</v>
      </c>
      <c r="Z1920" s="11">
        <v>0.27288941869010863</v>
      </c>
    </row>
    <row r="1921" ht="22.5" customHeight="1">
      <c r="Q1921" s="9" t="s">
        <v>1959</v>
      </c>
      <c r="R1921" s="10">
        <v>0.7006045313321819</v>
      </c>
      <c r="S1921" s="10">
        <v>0.031523379980302385</v>
      </c>
      <c r="T1921" s="10">
        <v>20.956018413792094</v>
      </c>
      <c r="U1921" s="11">
        <v>0.2023660920982804</v>
      </c>
      <c r="V1921" s="11">
        <v>0.22375877877067</v>
      </c>
      <c r="W1921" s="11">
        <v>0.18419881339936542</v>
      </c>
      <c r="X1921" s="11">
        <v>0.1377563819471549</v>
      </c>
      <c r="Y1921" s="11">
        <v>0.22935271249354972</v>
      </c>
      <c r="Z1921" s="11">
        <v>0.0225672212909794</v>
      </c>
    </row>
    <row r="1922" ht="22.5" customHeight="1">
      <c r="Q1922" s="9" t="s">
        <v>1960</v>
      </c>
      <c r="R1922" s="10">
        <v>0.6604951565762772</v>
      </c>
      <c r="S1922" s="10">
        <v>0.029609753355268456</v>
      </c>
      <c r="T1922" s="10">
        <v>20.95576917279092</v>
      </c>
      <c r="U1922" s="11">
        <v>0.0437591570931517</v>
      </c>
      <c r="V1922" s="11">
        <v>0.24352054075561486</v>
      </c>
      <c r="W1922" s="11">
        <v>0.12936572041779373</v>
      </c>
      <c r="X1922" s="11">
        <v>0.2750119960334064</v>
      </c>
      <c r="Y1922" s="11">
        <v>0.15865440091954205</v>
      </c>
      <c r="Z1922" s="11">
        <v>0.14968818478049123</v>
      </c>
    </row>
    <row r="1923" ht="22.5" customHeight="1">
      <c r="Q1923" s="9" t="s">
        <v>1961</v>
      </c>
      <c r="R1923" s="10">
        <v>0.5561053535803746</v>
      </c>
      <c r="S1923" s="10">
        <v>0.02462895505145479</v>
      </c>
      <c r="T1923" s="10">
        <v>20.9552273940217</v>
      </c>
      <c r="U1923" s="11">
        <v>0.1573257688487414</v>
      </c>
      <c r="V1923" s="11">
        <v>0.1992091164660729</v>
      </c>
      <c r="W1923" s="11">
        <v>0.10843149650215615</v>
      </c>
      <c r="X1923" s="11">
        <v>0.14985396609217355</v>
      </c>
      <c r="Y1923" s="11">
        <v>0.17410218828178484</v>
      </c>
      <c r="Z1923" s="11">
        <v>0.2110774638090712</v>
      </c>
    </row>
    <row r="1924" ht="22.5" customHeight="1">
      <c r="Q1924" s="9" t="s">
        <v>1962</v>
      </c>
      <c r="R1924" s="10">
        <v>0.5919508211862973</v>
      </c>
      <c r="S1924" s="10">
        <v>0.026340720523249893</v>
      </c>
      <c r="T1924" s="10">
        <v>20.954279542167896</v>
      </c>
      <c r="U1924" s="11">
        <v>0.16425752208020722</v>
      </c>
      <c r="V1924" s="11">
        <v>0.14228854344941583</v>
      </c>
      <c r="W1924" s="11">
        <v>0.1886549973975458</v>
      </c>
      <c r="X1924" s="11">
        <v>0.17017082594017902</v>
      </c>
      <c r="Y1924" s="11">
        <v>0.21273907624774427</v>
      </c>
      <c r="Z1924" s="11">
        <v>0.121889034884908</v>
      </c>
    </row>
    <row r="1925" ht="22.5" customHeight="1">
      <c r="Q1925" s="9" t="s">
        <v>1963</v>
      </c>
      <c r="R1925" s="10">
        <v>0.3321968634751969</v>
      </c>
      <c r="S1925" s="10">
        <v>0.013944567523053461</v>
      </c>
      <c r="T1925" s="10">
        <v>20.954171794294137</v>
      </c>
      <c r="U1925" s="11">
        <v>0.24786351655739786</v>
      </c>
      <c r="V1925" s="11">
        <v>0.039924602830051406</v>
      </c>
      <c r="W1925" s="11">
        <v>0.09093895387218671</v>
      </c>
      <c r="X1925" s="11">
        <v>0.22675901347720065</v>
      </c>
      <c r="Y1925" s="11">
        <v>0.23687492547703337</v>
      </c>
      <c r="Z1925" s="11">
        <v>0.15763898778613003</v>
      </c>
    </row>
    <row r="1926" ht="22.5" customHeight="1">
      <c r="Q1926" s="9" t="s">
        <v>1964</v>
      </c>
      <c r="R1926" s="10">
        <v>0.5460443026959977</v>
      </c>
      <c r="S1926" s="10">
        <v>0.024150120250250793</v>
      </c>
      <c r="T1926" s="10">
        <v>20.95411109560593</v>
      </c>
      <c r="U1926" s="11">
        <v>0.29924053801726214</v>
      </c>
      <c r="V1926" s="11">
        <v>0.18674602035427487</v>
      </c>
      <c r="W1926" s="11">
        <v>0.11415995956685417</v>
      </c>
      <c r="X1926" s="11">
        <v>0.09977781952717678</v>
      </c>
      <c r="Y1926" s="11">
        <v>0.15943246050173945</v>
      </c>
      <c r="Z1926" s="11">
        <v>0.1406432020326927</v>
      </c>
    </row>
    <row r="1927" ht="22.5" customHeight="1">
      <c r="Q1927" s="9" t="s">
        <v>1965</v>
      </c>
      <c r="R1927" s="10">
        <v>0.42923228315147255</v>
      </c>
      <c r="S1927" s="10">
        <v>0.01857552327130326</v>
      </c>
      <c r="T1927" s="10">
        <v>20.954041372970917</v>
      </c>
      <c r="U1927" s="11">
        <v>0.14955731923408472</v>
      </c>
      <c r="V1927" s="11">
        <v>0.15624622473143734</v>
      </c>
      <c r="W1927" s="11">
        <v>0.04735958183047413</v>
      </c>
      <c r="X1927" s="11">
        <v>0.26155387127795243</v>
      </c>
      <c r="Y1927" s="11">
        <v>0.14987917627646755</v>
      </c>
      <c r="Z1927" s="11">
        <v>0.23540382664958373</v>
      </c>
    </row>
    <row r="1928" ht="22.5" customHeight="1">
      <c r="Q1928" s="9" t="s">
        <v>1966</v>
      </c>
      <c r="R1928" s="10">
        <v>0.4768499657726316</v>
      </c>
      <c r="S1928" s="10">
        <v>0.02084835358805398</v>
      </c>
      <c r="T1928" s="10">
        <v>20.953691327594562</v>
      </c>
      <c r="U1928" s="11">
        <v>0.260753476128888</v>
      </c>
      <c r="V1928" s="11">
        <v>0.17392633137238558</v>
      </c>
      <c r="W1928" s="11">
        <v>0.06913079528945168</v>
      </c>
      <c r="X1928" s="11">
        <v>0.20114184405815938</v>
      </c>
      <c r="Y1928" s="11">
        <v>0.10576234195395866</v>
      </c>
      <c r="Z1928" s="11">
        <v>0.1892852111971566</v>
      </c>
    </row>
    <row r="1929" ht="22.5" customHeight="1">
      <c r="Q1929" s="9" t="s">
        <v>1967</v>
      </c>
      <c r="R1929" s="10">
        <v>0.7837187044312823</v>
      </c>
      <c r="S1929" s="10">
        <v>0.035493786438450484</v>
      </c>
      <c r="T1929" s="10">
        <v>20.953490147380005</v>
      </c>
      <c r="U1929" s="11">
        <v>0.20765986011646836</v>
      </c>
      <c r="V1929" s="11">
        <v>0.24342403851981434</v>
      </c>
      <c r="W1929" s="11">
        <v>0.22327295381076806</v>
      </c>
      <c r="X1929" s="11">
        <v>0.23446224584865358</v>
      </c>
      <c r="Y1929" s="11">
        <v>0.06921491289190077</v>
      </c>
      <c r="Z1929" s="11">
        <v>0.02196598881239506</v>
      </c>
    </row>
    <row r="1930" ht="22.5" customHeight="1">
      <c r="Q1930" s="9" t="s">
        <v>1968</v>
      </c>
      <c r="R1930" s="10">
        <v>0.4341773128618358</v>
      </c>
      <c r="S1930" s="10">
        <v>0.01881211358653718</v>
      </c>
      <c r="T1930" s="10">
        <v>20.953377250705493</v>
      </c>
      <c r="U1930" s="11">
        <v>0.23003826176335723</v>
      </c>
      <c r="V1930" s="11">
        <v>0.11056221738283696</v>
      </c>
      <c r="W1930" s="11">
        <v>0.11492231092259167</v>
      </c>
      <c r="X1930" s="11">
        <v>0.05718929030838168</v>
      </c>
      <c r="Y1930" s="11">
        <v>0.24518685818238056</v>
      </c>
      <c r="Z1930" s="11">
        <v>0.242101061440452</v>
      </c>
    </row>
    <row r="1931" ht="22.5" customHeight="1">
      <c r="Q1931" s="9" t="s">
        <v>1969</v>
      </c>
      <c r="R1931" s="10">
        <v>0.37027269721804135</v>
      </c>
      <c r="S1931" s="10">
        <v>0.01576232865792504</v>
      </c>
      <c r="T1931" s="10">
        <v>20.953293411502727</v>
      </c>
      <c r="U1931" s="11">
        <v>0.2856175100221632</v>
      </c>
      <c r="V1931" s="11">
        <v>0.120514427641438</v>
      </c>
      <c r="W1931" s="11">
        <v>0.05149266201892444</v>
      </c>
      <c r="X1931" s="11">
        <v>0.13173014120619328</v>
      </c>
      <c r="Y1931" s="11">
        <v>0.14871783236673658</v>
      </c>
      <c r="Z1931" s="11">
        <v>0.26192742674454444</v>
      </c>
    </row>
    <row r="1932" ht="22.5" customHeight="1">
      <c r="Q1932" s="9" t="s">
        <v>1970</v>
      </c>
      <c r="R1932" s="10">
        <v>0.631175714936592</v>
      </c>
      <c r="S1932" s="10">
        <v>0.028214274512557133</v>
      </c>
      <c r="T1932" s="10">
        <v>20.95307163306579</v>
      </c>
      <c r="U1932" s="11">
        <v>0.15321569289146536</v>
      </c>
      <c r="V1932" s="11">
        <v>0.20755258724208878</v>
      </c>
      <c r="W1932" s="11">
        <v>0.16036337039737858</v>
      </c>
      <c r="X1932" s="11">
        <v>0.13218967074300042</v>
      </c>
      <c r="Y1932" s="11">
        <v>0.13556558298281854</v>
      </c>
      <c r="Z1932" s="11">
        <v>0.21111309574324832</v>
      </c>
    </row>
    <row r="1933" ht="22.5" customHeight="1">
      <c r="Q1933" s="9" t="s">
        <v>1971</v>
      </c>
      <c r="R1933" s="10">
        <v>0.6578629416665126</v>
      </c>
      <c r="S1933" s="10">
        <v>0.029488061500161398</v>
      </c>
      <c r="T1933" s="10">
        <v>20.952986063974766</v>
      </c>
      <c r="U1933" s="11">
        <v>0.18161810985404236</v>
      </c>
      <c r="V1933" s="11">
        <v>0.19491649004425446</v>
      </c>
      <c r="W1933" s="11">
        <v>0.19157231975070935</v>
      </c>
      <c r="X1933" s="11">
        <v>0.16508734665517966</v>
      </c>
      <c r="Y1933" s="11">
        <v>0.0777414981126009</v>
      </c>
      <c r="Z1933" s="11">
        <v>0.18906423558321322</v>
      </c>
    </row>
    <row r="1934" ht="22.5" customHeight="1">
      <c r="Q1934" s="9" t="s">
        <v>1972</v>
      </c>
      <c r="R1934" s="10">
        <v>0.48290564491103466</v>
      </c>
      <c r="S1934" s="10">
        <v>0.02113875492166937</v>
      </c>
      <c r="T1934" s="10">
        <v>20.952305211552996</v>
      </c>
      <c r="U1934" s="11">
        <v>0.11983919437319661</v>
      </c>
      <c r="V1934" s="11">
        <v>0.08393886269278066</v>
      </c>
      <c r="W1934" s="11">
        <v>0.16197789171061824</v>
      </c>
      <c r="X1934" s="11">
        <v>0.2730098413936614</v>
      </c>
      <c r="Y1934" s="11">
        <v>0.16204021964947607</v>
      </c>
      <c r="Z1934" s="11">
        <v>0.19919399018026698</v>
      </c>
    </row>
    <row r="1935" ht="22.5" customHeight="1">
      <c r="Q1935" s="9" t="s">
        <v>1973</v>
      </c>
      <c r="R1935" s="10">
        <v>0.4718638679693063</v>
      </c>
      <c r="S1935" s="10">
        <v>0.02061185607183288</v>
      </c>
      <c r="T1935" s="10">
        <v>20.952206655443785</v>
      </c>
      <c r="U1935" s="11">
        <v>0.242789332870223</v>
      </c>
      <c r="V1935" s="11">
        <v>0.1708042231569555</v>
      </c>
      <c r="W1935" s="11">
        <v>0.057453257895859464</v>
      </c>
      <c r="X1935" s="11">
        <v>0.23468000319040788</v>
      </c>
      <c r="Y1935" s="11">
        <v>0.21196269621241062</v>
      </c>
      <c r="Z1935" s="11">
        <v>0.08231048667414345</v>
      </c>
    </row>
    <row r="1936" ht="22.5" customHeight="1">
      <c r="Q1936" s="9" t="s">
        <v>1974</v>
      </c>
      <c r="R1936" s="10">
        <v>0.7248872792016388</v>
      </c>
      <c r="S1936" s="10">
        <v>0.03268903751656184</v>
      </c>
      <c r="T1936" s="10">
        <v>20.951589010678024</v>
      </c>
      <c r="U1936" s="11">
        <v>0.10630770398312624</v>
      </c>
      <c r="V1936" s="11">
        <v>0.19963048090374136</v>
      </c>
      <c r="W1936" s="11">
        <v>0.22688444636873242</v>
      </c>
      <c r="X1936" s="11">
        <v>0.2783495470798258</v>
      </c>
      <c r="Y1936" s="11">
        <v>0.0511033426495628</v>
      </c>
      <c r="Z1936" s="11">
        <v>0.1377244790150114</v>
      </c>
    </row>
    <row r="1937" ht="22.5" customHeight="1">
      <c r="Q1937" s="9" t="s">
        <v>1975</v>
      </c>
      <c r="R1937" s="10">
        <v>0.46078996643873343</v>
      </c>
      <c r="S1937" s="10">
        <v>0.02008396814960418</v>
      </c>
      <c r="T1937" s="10">
        <v>20.9515352396646</v>
      </c>
      <c r="U1937" s="11">
        <v>0.07934730930614091</v>
      </c>
      <c r="V1937" s="11">
        <v>0.10539454839056644</v>
      </c>
      <c r="W1937" s="11">
        <v>0.1306019022230752</v>
      </c>
      <c r="X1937" s="11">
        <v>0.1242973760838808</v>
      </c>
      <c r="Y1937" s="11">
        <v>0.36212040396609496</v>
      </c>
      <c r="Z1937" s="11">
        <v>0.19823846003024165</v>
      </c>
    </row>
    <row r="1938" ht="22.5" customHeight="1">
      <c r="Q1938" s="9" t="s">
        <v>1976</v>
      </c>
      <c r="R1938" s="10">
        <v>0.7672454681439022</v>
      </c>
      <c r="S1938" s="10">
        <v>0.03471155219814523</v>
      </c>
      <c r="T1938" s="10">
        <v>20.95110768866054</v>
      </c>
      <c r="U1938" s="11">
        <v>0.12291257049329768</v>
      </c>
      <c r="V1938" s="11">
        <v>0.25183863155920594</v>
      </c>
      <c r="W1938" s="11">
        <v>0.20402326133730184</v>
      </c>
      <c r="X1938" s="11">
        <v>0.22095271865146088</v>
      </c>
      <c r="Y1938" s="11">
        <v>0.13337820505169584</v>
      </c>
      <c r="Z1938" s="11">
        <v>0.06689461290703794</v>
      </c>
    </row>
    <row r="1939" ht="22.5" customHeight="1">
      <c r="Q1939" s="9" t="s">
        <v>1977</v>
      </c>
      <c r="R1939" s="10">
        <v>0.5664890510895797</v>
      </c>
      <c r="S1939" s="10">
        <v>0.02512972426376978</v>
      </c>
      <c r="T1939" s="10">
        <v>20.9508487066304</v>
      </c>
      <c r="U1939" s="11">
        <v>0.2661210856706001</v>
      </c>
      <c r="V1939" s="11">
        <v>0.16210703619674802</v>
      </c>
      <c r="W1939" s="11">
        <v>0.16089374464558368</v>
      </c>
      <c r="X1939" s="11">
        <v>0.09353461972414094</v>
      </c>
      <c r="Y1939" s="11">
        <v>0.1159941659864667</v>
      </c>
      <c r="Z1939" s="11">
        <v>0.2013493477764606</v>
      </c>
    </row>
    <row r="1940" ht="22.5" customHeight="1">
      <c r="Q1940" s="9" t="s">
        <v>1978</v>
      </c>
      <c r="R1940" s="10">
        <v>0.7966535672047267</v>
      </c>
      <c r="S1940" s="10">
        <v>0.03611582491030999</v>
      </c>
      <c r="T1940" s="10">
        <v>20.950748573064562</v>
      </c>
      <c r="U1940" s="11">
        <v>0.08839009682616766</v>
      </c>
      <c r="V1940" s="11">
        <v>0.2589628663938768</v>
      </c>
      <c r="W1940" s="11">
        <v>0.21738221977221203</v>
      </c>
      <c r="X1940" s="11">
        <v>0.28370673766218274</v>
      </c>
      <c r="Y1940" s="11">
        <v>0.05562005677572234</v>
      </c>
      <c r="Z1940" s="11">
        <v>0.09593802256983844</v>
      </c>
    </row>
    <row r="1941" ht="22.5" customHeight="1">
      <c r="Q1941" s="9" t="s">
        <v>1979</v>
      </c>
      <c r="R1941" s="10">
        <v>0.7499480533527304</v>
      </c>
      <c r="S1941" s="10">
        <v>0.03388663648137771</v>
      </c>
      <c r="T1941" s="10">
        <v>20.950679296332048</v>
      </c>
      <c r="U1941" s="11">
        <v>0.0748296200672043</v>
      </c>
      <c r="V1941" s="11">
        <v>0.25241613671536434</v>
      </c>
      <c r="W1941" s="11">
        <v>0.18678418422070395</v>
      </c>
      <c r="X1941" s="11">
        <v>0.20736134798021608</v>
      </c>
      <c r="Y1941" s="11">
        <v>0.2470799702982857</v>
      </c>
      <c r="Z1941" s="11">
        <v>0.031528740718225576</v>
      </c>
    </row>
    <row r="1942" ht="22.5" customHeight="1">
      <c r="Q1942" s="9" t="s">
        <v>1980</v>
      </c>
      <c r="R1942" s="10">
        <v>0.6554790955347483</v>
      </c>
      <c r="S1942" s="10">
        <v>0.029377719324474815</v>
      </c>
      <c r="T1942" s="10">
        <v>20.95054039889297</v>
      </c>
      <c r="U1942" s="11">
        <v>0.21976794905215477</v>
      </c>
      <c r="V1942" s="11">
        <v>0.23652538665425424</v>
      </c>
      <c r="W1942" s="11">
        <v>0.13310485274427</v>
      </c>
      <c r="X1942" s="11">
        <v>0.1926035445190317</v>
      </c>
      <c r="Y1942" s="11">
        <v>0.17723322976513142</v>
      </c>
      <c r="Z1942" s="11">
        <v>0.040765037265157886</v>
      </c>
    </row>
    <row r="1943" ht="22.5" customHeight="1">
      <c r="Q1943" s="9" t="s">
        <v>1981</v>
      </c>
      <c r="R1943" s="10">
        <v>0.6083972522135013</v>
      </c>
      <c r="S1943" s="10">
        <v>0.027130908108889868</v>
      </c>
      <c r="T1943" s="10">
        <v>20.95017424157863</v>
      </c>
      <c r="U1943" s="11">
        <v>0.06366101646581765</v>
      </c>
      <c r="V1943" s="11">
        <v>0.16242974226206863</v>
      </c>
      <c r="W1943" s="11">
        <v>0.1875662482919865</v>
      </c>
      <c r="X1943" s="11">
        <v>0.17475550855092492</v>
      </c>
      <c r="Y1943" s="11">
        <v>0.17057787376459876</v>
      </c>
      <c r="Z1943" s="11">
        <v>0.24100961066460352</v>
      </c>
    </row>
    <row r="1944" ht="22.5" customHeight="1">
      <c r="Q1944" s="9" t="s">
        <v>1982</v>
      </c>
      <c r="R1944" s="10">
        <v>0.6975956367542404</v>
      </c>
      <c r="S1944" s="10">
        <v>0.03138858667708293</v>
      </c>
      <c r="T1944" s="10">
        <v>20.950151197293522</v>
      </c>
      <c r="U1944" s="11">
        <v>0.149405034084417</v>
      </c>
      <c r="V1944" s="11">
        <v>0.20427186972839828</v>
      </c>
      <c r="W1944" s="11">
        <v>0.2077979618485161</v>
      </c>
      <c r="X1944" s="11">
        <v>0.20427537152127934</v>
      </c>
      <c r="Y1944" s="11">
        <v>0.07400270479640199</v>
      </c>
      <c r="Z1944" s="11">
        <v>0.1602470580209873</v>
      </c>
    </row>
    <row r="1945" ht="22.5" customHeight="1">
      <c r="Q1945" s="9" t="s">
        <v>1983</v>
      </c>
      <c r="R1945" s="10">
        <v>0.7173704553933059</v>
      </c>
      <c r="S1945" s="10">
        <v>0.03233258174953524</v>
      </c>
      <c r="T1945" s="10">
        <v>20.950088695068178</v>
      </c>
      <c r="U1945" s="11">
        <v>0.14263885773020113</v>
      </c>
      <c r="V1945" s="11">
        <v>0.19841892944451625</v>
      </c>
      <c r="W1945" s="11">
        <v>0.22363013282141994</v>
      </c>
      <c r="X1945" s="11">
        <v>0.260357442196573</v>
      </c>
      <c r="Y1945" s="11">
        <v>0.043197808164159884</v>
      </c>
      <c r="Z1945" s="11">
        <v>0.13175682964312974</v>
      </c>
    </row>
    <row r="1946" ht="22.5" customHeight="1">
      <c r="Q1946" s="9" t="s">
        <v>1984</v>
      </c>
      <c r="R1946" s="10">
        <v>0.6765114976286858</v>
      </c>
      <c r="S1946" s="10">
        <v>0.030383176963650043</v>
      </c>
      <c r="T1946" s="10">
        <v>20.949471425920933</v>
      </c>
      <c r="U1946" s="11">
        <v>0.15035209701854094</v>
      </c>
      <c r="V1946" s="11">
        <v>0.1875356704581122</v>
      </c>
      <c r="W1946" s="11">
        <v>0.20636152123499543</v>
      </c>
      <c r="X1946" s="11">
        <v>0.175248805730985</v>
      </c>
      <c r="Y1946" s="11">
        <v>0.173788357589661</v>
      </c>
      <c r="Z1946" s="11">
        <v>0.10671354796770544</v>
      </c>
    </row>
    <row r="1947" ht="22.5" customHeight="1">
      <c r="Q1947" s="9" t="s">
        <v>1985</v>
      </c>
      <c r="R1947" s="10">
        <v>0.6246531439668621</v>
      </c>
      <c r="S1947" s="10">
        <v>0.027908738065535333</v>
      </c>
      <c r="T1947" s="10">
        <v>20.948748832497508</v>
      </c>
      <c r="U1947" s="11">
        <v>0.1470925836869483</v>
      </c>
      <c r="V1947" s="11">
        <v>0.19289563408883387</v>
      </c>
      <c r="W1947" s="11">
        <v>0.17008968949246264</v>
      </c>
      <c r="X1947" s="11">
        <v>0.11387979188379316</v>
      </c>
      <c r="Y1947" s="11">
        <v>0.18522330162029793</v>
      </c>
      <c r="Z1947" s="11">
        <v>0.1908189992276642</v>
      </c>
    </row>
    <row r="1948" ht="22.5" customHeight="1">
      <c r="Q1948" s="9" t="s">
        <v>1986</v>
      </c>
      <c r="R1948" s="10">
        <v>0.6594112290810419</v>
      </c>
      <c r="S1948" s="10">
        <v>0.02956811812731221</v>
      </c>
      <c r="T1948" s="10">
        <v>20.94861859026763</v>
      </c>
      <c r="U1948" s="11">
        <v>0.14149063013128743</v>
      </c>
      <c r="V1948" s="11">
        <v>0.18529229449050122</v>
      </c>
      <c r="W1948" s="11">
        <v>0.1995739401334248</v>
      </c>
      <c r="X1948" s="11">
        <v>0.16993918362400287</v>
      </c>
      <c r="Y1948" s="11">
        <v>0.14293222027427335</v>
      </c>
      <c r="Z1948" s="11">
        <v>0.16077173134651043</v>
      </c>
    </row>
    <row r="1949" ht="22.5" customHeight="1">
      <c r="Q1949" s="9" t="s">
        <v>1987</v>
      </c>
      <c r="R1949" s="10">
        <v>0.7144121434402776</v>
      </c>
      <c r="S1949" s="10">
        <v>0.03219395920138865</v>
      </c>
      <c r="T1949" s="10">
        <v>20.94840647655376</v>
      </c>
      <c r="U1949" s="11">
        <v>0.15888114985933183</v>
      </c>
      <c r="V1949" s="11">
        <v>0.2225556594679793</v>
      </c>
      <c r="W1949" s="11">
        <v>0.19815202794580875</v>
      </c>
      <c r="X1949" s="11">
        <v>0.1608985955228634</v>
      </c>
      <c r="Y1949" s="11">
        <v>0.18493017217161747</v>
      </c>
      <c r="Z1949" s="11">
        <v>0.07458239503239932</v>
      </c>
    </row>
    <row r="1950" ht="22.5" customHeight="1">
      <c r="Q1950" s="9" t="s">
        <v>1988</v>
      </c>
      <c r="R1950" s="10">
        <v>0.6489124383949952</v>
      </c>
      <c r="S1950" s="10">
        <v>0.029067602462054535</v>
      </c>
      <c r="T1950" s="10">
        <v>20.948148000506144</v>
      </c>
      <c r="U1950" s="11">
        <v>0.21291907964709006</v>
      </c>
      <c r="V1950" s="11">
        <v>0.18755813448303663</v>
      </c>
      <c r="W1950" s="11">
        <v>0.19265541556762375</v>
      </c>
      <c r="X1950" s="11">
        <v>0.18226612309043472</v>
      </c>
      <c r="Y1950" s="11">
        <v>0.023815583336754546</v>
      </c>
      <c r="Z1950" s="11">
        <v>0.20078566387506033</v>
      </c>
    </row>
    <row r="1951" ht="22.5" customHeight="1">
      <c r="Q1951" s="9" t="s">
        <v>1989</v>
      </c>
      <c r="R1951" s="10">
        <v>0.2629504796991152</v>
      </c>
      <c r="S1951" s="10">
        <v>0.01064323257203734</v>
      </c>
      <c r="T1951" s="10">
        <v>20.94762828775034</v>
      </c>
      <c r="U1951" s="11">
        <v>0.2630053235132991</v>
      </c>
      <c r="V1951" s="11">
        <v>0.026537449701676052</v>
      </c>
      <c r="W1951" s="11">
        <v>0.044437520036914216</v>
      </c>
      <c r="X1951" s="11">
        <v>0.3270892066186095</v>
      </c>
      <c r="Y1951" s="11">
        <v>0.1730038918735179</v>
      </c>
      <c r="Z1951" s="11">
        <v>0.16592660825598335</v>
      </c>
    </row>
    <row r="1952" ht="22.5" customHeight="1">
      <c r="Q1952" s="9" t="s">
        <v>1990</v>
      </c>
      <c r="R1952" s="10">
        <v>0.7834729658510409</v>
      </c>
      <c r="S1952" s="10">
        <v>0.03549280366087592</v>
      </c>
      <c r="T1952" s="10">
        <v>20.947146721761477</v>
      </c>
      <c r="U1952" s="11">
        <v>0.11000111922135146</v>
      </c>
      <c r="V1952" s="11">
        <v>0.2371826083322518</v>
      </c>
      <c r="W1952" s="11">
        <v>0.22879317801004306</v>
      </c>
      <c r="X1952" s="11">
        <v>0.2407279060652276</v>
      </c>
      <c r="Y1952" s="11">
        <v>0.14187952942822576</v>
      </c>
      <c r="Z1952" s="11">
        <v>0.04141565894290017</v>
      </c>
    </row>
    <row r="1953" ht="22.5" customHeight="1">
      <c r="Q1953" s="9" t="s">
        <v>1991</v>
      </c>
      <c r="R1953" s="10">
        <v>0.457067805996519</v>
      </c>
      <c r="S1953" s="10">
        <v>0.019910524392730798</v>
      </c>
      <c r="T1953" s="10">
        <v>20.94710303806904</v>
      </c>
      <c r="U1953" s="11">
        <v>0.38065315330020544</v>
      </c>
      <c r="V1953" s="11">
        <v>0.16244509763794196</v>
      </c>
      <c r="W1953" s="11">
        <v>0.04836697603864529</v>
      </c>
      <c r="X1953" s="11">
        <v>0.3397823939520353</v>
      </c>
      <c r="Y1953" s="11">
        <v>0.01284545802977654</v>
      </c>
      <c r="Z1953" s="11">
        <v>0.0559069210413955</v>
      </c>
    </row>
    <row r="1954" ht="22.5" customHeight="1">
      <c r="Q1954" s="9" t="s">
        <v>1992</v>
      </c>
      <c r="R1954" s="10">
        <v>0.6347226750683077</v>
      </c>
      <c r="S1954" s="10">
        <v>0.028391726367384098</v>
      </c>
      <c r="T1954" s="10">
        <v>20.947041661810122</v>
      </c>
      <c r="U1954" s="11">
        <v>0.22169379880994344</v>
      </c>
      <c r="V1954" s="11">
        <v>0.1627324248687736</v>
      </c>
      <c r="W1954" s="11">
        <v>0.20241231314786917</v>
      </c>
      <c r="X1954" s="11">
        <v>0.2188186878221283</v>
      </c>
      <c r="Y1954" s="11">
        <v>0.03049250774974313</v>
      </c>
      <c r="Z1954" s="11">
        <v>0.1638502676015424</v>
      </c>
    </row>
    <row r="1955" ht="22.5" customHeight="1">
      <c r="Q1955" s="9" t="s">
        <v>1993</v>
      </c>
      <c r="R1955" s="10">
        <v>0.5013336877323852</v>
      </c>
      <c r="S1955" s="10">
        <v>0.02202400264706268</v>
      </c>
      <c r="T1955" s="10">
        <v>20.946859439009053</v>
      </c>
      <c r="U1955" s="11">
        <v>0.24251942384596892</v>
      </c>
      <c r="V1955" s="11">
        <v>0.1566188653106117</v>
      </c>
      <c r="W1955" s="11">
        <v>0.1089489987303548</v>
      </c>
      <c r="X1955" s="11">
        <v>0.06595082183765598</v>
      </c>
      <c r="Y1955" s="11">
        <v>0.31668430166439504</v>
      </c>
      <c r="Z1955" s="11">
        <v>0.10927758861101348</v>
      </c>
    </row>
    <row r="1956" ht="22.5" customHeight="1">
      <c r="Q1956" s="9" t="s">
        <v>1994</v>
      </c>
      <c r="R1956" s="10">
        <v>0.5287321042790273</v>
      </c>
      <c r="S1956" s="10">
        <v>0.02333248618949883</v>
      </c>
      <c r="T1956" s="10">
        <v>20.946422096201186</v>
      </c>
      <c r="U1956" s="11">
        <v>0.1925969067432214</v>
      </c>
      <c r="V1956" s="11">
        <v>0.1151917817568048</v>
      </c>
      <c r="W1956" s="11">
        <v>0.17263654876601006</v>
      </c>
      <c r="X1956" s="11">
        <v>0.18417437660225133</v>
      </c>
      <c r="Y1956" s="11">
        <v>0.1375272788693014</v>
      </c>
      <c r="Z1956" s="11">
        <v>0.19787310726241084</v>
      </c>
    </row>
    <row r="1957" ht="22.5" customHeight="1">
      <c r="Q1957" s="9" t="s">
        <v>1995</v>
      </c>
      <c r="R1957" s="10">
        <v>0.7716153161773921</v>
      </c>
      <c r="S1957" s="10">
        <v>0.03492917692034545</v>
      </c>
      <c r="T1957" s="10">
        <v>20.945678675618684</v>
      </c>
      <c r="U1957" s="11">
        <v>0.11120680580531617</v>
      </c>
      <c r="V1957" s="11">
        <v>0.2476680680966285</v>
      </c>
      <c r="W1957" s="11">
        <v>0.21085979598805454</v>
      </c>
      <c r="X1957" s="11">
        <v>0.2159213072703425</v>
      </c>
      <c r="Y1957" s="11">
        <v>0.16162356117957205</v>
      </c>
      <c r="Z1957" s="11">
        <v>0.052720461660086315</v>
      </c>
    </row>
    <row r="1958" ht="22.5" customHeight="1">
      <c r="Q1958" s="9" t="s">
        <v>1996</v>
      </c>
      <c r="R1958" s="10">
        <v>0.7128134906029939</v>
      </c>
      <c r="S1958" s="10">
        <v>0.03212214988196349</v>
      </c>
      <c r="T1958" s="10">
        <v>20.945468876626375</v>
      </c>
      <c r="U1958" s="11">
        <v>0.10182686332789763</v>
      </c>
      <c r="V1958" s="11">
        <v>0.2428333018430012</v>
      </c>
      <c r="W1958" s="11">
        <v>0.17754621545830446</v>
      </c>
      <c r="X1958" s="11">
        <v>0.2041908775948789</v>
      </c>
      <c r="Y1958" s="11">
        <v>0.12288295820471506</v>
      </c>
      <c r="Z1958" s="11">
        <v>0.1507197835712026</v>
      </c>
    </row>
    <row r="1959" ht="22.5" customHeight="1">
      <c r="Q1959" s="9" t="s">
        <v>1997</v>
      </c>
      <c r="R1959" s="10">
        <v>0.8054905111882689</v>
      </c>
      <c r="S1959" s="10">
        <v>0.03654777609763027</v>
      </c>
      <c r="T1959" s="10">
        <v>20.944927241083285</v>
      </c>
      <c r="U1959" s="11">
        <v>0.02294868864305587</v>
      </c>
      <c r="V1959" s="11">
        <v>0.24642780994218283</v>
      </c>
      <c r="W1959" s="11">
        <v>0.23131599085780577</v>
      </c>
      <c r="X1959" s="11">
        <v>0.2625142038463445</v>
      </c>
      <c r="Y1959" s="11">
        <v>0.2211741068093711</v>
      </c>
      <c r="Z1959" s="11">
        <v>0.015619199901239873</v>
      </c>
    </row>
    <row r="1960" ht="22.5" customHeight="1">
      <c r="Q1960" s="9" t="s">
        <v>1998</v>
      </c>
      <c r="R1960" s="10">
        <v>0.8119252251734255</v>
      </c>
      <c r="S1960" s="10">
        <v>0.03685505817951119</v>
      </c>
      <c r="T1960" s="10">
        <v>20.944892324238996</v>
      </c>
      <c r="U1960" s="11">
        <v>0.05342087410794685</v>
      </c>
      <c r="V1960" s="11">
        <v>0.2939892024558728</v>
      </c>
      <c r="W1960" s="11">
        <v>0.1790606398241619</v>
      </c>
      <c r="X1960" s="11">
        <v>0.39490948368060724</v>
      </c>
      <c r="Y1960" s="11">
        <v>0.0533860474714059</v>
      </c>
      <c r="Z1960" s="11">
        <v>0.025233752460005233</v>
      </c>
    </row>
    <row r="1961" ht="22.5" customHeight="1">
      <c r="Q1961" s="9" t="s">
        <v>1999</v>
      </c>
      <c r="R1961" s="10">
        <v>0.522331348251574</v>
      </c>
      <c r="S1961" s="10">
        <v>0.027145757969541884</v>
      </c>
      <c r="T1961" s="10">
        <v>20.94426800506222</v>
      </c>
      <c r="U1961" s="11">
        <v>0.11113831472741074</v>
      </c>
      <c r="V1961" s="11">
        <v>0.22806735596035035</v>
      </c>
      <c r="W1961" s="11">
        <v>0.10007753264749705</v>
      </c>
      <c r="X1961" s="11">
        <v>0.27897306559926627</v>
      </c>
      <c r="Y1961" s="11">
        <v>0.2004810745718043</v>
      </c>
      <c r="Z1961" s="11">
        <v>0.08126265649367137</v>
      </c>
    </row>
    <row r="1962" ht="22.5" customHeight="1">
      <c r="Q1962" s="9" t="s">
        <v>2000</v>
      </c>
      <c r="R1962" s="10">
        <v>0.5718034946698352</v>
      </c>
      <c r="S1962" s="10">
        <v>0.0253915966940861</v>
      </c>
      <c r="T1962" s="10">
        <v>20.944074572265723</v>
      </c>
      <c r="U1962" s="11">
        <v>0.07699463648775726</v>
      </c>
      <c r="V1962" s="11">
        <v>0.17139581551076202</v>
      </c>
      <c r="W1962" s="11">
        <v>0.15825836917017277</v>
      </c>
      <c r="X1962" s="11">
        <v>0.11414568195475643</v>
      </c>
      <c r="Y1962" s="11">
        <v>0.17502929093865066</v>
      </c>
      <c r="Z1962" s="11">
        <v>0.30417620593790085</v>
      </c>
    </row>
    <row r="1963" ht="22.5" customHeight="1">
      <c r="Q1963" s="9" t="s">
        <v>2001</v>
      </c>
      <c r="R1963" s="10">
        <v>0.522331348251574</v>
      </c>
      <c r="S1963" s="10">
        <v>0.025402540521019208</v>
      </c>
      <c r="T1963" s="10">
        <v>20.94325799628776</v>
      </c>
      <c r="U1963" s="11">
        <v>0.07555537967229486</v>
      </c>
      <c r="V1963" s="11">
        <v>0.10614350190263426</v>
      </c>
      <c r="W1963" s="11">
        <v>0.19464028093668473</v>
      </c>
      <c r="X1963" s="11">
        <v>0.34127795724844795</v>
      </c>
      <c r="Y1963" s="11">
        <v>0.20206259372140897</v>
      </c>
      <c r="Z1963" s="11">
        <v>0.08032028651852909</v>
      </c>
    </row>
    <row r="1964" ht="22.5" customHeight="1">
      <c r="Q1964" s="9" t="s">
        <v>2002</v>
      </c>
      <c r="R1964" s="10">
        <v>0.6931322443929232</v>
      </c>
      <c r="S1964" s="10">
        <v>0.031185802847034986</v>
      </c>
      <c r="T1964" s="10">
        <v>20.94325573712207</v>
      </c>
      <c r="U1964" s="11">
        <v>0.09122175538618894</v>
      </c>
      <c r="V1964" s="11">
        <v>0.2293869189860587</v>
      </c>
      <c r="W1964" s="11">
        <v>0.17558255203381434</v>
      </c>
      <c r="X1964" s="11">
        <v>0.16027491329339344</v>
      </c>
      <c r="Y1964" s="11">
        <v>0.2325767250759497</v>
      </c>
      <c r="Z1964" s="11">
        <v>0.1109571352245949</v>
      </c>
    </row>
    <row r="1965" ht="22.5" customHeight="1">
      <c r="Q1965" s="9" t="s">
        <v>2003</v>
      </c>
      <c r="R1965" s="10">
        <v>0.503258932485461</v>
      </c>
      <c r="S1965" s="10">
        <v>0.02212004373616593</v>
      </c>
      <c r="T1965" s="10">
        <v>20.94294830565999</v>
      </c>
      <c r="U1965" s="11">
        <v>0.10955903408910701</v>
      </c>
      <c r="V1965" s="11">
        <v>0.18876916235004987</v>
      </c>
      <c r="W1965" s="11">
        <v>0.06896994440023445</v>
      </c>
      <c r="X1965" s="11">
        <v>0.32153948272160376</v>
      </c>
      <c r="Y1965" s="11">
        <v>0.05319243602379008</v>
      </c>
      <c r="Z1965" s="11">
        <v>0.2579699404152148</v>
      </c>
    </row>
    <row r="1966" ht="22.5" customHeight="1">
      <c r="Q1966" s="9" t="s">
        <v>2004</v>
      </c>
      <c r="R1966" s="10">
        <v>0.7273646505740666</v>
      </c>
      <c r="S1966" s="10">
        <v>0.032821321260049524</v>
      </c>
      <c r="T1966" s="10">
        <v>20.942625835442357</v>
      </c>
      <c r="U1966" s="11">
        <v>0.14124310828449863</v>
      </c>
      <c r="V1966" s="11">
        <v>0.24954924296686018</v>
      </c>
      <c r="W1966" s="11">
        <v>0.17451832746059193</v>
      </c>
      <c r="X1966" s="11">
        <v>0.1868954184706229</v>
      </c>
      <c r="Y1966" s="11">
        <v>0.2166321355264041</v>
      </c>
      <c r="Z1966" s="11">
        <v>0.031161767291022213</v>
      </c>
    </row>
    <row r="1967" ht="22.5" customHeight="1">
      <c r="Q1967" s="9" t="s">
        <v>2005</v>
      </c>
      <c r="R1967" s="10">
        <v>0.7045816426093345</v>
      </c>
      <c r="S1967" s="10">
        <v>0.03173372050535144</v>
      </c>
      <c r="T1967" s="10">
        <v>20.94244330718367</v>
      </c>
      <c r="U1967" s="11">
        <v>0.14466683078989742</v>
      </c>
      <c r="V1967" s="11">
        <v>0.22037416546388486</v>
      </c>
      <c r="W1967" s="11">
        <v>0.19779839953572453</v>
      </c>
      <c r="X1967" s="11">
        <v>0.19185205075734296</v>
      </c>
      <c r="Y1967" s="11">
        <v>0.07619388770356054</v>
      </c>
      <c r="Z1967" s="11">
        <v>0.1691146657495896</v>
      </c>
    </row>
    <row r="1968" ht="22.5" customHeight="1">
      <c r="Q1968" s="9" t="s">
        <v>2006</v>
      </c>
      <c r="R1968" s="10">
        <v>0.7354215683935351</v>
      </c>
      <c r="S1968" s="10">
        <v>0.03320699241768829</v>
      </c>
      <c r="T1968" s="10">
        <v>20.942022079154224</v>
      </c>
      <c r="U1968" s="11">
        <v>0.05426140165326868</v>
      </c>
      <c r="V1968" s="11">
        <v>0.25715547826775476</v>
      </c>
      <c r="W1968" s="11">
        <v>0.1766785053083882</v>
      </c>
      <c r="X1968" s="11">
        <v>0.2929818915504141</v>
      </c>
      <c r="Y1968" s="11">
        <v>0.02998737580718474</v>
      </c>
      <c r="Z1968" s="11">
        <v>0.1889353474129895</v>
      </c>
    </row>
    <row r="1969" ht="22.5" customHeight="1">
      <c r="Q1969" s="9" t="s">
        <v>2007</v>
      </c>
      <c r="R1969" s="10">
        <v>0.5436329877116679</v>
      </c>
      <c r="S1969" s="10">
        <v>0.024048920025951662</v>
      </c>
      <c r="T1969" s="10">
        <v>20.94202097924512</v>
      </c>
      <c r="U1969" s="11">
        <v>0.23462597513518546</v>
      </c>
      <c r="V1969" s="11">
        <v>0.2034738392037998</v>
      </c>
      <c r="W1969" s="11">
        <v>0.08222333587746457</v>
      </c>
      <c r="X1969" s="11">
        <v>0.304003925717317</v>
      </c>
      <c r="Y1969" s="11">
        <v>0.006629839612618625</v>
      </c>
      <c r="Z1969" s="11">
        <v>0.16904308445361466</v>
      </c>
    </row>
    <row r="1970" ht="22.5" customHeight="1">
      <c r="Q1970" s="9" t="s">
        <v>2008</v>
      </c>
      <c r="R1970" s="10">
        <v>0.48259038203404875</v>
      </c>
      <c r="S1970" s="10">
        <v>0.021134134818585493</v>
      </c>
      <c r="T1970" s="10">
        <v>20.941968329114278</v>
      </c>
      <c r="U1970" s="11">
        <v>0.2580500678427062</v>
      </c>
      <c r="V1970" s="11">
        <v>0.1486739608793916</v>
      </c>
      <c r="W1970" s="11">
        <v>0.10768174683237028</v>
      </c>
      <c r="X1970" s="11">
        <v>0.052625046436385915</v>
      </c>
      <c r="Y1970" s="11">
        <v>0.27217511563680585</v>
      </c>
      <c r="Z1970" s="11">
        <v>0.1607940623723403</v>
      </c>
    </row>
    <row r="1971" ht="22.5" customHeight="1">
      <c r="Q1971" s="9" t="s">
        <v>2009</v>
      </c>
      <c r="R1971" s="10">
        <v>0.657730003057942</v>
      </c>
      <c r="S1971" s="10">
        <v>0.02949729003076218</v>
      </c>
      <c r="T1971" s="10">
        <v>20.94192389923694</v>
      </c>
      <c r="U1971" s="11">
        <v>0.12299786416136864</v>
      </c>
      <c r="V1971" s="11">
        <v>0.17744557391572294</v>
      </c>
      <c r="W1971" s="11">
        <v>0.20624835655661716</v>
      </c>
      <c r="X1971" s="11">
        <v>0.23134168695257792</v>
      </c>
      <c r="Y1971" s="11">
        <v>0.04897196678416573</v>
      </c>
      <c r="Z1971" s="11">
        <v>0.21299455162954767</v>
      </c>
    </row>
    <row r="1972" ht="22.5" customHeight="1">
      <c r="Q1972" s="9" t="s">
        <v>2010</v>
      </c>
      <c r="R1972" s="10">
        <v>0.6443884502201668</v>
      </c>
      <c r="S1972" s="10">
        <v>0.028860421007751536</v>
      </c>
      <c r="T1972" s="10">
        <v>20.941775244991604</v>
      </c>
      <c r="U1972" s="11">
        <v>0.16595080102769358</v>
      </c>
      <c r="V1972" s="11">
        <v>0.17229241669141915</v>
      </c>
      <c r="W1972" s="11">
        <v>0.19879518655549655</v>
      </c>
      <c r="X1972" s="11">
        <v>0.15892690261006145</v>
      </c>
      <c r="Y1972" s="11">
        <v>0.190790014307203</v>
      </c>
      <c r="Z1972" s="11">
        <v>0.1132446788081261</v>
      </c>
    </row>
    <row r="1973" ht="22.5" customHeight="1">
      <c r="Q1973" s="9" t="s">
        <v>2011</v>
      </c>
      <c r="R1973" s="10">
        <v>0.7260021490316435</v>
      </c>
      <c r="S1973" s="10">
        <v>0.03275877293261213</v>
      </c>
      <c r="T1973" s="10">
        <v>20.94102091194973</v>
      </c>
      <c r="U1973" s="11">
        <v>0.1610649655808757</v>
      </c>
      <c r="V1973" s="11">
        <v>0.2447586159103449</v>
      </c>
      <c r="W1973" s="11">
        <v>0.18432149089633723</v>
      </c>
      <c r="X1973" s="11">
        <v>0.19616386265672836</v>
      </c>
      <c r="Y1973" s="11">
        <v>0.10608000295562978</v>
      </c>
      <c r="Z1973" s="11">
        <v>0.10761106200008416</v>
      </c>
    </row>
    <row r="1974" ht="22.5" customHeight="1">
      <c r="Q1974" s="9" t="s">
        <v>2012</v>
      </c>
      <c r="R1974" s="10">
        <v>0.7065201258180532</v>
      </c>
      <c r="S1974" s="10">
        <v>0.031828575480613776</v>
      </c>
      <c r="T1974" s="10">
        <v>20.940934859746356</v>
      </c>
      <c r="U1974" s="11">
        <v>0.15878168010065186</v>
      </c>
      <c r="V1974" s="11">
        <v>0.22294996819845544</v>
      </c>
      <c r="W1974" s="11">
        <v>0.19359280219386193</v>
      </c>
      <c r="X1974" s="11">
        <v>0.1572323134850341</v>
      </c>
      <c r="Y1974" s="11">
        <v>0.16893677272752539</v>
      </c>
      <c r="Z1974" s="11">
        <v>0.09850646329447135</v>
      </c>
    </row>
    <row r="1975" ht="22.5" customHeight="1">
      <c r="Q1975" s="9" t="s">
        <v>2013</v>
      </c>
      <c r="R1975" s="10">
        <v>0.7720534500732793</v>
      </c>
      <c r="S1975" s="10">
        <v>0.034959481727120656</v>
      </c>
      <c r="T1975" s="10">
        <v>20.94005442607495</v>
      </c>
      <c r="U1975" s="11">
        <v>0.22300935072672734</v>
      </c>
      <c r="V1975" s="11">
        <v>0.27197926544686085</v>
      </c>
      <c r="W1975" s="11">
        <v>0.18168093816968262</v>
      </c>
      <c r="X1975" s="11">
        <v>0.2765472466087043</v>
      </c>
      <c r="Y1975" s="11">
        <v>0.022335379700815026</v>
      </c>
      <c r="Z1975" s="11">
        <v>0.02444781934720983</v>
      </c>
    </row>
    <row r="1976" ht="22.5" customHeight="1">
      <c r="Q1976" s="9" t="s">
        <v>2014</v>
      </c>
      <c r="R1976" s="10">
        <v>0.7177958126374258</v>
      </c>
      <c r="S1976" s="10">
        <v>0.03236842233068963</v>
      </c>
      <c r="T1976" s="10">
        <v>20.94003240914167</v>
      </c>
      <c r="U1976" s="11">
        <v>0.20688444600457354</v>
      </c>
      <c r="V1976" s="11">
        <v>0.24521008565262178</v>
      </c>
      <c r="W1976" s="11">
        <v>0.17517237888136136</v>
      </c>
      <c r="X1976" s="11">
        <v>0.1767246867129039</v>
      </c>
      <c r="Y1976" s="11">
        <v>0.14350778293833666</v>
      </c>
      <c r="Z1976" s="11">
        <v>0.05250061981020276</v>
      </c>
    </row>
    <row r="1977" ht="22.5" customHeight="1">
      <c r="Q1977" s="9" t="s">
        <v>2015</v>
      </c>
      <c r="R1977" s="10">
        <v>0.546041454438049</v>
      </c>
      <c r="S1977" s="10">
        <v>0.02416633580842995</v>
      </c>
      <c r="T1977" s="10">
        <v>20.939933072581336</v>
      </c>
      <c r="U1977" s="11">
        <v>0.2764841930338089</v>
      </c>
      <c r="V1977" s="11">
        <v>0.1831997932996083</v>
      </c>
      <c r="W1977" s="11">
        <v>0.12459745939256243</v>
      </c>
      <c r="X1977" s="11">
        <v>0.10439800292768672</v>
      </c>
      <c r="Y1977" s="11">
        <v>0.07614466007582589</v>
      </c>
      <c r="Z1977" s="11">
        <v>0.23517589127050778</v>
      </c>
    </row>
    <row r="1978" ht="22.5" customHeight="1">
      <c r="Q1978" s="9" t="s">
        <v>2016</v>
      </c>
      <c r="R1978" s="10">
        <v>0.6362820810413472</v>
      </c>
      <c r="S1978" s="10">
        <v>0.028476131906617505</v>
      </c>
      <c r="T1978" s="10">
        <v>20.939714810872136</v>
      </c>
      <c r="U1978" s="11">
        <v>0.28913100587623297</v>
      </c>
      <c r="V1978" s="11">
        <v>0.23052210823277358</v>
      </c>
      <c r="W1978" s="11">
        <v>0.12833181502567959</v>
      </c>
      <c r="X1978" s="11">
        <v>0.2052350208053237</v>
      </c>
      <c r="Y1978" s="11">
        <v>0.060852790602215344</v>
      </c>
      <c r="Z1978" s="11">
        <v>0.08592725945777481</v>
      </c>
    </row>
    <row r="1979" ht="22.5" customHeight="1">
      <c r="Q1979" s="9" t="s">
        <v>2017</v>
      </c>
      <c r="R1979" s="10">
        <v>0.6898413552331198</v>
      </c>
      <c r="S1979" s="10">
        <v>0.031034574287483147</v>
      </c>
      <c r="T1979" s="10">
        <v>20.939270802087773</v>
      </c>
      <c r="U1979" s="11">
        <v>0.0290649050805479</v>
      </c>
      <c r="V1979" s="11">
        <v>0.21817218258178941</v>
      </c>
      <c r="W1979" s="11">
        <v>0.18513484975124292</v>
      </c>
      <c r="X1979" s="11">
        <v>0.16669796837467138</v>
      </c>
      <c r="Y1979" s="11">
        <v>0.2642017926870963</v>
      </c>
      <c r="Z1979" s="11">
        <v>0.1367283015246521</v>
      </c>
    </row>
    <row r="1980" ht="22.5" customHeight="1">
      <c r="Q1980" s="9" t="s">
        <v>2018</v>
      </c>
      <c r="R1980" s="10">
        <v>0.5389912972068878</v>
      </c>
      <c r="S1980" s="10">
        <v>0.02383075073685821</v>
      </c>
      <c r="T1980" s="10">
        <v>20.93896674581531</v>
      </c>
      <c r="U1980" s="11">
        <v>0.2894708288699435</v>
      </c>
      <c r="V1980" s="11">
        <v>0.1674618103586006</v>
      </c>
      <c r="W1980" s="11">
        <v>0.13181709035913605</v>
      </c>
      <c r="X1980" s="11">
        <v>0.057027344454851955</v>
      </c>
      <c r="Y1980" s="11">
        <v>0.2091059319378373</v>
      </c>
      <c r="Z1980" s="11">
        <v>0.14511699401963052</v>
      </c>
    </row>
    <row r="1981" ht="22.5" customHeight="1">
      <c r="Q1981" s="9" t="s">
        <v>2019</v>
      </c>
      <c r="R1981" s="10">
        <v>0.5550860917589033</v>
      </c>
      <c r="S1981" s="10">
        <v>0.02459996547708841</v>
      </c>
      <c r="T1981" s="10">
        <v>20.938488399044193</v>
      </c>
      <c r="U1981" s="11">
        <v>0.27540471269533834</v>
      </c>
      <c r="V1981" s="11">
        <v>0.20490701837024985</v>
      </c>
      <c r="W1981" s="11">
        <v>0.09464462698651595</v>
      </c>
      <c r="X1981" s="11">
        <v>0.22398612046069571</v>
      </c>
      <c r="Y1981" s="11">
        <v>0.04745973345731706</v>
      </c>
      <c r="Z1981" s="11">
        <v>0.15359778802988316</v>
      </c>
    </row>
    <row r="1982" ht="22.5" customHeight="1">
      <c r="Q1982" s="9" t="s">
        <v>2020</v>
      </c>
      <c r="R1982" s="10">
        <v>0.5027617467227984</v>
      </c>
      <c r="S1982" s="10">
        <v>0.02210150986317393</v>
      </c>
      <c r="T1982" s="10">
        <v>20.9380150762398</v>
      </c>
      <c r="U1982" s="11">
        <v>0.25167292473662883</v>
      </c>
      <c r="V1982" s="11">
        <v>0.13502247802008843</v>
      </c>
      <c r="W1982" s="11">
        <v>0.13609328264900308</v>
      </c>
      <c r="X1982" s="11">
        <v>0.057968499888038</v>
      </c>
      <c r="Y1982" s="11">
        <v>0.27770510438766227</v>
      </c>
      <c r="Z1982" s="11">
        <v>0.14153771031857934</v>
      </c>
    </row>
    <row r="1983" ht="22.5" customHeight="1">
      <c r="Q1983" s="9" t="s">
        <v>2021</v>
      </c>
      <c r="R1983" s="10">
        <v>0.4215710662769084</v>
      </c>
      <c r="S1983" s="10">
        <v>0.018223900006449443</v>
      </c>
      <c r="T1983" s="10">
        <v>20.93794775771763</v>
      </c>
      <c r="U1983" s="11">
        <v>0.2711169697095479</v>
      </c>
      <c r="V1983" s="11">
        <v>0.04872227300050922</v>
      </c>
      <c r="W1983" s="11">
        <v>0.13651958619578564</v>
      </c>
      <c r="X1983" s="11">
        <v>0.40897095131846395</v>
      </c>
      <c r="Y1983" s="11">
        <v>0.03718409263090715</v>
      </c>
      <c r="Z1983" s="11">
        <v>0.09748612714478616</v>
      </c>
    </row>
    <row r="1984" ht="22.5" customHeight="1">
      <c r="Q1984" s="9" t="s">
        <v>2022</v>
      </c>
      <c r="R1984" s="10">
        <v>0.6821441179442516</v>
      </c>
      <c r="S1984" s="10">
        <v>0.03067010329190628</v>
      </c>
      <c r="T1984" s="10">
        <v>20.937135810485216</v>
      </c>
      <c r="U1984" s="11">
        <v>0.1962394175315946</v>
      </c>
      <c r="V1984" s="11">
        <v>0.2091812240197269</v>
      </c>
      <c r="W1984" s="11">
        <v>0.19386665655448462</v>
      </c>
      <c r="X1984" s="11">
        <v>0.16938962000373953</v>
      </c>
      <c r="Y1984" s="11">
        <v>0.06741312775812487</v>
      </c>
      <c r="Z1984" s="11">
        <v>0.16390995413232948</v>
      </c>
    </row>
    <row r="1985" ht="22.5" customHeight="1">
      <c r="Q1985" s="9" t="s">
        <v>2023</v>
      </c>
      <c r="R1985" s="10">
        <v>0.6753436814759928</v>
      </c>
      <c r="S1985" s="10">
        <v>0.030345445054065997</v>
      </c>
      <c r="T1985" s="10">
        <v>20.937036195844584</v>
      </c>
      <c r="U1985" s="11">
        <v>0.21902290533512808</v>
      </c>
      <c r="V1985" s="11">
        <v>0.21117220730630942</v>
      </c>
      <c r="W1985" s="11">
        <v>0.18582083264707558</v>
      </c>
      <c r="X1985" s="11">
        <v>0.1393170895108577</v>
      </c>
      <c r="Y1985" s="11">
        <v>0.11835629465263486</v>
      </c>
      <c r="Z1985" s="11">
        <v>0.1263106705479944</v>
      </c>
    </row>
    <row r="1986" ht="22.5" customHeight="1">
      <c r="Q1986" s="9" t="s">
        <v>2024</v>
      </c>
      <c r="R1986" s="10">
        <v>0.522331348251574</v>
      </c>
      <c r="S1986" s="10">
        <v>0.02542488984983612</v>
      </c>
      <c r="T1986" s="10">
        <v>20.93695555109906</v>
      </c>
      <c r="U1986" s="11">
        <v>0.24134036893669164</v>
      </c>
      <c r="V1986" s="11">
        <v>0.15231907703385444</v>
      </c>
      <c r="W1986" s="11">
        <v>0.17105042690890157</v>
      </c>
      <c r="X1986" s="11">
        <v>0.10183873474858275</v>
      </c>
      <c r="Y1986" s="11">
        <v>0.17947665260842835</v>
      </c>
      <c r="Z1986" s="11">
        <v>0.15397473976354126</v>
      </c>
    </row>
    <row r="1987" ht="22.5" customHeight="1">
      <c r="Q1987" s="9" t="s">
        <v>2025</v>
      </c>
      <c r="R1987" s="10">
        <v>0.4052772020763459</v>
      </c>
      <c r="S1987" s="10">
        <v>0.01744814931763792</v>
      </c>
      <c r="T1987" s="10">
        <v>20.935011239678918</v>
      </c>
      <c r="U1987" s="11">
        <v>0.08226550931456265</v>
      </c>
      <c r="V1987" s="11">
        <v>0.14442451541284504</v>
      </c>
      <c r="W1987" s="11">
        <v>0.043455455586982834</v>
      </c>
      <c r="X1987" s="11">
        <v>0.24973923961354721</v>
      </c>
      <c r="Y1987" s="11">
        <v>0.2032635809785694</v>
      </c>
      <c r="Z1987" s="11">
        <v>0.2768516990934928</v>
      </c>
    </row>
    <row r="1988" ht="22.5" customHeight="1">
      <c r="Q1988" s="9" t="s">
        <v>2026</v>
      </c>
      <c r="R1988" s="10">
        <v>0.6773705422394547</v>
      </c>
      <c r="S1988" s="10">
        <v>0.030445209071109435</v>
      </c>
      <c r="T1988" s="10">
        <v>20.935002967159082</v>
      </c>
      <c r="U1988" s="11">
        <v>0.22396722659421295</v>
      </c>
      <c r="V1988" s="11">
        <v>0.22886267821801526</v>
      </c>
      <c r="W1988" s="11">
        <v>0.1595021060211236</v>
      </c>
      <c r="X1988" s="11">
        <v>0.13388626183274938</v>
      </c>
      <c r="Y1988" s="11">
        <v>0.25083221431864305</v>
      </c>
      <c r="Z1988" s="11">
        <v>0.0029495130152558495</v>
      </c>
    </row>
    <row r="1989" ht="22.5" customHeight="1">
      <c r="Q1989" s="9" t="s">
        <v>2027</v>
      </c>
      <c r="R1989" s="10">
        <v>0.7684611415877783</v>
      </c>
      <c r="S1989" s="10">
        <v>0.0347968547651119</v>
      </c>
      <c r="T1989" s="10">
        <v>20.934683508181596</v>
      </c>
      <c r="U1989" s="11">
        <v>0.1443133462649225</v>
      </c>
      <c r="V1989" s="11">
        <v>0.24498565000603256</v>
      </c>
      <c r="W1989" s="11">
        <v>0.21444599462131927</v>
      </c>
      <c r="X1989" s="11">
        <v>0.2586316220339559</v>
      </c>
      <c r="Y1989" s="11">
        <v>0.016816755498688662</v>
      </c>
      <c r="Z1989" s="11">
        <v>0.12080663157508106</v>
      </c>
    </row>
    <row r="1990" ht="22.5" customHeight="1">
      <c r="Q1990" s="9" t="s">
        <v>2028</v>
      </c>
      <c r="R1990" s="10">
        <v>0.764204454786669</v>
      </c>
      <c r="S1990" s="10">
        <v>0.03459355529067528</v>
      </c>
      <c r="T1990" s="10">
        <v>20.934663948283998</v>
      </c>
      <c r="U1990" s="11">
        <v>0.18904127689348302</v>
      </c>
      <c r="V1990" s="11">
        <v>0.2728670406221184</v>
      </c>
      <c r="W1990" s="11">
        <v>0.17343651745229025</v>
      </c>
      <c r="X1990" s="11">
        <v>0.2624336691261866</v>
      </c>
      <c r="Y1990" s="11">
        <v>0.09424853819161426</v>
      </c>
      <c r="Z1990" s="11">
        <v>0.007972957714307418</v>
      </c>
    </row>
    <row r="1991" ht="22.5" customHeight="1">
      <c r="Q1991" s="9" t="s">
        <v>2029</v>
      </c>
      <c r="R1991" s="10">
        <v>0.3367061378649481</v>
      </c>
      <c r="S1991" s="10">
        <v>0.014173149533623254</v>
      </c>
      <c r="T1991" s="10">
        <v>20.934382803276435</v>
      </c>
      <c r="U1991" s="11">
        <v>0.2745215923941593</v>
      </c>
      <c r="V1991" s="11">
        <v>0.09470101312673307</v>
      </c>
      <c r="W1991" s="11">
        <v>0.027491846126486447</v>
      </c>
      <c r="X1991" s="11">
        <v>0.25415826794777696</v>
      </c>
      <c r="Y1991" s="11">
        <v>0.2936791533646692</v>
      </c>
      <c r="Z1991" s="11">
        <v>0.05544812704017495</v>
      </c>
    </row>
    <row r="1992" ht="22.5" customHeight="1">
      <c r="Q1992" s="9" t="s">
        <v>2030</v>
      </c>
      <c r="R1992" s="10">
        <v>0.6610912831335563</v>
      </c>
      <c r="S1992" s="10">
        <v>0.029668639665111546</v>
      </c>
      <c r="T1992" s="10">
        <v>20.93426898382269</v>
      </c>
      <c r="U1992" s="11">
        <v>0.15575877041108807</v>
      </c>
      <c r="V1992" s="11">
        <v>0.2094201702718039</v>
      </c>
      <c r="W1992" s="11">
        <v>0.17991166483089885</v>
      </c>
      <c r="X1992" s="11">
        <v>0.14599296230065972</v>
      </c>
      <c r="Y1992" s="11">
        <v>0.11560212772680617</v>
      </c>
      <c r="Z1992" s="11">
        <v>0.19331430445874326</v>
      </c>
    </row>
    <row r="1993" ht="22.5" customHeight="1">
      <c r="Q1993" s="9" t="s">
        <v>2031</v>
      </c>
      <c r="R1993" s="10">
        <v>0.5942602641463819</v>
      </c>
      <c r="S1993" s="10">
        <v>0.02647639611972847</v>
      </c>
      <c r="T1993" s="10">
        <v>20.93412795457398</v>
      </c>
      <c r="U1993" s="11">
        <v>0.13489307304066164</v>
      </c>
      <c r="V1993" s="11">
        <v>0.16261794298924157</v>
      </c>
      <c r="W1993" s="11">
        <v>0.1715935946177739</v>
      </c>
      <c r="X1993" s="11">
        <v>0.10882191621678963</v>
      </c>
      <c r="Y1993" s="11">
        <v>0.3113534764064181</v>
      </c>
      <c r="Z1993" s="11">
        <v>0.11071999672911505</v>
      </c>
    </row>
    <row r="1994" ht="22.5" customHeight="1">
      <c r="Q1994" s="9" t="s">
        <v>2032</v>
      </c>
      <c r="R1994" s="10">
        <v>0.5422401155846723</v>
      </c>
      <c r="S1994" s="10">
        <v>0.023991535736408935</v>
      </c>
      <c r="T1994" s="10">
        <v>20.934054455817336</v>
      </c>
      <c r="U1994" s="11">
        <v>0.19777327144083798</v>
      </c>
      <c r="V1994" s="11">
        <v>0.18295435082410014</v>
      </c>
      <c r="W1994" s="11">
        <v>0.12072798714608637</v>
      </c>
      <c r="X1994" s="11">
        <v>0.08867280795852661</v>
      </c>
      <c r="Y1994" s="11">
        <v>0.18141772188283203</v>
      </c>
      <c r="Z1994" s="11">
        <v>0.22845386074761684</v>
      </c>
    </row>
    <row r="1995" ht="22.5" customHeight="1">
      <c r="Q1995" s="9" t="s">
        <v>2033</v>
      </c>
      <c r="R1995" s="10">
        <v>0.4791160654542288</v>
      </c>
      <c r="S1995" s="10">
        <v>0.020976198098938734</v>
      </c>
      <c r="T1995" s="10">
        <v>20.93401594431192</v>
      </c>
      <c r="U1995" s="11">
        <v>0.2181851675830635</v>
      </c>
      <c r="V1995" s="11">
        <v>0.08547701986168352</v>
      </c>
      <c r="W1995" s="11">
        <v>0.15814348819841909</v>
      </c>
      <c r="X1995" s="11">
        <v>0.2144909514754348</v>
      </c>
      <c r="Y1995" s="11">
        <v>0.18808784686635005</v>
      </c>
      <c r="Z1995" s="11">
        <v>0.13561552601504906</v>
      </c>
    </row>
    <row r="1996" ht="22.5" customHeight="1">
      <c r="Q1996" s="9" t="s">
        <v>2034</v>
      </c>
      <c r="R1996" s="10">
        <v>0.5876106706156383</v>
      </c>
      <c r="S1996" s="10">
        <v>0.026159728325051815</v>
      </c>
      <c r="T1996" s="10">
        <v>20.933347006177428</v>
      </c>
      <c r="U1996" s="11">
        <v>0.24125497387127542</v>
      </c>
      <c r="V1996" s="11">
        <v>0.17006500551864803</v>
      </c>
      <c r="W1996" s="11">
        <v>0.16436835076372558</v>
      </c>
      <c r="X1996" s="11">
        <v>0.08042819324777482</v>
      </c>
      <c r="Y1996" s="11">
        <v>0.20928024773882786</v>
      </c>
      <c r="Z1996" s="11">
        <v>0.13460322885974818</v>
      </c>
    </row>
    <row r="1997" ht="22.5" customHeight="1">
      <c r="Q1997" s="9" t="s">
        <v>2035</v>
      </c>
      <c r="R1997" s="10">
        <v>0.3531753840152859</v>
      </c>
      <c r="S1997" s="10">
        <v>0.014960848489984272</v>
      </c>
      <c r="T1997" s="10">
        <v>20.932996161611097</v>
      </c>
      <c r="U1997" s="11">
        <v>0.20486072484720932</v>
      </c>
      <c r="V1997" s="11">
        <v>0.06308528394554015</v>
      </c>
      <c r="W1997" s="11">
        <v>0.0984323849314274</v>
      </c>
      <c r="X1997" s="11">
        <v>0.12967536244680833</v>
      </c>
      <c r="Y1997" s="11">
        <v>0.22267338281467158</v>
      </c>
      <c r="Z1997" s="11">
        <v>0.28127286101434323</v>
      </c>
    </row>
    <row r="1998" ht="22.5" customHeight="1">
      <c r="Q1998" s="9" t="s">
        <v>2036</v>
      </c>
      <c r="R1998" s="10">
        <v>0.6893062431881197</v>
      </c>
      <c r="S1998" s="10">
        <v>0.031018384505254546</v>
      </c>
      <c r="T1998" s="10">
        <v>20.932948428636784</v>
      </c>
      <c r="U1998" s="11">
        <v>0.0666060197699747</v>
      </c>
      <c r="V1998" s="11">
        <v>0.19905408192370758</v>
      </c>
      <c r="W1998" s="11">
        <v>0.20796647298328647</v>
      </c>
      <c r="X1998" s="11">
        <v>0.21935542699252167</v>
      </c>
      <c r="Y1998" s="11">
        <v>0.097058055680781</v>
      </c>
      <c r="Z1998" s="11">
        <v>0.2099599426497287</v>
      </c>
    </row>
    <row r="1999" ht="22.5" customHeight="1">
      <c r="Q1999" s="9" t="s">
        <v>2037</v>
      </c>
      <c r="R1999" s="10">
        <v>0.788335524782288</v>
      </c>
      <c r="S1999" s="10">
        <v>0.03575273988045896</v>
      </c>
      <c r="T1999" s="10">
        <v>20.930858090439628</v>
      </c>
      <c r="U1999" s="11">
        <v>0.02467555159834995</v>
      </c>
      <c r="V1999" s="11">
        <v>0.27541988670929873</v>
      </c>
      <c r="W1999" s="11">
        <v>0.18545350258974763</v>
      </c>
      <c r="X1999" s="11">
        <v>0.27241142435478</v>
      </c>
      <c r="Y1999" s="11">
        <v>0.24002415673323124</v>
      </c>
      <c r="Z1999" s="11">
        <v>0.002015478014592269</v>
      </c>
    </row>
    <row r="2000" ht="22.5" customHeight="1">
      <c r="Q2000" s="9" t="s">
        <v>2038</v>
      </c>
      <c r="R2000" s="10">
        <v>0.5455204316356609</v>
      </c>
      <c r="S2000" s="10">
        <v>0.024152173923081274</v>
      </c>
      <c r="T2000" s="10">
        <v>20.930638924910816</v>
      </c>
      <c r="U2000" s="11">
        <v>0.2507917165251489</v>
      </c>
      <c r="V2000" s="11">
        <v>0.1059003666499642</v>
      </c>
      <c r="W2000" s="11">
        <v>0.1839018655796542</v>
      </c>
      <c r="X2000" s="11">
        <v>0.2449525308725149</v>
      </c>
      <c r="Y2000" s="11">
        <v>0.1315586914255345</v>
      </c>
      <c r="Z2000" s="11">
        <v>0.08289482894718314</v>
      </c>
    </row>
    <row r="2001" ht="22.5" customHeight="1">
      <c r="Q2001" s="9" t="s">
        <v>2039</v>
      </c>
      <c r="R2001" s="10">
        <v>0.6881912008278883</v>
      </c>
      <c r="S2001" s="10">
        <v>0.030968605206988704</v>
      </c>
      <c r="T2001" s="10">
        <v>20.930590722297385</v>
      </c>
      <c r="U2001" s="11">
        <v>0.21416869695037025</v>
      </c>
      <c r="V2001" s="11">
        <v>0.21300660311456754</v>
      </c>
      <c r="W2001" s="11">
        <v>0.19451332677951355</v>
      </c>
      <c r="X2001" s="11">
        <v>0.19531035080185682</v>
      </c>
      <c r="Y2001" s="11">
        <v>0.003924227765458288</v>
      </c>
      <c r="Z2001" s="11">
        <v>0.17907679458823358</v>
      </c>
    </row>
    <row r="2002" ht="22.5" customHeight="1">
      <c r="Q2002" s="9" t="s">
        <v>2040</v>
      </c>
      <c r="R2002" s="10">
        <v>0.41499492604349747</v>
      </c>
      <c r="S2002" s="10">
        <v>0.0179164974917639</v>
      </c>
      <c r="T2002" s="10">
        <v>20.930146989716057</v>
      </c>
      <c r="U2002" s="11">
        <v>0.2239344219679191</v>
      </c>
      <c r="V2002" s="11">
        <v>0.07695216584490837</v>
      </c>
      <c r="W2002" s="11">
        <v>0.1272837580907197</v>
      </c>
      <c r="X2002" s="11">
        <v>0.1417813241593617</v>
      </c>
      <c r="Y2002" s="11">
        <v>0.21534186407057673</v>
      </c>
      <c r="Z2002" s="11">
        <v>0.21470646586651426</v>
      </c>
    </row>
    <row r="2003" ht="22.5" customHeight="1">
      <c r="Q2003" s="9" t="s">
        <v>2041</v>
      </c>
      <c r="R2003" s="10">
        <v>0.5825256992900785</v>
      </c>
      <c r="S2003" s="10">
        <v>0.025921633781156726</v>
      </c>
      <c r="T2003" s="10">
        <v>20.9294562167782</v>
      </c>
      <c r="U2003" s="11">
        <v>0.18906156191281706</v>
      </c>
      <c r="V2003" s="11">
        <v>0.1948493867299513</v>
      </c>
      <c r="W2003" s="11">
        <v>0.1345642222221024</v>
      </c>
      <c r="X2003" s="11">
        <v>0.09211497642544123</v>
      </c>
      <c r="Y2003" s="11">
        <v>0.22728659469534812</v>
      </c>
      <c r="Z2003" s="11">
        <v>0.16212325801433983</v>
      </c>
    </row>
    <row r="2004" ht="22.5" customHeight="1">
      <c r="Q2004" s="9" t="s">
        <v>2042</v>
      </c>
      <c r="R2004" s="10">
        <v>0.42683678140915343</v>
      </c>
      <c r="S2004" s="10">
        <v>0.01848295048831926</v>
      </c>
      <c r="T2004" s="10">
        <v>20.929384713421385</v>
      </c>
      <c r="U2004" s="11">
        <v>0.32859696048479886</v>
      </c>
      <c r="V2004" s="11">
        <v>0.12825469904750553</v>
      </c>
      <c r="W2004" s="11">
        <v>0.09148704979352121</v>
      </c>
      <c r="X2004" s="11">
        <v>0.052142251201690824</v>
      </c>
      <c r="Y2004" s="11">
        <v>0.1738430597287282</v>
      </c>
      <c r="Z2004" s="11">
        <v>0.22567597974375547</v>
      </c>
    </row>
    <row r="2005" ht="22.5" customHeight="1">
      <c r="Q2005" s="9" t="s">
        <v>2043</v>
      </c>
      <c r="R2005" s="10">
        <v>0.6648326383554577</v>
      </c>
      <c r="S2005" s="10">
        <v>0.029854518185806433</v>
      </c>
      <c r="T2005" s="10">
        <v>20.92924878126214</v>
      </c>
      <c r="U2005" s="11">
        <v>0.0762499446770885</v>
      </c>
      <c r="V2005" s="11">
        <v>0.18610921118842758</v>
      </c>
      <c r="W2005" s="11">
        <v>0.20293445806270186</v>
      </c>
      <c r="X2005" s="11">
        <v>0.19006322883583182</v>
      </c>
      <c r="Y2005" s="11">
        <v>0.1515360041104137</v>
      </c>
      <c r="Z2005" s="11">
        <v>0.19310715312553653</v>
      </c>
    </row>
    <row r="2006" ht="22.5" customHeight="1">
      <c r="Q2006" s="9" t="s">
        <v>2044</v>
      </c>
      <c r="R2006" s="10">
        <v>0.4881276172341694</v>
      </c>
      <c r="S2006" s="10">
        <v>0.021412615511943577</v>
      </c>
      <c r="T2006" s="10">
        <v>20.92820547701012</v>
      </c>
      <c r="U2006" s="11">
        <v>0.24352522285198677</v>
      </c>
      <c r="V2006" s="11">
        <v>0.09069860196257948</v>
      </c>
      <c r="W2006" s="11">
        <v>0.15961717932651923</v>
      </c>
      <c r="X2006" s="11">
        <v>0.19352641375760418</v>
      </c>
      <c r="Y2006" s="11">
        <v>0.20320839132943214</v>
      </c>
      <c r="Z2006" s="11">
        <v>0.10942419077187829</v>
      </c>
    </row>
    <row r="2007" ht="22.5" customHeight="1">
      <c r="Q2007" s="9" t="s">
        <v>2045</v>
      </c>
      <c r="R2007" s="10">
        <v>0.6124199285257064</v>
      </c>
      <c r="S2007" s="10">
        <v>0.02735161391965403</v>
      </c>
      <c r="T2007" s="10">
        <v>20.9281956891905</v>
      </c>
      <c r="U2007" s="11">
        <v>0.1671502373029617</v>
      </c>
      <c r="V2007" s="11">
        <v>0.14897587276655616</v>
      </c>
      <c r="W2007" s="11">
        <v>0.19593082605578258</v>
      </c>
      <c r="X2007" s="11">
        <v>0.17487812029791153</v>
      </c>
      <c r="Y2007" s="11">
        <v>0.21263075381484495</v>
      </c>
      <c r="Z2007" s="11">
        <v>0.1004341897619431</v>
      </c>
    </row>
    <row r="2008" ht="22.5" customHeight="1">
      <c r="Q2008" s="9" t="s">
        <v>2046</v>
      </c>
      <c r="R2008" s="10">
        <v>0.7615384807142813</v>
      </c>
      <c r="S2008" s="10">
        <v>0.0344775547470783</v>
      </c>
      <c r="T2008" s="10">
        <v>20.92777419997936</v>
      </c>
      <c r="U2008" s="11">
        <v>0.0705465143865762</v>
      </c>
      <c r="V2008" s="11">
        <v>0.2257291290087564</v>
      </c>
      <c r="W2008" s="11">
        <v>0.22607167864264308</v>
      </c>
      <c r="X2008" s="11">
        <v>0.23158967162292973</v>
      </c>
      <c r="Y2008" s="11">
        <v>0.16860549019291773</v>
      </c>
      <c r="Z2008" s="11">
        <v>0.07745751614617688</v>
      </c>
    </row>
    <row r="2009" ht="22.5" customHeight="1">
      <c r="Q2009" s="9" t="s">
        <v>2047</v>
      </c>
      <c r="R2009" s="10">
        <v>0.6411212657199966</v>
      </c>
      <c r="S2009" s="10">
        <v>0.028723851174183912</v>
      </c>
      <c r="T2009" s="10">
        <v>20.9275999264425</v>
      </c>
      <c r="U2009" s="11">
        <v>0.081656448417084</v>
      </c>
      <c r="V2009" s="11">
        <v>0.18067173892357483</v>
      </c>
      <c r="W2009" s="11">
        <v>0.19352775234074426</v>
      </c>
      <c r="X2009" s="11">
        <v>0.1690996634360338</v>
      </c>
      <c r="Y2009" s="11">
        <v>0.15373961510913386</v>
      </c>
      <c r="Z2009" s="11">
        <v>0.22130478177342922</v>
      </c>
    </row>
    <row r="2010" ht="22.5" customHeight="1">
      <c r="Q2010" s="9" t="s">
        <v>2048</v>
      </c>
      <c r="R2010" s="10">
        <v>0.522331348251574</v>
      </c>
      <c r="S2010" s="10">
        <v>0.03152924833516323</v>
      </c>
      <c r="T2010" s="10">
        <v>20.92754376780571</v>
      </c>
      <c r="U2010" s="11">
        <v>0.1627532509231855</v>
      </c>
      <c r="V2010" s="11">
        <v>0.23583398678052855</v>
      </c>
      <c r="W2010" s="11">
        <v>0.17532963376186084</v>
      </c>
      <c r="X2010" s="11">
        <v>0.16283201242797904</v>
      </c>
      <c r="Y2010" s="11">
        <v>0.15320021226318545</v>
      </c>
      <c r="Z2010" s="11">
        <v>0.1100509038432606</v>
      </c>
    </row>
    <row r="2011" ht="22.5" customHeight="1">
      <c r="Q2011" s="9" t="s">
        <v>2049</v>
      </c>
      <c r="R2011" s="10">
        <v>0.47372498864008766</v>
      </c>
      <c r="S2011" s="10">
        <v>0.020725295384099653</v>
      </c>
      <c r="T2011" s="10">
        <v>20.927324827072884</v>
      </c>
      <c r="U2011" s="11">
        <v>0.20003331208814917</v>
      </c>
      <c r="V2011" s="11">
        <v>0.1745210589613939</v>
      </c>
      <c r="W2011" s="11">
        <v>0.06315236609070203</v>
      </c>
      <c r="X2011" s="11">
        <v>0.21910050927657032</v>
      </c>
      <c r="Y2011" s="11">
        <v>0.15974107603296195</v>
      </c>
      <c r="Z2011" s="11">
        <v>0.18345167755022257</v>
      </c>
    </row>
    <row r="2012" ht="22.5" customHeight="1">
      <c r="Q2012" s="9" t="s">
        <v>2050</v>
      </c>
      <c r="R2012" s="10">
        <v>0.6415084773748589</v>
      </c>
      <c r="S2012" s="10">
        <v>0.028742853915646075</v>
      </c>
      <c r="T2012" s="10">
        <v>20.92723565795357</v>
      </c>
      <c r="U2012" s="11">
        <v>0.06485558238657553</v>
      </c>
      <c r="V2012" s="11">
        <v>0.21271597731480096</v>
      </c>
      <c r="W2012" s="11">
        <v>0.16410106063285174</v>
      </c>
      <c r="X2012" s="11">
        <v>0.1630867675342897</v>
      </c>
      <c r="Y2012" s="11">
        <v>0.12359534667352946</v>
      </c>
      <c r="Z2012" s="11">
        <v>0.2716452654579525</v>
      </c>
    </row>
    <row r="2013" ht="22.5" customHeight="1">
      <c r="Q2013" s="9" t="s">
        <v>2051</v>
      </c>
      <c r="R2013" s="10">
        <v>0.43985882558188266</v>
      </c>
      <c r="S2013" s="10">
        <v>0.019107516608962958</v>
      </c>
      <c r="T2013" s="10">
        <v>20.92678152608889</v>
      </c>
      <c r="U2013" s="11">
        <v>0.21905780838893796</v>
      </c>
      <c r="V2013" s="11">
        <v>0.1600117748727182</v>
      </c>
      <c r="W2013" s="11">
        <v>0.048451015488095946</v>
      </c>
      <c r="X2013" s="11">
        <v>0.25016839818189673</v>
      </c>
      <c r="Y2013" s="11">
        <v>0.15706824302898642</v>
      </c>
      <c r="Z2013" s="11">
        <v>0.1652427600393648</v>
      </c>
    </row>
    <row r="2014" ht="22.5" customHeight="1">
      <c r="Q2014" s="9" t="s">
        <v>2052</v>
      </c>
      <c r="R2014" s="10">
        <v>0.7056499665761161</v>
      </c>
      <c r="S2014" s="10">
        <v>0.03180870070569636</v>
      </c>
      <c r="T2014" s="10">
        <v>20.926663202464926</v>
      </c>
      <c r="U2014" s="11">
        <v>0.06765837081391002</v>
      </c>
      <c r="V2014" s="11">
        <v>0.26205436367360035</v>
      </c>
      <c r="W2014" s="11">
        <v>0.13961726059266202</v>
      </c>
      <c r="X2014" s="11">
        <v>0.3700260119037243</v>
      </c>
      <c r="Y2014" s="11">
        <v>0.015877777016463174</v>
      </c>
      <c r="Z2014" s="11">
        <v>0.1447662159996402</v>
      </c>
    </row>
    <row r="2015" ht="22.5" customHeight="1">
      <c r="Q2015" s="9" t="s">
        <v>2053</v>
      </c>
      <c r="R2015" s="10">
        <v>0.5693137698319058</v>
      </c>
      <c r="S2015" s="10">
        <v>0.02529402524212618</v>
      </c>
      <c r="T2015" s="10">
        <v>20.92643479102547</v>
      </c>
      <c r="U2015" s="11">
        <v>0.17557369336714104</v>
      </c>
      <c r="V2015" s="11">
        <v>0.21079719193633484</v>
      </c>
      <c r="W2015" s="11">
        <v>0.10152855983072871</v>
      </c>
      <c r="X2015" s="11">
        <v>0.20527905268448318</v>
      </c>
      <c r="Y2015" s="11">
        <v>0.1203587125182479</v>
      </c>
      <c r="Z2015" s="11">
        <v>0.1864627896630643</v>
      </c>
    </row>
    <row r="2016" ht="22.5" customHeight="1">
      <c r="Q2016" s="9" t="s">
        <v>2054</v>
      </c>
      <c r="R2016" s="10">
        <v>0.6428018062766325</v>
      </c>
      <c r="S2016" s="10">
        <v>0.028805797634223383</v>
      </c>
      <c r="T2016" s="10">
        <v>20.926405646912553</v>
      </c>
      <c r="U2016" s="11">
        <v>0.14956918936361102</v>
      </c>
      <c r="V2016" s="11">
        <v>0.2009848904421994</v>
      </c>
      <c r="W2016" s="11">
        <v>0.17469325064600263</v>
      </c>
      <c r="X2016" s="11">
        <v>0.11951012927285998</v>
      </c>
      <c r="Y2016" s="11">
        <v>0.1767986373147658</v>
      </c>
      <c r="Z2016" s="11">
        <v>0.17844390296056112</v>
      </c>
    </row>
    <row r="2017" ht="22.5" customHeight="1">
      <c r="Q2017" s="9" t="s">
        <v>2055</v>
      </c>
      <c r="R2017" s="10">
        <v>0.5930318233742206</v>
      </c>
      <c r="S2017" s="10">
        <v>0.026428171329655064</v>
      </c>
      <c r="T2017" s="10">
        <v>20.92584524581401</v>
      </c>
      <c r="U2017" s="11">
        <v>0.06876926036283382</v>
      </c>
      <c r="V2017" s="11">
        <v>0.13033904684659264</v>
      </c>
      <c r="W2017" s="11">
        <v>0.19568221934285895</v>
      </c>
      <c r="X2017" s="11">
        <v>0.24235026656779676</v>
      </c>
      <c r="Y2017" s="11">
        <v>0.23803855265415044</v>
      </c>
      <c r="Z2017" s="11">
        <v>0.1248206542257674</v>
      </c>
    </row>
    <row r="2018" ht="22.5" customHeight="1">
      <c r="Q2018" s="9" t="s">
        <v>2056</v>
      </c>
      <c r="R2018" s="10">
        <v>0.49271651923030346</v>
      </c>
      <c r="S2018" s="10">
        <v>0.021635332290664732</v>
      </c>
      <c r="T2018" s="10">
        <v>20.92487016830533</v>
      </c>
      <c r="U2018" s="11">
        <v>0.17209246077081639</v>
      </c>
      <c r="V2018" s="11">
        <v>0.06958698840860902</v>
      </c>
      <c r="W2018" s="11">
        <v>0.16497350412810402</v>
      </c>
      <c r="X2018" s="11">
        <v>0.35854176343495714</v>
      </c>
      <c r="Y2018" s="11">
        <v>0.2306022022887689</v>
      </c>
      <c r="Z2018" s="11">
        <v>0.00420308096874455</v>
      </c>
    </row>
    <row r="2019" ht="22.5" customHeight="1">
      <c r="Q2019" s="9" t="s">
        <v>2057</v>
      </c>
      <c r="R2019" s="10">
        <v>0.6663432565689276</v>
      </c>
      <c r="S2019" s="10">
        <v>0.029933770352614485</v>
      </c>
      <c r="T2019" s="10">
        <v>20.92430219082713</v>
      </c>
      <c r="U2019" s="11">
        <v>0.2995719069931011</v>
      </c>
      <c r="V2019" s="11">
        <v>0.20960035241893735</v>
      </c>
      <c r="W2019" s="11">
        <v>0.17936887339892024</v>
      </c>
      <c r="X2019" s="11">
        <v>0.12004939212662959</v>
      </c>
      <c r="Y2019" s="11">
        <v>0.11387369564319987</v>
      </c>
      <c r="Z2019" s="11">
        <v>0.07753577941921187</v>
      </c>
    </row>
    <row r="2020" ht="22.5" customHeight="1">
      <c r="Q2020" s="9" t="s">
        <v>2058</v>
      </c>
      <c r="R2020" s="10">
        <v>0.698380416793121</v>
      </c>
      <c r="S2020" s="10">
        <v>0.03146531329326992</v>
      </c>
      <c r="T2020" s="10">
        <v>20.924006402120945</v>
      </c>
      <c r="U2020" s="11">
        <v>0.11599965830514274</v>
      </c>
      <c r="V2020" s="11">
        <v>0.22908239940591796</v>
      </c>
      <c r="W2020" s="11">
        <v>0.18088122879163504</v>
      </c>
      <c r="X2020" s="11">
        <v>0.1530720349239437</v>
      </c>
      <c r="Y2020" s="11">
        <v>0.21211819024808645</v>
      </c>
      <c r="Z2020" s="11">
        <v>0.10884648832527404</v>
      </c>
    </row>
    <row r="2021" ht="22.5" customHeight="1">
      <c r="Q2021" s="9" t="s">
        <v>2059</v>
      </c>
      <c r="R2021" s="10">
        <v>0.719862094819219</v>
      </c>
      <c r="S2021" s="10">
        <v>0.032492819149081885</v>
      </c>
      <c r="T2021" s="10">
        <v>20.92345670900117</v>
      </c>
      <c r="U2021" s="11">
        <v>0.06898222044874763</v>
      </c>
      <c r="V2021" s="11">
        <v>0.20634555030638943</v>
      </c>
      <c r="W2021" s="11">
        <v>0.22021508647328528</v>
      </c>
      <c r="X2021" s="11">
        <v>0.28243725009521425</v>
      </c>
      <c r="Y2021" s="11">
        <v>0.01562322789723002</v>
      </c>
      <c r="Z2021" s="11">
        <v>0.20639666477913338</v>
      </c>
    </row>
    <row r="2022" ht="22.5" customHeight="1">
      <c r="Q2022" s="9" t="s">
        <v>2060</v>
      </c>
      <c r="R2022" s="10">
        <v>0.6494871699226146</v>
      </c>
      <c r="S2022" s="10">
        <v>0.02912953944511081</v>
      </c>
      <c r="T2022" s="10">
        <v>20.923336981385496</v>
      </c>
      <c r="U2022" s="11">
        <v>0.1652263228328056</v>
      </c>
      <c r="V2022" s="11">
        <v>0.15859127618033486</v>
      </c>
      <c r="W2022" s="11">
        <v>0.20675232469550076</v>
      </c>
      <c r="X2022" s="11">
        <v>0.19081993450494672</v>
      </c>
      <c r="Y2022" s="11">
        <v>0.2721252976248133</v>
      </c>
      <c r="Z2022" s="11">
        <v>0.006484844161598771</v>
      </c>
    </row>
    <row r="2023" ht="22.5" customHeight="1">
      <c r="Q2023" s="9" t="s">
        <v>2061</v>
      </c>
      <c r="R2023" s="10">
        <v>0.5708838852026451</v>
      </c>
      <c r="S2023" s="10">
        <v>0.025373677646182688</v>
      </c>
      <c r="T2023" s="10">
        <v>20.92262275123974</v>
      </c>
      <c r="U2023" s="11">
        <v>0.13531243960252218</v>
      </c>
      <c r="V2023" s="11">
        <v>0.12039030575490985</v>
      </c>
      <c r="W2023" s="11">
        <v>0.1879795124747663</v>
      </c>
      <c r="X2023" s="11">
        <v>0.21969400262829927</v>
      </c>
      <c r="Y2023" s="11">
        <v>0.2550782373716466</v>
      </c>
      <c r="Z2023" s="11">
        <v>0.081545502167856</v>
      </c>
    </row>
    <row r="2024" ht="22.5" customHeight="1">
      <c r="Q2024" s="9" t="s">
        <v>2062</v>
      </c>
      <c r="R2024" s="10">
        <v>0.522331348251574</v>
      </c>
      <c r="S2024" s="10">
        <v>0.022200926621134716</v>
      </c>
      <c r="T2024" s="10">
        <v>20.921888166182203</v>
      </c>
      <c r="U2024" s="11">
        <v>0.0973787051247624</v>
      </c>
      <c r="V2024" s="11">
        <v>0.18063293421645668</v>
      </c>
      <c r="W2024" s="11">
        <v>0.07188946180636528</v>
      </c>
      <c r="X2024" s="11">
        <v>0.2238372949044551</v>
      </c>
      <c r="Y2024" s="11">
        <v>0.329728184300777</v>
      </c>
      <c r="Z2024" s="11">
        <v>0.09653341964718355</v>
      </c>
    </row>
    <row r="2025" ht="22.5" customHeight="1">
      <c r="Q2025" s="9" t="s">
        <v>2063</v>
      </c>
      <c r="R2025" s="10">
        <v>0.7495746648336867</v>
      </c>
      <c r="S2025" s="10">
        <v>0.03391557504493753</v>
      </c>
      <c r="T2025" s="10">
        <v>20.921793715527837</v>
      </c>
      <c r="U2025" s="11">
        <v>0.10039100034086146</v>
      </c>
      <c r="V2025" s="11">
        <v>0.26853647149065313</v>
      </c>
      <c r="W2025" s="11">
        <v>0.1655160679350861</v>
      </c>
      <c r="X2025" s="11">
        <v>0.24918302929421657</v>
      </c>
      <c r="Y2025" s="11">
        <v>0.20736258695393858</v>
      </c>
      <c r="Z2025" s="11">
        <v>0.009010843985244104</v>
      </c>
    </row>
    <row r="2026" ht="22.5" customHeight="1">
      <c r="Q2026" s="9" t="s">
        <v>2064</v>
      </c>
      <c r="R2026" s="10">
        <v>0.5143736060966205</v>
      </c>
      <c r="S2026" s="10">
        <v>0.02267379607319532</v>
      </c>
      <c r="T2026" s="10">
        <v>20.92166678068606</v>
      </c>
      <c r="U2026" s="11">
        <v>0.1696058584038966</v>
      </c>
      <c r="V2026" s="11">
        <v>0.19049932418858453</v>
      </c>
      <c r="W2026" s="11">
        <v>0.07810965333860233</v>
      </c>
      <c r="X2026" s="11">
        <v>0.20617099675930442</v>
      </c>
      <c r="Y2026" s="11">
        <v>0.18142310401454453</v>
      </c>
      <c r="Z2026" s="11">
        <v>0.17419106329506762</v>
      </c>
    </row>
    <row r="2027" ht="22.5" customHeight="1">
      <c r="Q2027" s="9" t="s">
        <v>2065</v>
      </c>
      <c r="R2027" s="10">
        <v>0.5172857223358562</v>
      </c>
      <c r="S2027" s="10">
        <v>0.022813009675420333</v>
      </c>
      <c r="T2027" s="10">
        <v>20.921646425728007</v>
      </c>
      <c r="U2027" s="11">
        <v>0.3820410062732464</v>
      </c>
      <c r="V2027" s="11">
        <v>0.12194391096547864</v>
      </c>
      <c r="W2027" s="11">
        <v>0.16009484330903487</v>
      </c>
      <c r="X2027" s="11">
        <v>0.15678430666415147</v>
      </c>
      <c r="Y2027" s="11">
        <v>0.0062783872170979775</v>
      </c>
      <c r="Z2027" s="11">
        <v>0.17285754557099073</v>
      </c>
    </row>
    <row r="2028" ht="22.5" customHeight="1">
      <c r="Q2028" s="9" t="s">
        <v>2066</v>
      </c>
      <c r="R2028" s="10">
        <v>0.63502933641195</v>
      </c>
      <c r="S2028" s="10">
        <v>0.028441039077627014</v>
      </c>
      <c r="T2028" s="10">
        <v>20.921504829267175</v>
      </c>
      <c r="U2028" s="11">
        <v>0.22497461260005316</v>
      </c>
      <c r="V2028" s="11">
        <v>0.17680181185486993</v>
      </c>
      <c r="W2028" s="11">
        <v>0.1852001908315388</v>
      </c>
      <c r="X2028" s="11">
        <v>0.10861126551908735</v>
      </c>
      <c r="Y2028" s="11">
        <v>0.26574334029417196</v>
      </c>
      <c r="Z2028" s="11">
        <v>0.0386687789002788</v>
      </c>
    </row>
    <row r="2029" ht="22.5" customHeight="1">
      <c r="Q2029" s="9" t="s">
        <v>2067</v>
      </c>
      <c r="R2029" s="10">
        <v>0.6818036721296288</v>
      </c>
      <c r="S2029" s="10">
        <v>0.030676758863038386</v>
      </c>
      <c r="T2029" s="10">
        <v>20.921495487677515</v>
      </c>
      <c r="U2029" s="11">
        <v>0.15310678417328605</v>
      </c>
      <c r="V2029" s="11">
        <v>0.24380116267509921</v>
      </c>
      <c r="W2029" s="11">
        <v>0.14451378147155927</v>
      </c>
      <c r="X2029" s="11">
        <v>0.1912243613607058</v>
      </c>
      <c r="Y2029" s="11">
        <v>0.2338762686161559</v>
      </c>
      <c r="Z2029" s="11">
        <v>0.0334776417031937</v>
      </c>
    </row>
    <row r="2030" ht="22.5" customHeight="1">
      <c r="Q2030" s="9" t="s">
        <v>2068</v>
      </c>
      <c r="R2030" s="10">
        <v>0.6410342439647365</v>
      </c>
      <c r="S2030" s="10">
        <v>0.02872810413874276</v>
      </c>
      <c r="T2030" s="10">
        <v>20.921472613091126</v>
      </c>
      <c r="U2030" s="11">
        <v>0.16363358112186355</v>
      </c>
      <c r="V2030" s="11">
        <v>0.17295707798831728</v>
      </c>
      <c r="W2030" s="11">
        <v>0.19863354394680016</v>
      </c>
      <c r="X2030" s="11">
        <v>0.16436325493837328</v>
      </c>
      <c r="Y2030" s="11">
        <v>0.14152617561077427</v>
      </c>
      <c r="Z2030" s="11">
        <v>0.15888636639387138</v>
      </c>
    </row>
    <row r="2031" ht="22.5" customHeight="1">
      <c r="Q2031" s="9" t="s">
        <v>2069</v>
      </c>
      <c r="R2031" s="10">
        <v>0.4580958317403062</v>
      </c>
      <c r="S2031" s="10">
        <v>0.019984198759219203</v>
      </c>
      <c r="T2031" s="10">
        <v>20.92132072832934</v>
      </c>
      <c r="U2031" s="11">
        <v>0.22595269177071273</v>
      </c>
      <c r="V2031" s="11">
        <v>0.11304191033815088</v>
      </c>
      <c r="W2031" s="11">
        <v>0.12842357090258863</v>
      </c>
      <c r="X2031" s="11">
        <v>0.06569918720013979</v>
      </c>
      <c r="Y2031" s="11">
        <v>0.2533052110719255</v>
      </c>
      <c r="Z2031" s="11">
        <v>0.2135774287164825</v>
      </c>
    </row>
    <row r="2032" ht="22.5" customHeight="1">
      <c r="Q2032" s="9" t="s">
        <v>2070</v>
      </c>
      <c r="R2032" s="10">
        <v>0.5688677988638469</v>
      </c>
      <c r="S2032" s="10">
        <v>0.025279377743149305</v>
      </c>
      <c r="T2032" s="10">
        <v>20.920918395911453</v>
      </c>
      <c r="U2032" s="11">
        <v>0.12148567013653418</v>
      </c>
      <c r="V2032" s="11">
        <v>0.21128777878936297</v>
      </c>
      <c r="W2032" s="11">
        <v>0.1024526294446288</v>
      </c>
      <c r="X2032" s="11">
        <v>0.22244956879495947</v>
      </c>
      <c r="Y2032" s="11">
        <v>0.10501760063570033</v>
      </c>
      <c r="Z2032" s="11">
        <v>0.2373067521988144</v>
      </c>
    </row>
    <row r="2033" ht="22.5" customHeight="1">
      <c r="Q2033" s="9" t="s">
        <v>2071</v>
      </c>
      <c r="R2033" s="10">
        <v>0.5156293503371653</v>
      </c>
      <c r="S2033" s="10">
        <v>0.02273473759065125</v>
      </c>
      <c r="T2033" s="10">
        <v>20.920819888097093</v>
      </c>
      <c r="U2033" s="11">
        <v>0.2666042151513828</v>
      </c>
      <c r="V2033" s="11">
        <v>0.18984001646160184</v>
      </c>
      <c r="W2033" s="11">
        <v>0.07045446371536628</v>
      </c>
      <c r="X2033" s="11">
        <v>0.23082013486428046</v>
      </c>
      <c r="Y2033" s="11">
        <v>0.19105261238119026</v>
      </c>
      <c r="Z2033" s="11">
        <v>0.05122855742617847</v>
      </c>
    </row>
    <row r="2034" ht="22.5" customHeight="1">
      <c r="Q2034" s="9" t="s">
        <v>2072</v>
      </c>
      <c r="R2034" s="10">
        <v>0.4815237532936635</v>
      </c>
      <c r="S2034" s="10">
        <v>0.02110510850667537</v>
      </c>
      <c r="T2034" s="10">
        <v>20.920231381611387</v>
      </c>
      <c r="U2034" s="11">
        <v>0.23263712383695861</v>
      </c>
      <c r="V2034" s="11">
        <v>0.10437580671972735</v>
      </c>
      <c r="W2034" s="11">
        <v>0.14584395924736518</v>
      </c>
      <c r="X2034" s="11">
        <v>0.11425677673753253</v>
      </c>
      <c r="Y2034" s="11">
        <v>0.2816363793802947</v>
      </c>
      <c r="Z2034" s="11">
        <v>0.12124995407812168</v>
      </c>
    </row>
    <row r="2035" ht="22.5" customHeight="1">
      <c r="Q2035" s="9" t="s">
        <v>2073</v>
      </c>
      <c r="R2035" s="10">
        <v>0.6520146926968975</v>
      </c>
      <c r="S2035" s="10">
        <v>0.02925488517890893</v>
      </c>
      <c r="T2035" s="10">
        <v>20.92008527649681</v>
      </c>
      <c r="U2035" s="11">
        <v>0.2638733992657148</v>
      </c>
      <c r="V2035" s="11">
        <v>0.20715124718055195</v>
      </c>
      <c r="W2035" s="11">
        <v>0.16714020389507864</v>
      </c>
      <c r="X2035" s="11">
        <v>0.0956149388372032</v>
      </c>
      <c r="Y2035" s="11">
        <v>0.2429997101011326</v>
      </c>
      <c r="Z2035" s="11">
        <v>0.023220500720318803</v>
      </c>
    </row>
    <row r="2036" ht="22.5" customHeight="1">
      <c r="Q2036" s="9" t="s">
        <v>2074</v>
      </c>
      <c r="R2036" s="10">
        <v>0.809538787687378</v>
      </c>
      <c r="S2036" s="10">
        <v>0.03678494958622206</v>
      </c>
      <c r="T2036" s="10">
        <v>20.919935907037686</v>
      </c>
      <c r="U2036" s="11">
        <v>0.036599328985272364</v>
      </c>
      <c r="V2036" s="11">
        <v>0.280688325901599</v>
      </c>
      <c r="W2036" s="11">
        <v>0.19981932776423422</v>
      </c>
      <c r="X2036" s="11">
        <v>0.297998285655539</v>
      </c>
      <c r="Y2036" s="11">
        <v>0.1259796909832151</v>
      </c>
      <c r="Z2036" s="11">
        <v>0.0589150407101404</v>
      </c>
    </row>
    <row r="2037" ht="22.5" customHeight="1">
      <c r="Q2037" s="9" t="s">
        <v>2075</v>
      </c>
      <c r="R2037" s="10">
        <v>0.7119827009695581</v>
      </c>
      <c r="S2037" s="10">
        <v>0.03212166527009517</v>
      </c>
      <c r="T2037" s="10">
        <v>20.91992103520127</v>
      </c>
      <c r="U2037" s="11">
        <v>0.2790010247625276</v>
      </c>
      <c r="V2037" s="11">
        <v>0.23261136150067185</v>
      </c>
      <c r="W2037" s="11">
        <v>0.18811311144976478</v>
      </c>
      <c r="X2037" s="11">
        <v>0.17842536802957717</v>
      </c>
      <c r="Y2037" s="11">
        <v>0.03227745768580455</v>
      </c>
      <c r="Z2037" s="11">
        <v>0.0895716765716542</v>
      </c>
    </row>
    <row r="2038" ht="22.5" customHeight="1">
      <c r="Q2038" s="9" t="s">
        <v>2076</v>
      </c>
      <c r="R2038" s="10">
        <v>0.7361317481945056</v>
      </c>
      <c r="S2038" s="10">
        <v>0.033276190144372476</v>
      </c>
      <c r="T2038" s="10">
        <v>20.919815194415587</v>
      </c>
      <c r="U2038" s="11">
        <v>0.24288208931756847</v>
      </c>
      <c r="V2038" s="11">
        <v>0.26051643520956685</v>
      </c>
      <c r="W2038" s="11">
        <v>0.17041050276821815</v>
      </c>
      <c r="X2038" s="11">
        <v>0.24653265350088904</v>
      </c>
      <c r="Y2038" s="11">
        <v>0.019351199859282964</v>
      </c>
      <c r="Z2038" s="11">
        <v>0.060307119344474434</v>
      </c>
    </row>
    <row r="2039" ht="22.5" customHeight="1">
      <c r="Q2039" s="9" t="s">
        <v>2077</v>
      </c>
      <c r="R2039" s="10">
        <v>0.7433177486787991</v>
      </c>
      <c r="S2039" s="10">
        <v>0.03361970713185768</v>
      </c>
      <c r="T2039" s="10">
        <v>20.91980593169244</v>
      </c>
      <c r="U2039" s="11">
        <v>0.11079210884191756</v>
      </c>
      <c r="V2039" s="11">
        <v>0.2225828794438429</v>
      </c>
      <c r="W2039" s="11">
        <v>0.21663604339160636</v>
      </c>
      <c r="X2039" s="11">
        <v>0.19026197876884612</v>
      </c>
      <c r="Y2039" s="11">
        <v>0.2049023571237879</v>
      </c>
      <c r="Z2039" s="11">
        <v>0.05482463242999911</v>
      </c>
    </row>
    <row r="2040" ht="22.5" customHeight="1">
      <c r="Q2040" s="9" t="s">
        <v>2078</v>
      </c>
      <c r="R2040" s="10">
        <v>0.7303013073887145</v>
      </c>
      <c r="S2040" s="10">
        <v>0.03299907824880312</v>
      </c>
      <c r="T2040" s="10">
        <v>20.918805737058786</v>
      </c>
      <c r="U2040" s="11">
        <v>0.1354759293023927</v>
      </c>
      <c r="V2040" s="11">
        <v>0.2124124777060538</v>
      </c>
      <c r="W2040" s="11">
        <v>0.22038870828198207</v>
      </c>
      <c r="X2040" s="11">
        <v>0.2139387066975526</v>
      </c>
      <c r="Y2040" s="11">
        <v>0.10698221846693538</v>
      </c>
      <c r="Z2040" s="11">
        <v>0.11080195954508361</v>
      </c>
    </row>
    <row r="2041" ht="22.5" customHeight="1">
      <c r="Q2041" s="9" t="s">
        <v>2079</v>
      </c>
      <c r="R2041" s="10">
        <v>0.7353940878907421</v>
      </c>
      <c r="S2041" s="10">
        <v>0.033242646649593664</v>
      </c>
      <c r="T2041" s="10">
        <v>20.918734155580303</v>
      </c>
      <c r="U2041" s="11">
        <v>3.724779836845163E-5</v>
      </c>
      <c r="V2041" s="11">
        <v>0.26280020133679294</v>
      </c>
      <c r="W2041" s="11">
        <v>0.16211447322916453</v>
      </c>
      <c r="X2041" s="11">
        <v>0.26440962635666143</v>
      </c>
      <c r="Y2041" s="11">
        <v>0.24012115356926772</v>
      </c>
      <c r="Z2041" s="11">
        <v>0.07051729770974494</v>
      </c>
    </row>
    <row r="2042" ht="22.5" customHeight="1">
      <c r="Q2042" s="9" t="s">
        <v>2080</v>
      </c>
      <c r="R2042" s="10">
        <v>0.565635736745943</v>
      </c>
      <c r="S2042" s="10">
        <v>0.02512768119362844</v>
      </c>
      <c r="T2042" s="10">
        <v>20.91859303273981</v>
      </c>
      <c r="U2042" s="11">
        <v>0.14431276881303856</v>
      </c>
      <c r="V2042" s="11">
        <v>0.2038541171089059</v>
      </c>
      <c r="W2042" s="11">
        <v>0.10132616037046482</v>
      </c>
      <c r="X2042" s="11">
        <v>0.16877208280517478</v>
      </c>
      <c r="Y2042" s="11">
        <v>0.27552934107749316</v>
      </c>
      <c r="Z2042" s="11">
        <v>0.10620552982492275</v>
      </c>
    </row>
    <row r="2043" ht="22.5" customHeight="1">
      <c r="Q2043" s="9" t="s">
        <v>2081</v>
      </c>
      <c r="R2043" s="10">
        <v>0.4467968587706384</v>
      </c>
      <c r="S2043" s="10">
        <v>0.019446796594389353</v>
      </c>
      <c r="T2043" s="10">
        <v>20.918450851077676</v>
      </c>
      <c r="U2043" s="11">
        <v>0.1906435814852272</v>
      </c>
      <c r="V2043" s="11">
        <v>0.16205210600115216</v>
      </c>
      <c r="W2043" s="11">
        <v>0.06295578346300143</v>
      </c>
      <c r="X2043" s="11">
        <v>0.182010220094011</v>
      </c>
      <c r="Y2043" s="11">
        <v>0.145032778783666</v>
      </c>
      <c r="Z2043" s="11">
        <v>0.2573055301729423</v>
      </c>
    </row>
    <row r="2044" ht="22.5" customHeight="1">
      <c r="Q2044" s="9" t="s">
        <v>2082</v>
      </c>
      <c r="R2044" s="10">
        <v>0.760273273648868</v>
      </c>
      <c r="S2044" s="10">
        <v>0.03443291992994031</v>
      </c>
      <c r="T2044" s="10">
        <v>20.91815841103187</v>
      </c>
      <c r="U2044" s="11">
        <v>0.18267580050827717</v>
      </c>
      <c r="V2044" s="11">
        <v>0.24332046401758695</v>
      </c>
      <c r="W2044" s="11">
        <v>0.2107655950082716</v>
      </c>
      <c r="X2044" s="11">
        <v>0.22303610619664593</v>
      </c>
      <c r="Y2044" s="11">
        <v>0.0451182279016305</v>
      </c>
      <c r="Z2044" s="11">
        <v>0.0950838063675879</v>
      </c>
    </row>
    <row r="2045" ht="22.5" customHeight="1">
      <c r="Q2045" s="9" t="s">
        <v>2083</v>
      </c>
      <c r="R2045" s="10">
        <v>0.6118590937449392</v>
      </c>
      <c r="S2045" s="10">
        <v>0.02733897558320059</v>
      </c>
      <c r="T2045" s="10">
        <v>20.917356321732054</v>
      </c>
      <c r="U2045" s="11">
        <v>0.038985105111419</v>
      </c>
      <c r="V2045" s="11">
        <v>0.15417035845810803</v>
      </c>
      <c r="W2045" s="11">
        <v>0.19230738848337686</v>
      </c>
      <c r="X2045" s="11">
        <v>0.18593683868995345</v>
      </c>
      <c r="Y2045" s="11">
        <v>0.2569539959012661</v>
      </c>
      <c r="Z2045" s="11">
        <v>0.1716463133558766</v>
      </c>
    </row>
    <row r="2046" ht="22.5" customHeight="1">
      <c r="Q2046" s="9" t="s">
        <v>2084</v>
      </c>
      <c r="R2046" s="10">
        <v>0.392358571305617</v>
      </c>
      <c r="S2046" s="10">
        <v>0.01684575635502436</v>
      </c>
      <c r="T2046" s="10">
        <v>20.916755762083888</v>
      </c>
      <c r="U2046" s="11">
        <v>0.2621562008493256</v>
      </c>
      <c r="V2046" s="11">
        <v>0.13143678576255569</v>
      </c>
      <c r="W2046" s="11">
        <v>0.03749243485381806</v>
      </c>
      <c r="X2046" s="11">
        <v>0.2264818108649982</v>
      </c>
      <c r="Y2046" s="11">
        <v>0.24989938855803293</v>
      </c>
      <c r="Z2046" s="11">
        <v>0.09253337911126946</v>
      </c>
    </row>
    <row r="2047" ht="22.5" customHeight="1">
      <c r="Q2047" s="9" t="s">
        <v>2085</v>
      </c>
      <c r="R2047" s="10">
        <v>0.6370624802599122</v>
      </c>
      <c r="S2047" s="10">
        <v>0.028545670431835334</v>
      </c>
      <c r="T2047" s="10">
        <v>20.916043351850757</v>
      </c>
      <c r="U2047" s="11">
        <v>0.20546449733431926</v>
      </c>
      <c r="V2047" s="11">
        <v>0.1838682096140469</v>
      </c>
      <c r="W2047" s="11">
        <v>0.18401983298815547</v>
      </c>
      <c r="X2047" s="11">
        <v>0.10787136069023988</v>
      </c>
      <c r="Y2047" s="11">
        <v>0.2168407657504362</v>
      </c>
      <c r="Z2047" s="11">
        <v>0.10193533362280235</v>
      </c>
    </row>
    <row r="2048" ht="22.5" customHeight="1">
      <c r="Q2048" s="9" t="s">
        <v>2086</v>
      </c>
      <c r="R2048" s="10">
        <v>0.5151921640387283</v>
      </c>
      <c r="S2048" s="10">
        <v>0.02271935537188399</v>
      </c>
      <c r="T2048" s="10">
        <v>20.915741501486238</v>
      </c>
      <c r="U2048" s="11">
        <v>0.15865798016302618</v>
      </c>
      <c r="V2048" s="11">
        <v>0.10504546885117205</v>
      </c>
      <c r="W2048" s="11">
        <v>0.17221138397901328</v>
      </c>
      <c r="X2048" s="11">
        <v>0.24106479517797927</v>
      </c>
      <c r="Y2048" s="11">
        <v>0.07392960587104239</v>
      </c>
      <c r="Z2048" s="11">
        <v>0.2490907659577668</v>
      </c>
    </row>
    <row r="2049" ht="22.5" customHeight="1">
      <c r="Q2049" s="9" t="s">
        <v>2087</v>
      </c>
      <c r="R2049" s="10">
        <v>0.4238325413028332</v>
      </c>
      <c r="S2049" s="10">
        <v>0.01835157512688612</v>
      </c>
      <c r="T2049" s="10">
        <v>20.915509358131136</v>
      </c>
      <c r="U2049" s="11">
        <v>0.29431057244104347</v>
      </c>
      <c r="V2049" s="11">
        <v>0.1428185600284452</v>
      </c>
      <c r="W2049" s="11">
        <v>0.05314879888552117</v>
      </c>
      <c r="X2049" s="11">
        <v>0.1704629457298651</v>
      </c>
      <c r="Y2049" s="11">
        <v>0.2678718163406187</v>
      </c>
      <c r="Z2049" s="11">
        <v>0.07138730657450645</v>
      </c>
    </row>
    <row r="2050" ht="22.5" customHeight="1">
      <c r="Q2050" s="9" t="s">
        <v>2088</v>
      </c>
      <c r="R2050" s="10">
        <v>0.7901056557705357</v>
      </c>
      <c r="S2050" s="10">
        <v>0.035863878884024654</v>
      </c>
      <c r="T2050" s="10">
        <v>20.915352134558585</v>
      </c>
      <c r="U2050" s="11">
        <v>0.05748381660803155</v>
      </c>
      <c r="V2050" s="11">
        <v>0.23869607688071467</v>
      </c>
      <c r="W2050" s="11">
        <v>0.23108101410389031</v>
      </c>
      <c r="X2050" s="11">
        <v>0.24035273510212252</v>
      </c>
      <c r="Y2050" s="11">
        <v>0.1953151100527074</v>
      </c>
      <c r="Z2050" s="11">
        <v>0.037071247252533406</v>
      </c>
    </row>
    <row r="2051" ht="22.5" customHeight="1">
      <c r="Q2051" s="9" t="s">
        <v>2089</v>
      </c>
      <c r="R2051" s="10">
        <v>0.581569158035299</v>
      </c>
      <c r="S2051" s="10">
        <v>0.02589354792324471</v>
      </c>
      <c r="T2051" s="10">
        <v>20.915216394472186</v>
      </c>
      <c r="U2051" s="11">
        <v>0.15304643171956303</v>
      </c>
      <c r="V2051" s="11">
        <v>0.21543419167092553</v>
      </c>
      <c r="W2051" s="11">
        <v>0.10291799590146057</v>
      </c>
      <c r="X2051" s="11">
        <v>0.20433505408483707</v>
      </c>
      <c r="Y2051" s="11">
        <v>0.17661484487870865</v>
      </c>
      <c r="Z2051" s="11">
        <v>0.14765148174450507</v>
      </c>
    </row>
    <row r="2052" ht="22.5" customHeight="1">
      <c r="Q2052" s="9" t="s">
        <v>2090</v>
      </c>
      <c r="R2052" s="10">
        <v>0.8217515685051661</v>
      </c>
      <c r="S2052" s="10">
        <v>0.037377254510818386</v>
      </c>
      <c r="T2052" s="10">
        <v>20.91516829516993</v>
      </c>
      <c r="U2052" s="11">
        <v>0.050320824972029055</v>
      </c>
      <c r="V2052" s="11">
        <v>0.26871558266899365</v>
      </c>
      <c r="W2052" s="11">
        <v>0.2239355693914473</v>
      </c>
      <c r="X2052" s="11">
        <v>0.287637980267977</v>
      </c>
      <c r="Y2052" s="11">
        <v>0.09981346965396733</v>
      </c>
      <c r="Z2052" s="11">
        <v>0.06957657304558573</v>
      </c>
    </row>
    <row r="2053" ht="22.5" customHeight="1">
      <c r="Q2053" s="9" t="s">
        <v>2091</v>
      </c>
      <c r="R2053" s="10">
        <v>0.7085560294064558</v>
      </c>
      <c r="S2053" s="10">
        <v>0.03196535312779226</v>
      </c>
      <c r="T2053" s="10">
        <v>20.91502092073496</v>
      </c>
      <c r="U2053" s="11">
        <v>0.014433122405254503</v>
      </c>
      <c r="V2053" s="11">
        <v>0.23850651595587785</v>
      </c>
      <c r="W2053" s="11">
        <v>0.1773258576739504</v>
      </c>
      <c r="X2053" s="11">
        <v>0.19171816193782817</v>
      </c>
      <c r="Y2053" s="11">
        <v>0.23274713491749532</v>
      </c>
      <c r="Z2053" s="11">
        <v>0.14526920710959382</v>
      </c>
    </row>
    <row r="2054" ht="22.5" customHeight="1">
      <c r="Q2054" s="9" t="s">
        <v>2092</v>
      </c>
      <c r="R2054" s="10">
        <v>0.5458137365771033</v>
      </c>
      <c r="S2054" s="10">
        <v>0.0241842720679206</v>
      </c>
      <c r="T2054" s="10">
        <v>20.914987027789994</v>
      </c>
      <c r="U2054" s="11">
        <v>0.027551704680277317</v>
      </c>
      <c r="V2054" s="11">
        <v>0.19451903350120925</v>
      </c>
      <c r="W2054" s="11">
        <v>0.10402267055973394</v>
      </c>
      <c r="X2054" s="11">
        <v>0.16405577233838128</v>
      </c>
      <c r="Y2054" s="11">
        <v>0.26844417459102254</v>
      </c>
      <c r="Z2054" s="11">
        <v>0.24140664432937572</v>
      </c>
    </row>
    <row r="2055" ht="22.5" customHeight="1">
      <c r="Q2055" s="9" t="s">
        <v>2093</v>
      </c>
      <c r="R2055" s="10">
        <v>0.4678492135694176</v>
      </c>
      <c r="S2055" s="10">
        <v>0.02045669949118185</v>
      </c>
      <c r="T2055" s="10">
        <v>20.91487015067353</v>
      </c>
      <c r="U2055" s="11">
        <v>0.07752345099838266</v>
      </c>
      <c r="V2055" s="11">
        <v>0.17278697434768192</v>
      </c>
      <c r="W2055" s="11">
        <v>0.06954278637710665</v>
      </c>
      <c r="X2055" s="11">
        <v>0.23585340093963514</v>
      </c>
      <c r="Y2055" s="11">
        <v>0.09857304447184782</v>
      </c>
      <c r="Z2055" s="11">
        <v>0.3457203428653459</v>
      </c>
    </row>
    <row r="2056" ht="22.5" customHeight="1">
      <c r="Q2056" s="9" t="s">
        <v>2094</v>
      </c>
      <c r="R2056" s="10">
        <v>0.6044130145674652</v>
      </c>
      <c r="S2056" s="10">
        <v>0.026986945836270163</v>
      </c>
      <c r="T2056" s="10">
        <v>20.9142975270992</v>
      </c>
      <c r="U2056" s="11">
        <v>0.14466599020869228</v>
      </c>
      <c r="V2056" s="11">
        <v>0.18159376341140576</v>
      </c>
      <c r="W2056" s="11">
        <v>0.16746042862102503</v>
      </c>
      <c r="X2056" s="11">
        <v>0.09662536300730303</v>
      </c>
      <c r="Y2056" s="11">
        <v>0.21289095127981242</v>
      </c>
      <c r="Z2056" s="11">
        <v>0.1967635034717615</v>
      </c>
    </row>
    <row r="2057" ht="22.5" customHeight="1">
      <c r="Q2057" s="9" t="s">
        <v>2095</v>
      </c>
      <c r="R2057" s="10">
        <v>0.5463797031477814</v>
      </c>
      <c r="S2057" s="10">
        <v>0.024212303204706805</v>
      </c>
      <c r="T2057" s="10">
        <v>20.914148433815356</v>
      </c>
      <c r="U2057" s="11">
        <v>0.2127212518755093</v>
      </c>
      <c r="V2057" s="11">
        <v>0.12906241458901077</v>
      </c>
      <c r="W2057" s="11">
        <v>0.17628650615190256</v>
      </c>
      <c r="X2057" s="11">
        <v>0.1986126816001867</v>
      </c>
      <c r="Y2057" s="11">
        <v>0.02502110292581381</v>
      </c>
      <c r="Z2057" s="11">
        <v>0.25829604285757674</v>
      </c>
    </row>
    <row r="2058" ht="22.5" customHeight="1">
      <c r="Q2058" s="9" t="s">
        <v>2096</v>
      </c>
      <c r="R2058" s="10">
        <v>0.6579743094332976</v>
      </c>
      <c r="S2058" s="10">
        <v>0.0295481824584518</v>
      </c>
      <c r="T2058" s="10">
        <v>20.91412256243651</v>
      </c>
      <c r="U2058" s="11">
        <v>0.21560713381344934</v>
      </c>
      <c r="V2058" s="11">
        <v>0.23577357643351468</v>
      </c>
      <c r="W2058" s="11">
        <v>0.14376283348833221</v>
      </c>
      <c r="X2058" s="11">
        <v>0.19876063578985478</v>
      </c>
      <c r="Y2058" s="11">
        <v>0.059388223319003515</v>
      </c>
      <c r="Z2058" s="11">
        <v>0.1467075971558455</v>
      </c>
    </row>
    <row r="2059" ht="22.5" customHeight="1">
      <c r="Q2059" s="9" t="s">
        <v>2097</v>
      </c>
      <c r="R2059" s="10">
        <v>0.2812063873618349</v>
      </c>
      <c r="S2059" s="10">
        <v>0.011533270453121303</v>
      </c>
      <c r="T2059" s="10">
        <v>20.91396263898035</v>
      </c>
      <c r="U2059" s="11">
        <v>0.24475062152855906</v>
      </c>
      <c r="V2059" s="11">
        <v>0.07536410244309055</v>
      </c>
      <c r="W2059" s="11">
        <v>0.02356439678099566</v>
      </c>
      <c r="X2059" s="11">
        <v>0.23175721432301502</v>
      </c>
      <c r="Y2059" s="11">
        <v>0.12932256698287428</v>
      </c>
      <c r="Z2059" s="11">
        <v>0.2952410979414655</v>
      </c>
    </row>
    <row r="2060" ht="22.5" customHeight="1">
      <c r="Q2060" s="9" t="s">
        <v>2098</v>
      </c>
      <c r="R2060" s="10">
        <v>0.364681103671081</v>
      </c>
      <c r="S2060" s="10">
        <v>0.01552475260967752</v>
      </c>
      <c r="T2060" s="10">
        <v>20.913769889556086</v>
      </c>
      <c r="U2060" s="11">
        <v>0.26677271181333523</v>
      </c>
      <c r="V2060" s="11">
        <v>0.0601505611576803</v>
      </c>
      <c r="W2060" s="11">
        <v>0.10937012192510812</v>
      </c>
      <c r="X2060" s="11">
        <v>0.17218312744849734</v>
      </c>
      <c r="Y2060" s="11">
        <v>0.10751383866856083</v>
      </c>
      <c r="Z2060" s="11">
        <v>0.28400963898681825</v>
      </c>
    </row>
    <row r="2061" ht="22.5" customHeight="1">
      <c r="Q2061" s="9" t="s">
        <v>2099</v>
      </c>
      <c r="R2061" s="10">
        <v>0.609677082138011</v>
      </c>
      <c r="S2061" s="10">
        <v>0.027239528151736903</v>
      </c>
      <c r="T2061" s="10">
        <v>20.913617848467982</v>
      </c>
      <c r="U2061" s="11">
        <v>0.12490166751699001</v>
      </c>
      <c r="V2061" s="11">
        <v>0.1486357538343972</v>
      </c>
      <c r="W2061" s="11">
        <v>0.19555977035857366</v>
      </c>
      <c r="X2061" s="11">
        <v>0.1811265370938996</v>
      </c>
      <c r="Y2061" s="11">
        <v>0.2149394496544165</v>
      </c>
      <c r="Z2061" s="11">
        <v>0.13483682154172302</v>
      </c>
    </row>
    <row r="2062" ht="22.5" customHeight="1">
      <c r="Q2062" s="9" t="s">
        <v>2100</v>
      </c>
      <c r="R2062" s="10">
        <v>0.6381121902583626</v>
      </c>
      <c r="S2062" s="10">
        <v>0.02859955094551936</v>
      </c>
      <c r="T2062" s="10">
        <v>20.913342010080328</v>
      </c>
      <c r="U2062" s="11">
        <v>0.07331434352743776</v>
      </c>
      <c r="V2062" s="11">
        <v>0.23600059590115746</v>
      </c>
      <c r="W2062" s="11">
        <v>0.1255861420402126</v>
      </c>
      <c r="X2062" s="11">
        <v>0.24950965286236015</v>
      </c>
      <c r="Y2062" s="11">
        <v>0.11758053059638505</v>
      </c>
      <c r="Z2062" s="11">
        <v>0.19800873507244698</v>
      </c>
    </row>
    <row r="2063" ht="22.5" customHeight="1">
      <c r="Q2063" s="9" t="s">
        <v>2101</v>
      </c>
      <c r="R2063" s="10">
        <v>0.6696565762262867</v>
      </c>
      <c r="S2063" s="10">
        <v>0.03010793730195444</v>
      </c>
      <c r="T2063" s="10">
        <v>20.913308338310273</v>
      </c>
      <c r="U2063" s="11">
        <v>0.25467097254406645</v>
      </c>
      <c r="V2063" s="11">
        <v>0.1951098072395391</v>
      </c>
      <c r="W2063" s="11">
        <v>0.19560756483588698</v>
      </c>
      <c r="X2063" s="11">
        <v>0.12823583462187593</v>
      </c>
      <c r="Y2063" s="11">
        <v>0.15153593011284233</v>
      </c>
      <c r="Z2063" s="11">
        <v>0.07483989064578916</v>
      </c>
    </row>
    <row r="2064" ht="22.5" customHeight="1">
      <c r="Q2064" s="9" t="s">
        <v>2102</v>
      </c>
      <c r="R2064" s="10">
        <v>0.7225379899084989</v>
      </c>
      <c r="S2064" s="10">
        <v>0.032636646682499625</v>
      </c>
      <c r="T2064" s="10">
        <v>20.91323892887833</v>
      </c>
      <c r="U2064" s="11">
        <v>0.25576869317922196</v>
      </c>
      <c r="V2064" s="11">
        <v>0.23941654763670173</v>
      </c>
      <c r="W2064" s="11">
        <v>0.18674928355153936</v>
      </c>
      <c r="X2064" s="11">
        <v>0.16292499852000047</v>
      </c>
      <c r="Y2064" s="11">
        <v>0.10505521827762536</v>
      </c>
      <c r="Z2064" s="11">
        <v>0.05008525883491106</v>
      </c>
    </row>
    <row r="2065" ht="22.5" customHeight="1">
      <c r="Q2065" s="9" t="s">
        <v>2103</v>
      </c>
      <c r="R2065" s="10">
        <v>0.8575576195127216</v>
      </c>
      <c r="S2065" s="10">
        <v>0.039093122975442735</v>
      </c>
      <c r="T2065" s="10">
        <v>20.91308028847656</v>
      </c>
      <c r="U2065" s="11">
        <v>0.04887223692986479</v>
      </c>
      <c r="V2065" s="11">
        <v>0.25125705576528473</v>
      </c>
      <c r="W2065" s="11">
        <v>0.2613879347628148</v>
      </c>
      <c r="X2065" s="11">
        <v>0.37506869296103845</v>
      </c>
      <c r="Y2065" s="11">
        <v>0.040159661439409106</v>
      </c>
      <c r="Z2065" s="11">
        <v>0.023254418141588122</v>
      </c>
    </row>
    <row r="2066" ht="22.5" customHeight="1">
      <c r="Q2066" s="9" t="s">
        <v>2104</v>
      </c>
      <c r="R2066" s="10">
        <v>0.7495235835883542</v>
      </c>
      <c r="S2066" s="10">
        <v>0.03392750808291002</v>
      </c>
      <c r="T2066" s="10">
        <v>20.912929468750335</v>
      </c>
      <c r="U2066" s="11">
        <v>0.19408363297001763</v>
      </c>
      <c r="V2066" s="11">
        <v>0.2583257128701267</v>
      </c>
      <c r="W2066" s="11">
        <v>0.18261950290634027</v>
      </c>
      <c r="X2066" s="11">
        <v>0.19611340496952834</v>
      </c>
      <c r="Y2066" s="11">
        <v>0.1469846713072282</v>
      </c>
      <c r="Z2066" s="11">
        <v>0.02187307497675893</v>
      </c>
    </row>
    <row r="2067" ht="22.5" customHeight="1">
      <c r="Q2067" s="9" t="s">
        <v>2105</v>
      </c>
      <c r="R2067" s="10">
        <v>0.48792660624770356</v>
      </c>
      <c r="S2067" s="10">
        <v>0.021419289532087906</v>
      </c>
      <c r="T2067" s="10">
        <v>20.912299895693163</v>
      </c>
      <c r="U2067" s="11">
        <v>0.23026214771317413</v>
      </c>
      <c r="V2067" s="11">
        <v>0.18020916502634754</v>
      </c>
      <c r="W2067" s="11">
        <v>0.05623070689800537</v>
      </c>
      <c r="X2067" s="11">
        <v>0.2785910288545397</v>
      </c>
      <c r="Y2067" s="11">
        <v>0.18451099635940818</v>
      </c>
      <c r="Z2067" s="11">
        <v>0.07019595514852522</v>
      </c>
    </row>
    <row r="2068" ht="22.5" customHeight="1">
      <c r="Q2068" s="9" t="s">
        <v>2106</v>
      </c>
      <c r="R2068" s="10">
        <v>0.6458847638958886</v>
      </c>
      <c r="S2068" s="10">
        <v>0.028972821669221896</v>
      </c>
      <c r="T2068" s="10">
        <v>20.912176618942354</v>
      </c>
      <c r="U2068" s="11">
        <v>0.17544449452751396</v>
      </c>
      <c r="V2068" s="11">
        <v>0.16559227714292002</v>
      </c>
      <c r="W2068" s="11">
        <v>0.20721531699915613</v>
      </c>
      <c r="X2068" s="11">
        <v>0.20542080567938403</v>
      </c>
      <c r="Y2068" s="11">
        <v>0.09495536500139451</v>
      </c>
      <c r="Z2068" s="11">
        <v>0.1513717406496315</v>
      </c>
    </row>
    <row r="2069" ht="22.5" customHeight="1">
      <c r="Q2069" s="9" t="s">
        <v>2107</v>
      </c>
      <c r="R2069" s="10">
        <v>0.25862158258470674</v>
      </c>
      <c r="S2069" s="10">
        <v>0.010454801143042083</v>
      </c>
      <c r="T2069" s="10">
        <v>20.91111821196184</v>
      </c>
      <c r="U2069" s="11">
        <v>0.18324316275677327</v>
      </c>
      <c r="V2069" s="11">
        <v>0.05026238262982591</v>
      </c>
      <c r="W2069" s="11">
        <v>0.02617917680578153</v>
      </c>
      <c r="X2069" s="11">
        <v>0.2551847688647651</v>
      </c>
      <c r="Y2069" s="11">
        <v>0.2292006987205959</v>
      </c>
      <c r="Z2069" s="11">
        <v>0.25592981022225836</v>
      </c>
    </row>
    <row r="2070" ht="22.5" customHeight="1">
      <c r="Q2070" s="9" t="s">
        <v>2108</v>
      </c>
      <c r="R2070" s="10">
        <v>0.4872708411192819</v>
      </c>
      <c r="S2070" s="10">
        <v>0.0213907743391895</v>
      </c>
      <c r="T2070" s="10">
        <v>20.90952080682036</v>
      </c>
      <c r="U2070" s="11">
        <v>0.1969349457619945</v>
      </c>
      <c r="V2070" s="11">
        <v>0.17580193276699135</v>
      </c>
      <c r="W2070" s="11">
        <v>0.06567926682693047</v>
      </c>
      <c r="X2070" s="11">
        <v>0.20616900483316017</v>
      </c>
      <c r="Y2070" s="11">
        <v>0.26902139055605856</v>
      </c>
      <c r="Z2070" s="11">
        <v>0.08639345925486507</v>
      </c>
    </row>
    <row r="2071" ht="22.5" customHeight="1">
      <c r="Q2071" s="9" t="s">
        <v>2109</v>
      </c>
      <c r="R2071" s="10">
        <v>0.7469442841724361</v>
      </c>
      <c r="S2071" s="10">
        <v>0.03380983460273507</v>
      </c>
      <c r="T2071" s="10">
        <v>20.909427463311143</v>
      </c>
      <c r="U2071" s="11">
        <v>0.04890140983232209</v>
      </c>
      <c r="V2071" s="11">
        <v>0.26414335739053474</v>
      </c>
      <c r="W2071" s="11">
        <v>0.1712015015159769</v>
      </c>
      <c r="X2071" s="11">
        <v>0.2393146176802081</v>
      </c>
      <c r="Y2071" s="11">
        <v>0.22247479619210847</v>
      </c>
      <c r="Z2071" s="11">
        <v>0.05396431738884958</v>
      </c>
    </row>
    <row r="2072" ht="22.5" customHeight="1">
      <c r="Q2072" s="9" t="s">
        <v>2110</v>
      </c>
      <c r="R2072" s="10">
        <v>0.7440596343749866</v>
      </c>
      <c r="S2072" s="10">
        <v>0.033672452879036016</v>
      </c>
      <c r="T2072" s="10">
        <v>20.909068813734205</v>
      </c>
      <c r="U2072" s="11">
        <v>0.1470564627941407</v>
      </c>
      <c r="V2072" s="11">
        <v>0.2067011333602867</v>
      </c>
      <c r="W2072" s="11">
        <v>0.2311831531980295</v>
      </c>
      <c r="X2072" s="11">
        <v>0.2231939417756662</v>
      </c>
      <c r="Y2072" s="11">
        <v>0.1543186987813568</v>
      </c>
      <c r="Z2072" s="11">
        <v>0.03754661009052</v>
      </c>
    </row>
    <row r="2073" ht="22.5" customHeight="1">
      <c r="Q2073" s="9" t="s">
        <v>2111</v>
      </c>
      <c r="R2073" s="10">
        <v>0.6760172674624433</v>
      </c>
      <c r="S2073" s="10">
        <v>0.030418330301511885</v>
      </c>
      <c r="T2073" s="10">
        <v>20.90901312327558</v>
      </c>
      <c r="U2073" s="11">
        <v>0.21017129104462126</v>
      </c>
      <c r="V2073" s="11">
        <v>0.17160449763928806</v>
      </c>
      <c r="W2073" s="11">
        <v>0.21836806193045932</v>
      </c>
      <c r="X2073" s="11">
        <v>0.21612246197644294</v>
      </c>
      <c r="Y2073" s="11">
        <v>0.1141943754427654</v>
      </c>
      <c r="Z2073" s="11">
        <v>0.06953931196642282</v>
      </c>
    </row>
    <row r="2074" ht="22.5" customHeight="1">
      <c r="Q2074" s="9" t="s">
        <v>2112</v>
      </c>
      <c r="R2074" s="10">
        <v>0.7313502288223735</v>
      </c>
      <c r="S2074" s="10">
        <v>0.03306757649963074</v>
      </c>
      <c r="T2074" s="10">
        <v>20.907193753073912</v>
      </c>
      <c r="U2074" s="11">
        <v>0.1196359266963915</v>
      </c>
      <c r="V2074" s="11">
        <v>0.22523586757804454</v>
      </c>
      <c r="W2074" s="11">
        <v>0.21093711915182084</v>
      </c>
      <c r="X2074" s="11">
        <v>0.20781600201829745</v>
      </c>
      <c r="Y2074" s="11">
        <v>0.08571822772895955</v>
      </c>
      <c r="Z2074" s="11">
        <v>0.15065685682648614</v>
      </c>
    </row>
    <row r="2075" ht="22.5" customHeight="1">
      <c r="Q2075" s="9" t="s">
        <v>2113</v>
      </c>
      <c r="R2075" s="10">
        <v>0.8050152991889999</v>
      </c>
      <c r="S2075" s="10">
        <v>0.036591854675764965</v>
      </c>
      <c r="T2075" s="10">
        <v>20.90671013993928</v>
      </c>
      <c r="U2075" s="11">
        <v>0.157263437711104</v>
      </c>
      <c r="V2075" s="11">
        <v>0.2522128971051388</v>
      </c>
      <c r="W2075" s="11">
        <v>0.22927724657197682</v>
      </c>
      <c r="X2075" s="11">
        <v>0.23255361686986017</v>
      </c>
      <c r="Y2075" s="11">
        <v>0.11630405137132738</v>
      </c>
      <c r="Z2075" s="11">
        <v>0.012388750370592966</v>
      </c>
    </row>
    <row r="2076" ht="22.5" customHeight="1">
      <c r="Q2076" s="9" t="s">
        <v>2114</v>
      </c>
      <c r="R2076" s="10">
        <v>0.7101321678089464</v>
      </c>
      <c r="S2076" s="10">
        <v>0.03205364183534455</v>
      </c>
      <c r="T2076" s="10">
        <v>20.906584382870733</v>
      </c>
      <c r="U2076" s="11">
        <v>0.1381086783983306</v>
      </c>
      <c r="V2076" s="11">
        <v>0.2494390449205438</v>
      </c>
      <c r="W2076" s="11">
        <v>0.16635154118336534</v>
      </c>
      <c r="X2076" s="11">
        <v>0.19585062361772992</v>
      </c>
      <c r="Y2076" s="11">
        <v>0.14240461493412648</v>
      </c>
      <c r="Z2076" s="11">
        <v>0.10784549694590383</v>
      </c>
    </row>
    <row r="2077" ht="22.5" customHeight="1">
      <c r="Q2077" s="9" t="s">
        <v>2115</v>
      </c>
      <c r="R2077" s="10">
        <v>0.5750063837504623</v>
      </c>
      <c r="S2077" s="10">
        <v>0.025590443800805777</v>
      </c>
      <c r="T2077" s="10">
        <v>20.90649102903078</v>
      </c>
      <c r="U2077" s="11">
        <v>0.13833711130896562</v>
      </c>
      <c r="V2077" s="11">
        <v>0.14302410999070755</v>
      </c>
      <c r="W2077" s="11">
        <v>0.17901415033003137</v>
      </c>
      <c r="X2077" s="11">
        <v>0.13598767879034585</v>
      </c>
      <c r="Y2077" s="11">
        <v>0.2450946434451136</v>
      </c>
      <c r="Z2077" s="11">
        <v>0.15854230613483603</v>
      </c>
    </row>
    <row r="2078" ht="22.5" customHeight="1">
      <c r="Q2078" s="9" t="s">
        <v>2116</v>
      </c>
      <c r="R2078" s="10">
        <v>0.7004937035901172</v>
      </c>
      <c r="S2078" s="10">
        <v>0.03159458904286556</v>
      </c>
      <c r="T2078" s="10">
        <v>20.905279150616604</v>
      </c>
      <c r="U2078" s="11">
        <v>0.24604985356409995</v>
      </c>
      <c r="V2078" s="11">
        <v>0.1863787983899101</v>
      </c>
      <c r="W2078" s="11">
        <v>0.22026214170458241</v>
      </c>
      <c r="X2078" s="11">
        <v>0.18765335837992725</v>
      </c>
      <c r="Y2078" s="11">
        <v>0.14804779385002553</v>
      </c>
      <c r="Z2078" s="11">
        <v>0.011608054111454854</v>
      </c>
    </row>
    <row r="2079" ht="22.5" customHeight="1">
      <c r="Q2079" s="9" t="s">
        <v>2117</v>
      </c>
      <c r="R2079" s="10">
        <v>0.44803729202222536</v>
      </c>
      <c r="S2079" s="10">
        <v>0.01951855998973827</v>
      </c>
      <c r="T2079" s="10">
        <v>20.905091986127452</v>
      </c>
      <c r="U2079" s="11">
        <v>0.015161872957135837</v>
      </c>
      <c r="V2079" s="11">
        <v>0.1248682670728098</v>
      </c>
      <c r="W2079" s="11">
        <v>0.110671418891726</v>
      </c>
      <c r="X2079" s="11">
        <v>0.08911919208832605</v>
      </c>
      <c r="Y2079" s="11">
        <v>0.338756234718256</v>
      </c>
      <c r="Z2079" s="11">
        <v>0.32142301427174624</v>
      </c>
    </row>
    <row r="2080" ht="22.5" customHeight="1">
      <c r="Q2080" s="9" t="s">
        <v>2118</v>
      </c>
      <c r="R2080" s="10">
        <v>0.7259724889521549</v>
      </c>
      <c r="S2080" s="10">
        <v>0.03281396596938662</v>
      </c>
      <c r="T2080" s="10">
        <v>20.90489426337933</v>
      </c>
      <c r="U2080" s="11">
        <v>0.17958035019178292</v>
      </c>
      <c r="V2080" s="11">
        <v>0.25582554183240014</v>
      </c>
      <c r="W2080" s="11">
        <v>0.17083571040991713</v>
      </c>
      <c r="X2080" s="11">
        <v>0.21949692464084558</v>
      </c>
      <c r="Y2080" s="11">
        <v>0.07496405442162894</v>
      </c>
      <c r="Z2080" s="11">
        <v>0.09929741850342523</v>
      </c>
    </row>
    <row r="2081" ht="22.5" customHeight="1">
      <c r="Q2081" s="9" t="s">
        <v>2119</v>
      </c>
      <c r="R2081" s="10">
        <v>0.684595063904251</v>
      </c>
      <c r="S2081" s="10">
        <v>0.030836285972703343</v>
      </c>
      <c r="T2081" s="10">
        <v>20.90378408329895</v>
      </c>
      <c r="U2081" s="11">
        <v>0.008531297749522812</v>
      </c>
      <c r="V2081" s="11">
        <v>0.17199560199482197</v>
      </c>
      <c r="W2081" s="11">
        <v>0.22210597335964874</v>
      </c>
      <c r="X2081" s="11">
        <v>0.27408348983211517</v>
      </c>
      <c r="Y2081" s="11">
        <v>0.18765987960619707</v>
      </c>
      <c r="Z2081" s="11">
        <v>0.1356237574576942</v>
      </c>
    </row>
    <row r="2082" ht="22.5" customHeight="1">
      <c r="Q2082" s="9" t="s">
        <v>2120</v>
      </c>
      <c r="R2082" s="10">
        <v>0.7085264229705123</v>
      </c>
      <c r="S2082" s="10">
        <v>0.031981324953012376</v>
      </c>
      <c r="T2082" s="10">
        <v>20.90364998800785</v>
      </c>
      <c r="U2082" s="11">
        <v>0.1080370471795363</v>
      </c>
      <c r="V2082" s="11">
        <v>0.23224905833442908</v>
      </c>
      <c r="W2082" s="11">
        <v>0.18992915070648891</v>
      </c>
      <c r="X2082" s="11">
        <v>0.20839665141340075</v>
      </c>
      <c r="Y2082" s="11">
        <v>0.0500880737073268</v>
      </c>
      <c r="Z2082" s="11">
        <v>0.2113000186588183</v>
      </c>
    </row>
    <row r="2083" ht="22.5" customHeight="1">
      <c r="Q2083" s="9" t="s">
        <v>2121</v>
      </c>
      <c r="R2083" s="10">
        <v>0.6374071486296569</v>
      </c>
      <c r="S2083" s="10">
        <v>0.028580190561442537</v>
      </c>
      <c r="T2083" s="10">
        <v>20.902839935420772</v>
      </c>
      <c r="U2083" s="11">
        <v>0.37128692248723855</v>
      </c>
      <c r="V2083" s="11">
        <v>0.21181808031977212</v>
      </c>
      <c r="W2083" s="11">
        <v>0.15548341912049735</v>
      </c>
      <c r="X2083" s="11">
        <v>0.12400886818669841</v>
      </c>
      <c r="Y2083" s="11">
        <v>0.05680292747104951</v>
      </c>
      <c r="Z2083" s="11">
        <v>0.08059978241474411</v>
      </c>
    </row>
    <row r="2084" ht="22.5" customHeight="1">
      <c r="Q2084" s="9" t="s">
        <v>2122</v>
      </c>
      <c r="R2084" s="10">
        <v>0.7138695413238804</v>
      </c>
      <c r="S2084" s="10">
        <v>0.032238201453634284</v>
      </c>
      <c r="T2084" s="10">
        <v>20.9028267998466</v>
      </c>
      <c r="U2084" s="11">
        <v>0.1633942569781805</v>
      </c>
      <c r="V2084" s="11">
        <v>0.24069765856851302</v>
      </c>
      <c r="W2084" s="11">
        <v>0.18156356234377288</v>
      </c>
      <c r="X2084" s="11">
        <v>0.1750026263320606</v>
      </c>
      <c r="Y2084" s="11">
        <v>0.11684521934716947</v>
      </c>
      <c r="Z2084" s="11">
        <v>0.12249667643030346</v>
      </c>
    </row>
    <row r="2085" ht="22.5" customHeight="1">
      <c r="Q2085" s="9" t="s">
        <v>2123</v>
      </c>
      <c r="R2085" s="10">
        <v>0.6439154775328942</v>
      </c>
      <c r="S2085" s="10">
        <v>0.02889201049233752</v>
      </c>
      <c r="T2085" s="10">
        <v>20.9025078989591</v>
      </c>
      <c r="U2085" s="11">
        <v>0.23540118114380545</v>
      </c>
      <c r="V2085" s="11">
        <v>0.18126398304175342</v>
      </c>
      <c r="W2085" s="11">
        <v>0.18631187489654644</v>
      </c>
      <c r="X2085" s="11">
        <v>0.10465694469271249</v>
      </c>
      <c r="Y2085" s="11">
        <v>0.2754461250566696</v>
      </c>
      <c r="Z2085" s="11">
        <v>0.016919891168512568</v>
      </c>
    </row>
    <row r="2086" ht="22.5" customHeight="1">
      <c r="Q2086" s="9" t="s">
        <v>2124</v>
      </c>
      <c r="R2086" s="10">
        <v>0.5956433354711412</v>
      </c>
      <c r="S2086" s="10">
        <v>0.02658308723257119</v>
      </c>
      <c r="T2086" s="10">
        <v>20.902137159988467</v>
      </c>
      <c r="U2086" s="11">
        <v>0.06159360213295238</v>
      </c>
      <c r="V2086" s="11">
        <v>0.15760626746867218</v>
      </c>
      <c r="W2086" s="11">
        <v>0.18292316701851155</v>
      </c>
      <c r="X2086" s="11">
        <v>0.14970022835586394</v>
      </c>
      <c r="Y2086" s="11">
        <v>0.2221467668688731</v>
      </c>
      <c r="Z2086" s="11">
        <v>0.22602996815512674</v>
      </c>
    </row>
    <row r="2087" ht="22.5" customHeight="1">
      <c r="Q2087" s="9" t="s">
        <v>2125</v>
      </c>
      <c r="R2087" s="10">
        <v>0.7355543748184997</v>
      </c>
      <c r="S2087" s="10">
        <v>0.03327705300894987</v>
      </c>
      <c r="T2087" s="10">
        <v>20.90192225349493</v>
      </c>
      <c r="U2087" s="11">
        <v>0.10461689062594193</v>
      </c>
      <c r="V2087" s="11">
        <v>0.26076755674023955</v>
      </c>
      <c r="W2087" s="11">
        <v>0.1725655661330443</v>
      </c>
      <c r="X2087" s="11">
        <v>0.2506136301363637</v>
      </c>
      <c r="Y2087" s="11">
        <v>0.07569290950601008</v>
      </c>
      <c r="Z2087" s="11">
        <v>0.13574344685840056</v>
      </c>
    </row>
    <row r="2088" ht="22.5" customHeight="1">
      <c r="Q2088" s="9" t="s">
        <v>2126</v>
      </c>
      <c r="R2088" s="10">
        <v>0.6745588079181396</v>
      </c>
      <c r="S2088" s="10">
        <v>0.030358876678190767</v>
      </c>
      <c r="T2088" s="10">
        <v>20.901919878148668</v>
      </c>
      <c r="U2088" s="11">
        <v>0.22483534228594146</v>
      </c>
      <c r="V2088" s="11">
        <v>0.22604786068101929</v>
      </c>
      <c r="W2088" s="11">
        <v>0.17172772342212647</v>
      </c>
      <c r="X2088" s="11">
        <v>0.18123293988433853</v>
      </c>
      <c r="Y2088" s="11">
        <v>0.008835765140011857</v>
      </c>
      <c r="Z2088" s="11">
        <v>0.18732036858656242</v>
      </c>
    </row>
    <row r="2089" ht="22.5" customHeight="1">
      <c r="Q2089" s="9" t="s">
        <v>2127</v>
      </c>
      <c r="R2089" s="10">
        <v>0.6389862493626044</v>
      </c>
      <c r="S2089" s="10">
        <v>0.0286571854693291</v>
      </c>
      <c r="T2089" s="10">
        <v>20.901782207596096</v>
      </c>
      <c r="U2089" s="11">
        <v>0.12321729851403902</v>
      </c>
      <c r="V2089" s="11">
        <v>0.2390345335020916</v>
      </c>
      <c r="W2089" s="11">
        <v>0.12012683090475083</v>
      </c>
      <c r="X2089" s="11">
        <v>0.30331436492461283</v>
      </c>
      <c r="Y2089" s="11">
        <v>0.02215693728332478</v>
      </c>
      <c r="Z2089" s="11">
        <v>0.19215003487118093</v>
      </c>
    </row>
    <row r="2090" ht="22.5" customHeight="1">
      <c r="Q2090" s="9" t="s">
        <v>2128</v>
      </c>
      <c r="R2090" s="10">
        <v>0.5516604972694117</v>
      </c>
      <c r="S2090" s="10">
        <v>0.024479754070464526</v>
      </c>
      <c r="T2090" s="10">
        <v>20.901374082296996</v>
      </c>
      <c r="U2090" s="11">
        <v>0.06332440500699028</v>
      </c>
      <c r="V2090" s="11">
        <v>0.11800233176667733</v>
      </c>
      <c r="W2090" s="11">
        <v>0.18484846410733596</v>
      </c>
      <c r="X2090" s="11">
        <v>0.29714741421970225</v>
      </c>
      <c r="Y2090" s="11">
        <v>0.05074531159991231</v>
      </c>
      <c r="Z2090" s="11">
        <v>0.2859320732993818</v>
      </c>
    </row>
    <row r="2091" ht="22.5" customHeight="1">
      <c r="Q2091" s="9" t="s">
        <v>2129</v>
      </c>
      <c r="R2091" s="10">
        <v>0.6102631354124277</v>
      </c>
      <c r="S2091" s="10">
        <v>0.027284090244484898</v>
      </c>
      <c r="T2091" s="10">
        <v>20.90094008275385</v>
      </c>
      <c r="U2091" s="11">
        <v>0.22004281442780899</v>
      </c>
      <c r="V2091" s="11">
        <v>0.15031128166109126</v>
      </c>
      <c r="W2091" s="11">
        <v>0.19439887227909833</v>
      </c>
      <c r="X2091" s="11">
        <v>0.15512712336964765</v>
      </c>
      <c r="Y2091" s="11">
        <v>0.18951636697069915</v>
      </c>
      <c r="Z2091" s="11">
        <v>0.09060354129165446</v>
      </c>
    </row>
    <row r="2092" ht="22.5" customHeight="1">
      <c r="Q2092" s="9" t="s">
        <v>2130</v>
      </c>
      <c r="R2092" s="10">
        <v>0.6369648180095488</v>
      </c>
      <c r="S2092" s="10">
        <v>0.02856189704394357</v>
      </c>
      <c r="T2092" s="10">
        <v>20.90074118995302</v>
      </c>
      <c r="U2092" s="11">
        <v>0.09976628000379187</v>
      </c>
      <c r="V2092" s="11">
        <v>0.17069085038693146</v>
      </c>
      <c r="W2092" s="11">
        <v>0.19947639570148581</v>
      </c>
      <c r="X2092" s="11">
        <v>0.1854907094556641</v>
      </c>
      <c r="Y2092" s="11">
        <v>0.13040659747423258</v>
      </c>
      <c r="Z2092" s="11">
        <v>0.21416916697789415</v>
      </c>
    </row>
    <row r="2093" ht="22.5" customHeight="1">
      <c r="Q2093" s="9" t="s">
        <v>2131</v>
      </c>
      <c r="R2093" s="10">
        <v>0.7574445974682408</v>
      </c>
      <c r="S2093" s="10">
        <v>0.0343265283953629</v>
      </c>
      <c r="T2093" s="10">
        <v>20.900587126228555</v>
      </c>
      <c r="U2093" s="11">
        <v>0.15952154290389783</v>
      </c>
      <c r="V2093" s="11">
        <v>0.21986914463261178</v>
      </c>
      <c r="W2093" s="11">
        <v>0.22944825411648584</v>
      </c>
      <c r="X2093" s="11">
        <v>0.21478496928365468</v>
      </c>
      <c r="Y2093" s="11">
        <v>0.12995949800207382</v>
      </c>
      <c r="Z2093" s="11">
        <v>0.04641659106127605</v>
      </c>
    </row>
    <row r="2094" ht="22.5" customHeight="1">
      <c r="Q2094" s="9" t="s">
        <v>2132</v>
      </c>
      <c r="R2094" s="10">
        <v>0.555108732670697</v>
      </c>
      <c r="S2094" s="10">
        <v>0.024645774656107747</v>
      </c>
      <c r="T2094" s="10">
        <v>20.9004886175506</v>
      </c>
      <c r="U2094" s="11">
        <v>0.2639284385211315</v>
      </c>
      <c r="V2094" s="11">
        <v>0.1606999066556606</v>
      </c>
      <c r="W2094" s="11">
        <v>0.15297720895035258</v>
      </c>
      <c r="X2094" s="11">
        <v>0.06309067350363426</v>
      </c>
      <c r="Y2094" s="11">
        <v>0.18704146326169743</v>
      </c>
      <c r="Z2094" s="11">
        <v>0.17226230910752363</v>
      </c>
    </row>
    <row r="2095" ht="22.5" customHeight="1">
      <c r="Q2095" s="9" t="s">
        <v>2133</v>
      </c>
      <c r="R2095" s="10">
        <v>0.7605449234436207</v>
      </c>
      <c r="S2095" s="10">
        <v>0.03447554211137446</v>
      </c>
      <c r="T2095" s="10">
        <v>20.900176743149526</v>
      </c>
      <c r="U2095" s="11">
        <v>0.011546862176488626</v>
      </c>
      <c r="V2095" s="11">
        <v>0.2776173696808999</v>
      </c>
      <c r="W2095" s="11">
        <v>0.16354343532806206</v>
      </c>
      <c r="X2095" s="11">
        <v>0.32037503349977187</v>
      </c>
      <c r="Y2095" s="11">
        <v>0.15041970281649386</v>
      </c>
      <c r="Z2095" s="11">
        <v>0.0764975964982837</v>
      </c>
    </row>
    <row r="2096" ht="22.5" customHeight="1">
      <c r="Q2096" s="9" t="s">
        <v>2134</v>
      </c>
      <c r="R2096" s="10">
        <v>0.7088631185479668</v>
      </c>
      <c r="S2096" s="10">
        <v>0.03200394969164108</v>
      </c>
      <c r="T2096" s="10">
        <v>20.899392887205515</v>
      </c>
      <c r="U2096" s="11">
        <v>0.17503588119100733</v>
      </c>
      <c r="V2096" s="11">
        <v>0.23695615180258087</v>
      </c>
      <c r="W2096" s="11">
        <v>0.1839290767031343</v>
      </c>
      <c r="X2096" s="11">
        <v>0.19113516702391956</v>
      </c>
      <c r="Y2096" s="11">
        <v>0.04972460362889861</v>
      </c>
      <c r="Z2096" s="11">
        <v>0.16321911965045952</v>
      </c>
    </row>
    <row r="2097" ht="22.5" customHeight="1">
      <c r="Q2097" s="9" t="s">
        <v>2135</v>
      </c>
      <c r="R2097" s="10">
        <v>0.6760085408129414</v>
      </c>
      <c r="S2097" s="10">
        <v>0.030432697683057303</v>
      </c>
      <c r="T2097" s="10">
        <v>20.898855153646938</v>
      </c>
      <c r="U2097" s="11">
        <v>0.175585465743013</v>
      </c>
      <c r="V2097" s="11">
        <v>0.19179705088075122</v>
      </c>
      <c r="W2097" s="11">
        <v>0.20517289895623925</v>
      </c>
      <c r="X2097" s="11">
        <v>0.1650474058329157</v>
      </c>
      <c r="Y2097" s="11">
        <v>0.12376648305004341</v>
      </c>
      <c r="Z2097" s="11">
        <v>0.13863069553703758</v>
      </c>
    </row>
    <row r="2098" ht="22.5" customHeight="1">
      <c r="Q2098" s="9" t="s">
        <v>2136</v>
      </c>
      <c r="R2098" s="10">
        <v>0.5950022043943624</v>
      </c>
      <c r="S2098" s="10">
        <v>0.026557232140362753</v>
      </c>
      <c r="T2098" s="10">
        <v>20.898345183753076</v>
      </c>
      <c r="U2098" s="11">
        <v>0.37434873531948665</v>
      </c>
      <c r="V2098" s="11">
        <v>0.20139707650429442</v>
      </c>
      <c r="W2098" s="11">
        <v>0.13603067685275427</v>
      </c>
      <c r="X2098" s="11">
        <v>0.11812230496211137</v>
      </c>
      <c r="Y2098" s="11">
        <v>0.053852472776870275</v>
      </c>
      <c r="Z2098" s="11">
        <v>0.11624873358448307</v>
      </c>
    </row>
    <row r="2099" ht="22.5" customHeight="1">
      <c r="Q2099" s="9" t="s">
        <v>2137</v>
      </c>
      <c r="R2099" s="10">
        <v>0.771416375409943</v>
      </c>
      <c r="S2099" s="10">
        <v>0.03500009662316576</v>
      </c>
      <c r="T2099" s="10">
        <v>20.897553034920342</v>
      </c>
      <c r="U2099" s="11">
        <v>0.16723887633768034</v>
      </c>
      <c r="V2099" s="11">
        <v>0.24308059931889284</v>
      </c>
      <c r="W2099" s="11">
        <v>0.2152689826903951</v>
      </c>
      <c r="X2099" s="11">
        <v>0.18420541453570946</v>
      </c>
      <c r="Y2099" s="11">
        <v>0.18148562694324816</v>
      </c>
      <c r="Z2099" s="11">
        <v>0.00872050017407414</v>
      </c>
    </row>
    <row r="2100" ht="22.5" customHeight="1">
      <c r="Q2100" s="9" t="s">
        <v>2138</v>
      </c>
      <c r="R2100" s="10">
        <v>0.6505486124506825</v>
      </c>
      <c r="S2100" s="10">
        <v>0.02921633314180726</v>
      </c>
      <c r="T2100" s="10">
        <v>20.8975099471677</v>
      </c>
      <c r="U2100" s="11">
        <v>0.034071906115009584</v>
      </c>
      <c r="V2100" s="11">
        <v>0.19818699444761775</v>
      </c>
      <c r="W2100" s="11">
        <v>0.1814488587586794</v>
      </c>
      <c r="X2100" s="11">
        <v>0.13949955194196131</v>
      </c>
      <c r="Y2100" s="11">
        <v>0.2517958892236132</v>
      </c>
      <c r="Z2100" s="11">
        <v>0.19499679951311874</v>
      </c>
    </row>
    <row r="2101" ht="22.5" customHeight="1">
      <c r="Q2101" s="9" t="s">
        <v>2139</v>
      </c>
      <c r="R2101" s="10">
        <v>0.6899243553845593</v>
      </c>
      <c r="S2101" s="10">
        <v>0.031101587717918044</v>
      </c>
      <c r="T2101" s="10">
        <v>20.89682241560064</v>
      </c>
      <c r="U2101" s="11">
        <v>0.10797016879745319</v>
      </c>
      <c r="V2101" s="11">
        <v>0.21232239475694667</v>
      </c>
      <c r="W2101" s="11">
        <v>0.1921442380542108</v>
      </c>
      <c r="X2101" s="11">
        <v>0.1385560725304765</v>
      </c>
      <c r="Y2101" s="11">
        <v>0.24597877501207158</v>
      </c>
      <c r="Z2101" s="11">
        <v>0.10302835084884122</v>
      </c>
    </row>
    <row r="2102" ht="22.5" customHeight="1">
      <c r="Q2102" s="9" t="s">
        <v>2140</v>
      </c>
      <c r="R2102" s="10">
        <v>0.6428623297568813</v>
      </c>
      <c r="S2102" s="10">
        <v>0.028849927212977102</v>
      </c>
      <c r="T2102" s="10">
        <v>20.89649396015479</v>
      </c>
      <c r="U2102" s="11">
        <v>0.18748849829111425</v>
      </c>
      <c r="V2102" s="11">
        <v>0.17857521777873717</v>
      </c>
      <c r="W2102" s="11">
        <v>0.19773163197168955</v>
      </c>
      <c r="X2102" s="11">
        <v>0.19075914221189197</v>
      </c>
      <c r="Y2102" s="11">
        <v>0.02578502600373157</v>
      </c>
      <c r="Z2102" s="11">
        <v>0.2196604837428355</v>
      </c>
    </row>
    <row r="2103" ht="22.5" customHeight="1">
      <c r="Q2103" s="9" t="s">
        <v>2141</v>
      </c>
      <c r="R2103" s="10">
        <v>0.5997656566177489</v>
      </c>
      <c r="S2103" s="10">
        <v>0.026787807660117912</v>
      </c>
      <c r="T2103" s="10">
        <v>20.89628474715146</v>
      </c>
      <c r="U2103" s="11">
        <v>0.19860794911039076</v>
      </c>
      <c r="V2103" s="11">
        <v>0.20741753276236685</v>
      </c>
      <c r="W2103" s="11">
        <v>0.13568333041757935</v>
      </c>
      <c r="X2103" s="11">
        <v>0.11422461538872686</v>
      </c>
      <c r="Y2103" s="11">
        <v>0.15776497676968876</v>
      </c>
      <c r="Z2103" s="11">
        <v>0.18630159555124753</v>
      </c>
    </row>
    <row r="2104" ht="22.5" customHeight="1">
      <c r="Q2104" s="9" t="s">
        <v>2142</v>
      </c>
      <c r="R2104" s="10">
        <v>0.6514855527175387</v>
      </c>
      <c r="S2104" s="10">
        <v>0.029262897728741685</v>
      </c>
      <c r="T2104" s="10">
        <v>20.8962748113952</v>
      </c>
      <c r="U2104" s="11">
        <v>0.1998823797879091</v>
      </c>
      <c r="V2104" s="11">
        <v>0.1708096502768622</v>
      </c>
      <c r="W2104" s="11">
        <v>0.20412870371196182</v>
      </c>
      <c r="X2104" s="11">
        <v>0.1578073697624571</v>
      </c>
      <c r="Y2104" s="11">
        <v>0.18744201029117072</v>
      </c>
      <c r="Z2104" s="11">
        <v>0.07992988616963903</v>
      </c>
    </row>
    <row r="2105" ht="22.5" customHeight="1">
      <c r="Q2105" s="9" t="s">
        <v>2143</v>
      </c>
      <c r="R2105" s="10">
        <v>0.6611746998280219</v>
      </c>
      <c r="S2105" s="10">
        <v>0.029726725268486985</v>
      </c>
      <c r="T2105" s="10">
        <v>20.89616983430473</v>
      </c>
      <c r="U2105" s="11">
        <v>0.126756327985112</v>
      </c>
      <c r="V2105" s="11">
        <v>0.23683981732709847</v>
      </c>
      <c r="W2105" s="11">
        <v>0.14066240536572805</v>
      </c>
      <c r="X2105" s="11">
        <v>0.17756627134873484</v>
      </c>
      <c r="Y2105" s="11">
        <v>0.22328937076043165</v>
      </c>
      <c r="Z2105" s="11">
        <v>0.09488580721289495</v>
      </c>
    </row>
    <row r="2106" ht="22.5" customHeight="1">
      <c r="Q2106" s="9" t="s">
        <v>2144</v>
      </c>
      <c r="R2106" s="10">
        <v>0.522331348251574</v>
      </c>
      <c r="S2106" s="10">
        <v>0.029693036123666753</v>
      </c>
      <c r="T2106" s="10">
        <v>20.896108583046427</v>
      </c>
      <c r="U2106" s="11">
        <v>0.07761020620866602</v>
      </c>
      <c r="V2106" s="11">
        <v>0.23344999486748833</v>
      </c>
      <c r="W2106" s="11">
        <v>0.15231202844757827</v>
      </c>
      <c r="X2106" s="11">
        <v>0.19873301946770558</v>
      </c>
      <c r="Y2106" s="11">
        <v>0.1035113603368367</v>
      </c>
      <c r="Z2106" s="11">
        <v>0.23438339067172523</v>
      </c>
    </row>
    <row r="2107" ht="22.5" customHeight="1">
      <c r="Q2107" s="9" t="s">
        <v>2145</v>
      </c>
      <c r="R2107" s="10">
        <v>0.7273090549748058</v>
      </c>
      <c r="S2107" s="10">
        <v>0.032891761711723734</v>
      </c>
      <c r="T2107" s="10">
        <v>20.896085196002915</v>
      </c>
      <c r="U2107" s="11">
        <v>0.13399558230454275</v>
      </c>
      <c r="V2107" s="11">
        <v>0.20328500294468943</v>
      </c>
      <c r="W2107" s="11">
        <v>0.22421271762675707</v>
      </c>
      <c r="X2107" s="11">
        <v>0.20061506309966126</v>
      </c>
      <c r="Y2107" s="11">
        <v>0.1809386345082522</v>
      </c>
      <c r="Z2107" s="11">
        <v>0.05695299951609745</v>
      </c>
    </row>
    <row r="2108" ht="22.5" customHeight="1">
      <c r="Q2108" s="9" t="s">
        <v>2146</v>
      </c>
      <c r="R2108" s="10">
        <v>0.7572300096377584</v>
      </c>
      <c r="S2108" s="10">
        <v>0.03432440928909692</v>
      </c>
      <c r="T2108" s="10">
        <v>20.895625722117966</v>
      </c>
      <c r="U2108" s="11">
        <v>0.02585690007639835</v>
      </c>
      <c r="V2108" s="11">
        <v>0.27487864425574265</v>
      </c>
      <c r="W2108" s="11">
        <v>0.16710889352861222</v>
      </c>
      <c r="X2108" s="11">
        <v>0.30736265155119546</v>
      </c>
      <c r="Y2108" s="11">
        <v>0.12078086472883384</v>
      </c>
      <c r="Z2108" s="11">
        <v>0.1040120458592174</v>
      </c>
    </row>
    <row r="2109" ht="22.5" customHeight="1">
      <c r="Q2109" s="9" t="s">
        <v>2147</v>
      </c>
      <c r="R2109" s="10">
        <v>0.3505549431077673</v>
      </c>
      <c r="S2109" s="10">
        <v>0.014862443659729647</v>
      </c>
      <c r="T2109" s="10">
        <v>20.895281436741637</v>
      </c>
      <c r="U2109" s="11">
        <v>0.006347099703245833</v>
      </c>
      <c r="V2109" s="11">
        <v>0.11185603553561041</v>
      </c>
      <c r="W2109" s="11">
        <v>0.03263460845383556</v>
      </c>
      <c r="X2109" s="11">
        <v>0.26800887288921926</v>
      </c>
      <c r="Y2109" s="11">
        <v>0.29056679540061936</v>
      </c>
      <c r="Z2109" s="11">
        <v>0.29058658801746956</v>
      </c>
    </row>
    <row r="2110" ht="22.5" customHeight="1">
      <c r="Q2110" s="9" t="s">
        <v>2148</v>
      </c>
      <c r="R2110" s="10">
        <v>0.5730680741603406</v>
      </c>
      <c r="S2110" s="10">
        <v>0.02551158724217005</v>
      </c>
      <c r="T2110" s="10">
        <v>20.89513557506887</v>
      </c>
      <c r="U2110" s="11">
        <v>0.21016265831866404</v>
      </c>
      <c r="V2110" s="11">
        <v>0.21143888827865728</v>
      </c>
      <c r="W2110" s="11">
        <v>0.09955444174264909</v>
      </c>
      <c r="X2110" s="11">
        <v>0.18640431744010996</v>
      </c>
      <c r="Y2110" s="11">
        <v>0.1846697491548224</v>
      </c>
      <c r="Z2110" s="11">
        <v>0.10776994506509745</v>
      </c>
    </row>
    <row r="2111" ht="22.5" customHeight="1">
      <c r="Q2111" s="9" t="s">
        <v>2149</v>
      </c>
      <c r="R2111" s="10">
        <v>0.35198204650557896</v>
      </c>
      <c r="S2111" s="10">
        <v>0.014931019829936356</v>
      </c>
      <c r="T2111" s="10">
        <v>20.8948919805238</v>
      </c>
      <c r="U2111" s="11">
        <v>0.14097828997305284</v>
      </c>
      <c r="V2111" s="11">
        <v>0.10088594099036109</v>
      </c>
      <c r="W2111" s="11">
        <v>0.022652148127605253</v>
      </c>
      <c r="X2111" s="11">
        <v>0.35955030458174053</v>
      </c>
      <c r="Y2111" s="11">
        <v>0.33145488481252</v>
      </c>
      <c r="Z2111" s="11">
        <v>0.04447843151472039</v>
      </c>
    </row>
    <row r="2112" ht="22.5" customHeight="1">
      <c r="Q2112" s="9" t="s">
        <v>2150</v>
      </c>
      <c r="R2112" s="10">
        <v>0.5237501338415983</v>
      </c>
      <c r="S2112" s="10">
        <v>0.023151954518875834</v>
      </c>
      <c r="T2112" s="10">
        <v>20.894569978841133</v>
      </c>
      <c r="U2112" s="11">
        <v>0.034557098195363976</v>
      </c>
      <c r="V2112" s="11">
        <v>0.18340852821477996</v>
      </c>
      <c r="W2112" s="11">
        <v>0.10192156447167153</v>
      </c>
      <c r="X2112" s="11">
        <v>0.13676157507468928</v>
      </c>
      <c r="Y2112" s="11">
        <v>0.27914397809063235</v>
      </c>
      <c r="Z2112" s="11">
        <v>0.264207255952863</v>
      </c>
    </row>
    <row r="2113" ht="22.5" customHeight="1">
      <c r="Q2113" s="9" t="s">
        <v>2151</v>
      </c>
      <c r="R2113" s="10">
        <v>0.6055088398127927</v>
      </c>
      <c r="S2113" s="10">
        <v>0.0270649903571856</v>
      </c>
      <c r="T2113" s="10">
        <v>20.89447778660129</v>
      </c>
      <c r="U2113" s="11">
        <v>0.10557171110438479</v>
      </c>
      <c r="V2113" s="11">
        <v>0.14960026978326454</v>
      </c>
      <c r="W2113" s="11">
        <v>0.19685903618163794</v>
      </c>
      <c r="X2113" s="11">
        <v>0.22822973331964866</v>
      </c>
      <c r="Y2113" s="11">
        <v>0.06978701768476328</v>
      </c>
      <c r="Z2113" s="11">
        <v>0.24995223192630076</v>
      </c>
    </row>
    <row r="2114" ht="22.5" customHeight="1">
      <c r="Q2114" s="9" t="s">
        <v>2152</v>
      </c>
      <c r="R2114" s="10">
        <v>0.333545340370973</v>
      </c>
      <c r="S2114" s="10">
        <v>0.014049203146268197</v>
      </c>
      <c r="T2114" s="10">
        <v>20.894091808256444</v>
      </c>
      <c r="U2114" s="11">
        <v>0.20585647549619332</v>
      </c>
      <c r="V2114" s="11">
        <v>0.10940379368159274</v>
      </c>
      <c r="W2114" s="11">
        <v>0.02779719240119201</v>
      </c>
      <c r="X2114" s="11">
        <v>0.2486259816739979</v>
      </c>
      <c r="Y2114" s="11">
        <v>0.10800357121006025</v>
      </c>
      <c r="Z2114" s="11">
        <v>0.3003129855369639</v>
      </c>
    </row>
    <row r="2115" ht="22.5" customHeight="1">
      <c r="Q2115" s="9" t="s">
        <v>2153</v>
      </c>
      <c r="R2115" s="10">
        <v>0.6506941019632307</v>
      </c>
      <c r="S2115" s="10">
        <v>0.029228301500065598</v>
      </c>
      <c r="T2115" s="10">
        <v>20.893930561167235</v>
      </c>
      <c r="U2115" s="11">
        <v>0.20912419316502623</v>
      </c>
      <c r="V2115" s="11">
        <v>0.18801366354197568</v>
      </c>
      <c r="W2115" s="11">
        <v>0.19190296842477303</v>
      </c>
      <c r="X2115" s="11">
        <v>0.12513127855941164</v>
      </c>
      <c r="Y2115" s="11">
        <v>0.1526187868140958</v>
      </c>
      <c r="Z2115" s="11">
        <v>0.1332091094947176</v>
      </c>
    </row>
    <row r="2116" ht="22.5" customHeight="1">
      <c r="Q2116" s="9" t="s">
        <v>2154</v>
      </c>
      <c r="R2116" s="10">
        <v>0.8300952770837088</v>
      </c>
      <c r="S2116" s="10">
        <v>0.03781557733871111</v>
      </c>
      <c r="T2116" s="10">
        <v>20.89338131762179</v>
      </c>
      <c r="U2116" s="11">
        <v>0.1819443805852238</v>
      </c>
      <c r="V2116" s="11">
        <v>0.26378973038991477</v>
      </c>
      <c r="W2116" s="11">
        <v>0.23512120144898305</v>
      </c>
      <c r="X2116" s="11">
        <v>0.2796730744556596</v>
      </c>
      <c r="Y2116" s="11">
        <v>0.018418943069750112</v>
      </c>
      <c r="Z2116" s="11">
        <v>0.021052670050468635</v>
      </c>
    </row>
    <row r="2117" ht="22.5" customHeight="1">
      <c r="Q2117" s="9" t="s">
        <v>2155</v>
      </c>
      <c r="R2117" s="10">
        <v>0.5971237593096481</v>
      </c>
      <c r="S2117" s="10">
        <v>0.026665835333699858</v>
      </c>
      <c r="T2117" s="10">
        <v>20.8927923066248</v>
      </c>
      <c r="U2117" s="11">
        <v>0.0812982269030368</v>
      </c>
      <c r="V2117" s="11">
        <v>0.12323972251428092</v>
      </c>
      <c r="W2117" s="11">
        <v>0.19990163607284697</v>
      </c>
      <c r="X2117" s="11">
        <v>0.2718215707753694</v>
      </c>
      <c r="Y2117" s="11">
        <v>0.2602348077074271</v>
      </c>
      <c r="Z2117" s="11">
        <v>0.06350403602703884</v>
      </c>
    </row>
    <row r="2118" ht="22.5" customHeight="1">
      <c r="Q2118" s="9" t="s">
        <v>2156</v>
      </c>
      <c r="R2118" s="10">
        <v>0.6485564242294184</v>
      </c>
      <c r="S2118" s="10">
        <v>0.0291286629164285</v>
      </c>
      <c r="T2118" s="10">
        <v>20.892013683408514</v>
      </c>
      <c r="U2118" s="11">
        <v>0.28065798513429263</v>
      </c>
      <c r="V2118" s="11">
        <v>0.19152160554511496</v>
      </c>
      <c r="W2118" s="11">
        <v>0.18347958014411272</v>
      </c>
      <c r="X2118" s="11">
        <v>0.09597460269774336</v>
      </c>
      <c r="Y2118" s="11">
        <v>0.19600970411086557</v>
      </c>
      <c r="Z2118" s="11">
        <v>0.05235652236787055</v>
      </c>
    </row>
    <row r="2119" ht="22.5" customHeight="1">
      <c r="Q2119" s="9" t="s">
        <v>2157</v>
      </c>
      <c r="R2119" s="10">
        <v>0.7271406510373895</v>
      </c>
      <c r="S2119" s="10">
        <v>0.0328915806433874</v>
      </c>
      <c r="T2119" s="10">
        <v>20.89108025811869</v>
      </c>
      <c r="U2119" s="11">
        <v>0.026586304306189305</v>
      </c>
      <c r="V2119" s="11">
        <v>0.2337594163142283</v>
      </c>
      <c r="W2119" s="11">
        <v>0.2002798130895506</v>
      </c>
      <c r="X2119" s="11">
        <v>0.2141367362573819</v>
      </c>
      <c r="Y2119" s="11">
        <v>0.12426873577015869</v>
      </c>
      <c r="Z2119" s="11">
        <v>0.2009689942624913</v>
      </c>
    </row>
    <row r="2120" ht="22.5" customHeight="1">
      <c r="Q2120" s="9" t="s">
        <v>2158</v>
      </c>
      <c r="R2120" s="10">
        <v>0.7809775466835351</v>
      </c>
      <c r="S2120" s="10">
        <v>0.03546902733602219</v>
      </c>
      <c r="T2120" s="10">
        <v>20.890833562018813</v>
      </c>
      <c r="U2120" s="11">
        <v>0.03001268762783769</v>
      </c>
      <c r="V2120" s="11">
        <v>0.24256561371171192</v>
      </c>
      <c r="W2120" s="11">
        <v>0.22523362340112751</v>
      </c>
      <c r="X2120" s="11">
        <v>0.25308166100327356</v>
      </c>
      <c r="Y2120" s="11">
        <v>0.12504327819298391</v>
      </c>
      <c r="Z2120" s="11">
        <v>0.12406313606306543</v>
      </c>
    </row>
    <row r="2121" ht="22.5" customHeight="1">
      <c r="Q2121" s="9" t="s">
        <v>2159</v>
      </c>
      <c r="R2121" s="10">
        <v>0.6164127065953675</v>
      </c>
      <c r="S2121" s="10">
        <v>0.027591684625089298</v>
      </c>
      <c r="T2121" s="10">
        <v>20.89081237436411</v>
      </c>
      <c r="U2121" s="11">
        <v>0.17973378565558584</v>
      </c>
      <c r="V2121" s="11">
        <v>0.15309965276232398</v>
      </c>
      <c r="W2121" s="11">
        <v>0.20028998246259647</v>
      </c>
      <c r="X2121" s="11">
        <v>0.22725042942575013</v>
      </c>
      <c r="Y2121" s="11">
        <v>0.029167759542368363</v>
      </c>
      <c r="Z2121" s="11">
        <v>0.21045839015137527</v>
      </c>
    </row>
    <row r="2122" ht="22.5" customHeight="1">
      <c r="Q2122" s="9" t="s">
        <v>2160</v>
      </c>
      <c r="R2122" s="10">
        <v>0.5269409517740123</v>
      </c>
      <c r="S2122" s="10">
        <v>0.023309178143990084</v>
      </c>
      <c r="T2122" s="10">
        <v>20.890524271854805</v>
      </c>
      <c r="U2122" s="11">
        <v>0.10942518601879889</v>
      </c>
      <c r="V2122" s="11">
        <v>0.162045833546455</v>
      </c>
      <c r="W2122" s="11">
        <v>0.13733191054531174</v>
      </c>
      <c r="X2122" s="11">
        <v>0.07640064008510651</v>
      </c>
      <c r="Y2122" s="11">
        <v>0.1885021335835341</v>
      </c>
      <c r="Z2122" s="11">
        <v>0.32629429622079376</v>
      </c>
    </row>
    <row r="2123" ht="22.5" customHeight="1">
      <c r="Q2123" s="9" t="s">
        <v>2161</v>
      </c>
      <c r="R2123" s="10">
        <v>0.4360314038772574</v>
      </c>
      <c r="S2123" s="10">
        <v>0.018957696036008765</v>
      </c>
      <c r="T2123" s="10">
        <v>20.890270796885055</v>
      </c>
      <c r="U2123" s="11">
        <v>0.20408419926940014</v>
      </c>
      <c r="V2123" s="11">
        <v>0.13484568290879398</v>
      </c>
      <c r="W2123" s="11">
        <v>0.09733433441868375</v>
      </c>
      <c r="X2123" s="11">
        <v>0.05095612252497225</v>
      </c>
      <c r="Y2123" s="11">
        <v>0.18656133368595132</v>
      </c>
      <c r="Z2123" s="11">
        <v>0.32621832719219845</v>
      </c>
    </row>
    <row r="2124" ht="22.5" customHeight="1">
      <c r="Q2124" s="9" t="s">
        <v>2162</v>
      </c>
      <c r="R2124" s="10">
        <v>0.5482721565889026</v>
      </c>
      <c r="S2124" s="10">
        <v>0.02433063388530412</v>
      </c>
      <c r="T2124" s="10">
        <v>20.89021432753968</v>
      </c>
      <c r="U2124" s="11">
        <v>0.27658460237154275</v>
      </c>
      <c r="V2124" s="11">
        <v>0.1883423064972182</v>
      </c>
      <c r="W2124" s="11">
        <v>0.12077350727652324</v>
      </c>
      <c r="X2124" s="11">
        <v>0.11346834062058457</v>
      </c>
      <c r="Y2124" s="11">
        <v>0.06044800323537529</v>
      </c>
      <c r="Z2124" s="11">
        <v>0.24038323999875585</v>
      </c>
    </row>
    <row r="2125" ht="22.5" customHeight="1">
      <c r="Q2125" s="9" t="s">
        <v>2163</v>
      </c>
      <c r="R2125" s="10">
        <v>0.6604544231654971</v>
      </c>
      <c r="S2125" s="10">
        <v>0.02970105369821118</v>
      </c>
      <c r="T2125" s="10">
        <v>20.889980182853424</v>
      </c>
      <c r="U2125" s="11">
        <v>0.18264475354291423</v>
      </c>
      <c r="V2125" s="11">
        <v>0.1955708360928363</v>
      </c>
      <c r="W2125" s="11">
        <v>0.19152637275816967</v>
      </c>
      <c r="X2125" s="11">
        <v>0.12541271592281095</v>
      </c>
      <c r="Y2125" s="11">
        <v>0.16673135421157964</v>
      </c>
      <c r="Z2125" s="11">
        <v>0.1381139674716893</v>
      </c>
    </row>
    <row r="2126" ht="22.5" customHeight="1">
      <c r="Q2126" s="9" t="s">
        <v>2164</v>
      </c>
      <c r="R2126" s="10">
        <v>0.5921544094036694</v>
      </c>
      <c r="S2126" s="10">
        <v>0.02643172270416351</v>
      </c>
      <c r="T2126" s="10">
        <v>20.889838153329833</v>
      </c>
      <c r="U2126" s="11">
        <v>0.17204426415205476</v>
      </c>
      <c r="V2126" s="11">
        <v>0.19184453075786118</v>
      </c>
      <c r="W2126" s="11">
        <v>0.1511965206632225</v>
      </c>
      <c r="X2126" s="11">
        <v>0.09409073480630901</v>
      </c>
      <c r="Y2126" s="11">
        <v>0.14907179767255854</v>
      </c>
      <c r="Z2126" s="11">
        <v>0.24175215194799404</v>
      </c>
    </row>
    <row r="2127" ht="22.5" customHeight="1">
      <c r="Q2127" s="9" t="s">
        <v>2165</v>
      </c>
      <c r="R2127" s="10">
        <v>0.709152116901099</v>
      </c>
      <c r="S2127" s="10">
        <v>0.03203242689840258</v>
      </c>
      <c r="T2127" s="10">
        <v>20.889835135609687</v>
      </c>
      <c r="U2127" s="11">
        <v>0.14374584622652176</v>
      </c>
      <c r="V2127" s="11">
        <v>0.21116211166381646</v>
      </c>
      <c r="W2127" s="11">
        <v>0.20971422926235161</v>
      </c>
      <c r="X2127" s="11">
        <v>0.18066175484586056</v>
      </c>
      <c r="Y2127" s="11">
        <v>0.11260056672335782</v>
      </c>
      <c r="Z2127" s="11">
        <v>0.1421154912780918</v>
      </c>
    </row>
    <row r="2128" ht="22.5" customHeight="1">
      <c r="Q2128" s="9" t="s">
        <v>2166</v>
      </c>
      <c r="R2128" s="10">
        <v>0.653183128205357</v>
      </c>
      <c r="S2128" s="10">
        <v>0.029353466920056994</v>
      </c>
      <c r="T2128" s="10">
        <v>20.889632215347405</v>
      </c>
      <c r="U2128" s="11">
        <v>0.15593457716309864</v>
      </c>
      <c r="V2128" s="11">
        <v>0.19631398618574528</v>
      </c>
      <c r="W2128" s="11">
        <v>0.18313388402489017</v>
      </c>
      <c r="X2128" s="11">
        <v>0.10870873660813007</v>
      </c>
      <c r="Y2128" s="11">
        <v>0.24789292965446785</v>
      </c>
      <c r="Z2128" s="11">
        <v>0.10801588636366816</v>
      </c>
    </row>
    <row r="2129" ht="22.5" customHeight="1">
      <c r="Q2129" s="9" t="s">
        <v>2167</v>
      </c>
      <c r="R2129" s="10">
        <v>0.6716080145401264</v>
      </c>
      <c r="S2129" s="10">
        <v>0.030235695468718335</v>
      </c>
      <c r="T2129" s="10">
        <v>20.889481943406402</v>
      </c>
      <c r="U2129" s="11">
        <v>0.1504705431863534</v>
      </c>
      <c r="V2129" s="11">
        <v>0.24078948825919938</v>
      </c>
      <c r="W2129" s="11">
        <v>0.15050829889427708</v>
      </c>
      <c r="X2129" s="11">
        <v>0.2307541931630352</v>
      </c>
      <c r="Y2129" s="11">
        <v>0.022412309194246166</v>
      </c>
      <c r="Z2129" s="11">
        <v>0.2050651673028888</v>
      </c>
    </row>
    <row r="2130" ht="22.5" customHeight="1">
      <c r="Q2130" s="9" t="s">
        <v>2168</v>
      </c>
      <c r="R2130" s="10">
        <v>0.6496402591188771</v>
      </c>
      <c r="S2130" s="10">
        <v>0.02918408500025602</v>
      </c>
      <c r="T2130" s="10">
        <v>20.88947654564222</v>
      </c>
      <c r="U2130" s="11">
        <v>0.13442915293316107</v>
      </c>
      <c r="V2130" s="11">
        <v>0.21988286073411342</v>
      </c>
      <c r="W2130" s="11">
        <v>0.16098067421522655</v>
      </c>
      <c r="X2130" s="11">
        <v>0.1409725496387105</v>
      </c>
      <c r="Y2130" s="11">
        <v>0.13398907881883257</v>
      </c>
      <c r="Z2130" s="11">
        <v>0.20974568365995572</v>
      </c>
    </row>
    <row r="2131" ht="22.5" customHeight="1">
      <c r="Q2131" s="9" t="s">
        <v>2169</v>
      </c>
      <c r="R2131" s="10">
        <v>0.6911720177595175</v>
      </c>
      <c r="S2131" s="10">
        <v>0.03117286820877037</v>
      </c>
      <c r="T2131" s="10">
        <v>20.88906331616648</v>
      </c>
      <c r="U2131" s="11">
        <v>0.06402639703519597</v>
      </c>
      <c r="V2131" s="11">
        <v>0.2033893539598099</v>
      </c>
      <c r="W2131" s="11">
        <v>0.19989804501143985</v>
      </c>
      <c r="X2131" s="11">
        <v>0.15522201741376213</v>
      </c>
      <c r="Y2131" s="11">
        <v>0.2828837571210234</v>
      </c>
      <c r="Z2131" s="11">
        <v>0.09458042945876886</v>
      </c>
    </row>
    <row r="2132" ht="22.5" customHeight="1">
      <c r="Q2132" s="9" t="s">
        <v>2170</v>
      </c>
      <c r="R2132" s="10">
        <v>0.5490750420529351</v>
      </c>
      <c r="S2132" s="10">
        <v>0.024370967253155178</v>
      </c>
      <c r="T2132" s="10">
        <v>20.8885858638634</v>
      </c>
      <c r="U2132" s="11">
        <v>0.1424134565250915</v>
      </c>
      <c r="V2132" s="11">
        <v>0.15896928796206147</v>
      </c>
      <c r="W2132" s="11">
        <v>0.15136503954522584</v>
      </c>
      <c r="X2132" s="11">
        <v>0.07124404081475331</v>
      </c>
      <c r="Y2132" s="11">
        <v>0.2484979042979342</v>
      </c>
      <c r="Z2132" s="11">
        <v>0.22751027085493375</v>
      </c>
    </row>
    <row r="2133" ht="22.5" customHeight="1">
      <c r="Q2133" s="9" t="s">
        <v>2171</v>
      </c>
      <c r="R2133" s="10">
        <v>0.695880037538531</v>
      </c>
      <c r="S2133" s="10">
        <v>0.03140121282664511</v>
      </c>
      <c r="T2133" s="10">
        <v>20.887092519623703</v>
      </c>
      <c r="U2133" s="11">
        <v>0.19671698460950646</v>
      </c>
      <c r="V2133" s="11">
        <v>0.20220952849160903</v>
      </c>
      <c r="W2133" s="11">
        <v>0.20983700213110562</v>
      </c>
      <c r="X2133" s="11">
        <v>0.19415693376128124</v>
      </c>
      <c r="Y2133" s="11">
        <v>0.041819535990131</v>
      </c>
      <c r="Z2133" s="11">
        <v>0.1552600150163668</v>
      </c>
    </row>
    <row r="2134" ht="22.5" customHeight="1">
      <c r="Q2134" s="9" t="s">
        <v>2172</v>
      </c>
      <c r="R2134" s="10">
        <v>0.5318051576381801</v>
      </c>
      <c r="S2134" s="10">
        <v>0.023546063954887904</v>
      </c>
      <c r="T2134" s="10">
        <v>20.886937136518174</v>
      </c>
      <c r="U2134" s="11">
        <v>0.0600463992129285</v>
      </c>
      <c r="V2134" s="11">
        <v>0.20137810789645216</v>
      </c>
      <c r="W2134" s="11">
        <v>0.06416965676254194</v>
      </c>
      <c r="X2134" s="11">
        <v>0.40051663924686326</v>
      </c>
      <c r="Y2134" s="11">
        <v>0.11765990294351601</v>
      </c>
      <c r="Z2134" s="11">
        <v>0.15622929393769816</v>
      </c>
    </row>
    <row r="2135" ht="22.5" customHeight="1">
      <c r="Q2135" s="9" t="s">
        <v>2173</v>
      </c>
      <c r="R2135" s="10">
        <v>0.3953065113273245</v>
      </c>
      <c r="S2135" s="10">
        <v>0.017011193126394205</v>
      </c>
      <c r="T2135" s="10">
        <v>20.88663086047965</v>
      </c>
      <c r="U2135" s="11">
        <v>0.36026743568647396</v>
      </c>
      <c r="V2135" s="11">
        <v>0.13281289396401016</v>
      </c>
      <c r="W2135" s="11">
        <v>0.02847589940079091</v>
      </c>
      <c r="X2135" s="11">
        <v>0.3579513213637056</v>
      </c>
      <c r="Y2135" s="11">
        <v>0.07009731605266889</v>
      </c>
      <c r="Z2135" s="11">
        <v>0.05039513353235037</v>
      </c>
    </row>
    <row r="2136" ht="22.5" customHeight="1">
      <c r="Q2136" s="9" t="s">
        <v>2174</v>
      </c>
      <c r="R2136" s="10">
        <v>0.4141046183478917</v>
      </c>
      <c r="S2136" s="10">
        <v>0.017911317879005424</v>
      </c>
      <c r="T2136" s="10">
        <v>20.886493158964857</v>
      </c>
      <c r="U2136" s="11">
        <v>0.20525268003252561</v>
      </c>
      <c r="V2136" s="11">
        <v>0.1489498079181022</v>
      </c>
      <c r="W2136" s="11">
        <v>0.04210609965641687</v>
      </c>
      <c r="X2136" s="11">
        <v>0.2444182554570028</v>
      </c>
      <c r="Y2136" s="11">
        <v>0.16402525736889412</v>
      </c>
      <c r="Z2136" s="11">
        <v>0.19524789956705857</v>
      </c>
    </row>
    <row r="2137" ht="22.5" customHeight="1">
      <c r="Q2137" s="9" t="s">
        <v>2175</v>
      </c>
      <c r="R2137" s="10">
        <v>0.6176156742292863</v>
      </c>
      <c r="S2137" s="10">
        <v>0.027656094398511157</v>
      </c>
      <c r="T2137" s="10">
        <v>20.885656011514833</v>
      </c>
      <c r="U2137" s="11">
        <v>0.16011149426180962</v>
      </c>
      <c r="V2137" s="11">
        <v>0.1740907243386415</v>
      </c>
      <c r="W2137" s="11">
        <v>0.18545317372757594</v>
      </c>
      <c r="X2137" s="11">
        <v>0.13131548030038973</v>
      </c>
      <c r="Y2137" s="11">
        <v>0.13270109163553226</v>
      </c>
      <c r="Z2137" s="11">
        <v>0.21632803573605083</v>
      </c>
    </row>
    <row r="2138" ht="22.5" customHeight="1">
      <c r="Q2138" s="9" t="s">
        <v>2176</v>
      </c>
      <c r="R2138" s="10">
        <v>0.7230791236954225</v>
      </c>
      <c r="S2138" s="10">
        <v>0.03270652085956652</v>
      </c>
      <c r="T2138" s="10">
        <v>20.88510504154173</v>
      </c>
      <c r="U2138" s="11">
        <v>0.204701503092061</v>
      </c>
      <c r="V2138" s="11">
        <v>0.23919253814871264</v>
      </c>
      <c r="W2138" s="11">
        <v>0.1895688563470175</v>
      </c>
      <c r="X2138" s="11">
        <v>0.16284732102793306</v>
      </c>
      <c r="Y2138" s="11">
        <v>0.11324870846839467</v>
      </c>
      <c r="Z2138" s="11">
        <v>0.09044107291588116</v>
      </c>
    </row>
    <row r="2139" ht="22.5" customHeight="1">
      <c r="Q2139" s="9" t="s">
        <v>2177</v>
      </c>
      <c r="R2139" s="10">
        <v>0.4559293474476569</v>
      </c>
      <c r="S2139" s="10">
        <v>0.01991595368320974</v>
      </c>
      <c r="T2139" s="10">
        <v>20.884229500810125</v>
      </c>
      <c r="U2139" s="11">
        <v>0.2073031942620955</v>
      </c>
      <c r="V2139" s="11">
        <v>0.10942094215015392</v>
      </c>
      <c r="W2139" s="11">
        <v>0.12344501858253829</v>
      </c>
      <c r="X2139" s="11">
        <v>0.07582562613070026</v>
      </c>
      <c r="Y2139" s="11">
        <v>0.3467775263125931</v>
      </c>
      <c r="Z2139" s="11">
        <v>0.13722769256191888</v>
      </c>
    </row>
    <row r="2140" ht="22.5" customHeight="1">
      <c r="Q2140" s="9" t="s">
        <v>2178</v>
      </c>
      <c r="R2140" s="10">
        <v>0.691262888139599</v>
      </c>
      <c r="S2140" s="10">
        <v>0.031185692160631304</v>
      </c>
      <c r="T2140" s="10">
        <v>20.883387317012982</v>
      </c>
      <c r="U2140" s="11">
        <v>0.13173458888615705</v>
      </c>
      <c r="V2140" s="11">
        <v>0.24036854478707922</v>
      </c>
      <c r="W2140" s="11">
        <v>0.16781647857037507</v>
      </c>
      <c r="X2140" s="11">
        <v>0.20854412449075146</v>
      </c>
      <c r="Y2140" s="11">
        <v>0.044201564798882854</v>
      </c>
      <c r="Z2140" s="11">
        <v>0.20733469846675434</v>
      </c>
    </row>
    <row r="2141" ht="22.5" customHeight="1">
      <c r="Q2141" s="9" t="s">
        <v>2179</v>
      </c>
      <c r="R2141" s="10">
        <v>0.7898011497882055</v>
      </c>
      <c r="S2141" s="10">
        <v>0.03590430522989038</v>
      </c>
      <c r="T2141" s="10">
        <v>20.883321512206702</v>
      </c>
      <c r="U2141" s="11">
        <v>0.03919478330883987</v>
      </c>
      <c r="V2141" s="11">
        <v>0.23122125738043084</v>
      </c>
      <c r="W2141" s="11">
        <v>0.2366750401916965</v>
      </c>
      <c r="X2141" s="11">
        <v>0.24094254151422184</v>
      </c>
      <c r="Y2141" s="11">
        <v>0.2355101400317035</v>
      </c>
      <c r="Z2141" s="11">
        <v>0.016456237573107314</v>
      </c>
    </row>
    <row r="2142" ht="22.5" customHeight="1">
      <c r="Q2142" s="9" t="s">
        <v>2180</v>
      </c>
      <c r="R2142" s="10">
        <v>0.522331348251574</v>
      </c>
      <c r="S2142" s="10">
        <v>0.030967339754178154</v>
      </c>
      <c r="T2142" s="10">
        <v>20.883000956253372</v>
      </c>
      <c r="U2142" s="11">
        <v>0.12168334364911902</v>
      </c>
      <c r="V2142" s="11">
        <v>0.24941709935920808</v>
      </c>
      <c r="W2142" s="11">
        <v>0.14974546406822017</v>
      </c>
      <c r="X2142" s="11">
        <v>0.24351638675578646</v>
      </c>
      <c r="Y2142" s="11">
        <v>0.05891441488930452</v>
      </c>
      <c r="Z2142" s="11">
        <v>0.17672329127836164</v>
      </c>
    </row>
    <row r="2143" ht="22.5" customHeight="1">
      <c r="Q2143" s="9" t="s">
        <v>2181</v>
      </c>
      <c r="R2143" s="10">
        <v>0.6523077190978034</v>
      </c>
      <c r="S2143" s="10">
        <v>0.029321937385440814</v>
      </c>
      <c r="T2143" s="10">
        <v>20.88223950037598</v>
      </c>
      <c r="U2143" s="11">
        <v>0.12302897659107023</v>
      </c>
      <c r="V2143" s="11">
        <v>0.20907903130672695</v>
      </c>
      <c r="W2143" s="11">
        <v>0.17610798809295916</v>
      </c>
      <c r="X2143" s="11">
        <v>0.13765814913035843</v>
      </c>
      <c r="Y2143" s="11">
        <v>0.12361143574236504</v>
      </c>
      <c r="Z2143" s="11">
        <v>0.2305144191365202</v>
      </c>
    </row>
    <row r="2144" ht="22.5" customHeight="1">
      <c r="Q2144" s="9" t="s">
        <v>2182</v>
      </c>
      <c r="R2144" s="10">
        <v>0.6763660687664204</v>
      </c>
      <c r="S2144" s="10">
        <v>0.03047449998033321</v>
      </c>
      <c r="T2144" s="10">
        <v>20.881919938870226</v>
      </c>
      <c r="U2144" s="11">
        <v>0.01672159609987405</v>
      </c>
      <c r="V2144" s="11">
        <v>0.24228752457407038</v>
      </c>
      <c r="W2144" s="11">
        <v>0.15290147627148815</v>
      </c>
      <c r="X2144" s="11">
        <v>0.2457297694184781</v>
      </c>
      <c r="Y2144" s="11">
        <v>0.08804523980711648</v>
      </c>
      <c r="Z2144" s="11">
        <v>0.2543143938289728</v>
      </c>
    </row>
    <row r="2145" ht="22.5" customHeight="1">
      <c r="Q2145" s="9" t="s">
        <v>2183</v>
      </c>
      <c r="R2145" s="10">
        <v>0.4701137359319957</v>
      </c>
      <c r="S2145" s="10">
        <v>0.02059769605662183</v>
      </c>
      <c r="T2145" s="10">
        <v>20.881643012385407</v>
      </c>
      <c r="U2145" s="11">
        <v>0.280273075788434</v>
      </c>
      <c r="V2145" s="11">
        <v>0.0774012950338999</v>
      </c>
      <c r="W2145" s="11">
        <v>0.15825362742943064</v>
      </c>
      <c r="X2145" s="11">
        <v>0.2701142669328074</v>
      </c>
      <c r="Y2145" s="11">
        <v>0.06416653220453344</v>
      </c>
      <c r="Z2145" s="11">
        <v>0.14979120261089462</v>
      </c>
    </row>
    <row r="2146" ht="22.5" customHeight="1">
      <c r="Q2146" s="9" t="s">
        <v>2184</v>
      </c>
      <c r="R2146" s="10">
        <v>0.6643219863965519</v>
      </c>
      <c r="S2146" s="10">
        <v>0.02989856827237918</v>
      </c>
      <c r="T2146" s="10">
        <v>20.881333872207904</v>
      </c>
      <c r="U2146" s="11">
        <v>0.06811744695413122</v>
      </c>
      <c r="V2146" s="11">
        <v>0.24038016170700882</v>
      </c>
      <c r="W2146" s="11">
        <v>0.14571334462935803</v>
      </c>
      <c r="X2146" s="11">
        <v>0.24424760980011542</v>
      </c>
      <c r="Y2146" s="11">
        <v>0.05698059248802592</v>
      </c>
      <c r="Z2146" s="11">
        <v>0.2445608444213606</v>
      </c>
    </row>
    <row r="2147" ht="22.5" customHeight="1">
      <c r="Q2147" s="9" t="s">
        <v>2185</v>
      </c>
      <c r="R2147" s="10">
        <v>0.49454797121659994</v>
      </c>
      <c r="S2147" s="10">
        <v>0.021768170091808654</v>
      </c>
      <c r="T2147" s="10">
        <v>20.881312912363086</v>
      </c>
      <c r="U2147" s="11">
        <v>0.18480278906693912</v>
      </c>
      <c r="V2147" s="11">
        <v>0.18636509923873912</v>
      </c>
      <c r="W2147" s="11">
        <v>0.061676740524209205</v>
      </c>
      <c r="X2147" s="11">
        <v>0.2939427619696928</v>
      </c>
      <c r="Y2147" s="11">
        <v>0.09418755229384299</v>
      </c>
      <c r="Z2147" s="11">
        <v>0.1790250569065767</v>
      </c>
    </row>
    <row r="2148" ht="22.5" customHeight="1">
      <c r="Q2148" s="9" t="s">
        <v>2186</v>
      </c>
      <c r="R2148" s="10">
        <v>0.5715610083225344</v>
      </c>
      <c r="S2148" s="10">
        <v>0.025456647021713377</v>
      </c>
      <c r="T2148" s="10">
        <v>20.881029927827367</v>
      </c>
      <c r="U2148" s="11">
        <v>0.26092162932754526</v>
      </c>
      <c r="V2148" s="11">
        <v>0.18924863322460533</v>
      </c>
      <c r="W2148" s="11">
        <v>0.13486219185434678</v>
      </c>
      <c r="X2148" s="11">
        <v>0.07401446270685087</v>
      </c>
      <c r="Y2148" s="11">
        <v>0.17293525785299743</v>
      </c>
      <c r="Z2148" s="11">
        <v>0.1680178250336544</v>
      </c>
    </row>
    <row r="2149" ht="22.5" customHeight="1">
      <c r="Q2149" s="9" t="s">
        <v>2187</v>
      </c>
      <c r="R2149" s="10">
        <v>0.7358890676480342</v>
      </c>
      <c r="S2149" s="10">
        <v>0.03332661107255125</v>
      </c>
      <c r="T2149" s="10">
        <v>20.880883031674</v>
      </c>
      <c r="U2149" s="11">
        <v>0.06612105605639035</v>
      </c>
      <c r="V2149" s="11">
        <v>0.24105267304730163</v>
      </c>
      <c r="W2149" s="11">
        <v>0.1995140409448575</v>
      </c>
      <c r="X2149" s="11">
        <v>0.2292715361191508</v>
      </c>
      <c r="Y2149" s="11">
        <v>0.06118006204902745</v>
      </c>
      <c r="Z2149" s="11">
        <v>0.20286063178327235</v>
      </c>
    </row>
    <row r="2150" ht="22.5" customHeight="1">
      <c r="Q2150" s="9" t="s">
        <v>2188</v>
      </c>
      <c r="R2150" s="10">
        <v>0.7200509802898283</v>
      </c>
      <c r="S2150" s="10">
        <v>0.03256872810800917</v>
      </c>
      <c r="T2150" s="10">
        <v>20.88048934654568</v>
      </c>
      <c r="U2150" s="11">
        <v>0.22330829277057862</v>
      </c>
      <c r="V2150" s="11">
        <v>0.22503767767159893</v>
      </c>
      <c r="W2150" s="11">
        <v>0.20292494318301985</v>
      </c>
      <c r="X2150" s="11">
        <v>0.16189834396440306</v>
      </c>
      <c r="Y2150" s="11">
        <v>0.09122445110981556</v>
      </c>
      <c r="Z2150" s="11">
        <v>0.0956062913005838</v>
      </c>
    </row>
    <row r="2151" ht="22.5" customHeight="1">
      <c r="Q2151" s="9" t="s">
        <v>2189</v>
      </c>
      <c r="R2151" s="10">
        <v>0.6434695566540597</v>
      </c>
      <c r="S2151" s="10">
        <v>0.028901225985135538</v>
      </c>
      <c r="T2151" s="10">
        <v>20.88041375699549</v>
      </c>
      <c r="U2151" s="11">
        <v>0.12887613820990113</v>
      </c>
      <c r="V2151" s="11">
        <v>0.1744522075762579</v>
      </c>
      <c r="W2151" s="11">
        <v>0.20017313559829644</v>
      </c>
      <c r="X2151" s="11">
        <v>0.1656838592955412</v>
      </c>
      <c r="Y2151" s="11">
        <v>0.14694736718655568</v>
      </c>
      <c r="Z2151" s="11">
        <v>0.18386729213344774</v>
      </c>
    </row>
    <row r="2152" ht="22.5" customHeight="1">
      <c r="Q2152" s="9" t="s">
        <v>2190</v>
      </c>
      <c r="R2152" s="10">
        <v>0.4115910458763251</v>
      </c>
      <c r="S2152" s="10">
        <v>0.017796458836380705</v>
      </c>
      <c r="T2152" s="10">
        <v>20.880055369031844</v>
      </c>
      <c r="U2152" s="11">
        <v>0.269117025876284</v>
      </c>
      <c r="V2152" s="11">
        <v>0.14114784888935755</v>
      </c>
      <c r="W2152" s="11">
        <v>0.06695745051536652</v>
      </c>
      <c r="X2152" s="11">
        <v>0.13501665697100573</v>
      </c>
      <c r="Y2152" s="11">
        <v>0.0635203070544821</v>
      </c>
      <c r="Z2152" s="11">
        <v>0.32424071069350424</v>
      </c>
    </row>
    <row r="2153" ht="22.5" customHeight="1">
      <c r="Q2153" s="9" t="s">
        <v>2191</v>
      </c>
      <c r="R2153" s="10">
        <v>0.5955107896846469</v>
      </c>
      <c r="S2153" s="10">
        <v>0.026604969451352732</v>
      </c>
      <c r="T2153" s="10">
        <v>20.87996344819715</v>
      </c>
      <c r="U2153" s="11">
        <v>0.19527380691451704</v>
      </c>
      <c r="V2153" s="11">
        <v>0.21592894221053377</v>
      </c>
      <c r="W2153" s="11">
        <v>0.12255718494597592</v>
      </c>
      <c r="X2153" s="11">
        <v>0.20333294455161896</v>
      </c>
      <c r="Y2153" s="11">
        <v>0.01199953416190483</v>
      </c>
      <c r="Z2153" s="11">
        <v>0.2509075872154494</v>
      </c>
    </row>
    <row r="2154" ht="22.5" customHeight="1">
      <c r="Q2154" s="9" t="s">
        <v>2192</v>
      </c>
      <c r="R2154" s="10">
        <v>0.2675807836748968</v>
      </c>
      <c r="S2154" s="10">
        <v>0.010899546130790017</v>
      </c>
      <c r="T2154" s="10">
        <v>20.879840402895873</v>
      </c>
      <c r="U2154" s="11">
        <v>0.2672401811885471</v>
      </c>
      <c r="V2154" s="11">
        <v>0.06391844863568762</v>
      </c>
      <c r="W2154" s="11">
        <v>0.02469550149716908</v>
      </c>
      <c r="X2154" s="11">
        <v>0.26006197054309926</v>
      </c>
      <c r="Y2154" s="11">
        <v>0.07254197414045771</v>
      </c>
      <c r="Z2154" s="11">
        <v>0.3115419239950393</v>
      </c>
    </row>
    <row r="2155" ht="22.5" customHeight="1">
      <c r="Q2155" s="9" t="s">
        <v>2193</v>
      </c>
      <c r="R2155" s="10">
        <v>0.4606020463692673</v>
      </c>
      <c r="S2155" s="10">
        <v>0.020144804406901858</v>
      </c>
      <c r="T2155" s="10">
        <v>20.878934234038226</v>
      </c>
      <c r="U2155" s="11">
        <v>0.4274695084730091</v>
      </c>
      <c r="V2155" s="11">
        <v>0.1493397591150757</v>
      </c>
      <c r="W2155" s="11">
        <v>0.08988508763831045</v>
      </c>
      <c r="X2155" s="11">
        <v>0.08677454434567694</v>
      </c>
      <c r="Y2155" s="11">
        <v>0.09642503634238016</v>
      </c>
      <c r="Z2155" s="11">
        <v>0.15010606408554755</v>
      </c>
    </row>
    <row r="2156" ht="22.5" customHeight="1">
      <c r="Q2156" s="9" t="s">
        <v>2194</v>
      </c>
      <c r="R2156" s="10">
        <v>0.7132106925046481</v>
      </c>
      <c r="S2156" s="10">
        <v>0.03224490221425884</v>
      </c>
      <c r="T2156" s="10">
        <v>20.87805036688718</v>
      </c>
      <c r="U2156" s="11">
        <v>0.15498848952774882</v>
      </c>
      <c r="V2156" s="11">
        <v>0.23607761694029872</v>
      </c>
      <c r="W2156" s="11">
        <v>0.18929690205868369</v>
      </c>
      <c r="X2156" s="11">
        <v>0.20670579659201108</v>
      </c>
      <c r="Y2156" s="11">
        <v>0.01918540545064862</v>
      </c>
      <c r="Z2156" s="11">
        <v>0.1937457894306092</v>
      </c>
    </row>
    <row r="2157" ht="22.5" customHeight="1">
      <c r="Q2157" s="9" t="s">
        <v>2195</v>
      </c>
      <c r="R2157" s="10">
        <v>0.662935813956901</v>
      </c>
      <c r="S2157" s="10">
        <v>0.029838409187495137</v>
      </c>
      <c r="T2157" s="10">
        <v>20.876978060142857</v>
      </c>
      <c r="U2157" s="11">
        <v>0.2228097568675022</v>
      </c>
      <c r="V2157" s="11">
        <v>0.18188227094421971</v>
      </c>
      <c r="W2157" s="11">
        <v>0.20251591841353114</v>
      </c>
      <c r="X2157" s="11">
        <v>0.13628307998811637</v>
      </c>
      <c r="Y2157" s="11">
        <v>0.1881764931724267</v>
      </c>
      <c r="Z2157" s="11">
        <v>0.0683324806142039</v>
      </c>
    </row>
    <row r="2158" ht="22.5" customHeight="1">
      <c r="Q2158" s="9" t="s">
        <v>2196</v>
      </c>
      <c r="R2158" s="10">
        <v>0.522331348251574</v>
      </c>
      <c r="S2158" s="10">
        <v>0.020710656641817014</v>
      </c>
      <c r="T2158" s="10">
        <v>20.875965164196685</v>
      </c>
      <c r="U2158" s="11">
        <v>0.1888824439468263</v>
      </c>
      <c r="V2158" s="11">
        <v>0.1594488087863257</v>
      </c>
      <c r="W2158" s="11">
        <v>0.08695431204616058</v>
      </c>
      <c r="X2158" s="11">
        <v>0.08822247744523784</v>
      </c>
      <c r="Y2158" s="11">
        <v>0.2841970782336948</v>
      </c>
      <c r="Z2158" s="11">
        <v>0.1922948795417547</v>
      </c>
    </row>
    <row r="2159" ht="22.5" customHeight="1">
      <c r="Q2159" s="9" t="s">
        <v>2197</v>
      </c>
      <c r="R2159" s="10">
        <v>0.39797274463989546</v>
      </c>
      <c r="S2159" s="10">
        <v>0.017147632106445244</v>
      </c>
      <c r="T2159" s="10">
        <v>20.87592866570452</v>
      </c>
      <c r="U2159" s="11">
        <v>0.25062481674398973</v>
      </c>
      <c r="V2159" s="11">
        <v>0.13555534512271564</v>
      </c>
      <c r="W2159" s="11">
        <v>0.059121122336644016</v>
      </c>
      <c r="X2159" s="11">
        <v>0.12138989248341554</v>
      </c>
      <c r="Y2159" s="11">
        <v>0.15235902851541394</v>
      </c>
      <c r="Z2159" s="11">
        <v>0.280949794797821</v>
      </c>
    </row>
    <row r="2160" ht="22.5" customHeight="1">
      <c r="Q2160" s="9" t="s">
        <v>2198</v>
      </c>
      <c r="R2160" s="10">
        <v>0.40433945230713825</v>
      </c>
      <c r="S2160" s="10">
        <v>0.017452641211863983</v>
      </c>
      <c r="T2160" s="10">
        <v>20.87589195722806</v>
      </c>
      <c r="U2160" s="11">
        <v>0.038508479761741564</v>
      </c>
      <c r="V2160" s="11">
        <v>0.1311549425621026</v>
      </c>
      <c r="W2160" s="11">
        <v>0.02662452958599992</v>
      </c>
      <c r="X2160" s="11">
        <v>0.445842681270211</v>
      </c>
      <c r="Y2160" s="11">
        <v>0.288371194498539</v>
      </c>
      <c r="Z2160" s="11">
        <v>0.06949817232140605</v>
      </c>
    </row>
    <row r="2161" ht="22.5" customHeight="1">
      <c r="Q2161" s="9" t="s">
        <v>2199</v>
      </c>
      <c r="R2161" s="10">
        <v>0.32605789837499966</v>
      </c>
      <c r="S2161" s="10">
        <v>0.01370308767605599</v>
      </c>
      <c r="T2161" s="10">
        <v>20.875433707896452</v>
      </c>
      <c r="U2161" s="11">
        <v>0.2641776601348571</v>
      </c>
      <c r="V2161" s="11">
        <v>0.043431649871394834</v>
      </c>
      <c r="W2161" s="11">
        <v>0.0924760037440344</v>
      </c>
      <c r="X2161" s="11">
        <v>0.2005772442152499</v>
      </c>
      <c r="Y2161" s="11">
        <v>0.13955148954583474</v>
      </c>
      <c r="Z2161" s="11">
        <v>0.259785952488629</v>
      </c>
    </row>
    <row r="2162" ht="22.5" customHeight="1">
      <c r="Q2162" s="9" t="s">
        <v>2200</v>
      </c>
      <c r="R2162" s="10">
        <v>0.5791847236384391</v>
      </c>
      <c r="S2162" s="10">
        <v>0.025828709687229966</v>
      </c>
      <c r="T2162" s="10">
        <v>20.875402997967747</v>
      </c>
      <c r="U2162" s="11">
        <v>0.013830199942782721</v>
      </c>
      <c r="V2162" s="11">
        <v>0.19464970194787015</v>
      </c>
      <c r="W2162" s="11">
        <v>0.13218897425857265</v>
      </c>
      <c r="X2162" s="11">
        <v>0.12144900924006728</v>
      </c>
      <c r="Y2162" s="11">
        <v>0.3055014448808143</v>
      </c>
      <c r="Z2162" s="11">
        <v>0.2323806697298929</v>
      </c>
    </row>
    <row r="2163" ht="22.5" customHeight="1">
      <c r="Q2163" s="9" t="s">
        <v>2201</v>
      </c>
      <c r="R2163" s="10">
        <v>0.6042773783299189</v>
      </c>
      <c r="S2163" s="10">
        <v>0.02703118467987685</v>
      </c>
      <c r="T2163" s="10">
        <v>20.875051723130383</v>
      </c>
      <c r="U2163" s="11">
        <v>0.23608475263144446</v>
      </c>
      <c r="V2163" s="11">
        <v>0.1455859525864954</v>
      </c>
      <c r="W2163" s="11">
        <v>0.191070083821655</v>
      </c>
      <c r="X2163" s="11">
        <v>0.14264738242602235</v>
      </c>
      <c r="Y2163" s="11">
        <v>0.25339841128731266</v>
      </c>
      <c r="Z2163" s="11">
        <v>0.031213417247070205</v>
      </c>
    </row>
    <row r="2164" ht="22.5" customHeight="1">
      <c r="Q2164" s="9" t="s">
        <v>2202</v>
      </c>
      <c r="R2164" s="10">
        <v>0.7081316953608643</v>
      </c>
      <c r="S2164" s="10">
        <v>0.032006499230464794</v>
      </c>
      <c r="T2164" s="10">
        <v>20.874875772884135</v>
      </c>
      <c r="U2164" s="11">
        <v>0.17589727574852254</v>
      </c>
      <c r="V2164" s="11">
        <v>0.2369273537958085</v>
      </c>
      <c r="W2164" s="11">
        <v>0.17794297412753304</v>
      </c>
      <c r="X2164" s="11">
        <v>0.13816580915198823</v>
      </c>
      <c r="Y2164" s="11">
        <v>0.22061397389458012</v>
      </c>
      <c r="Z2164" s="11">
        <v>0.05045261328156746</v>
      </c>
    </row>
    <row r="2165" ht="22.5" customHeight="1">
      <c r="Q2165" s="9" t="s">
        <v>2203</v>
      </c>
      <c r="R2165" s="10">
        <v>0.6478904966831792</v>
      </c>
      <c r="S2165" s="10">
        <v>0.029121577723589292</v>
      </c>
      <c r="T2165" s="10">
        <v>20.874229495841185</v>
      </c>
      <c r="U2165" s="11">
        <v>0.16495846726959282</v>
      </c>
      <c r="V2165" s="11">
        <v>0.16130555653013787</v>
      </c>
      <c r="W2165" s="11">
        <v>0.2075251751290812</v>
      </c>
      <c r="X2165" s="11">
        <v>0.1774590970151503</v>
      </c>
      <c r="Y2165" s="11">
        <v>0.2311910238311294</v>
      </c>
      <c r="Z2165" s="11">
        <v>0.057560680224908525</v>
      </c>
    </row>
    <row r="2166" ht="22.5" customHeight="1">
      <c r="Q2166" s="9" t="s">
        <v>2204</v>
      </c>
      <c r="R2166" s="10">
        <v>0.522331348251574</v>
      </c>
      <c r="S2166" s="10">
        <v>0.01707556032518229</v>
      </c>
      <c r="T2166" s="10">
        <v>20.873927101608025</v>
      </c>
      <c r="U2166" s="11">
        <v>0.19020436490097575</v>
      </c>
      <c r="V2166" s="11">
        <v>0.09282919074455047</v>
      </c>
      <c r="W2166" s="11">
        <v>0.09875554082391885</v>
      </c>
      <c r="X2166" s="11">
        <v>0.07555563971062317</v>
      </c>
      <c r="Y2166" s="11">
        <v>0.33663081169636755</v>
      </c>
      <c r="Z2166" s="11">
        <v>0.2060244521235641</v>
      </c>
    </row>
    <row r="2167" ht="22.5" customHeight="1">
      <c r="Q2167" s="9" t="s">
        <v>2205</v>
      </c>
      <c r="R2167" s="10">
        <v>0.85526830811182</v>
      </c>
      <c r="S2167" s="10">
        <v>0.03905712899573649</v>
      </c>
      <c r="T2167" s="10">
        <v>20.873738778926</v>
      </c>
      <c r="U2167" s="11">
        <v>0.062237781458871114</v>
      </c>
      <c r="V2167" s="11">
        <v>0.2799416291819551</v>
      </c>
      <c r="W2167" s="11">
        <v>0.2357785770845261</v>
      </c>
      <c r="X2167" s="11">
        <v>0.3275801922244293</v>
      </c>
      <c r="Y2167" s="11">
        <v>0.03245894507315555</v>
      </c>
      <c r="Z2167" s="11">
        <v>0.06200287497706283</v>
      </c>
    </row>
    <row r="2168" ht="22.5" customHeight="1">
      <c r="Q2168" s="9" t="s">
        <v>2206</v>
      </c>
      <c r="R2168" s="10">
        <v>0.7675431343438396</v>
      </c>
      <c r="S2168" s="10">
        <v>0.03485594445967655</v>
      </c>
      <c r="T2168" s="10">
        <v>20.872856714168375</v>
      </c>
      <c r="U2168" s="11">
        <v>0.08190390829092654</v>
      </c>
      <c r="V2168" s="11">
        <v>0.2735870814339716</v>
      </c>
      <c r="W2168" s="11">
        <v>0.17603499512805146</v>
      </c>
      <c r="X2168" s="11">
        <v>0.24284070084213372</v>
      </c>
      <c r="Y2168" s="11">
        <v>0.19731832278545017</v>
      </c>
      <c r="Z2168" s="11">
        <v>0.02831499151946636</v>
      </c>
    </row>
    <row r="2169" ht="22.5" customHeight="1">
      <c r="Q2169" s="9" t="s">
        <v>2207</v>
      </c>
      <c r="R2169" s="10">
        <v>0.7438408419801513</v>
      </c>
      <c r="S2169" s="10">
        <v>0.0337207681023402</v>
      </c>
      <c r="T2169" s="10">
        <v>20.87262187634763</v>
      </c>
      <c r="U2169" s="11">
        <v>0.2169866966127439</v>
      </c>
      <c r="V2169" s="11">
        <v>0.22824478476214066</v>
      </c>
      <c r="W2169" s="11">
        <v>0.21481668022946293</v>
      </c>
      <c r="X2169" s="11">
        <v>0.17607691747166054</v>
      </c>
      <c r="Y2169" s="11">
        <v>0.10091277862805664</v>
      </c>
      <c r="Z2169" s="11">
        <v>0.0629621422959353</v>
      </c>
    </row>
    <row r="2170" ht="22.5" customHeight="1">
      <c r="Q2170" s="9" t="s">
        <v>2208</v>
      </c>
      <c r="R2170" s="10">
        <v>0.4093530970694567</v>
      </c>
      <c r="S2170" s="10">
        <v>0.017696039888803583</v>
      </c>
      <c r="T2170" s="10">
        <v>20.87207643011413</v>
      </c>
      <c r="U2170" s="11">
        <v>0.12141067509608168</v>
      </c>
      <c r="V2170" s="11">
        <v>0.05668199106397522</v>
      </c>
      <c r="W2170" s="11">
        <v>0.13156805521985032</v>
      </c>
      <c r="X2170" s="11">
        <v>0.26747213207414205</v>
      </c>
      <c r="Y2170" s="11">
        <v>0.23729271945709823</v>
      </c>
      <c r="Z2170" s="11">
        <v>0.1855744270888523</v>
      </c>
    </row>
    <row r="2171" ht="22.5" customHeight="1">
      <c r="Q2171" s="9" t="s">
        <v>2209</v>
      </c>
      <c r="R2171" s="10">
        <v>0.47198518211889506</v>
      </c>
      <c r="S2171" s="10">
        <v>0.020696830080345112</v>
      </c>
      <c r="T2171" s="10">
        <v>20.872045643798025</v>
      </c>
      <c r="U2171" s="11">
        <v>0.24290618698340766</v>
      </c>
      <c r="V2171" s="11">
        <v>0.1709753987508469</v>
      </c>
      <c r="W2171" s="11">
        <v>0.06564451105252982</v>
      </c>
      <c r="X2171" s="11">
        <v>0.1759308477310488</v>
      </c>
      <c r="Y2171" s="11">
        <v>0.20603321964031934</v>
      </c>
      <c r="Z2171" s="11">
        <v>0.13850983584184742</v>
      </c>
    </row>
    <row r="2172" ht="22.5" customHeight="1">
      <c r="Q2172" s="9" t="s">
        <v>2210</v>
      </c>
      <c r="R2172" s="10">
        <v>0.6991761196583244</v>
      </c>
      <c r="S2172" s="10">
        <v>0.03158177513688916</v>
      </c>
      <c r="T2172" s="10">
        <v>20.872041447992334</v>
      </c>
      <c r="U2172" s="11">
        <v>0.037480508521706236</v>
      </c>
      <c r="V2172" s="11">
        <v>0.23896286898186325</v>
      </c>
      <c r="W2172" s="11">
        <v>0.17569152062215979</v>
      </c>
      <c r="X2172" s="11">
        <v>0.20196179808737846</v>
      </c>
      <c r="Y2172" s="11">
        <v>0.11837136117851976</v>
      </c>
      <c r="Z2172" s="11">
        <v>0.22753194260837253</v>
      </c>
    </row>
    <row r="2173" ht="22.5" customHeight="1">
      <c r="Q2173" s="9" t="s">
        <v>2211</v>
      </c>
      <c r="R2173" s="10">
        <v>0.6529118819577584</v>
      </c>
      <c r="S2173" s="10">
        <v>0.029365383930084824</v>
      </c>
      <c r="T2173" s="10">
        <v>20.871917881851033</v>
      </c>
      <c r="U2173" s="11">
        <v>0.20057948281041849</v>
      </c>
      <c r="V2173" s="11">
        <v>0.23060149313301045</v>
      </c>
      <c r="W2173" s="11">
        <v>0.14132362062145262</v>
      </c>
      <c r="X2173" s="11">
        <v>0.141559428772348</v>
      </c>
      <c r="Y2173" s="11">
        <v>0.2315300231960228</v>
      </c>
      <c r="Z2173" s="11">
        <v>0.054405951466747565</v>
      </c>
    </row>
    <row r="2174" ht="22.5" customHeight="1">
      <c r="Q2174" s="9" t="s">
        <v>2212</v>
      </c>
      <c r="R2174" s="10">
        <v>0.7011595950894353</v>
      </c>
      <c r="S2174" s="10">
        <v>0.03167709863529144</v>
      </c>
      <c r="T2174" s="10">
        <v>20.871848230217577</v>
      </c>
      <c r="U2174" s="11">
        <v>0.10014603498883437</v>
      </c>
      <c r="V2174" s="11">
        <v>0.21239094166139488</v>
      </c>
      <c r="W2174" s="11">
        <v>0.1983904801353112</v>
      </c>
      <c r="X2174" s="11">
        <v>0.1413920381556755</v>
      </c>
      <c r="Y2174" s="11">
        <v>0.27331923412191217</v>
      </c>
      <c r="Z2174" s="11">
        <v>0.07436127093687202</v>
      </c>
    </row>
    <row r="2175" ht="22.5" customHeight="1">
      <c r="Q2175" s="9" t="s">
        <v>2213</v>
      </c>
      <c r="R2175" s="10">
        <v>0.7434494937745038</v>
      </c>
      <c r="S2175" s="10">
        <v>0.03370380658132449</v>
      </c>
      <c r="T2175" s="10">
        <v>20.871514678234888</v>
      </c>
      <c r="U2175" s="11">
        <v>0.1505252766474436</v>
      </c>
      <c r="V2175" s="11">
        <v>0.2518921598553296</v>
      </c>
      <c r="W2175" s="11">
        <v>0.18765135613804856</v>
      </c>
      <c r="X2175" s="11">
        <v>0.1729693939841043</v>
      </c>
      <c r="Y2175" s="11">
        <v>0.18399098046964316</v>
      </c>
      <c r="Z2175" s="11">
        <v>0.052970832905430615</v>
      </c>
    </row>
    <row r="2176" ht="22.5" customHeight="1">
      <c r="Q2176" s="9" t="s">
        <v>2214</v>
      </c>
      <c r="R2176" s="10">
        <v>0.4659436261007813</v>
      </c>
      <c r="S2176" s="10">
        <v>0.02040837951149824</v>
      </c>
      <c r="T2176" s="10">
        <v>20.871016528323644</v>
      </c>
      <c r="U2176" s="11">
        <v>0.22928983505824718</v>
      </c>
      <c r="V2176" s="11">
        <v>0.1050781916536974</v>
      </c>
      <c r="W2176" s="11">
        <v>0.14297450267124284</v>
      </c>
      <c r="X2176" s="11">
        <v>0.1005118658312937</v>
      </c>
      <c r="Y2176" s="11">
        <v>0.18163291603569828</v>
      </c>
      <c r="Z2176" s="11">
        <v>0.24051268874982062</v>
      </c>
    </row>
    <row r="2177" ht="22.5" customHeight="1">
      <c r="Q2177" s="9" t="s">
        <v>2215</v>
      </c>
      <c r="R2177" s="10">
        <v>0.5755982795039444</v>
      </c>
      <c r="S2177" s="10">
        <v>0.025662344600125127</v>
      </c>
      <c r="T2177" s="10">
        <v>20.870979945508676</v>
      </c>
      <c r="U2177" s="11">
        <v>0.15728140721891007</v>
      </c>
      <c r="V2177" s="11">
        <v>0.12794800481398547</v>
      </c>
      <c r="W2177" s="11">
        <v>0.19131201433116626</v>
      </c>
      <c r="X2177" s="11">
        <v>0.2041179874219412</v>
      </c>
      <c r="Y2177" s="11">
        <v>0.1607622587002046</v>
      </c>
      <c r="Z2177" s="11">
        <v>0.1585783275137925</v>
      </c>
    </row>
    <row r="2178" ht="22.5" customHeight="1">
      <c r="Q2178" s="9" t="s">
        <v>2216</v>
      </c>
      <c r="R2178" s="10">
        <v>0.7510198018280588</v>
      </c>
      <c r="S2178" s="10">
        <v>0.03406747872297711</v>
      </c>
      <c r="T2178" s="10">
        <v>20.870925248380807</v>
      </c>
      <c r="U2178" s="11">
        <v>0.04025411432905541</v>
      </c>
      <c r="V2178" s="11">
        <v>0.2240955075798273</v>
      </c>
      <c r="W2178" s="11">
        <v>0.2246301988400893</v>
      </c>
      <c r="X2178" s="11">
        <v>0.24006520322256675</v>
      </c>
      <c r="Y2178" s="11">
        <v>0.11292702202507508</v>
      </c>
      <c r="Z2178" s="11">
        <v>0.1580279540033862</v>
      </c>
    </row>
    <row r="2179" ht="22.5" customHeight="1">
      <c r="Q2179" s="9" t="s">
        <v>2217</v>
      </c>
      <c r="R2179" s="10">
        <v>0.763375856211864</v>
      </c>
      <c r="S2179" s="10">
        <v>0.03466068263609121</v>
      </c>
      <c r="T2179" s="10">
        <v>20.870213775265714</v>
      </c>
      <c r="U2179" s="11">
        <v>0.25595507056662253</v>
      </c>
      <c r="V2179" s="11">
        <v>0.22528280749075869</v>
      </c>
      <c r="W2179" s="11">
        <v>0.2297601673428069</v>
      </c>
      <c r="X2179" s="11">
        <v>0.23266863850103156</v>
      </c>
      <c r="Y2179" s="11">
        <v>0.003508248838147177</v>
      </c>
      <c r="Z2179" s="11">
        <v>0.052825067260633046</v>
      </c>
    </row>
    <row r="2180" ht="22.5" customHeight="1">
      <c r="Q2180" s="9" t="s">
        <v>2218</v>
      </c>
      <c r="R2180" s="10">
        <v>0.7650923462294004</v>
      </c>
      <c r="S2180" s="10">
        <v>0.034743238330921765</v>
      </c>
      <c r="T2180" s="10">
        <v>20.870027696412578</v>
      </c>
      <c r="U2180" s="11">
        <v>0.11126396506542108</v>
      </c>
      <c r="V2180" s="11">
        <v>0.2398485973642763</v>
      </c>
      <c r="W2180" s="11">
        <v>0.21956736732197263</v>
      </c>
      <c r="X2180" s="11">
        <v>0.2341467169399827</v>
      </c>
      <c r="Y2180" s="11">
        <v>0.05587071766428026</v>
      </c>
      <c r="Z2180" s="11">
        <v>0.13930263564406722</v>
      </c>
    </row>
    <row r="2181" ht="22.5" customHeight="1">
      <c r="Q2181" s="9" t="s">
        <v>2219</v>
      </c>
      <c r="R2181" s="10">
        <v>0.5723252330733909</v>
      </c>
      <c r="S2181" s="10">
        <v>0.0255074651555897</v>
      </c>
      <c r="T2181" s="10">
        <v>20.869389797313403</v>
      </c>
      <c r="U2181" s="11">
        <v>0.133131541585416</v>
      </c>
      <c r="V2181" s="11">
        <v>0.1975571264211205</v>
      </c>
      <c r="W2181" s="11">
        <v>0.12012222854804495</v>
      </c>
      <c r="X2181" s="11">
        <v>0.10828561223081333</v>
      </c>
      <c r="Y2181" s="11">
        <v>0.2951111431623572</v>
      </c>
      <c r="Z2181" s="11">
        <v>0.14579234805224808</v>
      </c>
    </row>
    <row r="2182" ht="22.5" customHeight="1">
      <c r="Q2182" s="9" t="s">
        <v>2220</v>
      </c>
      <c r="R2182" s="10">
        <v>0.6963889237500336</v>
      </c>
      <c r="S2182" s="10">
        <v>0.03145254489837153</v>
      </c>
      <c r="T2182" s="10">
        <v>20.869183268665118</v>
      </c>
      <c r="U2182" s="11">
        <v>0.10753896377213071</v>
      </c>
      <c r="V2182" s="11">
        <v>0.17771191858932933</v>
      </c>
      <c r="W2182" s="11">
        <v>0.22794048177792472</v>
      </c>
      <c r="X2182" s="11">
        <v>0.28452332255797474</v>
      </c>
      <c r="Y2182" s="11">
        <v>0.05208890698390647</v>
      </c>
      <c r="Z2182" s="11">
        <v>0.1501964063187342</v>
      </c>
    </row>
    <row r="2183" ht="22.5" customHeight="1">
      <c r="Q2183" s="9" t="s">
        <v>2221</v>
      </c>
      <c r="R2183" s="10">
        <v>0.5675868876091736</v>
      </c>
      <c r="S2183" s="10">
        <v>0.025281194855191633</v>
      </c>
      <c r="T2183" s="10">
        <v>20.86874812014001</v>
      </c>
      <c r="U2183" s="11">
        <v>0.021645748426348137</v>
      </c>
      <c r="V2183" s="11">
        <v>0.2016871099136497</v>
      </c>
      <c r="W2183" s="11">
        <v>0.10149994837407156</v>
      </c>
      <c r="X2183" s="11">
        <v>0.19534512918551236</v>
      </c>
      <c r="Y2183" s="11">
        <v>0.36638486948134263</v>
      </c>
      <c r="Z2183" s="11">
        <v>0.11343719461907564</v>
      </c>
    </row>
    <row r="2184" ht="22.5" customHeight="1">
      <c r="Q2184" s="9" t="s">
        <v>2222</v>
      </c>
      <c r="R2184" s="10">
        <v>0.49991120089468977</v>
      </c>
      <c r="S2184" s="10">
        <v>0.022038276617917667</v>
      </c>
      <c r="T2184" s="10">
        <v>20.868746175949646</v>
      </c>
      <c r="U2184" s="11">
        <v>0.2961307537893888</v>
      </c>
      <c r="V2184" s="11">
        <v>0.17382851954091993</v>
      </c>
      <c r="W2184" s="11">
        <v>0.09927486979989712</v>
      </c>
      <c r="X2184" s="11">
        <v>0.11528534840155262</v>
      </c>
      <c r="Y2184" s="11">
        <v>0.05790838534523721</v>
      </c>
      <c r="Z2184" s="11">
        <v>0.2575721231230045</v>
      </c>
    </row>
    <row r="2185" ht="22.5" customHeight="1">
      <c r="Q2185" s="9" t="s">
        <v>2223</v>
      </c>
      <c r="R2185" s="10">
        <v>0.603346946630709</v>
      </c>
      <c r="S2185" s="10">
        <v>0.026994868484393923</v>
      </c>
      <c r="T2185" s="10">
        <v>20.868667945405512</v>
      </c>
      <c r="U2185" s="11">
        <v>0.24887262473596555</v>
      </c>
      <c r="V2185" s="11">
        <v>0.17663888187784474</v>
      </c>
      <c r="W2185" s="11">
        <v>0.1701745569943097</v>
      </c>
      <c r="X2185" s="11">
        <v>0.07659421060877994</v>
      </c>
      <c r="Y2185" s="11">
        <v>0.19535528888608994</v>
      </c>
      <c r="Z2185" s="11">
        <v>0.13236443689701016</v>
      </c>
    </row>
    <row r="2186" ht="22.5" customHeight="1">
      <c r="Q2186" s="9" t="s">
        <v>2224</v>
      </c>
      <c r="R2186" s="10">
        <v>0.6939748036845652</v>
      </c>
      <c r="S2186" s="10">
        <v>0.031337873339658394</v>
      </c>
      <c r="T2186" s="10">
        <v>20.868512569324654</v>
      </c>
      <c r="U2186" s="11">
        <v>0.1988857648675099</v>
      </c>
      <c r="V2186" s="11">
        <v>0.18772711794412247</v>
      </c>
      <c r="W2186" s="11">
        <v>0.21994636911846313</v>
      </c>
      <c r="X2186" s="11">
        <v>0.22388379020092458</v>
      </c>
      <c r="Y2186" s="11">
        <v>0.036321546913780665</v>
      </c>
      <c r="Z2186" s="11">
        <v>0.13323541095519922</v>
      </c>
    </row>
    <row r="2187" ht="22.5" customHeight="1">
      <c r="Q2187" s="9" t="s">
        <v>2225</v>
      </c>
      <c r="R2187" s="10">
        <v>0.673677050243883</v>
      </c>
      <c r="S2187" s="10">
        <v>0.030365306108400054</v>
      </c>
      <c r="T2187" s="10">
        <v>20.868455861493416</v>
      </c>
      <c r="U2187" s="11">
        <v>0.13485012873651386</v>
      </c>
      <c r="V2187" s="11">
        <v>0.18729856800950712</v>
      </c>
      <c r="W2187" s="11">
        <v>0.20973133553243775</v>
      </c>
      <c r="X2187" s="11">
        <v>0.20880947124974372</v>
      </c>
      <c r="Y2187" s="11">
        <v>0.05288377712171859</v>
      </c>
      <c r="Z2187" s="11">
        <v>0.20642671935007903</v>
      </c>
    </row>
    <row r="2188" ht="22.5" customHeight="1">
      <c r="Q2188" s="9" t="s">
        <v>2226</v>
      </c>
      <c r="R2188" s="10">
        <v>0.581997445989947</v>
      </c>
      <c r="S2188" s="10">
        <v>0.025972232831368992</v>
      </c>
      <c r="T2188" s="10">
        <v>20.86834233733374</v>
      </c>
      <c r="U2188" s="11">
        <v>0.23717757760362235</v>
      </c>
      <c r="V2188" s="11">
        <v>0.11804076896331318</v>
      </c>
      <c r="W2188" s="11">
        <v>0.1973792575909076</v>
      </c>
      <c r="X2188" s="11">
        <v>0.2421694213053742</v>
      </c>
      <c r="Y2188" s="11">
        <v>0.15550970319372068</v>
      </c>
      <c r="Z2188" s="11">
        <v>0.049723271343062196</v>
      </c>
    </row>
    <row r="2189" ht="22.5" customHeight="1">
      <c r="Q2189" s="9" t="s">
        <v>2227</v>
      </c>
      <c r="R2189" s="10">
        <v>0.5701466985999871</v>
      </c>
      <c r="S2189" s="10">
        <v>0.02540492348398993</v>
      </c>
      <c r="T2189" s="10">
        <v>20.867872282082768</v>
      </c>
      <c r="U2189" s="11">
        <v>0.42248373084121965</v>
      </c>
      <c r="V2189" s="11">
        <v>0.1293031937045325</v>
      </c>
      <c r="W2189" s="11">
        <v>0.18298470894325114</v>
      </c>
      <c r="X2189" s="11">
        <v>0.16771449510112268</v>
      </c>
      <c r="Y2189" s="11">
        <v>0.06984360380573042</v>
      </c>
      <c r="Z2189" s="11">
        <v>0.027670267604143504</v>
      </c>
    </row>
    <row r="2190" ht="22.5" customHeight="1">
      <c r="Q2190" s="9" t="s">
        <v>2228</v>
      </c>
      <c r="R2190" s="10">
        <v>0.6260161539350855</v>
      </c>
      <c r="S2190" s="10">
        <v>0.028084562220973334</v>
      </c>
      <c r="T2190" s="10">
        <v>20.866130984140927</v>
      </c>
      <c r="U2190" s="11">
        <v>0.09768648993163474</v>
      </c>
      <c r="V2190" s="11">
        <v>0.22980014217191733</v>
      </c>
      <c r="W2190" s="11">
        <v>0.12704368013844802</v>
      </c>
      <c r="X2190" s="11">
        <v>0.20110430274128338</v>
      </c>
      <c r="Y2190" s="11">
        <v>0.13519271198583763</v>
      </c>
      <c r="Z2190" s="11">
        <v>0.20917267303087894</v>
      </c>
    </row>
    <row r="2191" ht="22.5" customHeight="1">
      <c r="Q2191" s="9" t="s">
        <v>2229</v>
      </c>
      <c r="R2191" s="10">
        <v>0.7208825657102261</v>
      </c>
      <c r="S2191" s="10">
        <v>0.03263125641152629</v>
      </c>
      <c r="T2191" s="10">
        <v>20.86596228852895</v>
      </c>
      <c r="U2191" s="11">
        <v>0.055699618532946055</v>
      </c>
      <c r="V2191" s="11">
        <v>0.1851881031306045</v>
      </c>
      <c r="W2191" s="11">
        <v>0.23322598094298416</v>
      </c>
      <c r="X2191" s="11">
        <v>0.25815924301022836</v>
      </c>
      <c r="Y2191" s="11">
        <v>0.20569361041075512</v>
      </c>
      <c r="Z2191" s="11">
        <v>0.06203344397248189</v>
      </c>
    </row>
    <row r="2192" ht="22.5" customHeight="1">
      <c r="Q2192" s="9" t="s">
        <v>2230</v>
      </c>
      <c r="R2192" s="10">
        <v>0.6064645270860151</v>
      </c>
      <c r="S2192" s="10">
        <v>0.0271477967132373</v>
      </c>
      <c r="T2192" s="10">
        <v>20.865948462396073</v>
      </c>
      <c r="U2192" s="11">
        <v>0.2555842989959848</v>
      </c>
      <c r="V2192" s="11">
        <v>0.14099147960648403</v>
      </c>
      <c r="W2192" s="11">
        <v>0.19588883264475124</v>
      </c>
      <c r="X2192" s="11">
        <v>0.1621727591748736</v>
      </c>
      <c r="Y2192" s="11">
        <v>0.22532551928543867</v>
      </c>
      <c r="Z2192" s="11">
        <v>0.020037110292467623</v>
      </c>
    </row>
    <row r="2193" ht="22.5" customHeight="1">
      <c r="Q2193" s="9" t="s">
        <v>2231</v>
      </c>
      <c r="R2193" s="10">
        <v>0.6773301903637012</v>
      </c>
      <c r="S2193" s="10">
        <v>0.030544396035840325</v>
      </c>
      <c r="T2193" s="10">
        <v>20.865699541607167</v>
      </c>
      <c r="U2193" s="11">
        <v>0.21059498863961698</v>
      </c>
      <c r="V2193" s="11">
        <v>0.20320409093514588</v>
      </c>
      <c r="W2193" s="11">
        <v>0.19817506491454787</v>
      </c>
      <c r="X2193" s="11">
        <v>0.16268668112234672</v>
      </c>
      <c r="Y2193" s="11">
        <v>0.04742309157987094</v>
      </c>
      <c r="Z2193" s="11">
        <v>0.17791608280847157</v>
      </c>
    </row>
    <row r="2194" ht="22.5" customHeight="1">
      <c r="Q2194" s="9" t="s">
        <v>2232</v>
      </c>
      <c r="R2194" s="10">
        <v>0.5775813910548804</v>
      </c>
      <c r="S2194" s="10">
        <v>0.025765218893845747</v>
      </c>
      <c r="T2194" s="10">
        <v>20.864615715851205</v>
      </c>
      <c r="U2194" s="11">
        <v>0.14278800920181925</v>
      </c>
      <c r="V2194" s="11">
        <v>0.12987294238923155</v>
      </c>
      <c r="W2194" s="11">
        <v>0.19275836813563257</v>
      </c>
      <c r="X2194" s="11">
        <v>0.22158075659421042</v>
      </c>
      <c r="Y2194" s="11">
        <v>0.112231482734732</v>
      </c>
      <c r="Z2194" s="11">
        <v>0.20076844094437407</v>
      </c>
    </row>
    <row r="2195" ht="22.5" customHeight="1">
      <c r="Q2195" s="9" t="s">
        <v>2233</v>
      </c>
      <c r="R2195" s="10">
        <v>0.729776572969183</v>
      </c>
      <c r="S2195" s="10">
        <v>0.03306079161318272</v>
      </c>
      <c r="T2195" s="10">
        <v>20.863885566918494</v>
      </c>
      <c r="U2195" s="11">
        <v>0.13307598606975066</v>
      </c>
      <c r="V2195" s="11">
        <v>0.2588078569871072</v>
      </c>
      <c r="W2195" s="11">
        <v>0.16922798634499295</v>
      </c>
      <c r="X2195" s="11">
        <v>0.2010706881922483</v>
      </c>
      <c r="Y2195" s="11">
        <v>0.160592221700323</v>
      </c>
      <c r="Z2195" s="11">
        <v>0.07722526070557806</v>
      </c>
    </row>
    <row r="2196" ht="22.5" customHeight="1">
      <c r="Q2196" s="9" t="s">
        <v>2234</v>
      </c>
      <c r="R2196" s="10">
        <v>0.6949323153647728</v>
      </c>
      <c r="S2196" s="10">
        <v>0.0313907454393465</v>
      </c>
      <c r="T2196" s="10">
        <v>20.863866282826553</v>
      </c>
      <c r="U2196" s="11">
        <v>0.2627506295225759</v>
      </c>
      <c r="V2196" s="11">
        <v>0.17183860897787767</v>
      </c>
      <c r="W2196" s="11">
        <v>0.22848565450031813</v>
      </c>
      <c r="X2196" s="11">
        <v>0.23757810351291253</v>
      </c>
      <c r="Y2196" s="11">
        <v>0.08469586631597573</v>
      </c>
      <c r="Z2196" s="11">
        <v>0.014651137170340058</v>
      </c>
    </row>
    <row r="2197" ht="22.5" customHeight="1">
      <c r="Q2197" s="9" t="s">
        <v>2235</v>
      </c>
      <c r="R2197" s="10">
        <v>0.5869955210572884</v>
      </c>
      <c r="S2197" s="10">
        <v>0.026217386409196665</v>
      </c>
      <c r="T2197" s="10">
        <v>20.863846323957393</v>
      </c>
      <c r="U2197" s="11">
        <v>0.22332035378776852</v>
      </c>
      <c r="V2197" s="11">
        <v>0.17907276749251597</v>
      </c>
      <c r="W2197" s="11">
        <v>0.16181486827048536</v>
      </c>
      <c r="X2197" s="11">
        <v>0.09130704441749271</v>
      </c>
      <c r="Y2197" s="11">
        <v>0.1022793290553161</v>
      </c>
      <c r="Z2197" s="11">
        <v>0.24220563697642122</v>
      </c>
    </row>
    <row r="2198" ht="22.5" customHeight="1">
      <c r="Q2198" s="9" t="s">
        <v>2236</v>
      </c>
      <c r="R2198" s="10">
        <v>0.6396882622001641</v>
      </c>
      <c r="S2198" s="10">
        <v>0.028742967431187535</v>
      </c>
      <c r="T2198" s="10">
        <v>20.86382568660857</v>
      </c>
      <c r="U2198" s="11">
        <v>0.12835999036817353</v>
      </c>
      <c r="V2198" s="11">
        <v>0.2287947954557927</v>
      </c>
      <c r="W2198" s="11">
        <v>0.1430734128587789</v>
      </c>
      <c r="X2198" s="11">
        <v>0.19106161704593003</v>
      </c>
      <c r="Y2198" s="11">
        <v>0.06375375251945975</v>
      </c>
      <c r="Z2198" s="11">
        <v>0.24495643175186504</v>
      </c>
    </row>
    <row r="2199" ht="22.5" customHeight="1">
      <c r="Q2199" s="9" t="s">
        <v>2237</v>
      </c>
      <c r="R2199" s="10">
        <v>0.5369366635232995</v>
      </c>
      <c r="S2199" s="10">
        <v>0.02381840619833332</v>
      </c>
      <c r="T2199" s="10">
        <v>20.86355650270472</v>
      </c>
      <c r="U2199" s="11">
        <v>0.054129189749514584</v>
      </c>
      <c r="V2199" s="11">
        <v>0.18465405742538402</v>
      </c>
      <c r="W2199" s="11">
        <v>0.09902675478596183</v>
      </c>
      <c r="X2199" s="11">
        <v>0.15370942675350707</v>
      </c>
      <c r="Y2199" s="11">
        <v>0.3879830929622603</v>
      </c>
      <c r="Z2199" s="11">
        <v>0.12049747832337213</v>
      </c>
    </row>
    <row r="2200" ht="22.5" customHeight="1">
      <c r="Q2200" s="9" t="s">
        <v>2238</v>
      </c>
      <c r="R2200" s="10">
        <v>0.37824728522274464</v>
      </c>
      <c r="S2200" s="10">
        <v>0.016212376328870664</v>
      </c>
      <c r="T2200" s="10">
        <v>20.863522926025404</v>
      </c>
      <c r="U2200" s="11">
        <v>0.1961657941802428</v>
      </c>
      <c r="V2200" s="11">
        <v>0.12586387404276816</v>
      </c>
      <c r="W2200" s="11">
        <v>0.051601988822997234</v>
      </c>
      <c r="X2200" s="11">
        <v>0.12653038290358465</v>
      </c>
      <c r="Y2200" s="11">
        <v>0.22663571494277027</v>
      </c>
      <c r="Z2200" s="11">
        <v>0.2732022451076368</v>
      </c>
    </row>
    <row r="2201" ht="22.5" customHeight="1">
      <c r="Q2201" s="9" t="s">
        <v>2239</v>
      </c>
      <c r="R2201" s="10">
        <v>0.5774919192220744</v>
      </c>
      <c r="S2201" s="10">
        <v>0.025762471655496492</v>
      </c>
      <c r="T2201" s="10">
        <v>20.86336770825322</v>
      </c>
      <c r="U2201" s="11">
        <v>0.28118425604398317</v>
      </c>
      <c r="V2201" s="11">
        <v>0.18694325494378072</v>
      </c>
      <c r="W2201" s="11">
        <v>0.14206960686741815</v>
      </c>
      <c r="X2201" s="11">
        <v>0.06615254739180845</v>
      </c>
      <c r="Y2201" s="11">
        <v>0.16651427572486588</v>
      </c>
      <c r="Z2201" s="11">
        <v>0.15713605902814376</v>
      </c>
    </row>
    <row r="2202" ht="22.5" customHeight="1">
      <c r="Q2202" s="9" t="s">
        <v>2240</v>
      </c>
      <c r="R2202" s="10">
        <v>0.6475241120972578</v>
      </c>
      <c r="S2202" s="10">
        <v>0.029119967713153734</v>
      </c>
      <c r="T2202" s="10">
        <v>20.862801706433007</v>
      </c>
      <c r="U2202" s="11">
        <v>0.13929952960223946</v>
      </c>
      <c r="V2202" s="11">
        <v>0.1813742462651695</v>
      </c>
      <c r="W2202" s="11">
        <v>0.19830868244484293</v>
      </c>
      <c r="X2202" s="11">
        <v>0.15736825409704877</v>
      </c>
      <c r="Y2202" s="11">
        <v>0.12140170947427488</v>
      </c>
      <c r="Z2202" s="11">
        <v>0.2022475781164245</v>
      </c>
    </row>
    <row r="2203" ht="22.5" customHeight="1">
      <c r="Q2203" s="9" t="s">
        <v>2241</v>
      </c>
      <c r="R2203" s="10">
        <v>0.5490395205553232</v>
      </c>
      <c r="S2203" s="10">
        <v>0.024400647034461827</v>
      </c>
      <c r="T2203" s="10">
        <v>20.861722225496322</v>
      </c>
      <c r="U2203" s="11">
        <v>0.12644391804269067</v>
      </c>
      <c r="V2203" s="11">
        <v>0.20616099687507</v>
      </c>
      <c r="W2203" s="11">
        <v>0.09190982191724473</v>
      </c>
      <c r="X2203" s="11">
        <v>0.28699112066759386</v>
      </c>
      <c r="Y2203" s="11">
        <v>0.0015531606902851516</v>
      </c>
      <c r="Z2203" s="11">
        <v>0.2869409818071155</v>
      </c>
    </row>
    <row r="2204" ht="22.5" customHeight="1">
      <c r="Q2204" s="9" t="s">
        <v>2242</v>
      </c>
      <c r="R2204" s="10">
        <v>0.49608839261798154</v>
      </c>
      <c r="S2204" s="10">
        <v>0.02186265126450336</v>
      </c>
      <c r="T2204" s="10">
        <v>20.861531709948455</v>
      </c>
      <c r="U2204" s="11">
        <v>0.21894251477893054</v>
      </c>
      <c r="V2204" s="11">
        <v>0.09703972832208757</v>
      </c>
      <c r="W2204" s="11">
        <v>0.16541292020449885</v>
      </c>
      <c r="X2204" s="11">
        <v>0.1993123875988564</v>
      </c>
      <c r="Y2204" s="11">
        <v>0.12089445199332431</v>
      </c>
      <c r="Z2204" s="11">
        <v>0.19839799710230244</v>
      </c>
    </row>
    <row r="2205" ht="22.5" customHeight="1">
      <c r="Q2205" s="9" t="s">
        <v>2243</v>
      </c>
      <c r="R2205" s="10">
        <v>0.6781130798199259</v>
      </c>
      <c r="S2205" s="10">
        <v>0.03058863840491127</v>
      </c>
      <c r="T2205" s="10">
        <v>20.861114227218145</v>
      </c>
      <c r="U2205" s="11">
        <v>0.14404115884156846</v>
      </c>
      <c r="V2205" s="11">
        <v>0.2532433656759481</v>
      </c>
      <c r="W2205" s="11">
        <v>0.1266392171922967</v>
      </c>
      <c r="X2205" s="11">
        <v>0.25291571278673214</v>
      </c>
      <c r="Y2205" s="11">
        <v>0.19960997289224222</v>
      </c>
      <c r="Z2205" s="11">
        <v>0.023550572611212326</v>
      </c>
    </row>
    <row r="2206" ht="22.5" customHeight="1">
      <c r="Q2206" s="9" t="s">
        <v>2244</v>
      </c>
      <c r="R2206" s="10">
        <v>0.587316386411976</v>
      </c>
      <c r="S2206" s="10">
        <v>0.02623632189641364</v>
      </c>
      <c r="T2206" s="10">
        <v>20.86101811728385</v>
      </c>
      <c r="U2206" s="11">
        <v>0.2767623154391649</v>
      </c>
      <c r="V2206" s="11">
        <v>0.1599817977867479</v>
      </c>
      <c r="W2206" s="11">
        <v>0.17309597153086126</v>
      </c>
      <c r="X2206" s="11">
        <v>0.08087607555409908</v>
      </c>
      <c r="Y2206" s="11">
        <v>0.20450036754902315</v>
      </c>
      <c r="Z2206" s="11">
        <v>0.10478347214010357</v>
      </c>
    </row>
    <row r="2207" ht="22.5" customHeight="1">
      <c r="Q2207" s="9" t="s">
        <v>2245</v>
      </c>
      <c r="R2207" s="10">
        <v>0.4600038072237603</v>
      </c>
      <c r="S2207" s="10">
        <v>0.02013378803240049</v>
      </c>
      <c r="T2207" s="10">
        <v>20.86064512787485</v>
      </c>
      <c r="U2207" s="11">
        <v>0.14668225625243525</v>
      </c>
      <c r="V2207" s="11">
        <v>0.07018176489767222</v>
      </c>
      <c r="W2207" s="11">
        <v>0.15300655307301525</v>
      </c>
      <c r="X2207" s="11">
        <v>0.2717650193388235</v>
      </c>
      <c r="Y2207" s="11">
        <v>0.23379750546605524</v>
      </c>
      <c r="Z2207" s="11">
        <v>0.12456690097199842</v>
      </c>
    </row>
    <row r="2208" ht="22.5" customHeight="1">
      <c r="Q2208" s="9" t="s">
        <v>2246</v>
      </c>
      <c r="R2208" s="10">
        <v>0.5023015476904114</v>
      </c>
      <c r="S2208" s="10">
        <v>0.022161500774343843</v>
      </c>
      <c r="T2208" s="10">
        <v>20.860570427866215</v>
      </c>
      <c r="U2208" s="11">
        <v>0.23756340636294337</v>
      </c>
      <c r="V2208" s="11">
        <v>0.10888844757417558</v>
      </c>
      <c r="W2208" s="11">
        <v>0.16110401352979015</v>
      </c>
      <c r="X2208" s="11">
        <v>0.13494057845483887</v>
      </c>
      <c r="Y2208" s="11">
        <v>0.17608107539720524</v>
      </c>
      <c r="Z2208" s="11">
        <v>0.18142247868104686</v>
      </c>
    </row>
    <row r="2209" ht="22.5" customHeight="1">
      <c r="Q2209" s="9" t="s">
        <v>2247</v>
      </c>
      <c r="R2209" s="10">
        <v>0.6401210068619937</v>
      </c>
      <c r="S2209" s="10">
        <v>0.02876891699295431</v>
      </c>
      <c r="T2209" s="10">
        <v>20.860048607633267</v>
      </c>
      <c r="U2209" s="11">
        <v>0.043928630355257535</v>
      </c>
      <c r="V2209" s="11">
        <v>0.17592866411017363</v>
      </c>
      <c r="W2209" s="11">
        <v>0.19795817749457822</v>
      </c>
      <c r="X2209" s="11">
        <v>0.1780976198051852</v>
      </c>
      <c r="Y2209" s="11">
        <v>0.1627431759955161</v>
      </c>
      <c r="Z2209" s="11">
        <v>0.24134373223928934</v>
      </c>
    </row>
    <row r="2210" ht="22.5" customHeight="1">
      <c r="Q2210" s="9" t="s">
        <v>2248</v>
      </c>
      <c r="R2210" s="10">
        <v>0.7042099676495974</v>
      </c>
      <c r="S2210" s="10">
        <v>0.03184223637192164</v>
      </c>
      <c r="T2210" s="10">
        <v>20.859400699484006</v>
      </c>
      <c r="U2210" s="11">
        <v>0.0793550144689012</v>
      </c>
      <c r="V2210" s="11">
        <v>0.22852406301408643</v>
      </c>
      <c r="W2210" s="11">
        <v>0.1872043827566766</v>
      </c>
      <c r="X2210" s="11">
        <v>0.1472431990124745</v>
      </c>
      <c r="Y2210" s="11">
        <v>0.23023886000638388</v>
      </c>
      <c r="Z2210" s="11">
        <v>0.12743448074147745</v>
      </c>
    </row>
    <row r="2211" ht="22.5" customHeight="1">
      <c r="Q2211" s="9" t="s">
        <v>2249</v>
      </c>
      <c r="R2211" s="10">
        <v>0.7417274537214573</v>
      </c>
      <c r="S2211" s="10">
        <v>0.03364086824438638</v>
      </c>
      <c r="T2211" s="10">
        <v>20.8593740394484</v>
      </c>
      <c r="U2211" s="11">
        <v>0.14965070109166062</v>
      </c>
      <c r="V2211" s="11">
        <v>0.24586171271780508</v>
      </c>
      <c r="W2211" s="11">
        <v>0.19661051697623833</v>
      </c>
      <c r="X2211" s="11">
        <v>0.1784811680137347</v>
      </c>
      <c r="Y2211" s="11">
        <v>0.12134665162358572</v>
      </c>
      <c r="Z2211" s="11">
        <v>0.10804924957697548</v>
      </c>
    </row>
    <row r="2212" ht="22.5" customHeight="1">
      <c r="Q2212" s="9" t="s">
        <v>2250</v>
      </c>
      <c r="R2212" s="10">
        <v>0.522331348251574</v>
      </c>
      <c r="S2212" s="10">
        <v>0.02220752333027838</v>
      </c>
      <c r="T2212" s="10">
        <v>20.859256809765217</v>
      </c>
      <c r="U2212" s="11">
        <v>0.1509037838477097</v>
      </c>
      <c r="V2212" s="11">
        <v>0.1865888161827759</v>
      </c>
      <c r="W2212" s="11">
        <v>0.07078152685878145</v>
      </c>
      <c r="X2212" s="11">
        <v>0.21265948441155708</v>
      </c>
      <c r="Y2212" s="11">
        <v>0.2275503785239608</v>
      </c>
      <c r="Z2212" s="11">
        <v>0.151516010175215</v>
      </c>
    </row>
    <row r="2213" ht="22.5" customHeight="1">
      <c r="Q2213" s="9" t="s">
        <v>2251</v>
      </c>
      <c r="R2213" s="10">
        <v>0.5688966687820946</v>
      </c>
      <c r="S2213" s="10">
        <v>0.02535571294848032</v>
      </c>
      <c r="T2213" s="10">
        <v>20.859073056109573</v>
      </c>
      <c r="U2213" s="11">
        <v>0.20958132891429535</v>
      </c>
      <c r="V2213" s="11">
        <v>0.18707529311412788</v>
      </c>
      <c r="W2213" s="11">
        <v>0.1366769278845751</v>
      </c>
      <c r="X2213" s="11">
        <v>0.06906516845579999</v>
      </c>
      <c r="Y2213" s="11">
        <v>0.1996559780747264</v>
      </c>
      <c r="Z2213" s="11">
        <v>0.19794530355647527</v>
      </c>
    </row>
    <row r="2214" ht="22.5" customHeight="1">
      <c r="Q2214" s="9" t="s">
        <v>2252</v>
      </c>
      <c r="R2214" s="10">
        <v>0.32828230327352476</v>
      </c>
      <c r="S2214" s="10">
        <v>0.01382088436956138</v>
      </c>
      <c r="T2214" s="10">
        <v>20.8584556215829</v>
      </c>
      <c r="U2214" s="11">
        <v>0.17311776737264606</v>
      </c>
      <c r="V2214" s="11">
        <v>0.09586050760327586</v>
      </c>
      <c r="W2214" s="11">
        <v>0.02124817669379464</v>
      </c>
      <c r="X2214" s="11">
        <v>0.2899428891110558</v>
      </c>
      <c r="Y2214" s="11">
        <v>0.2875395158316272</v>
      </c>
      <c r="Z2214" s="11">
        <v>0.13229114338760048</v>
      </c>
    </row>
    <row r="2215" ht="22.5" customHeight="1">
      <c r="Q2215" s="9" t="s">
        <v>2253</v>
      </c>
      <c r="R2215" s="10">
        <v>0.697666013187276</v>
      </c>
      <c r="S2215" s="10">
        <v>0.03153005128209258</v>
      </c>
      <c r="T2215" s="10">
        <v>20.858387044895032</v>
      </c>
      <c r="U2215" s="11">
        <v>0.14950898895635362</v>
      </c>
      <c r="V2215" s="11">
        <v>0.20580995175423084</v>
      </c>
      <c r="W2215" s="11">
        <v>0.20948626510484522</v>
      </c>
      <c r="X2215" s="11">
        <v>0.21698009306548666</v>
      </c>
      <c r="Y2215" s="11">
        <v>0.00632698258352159</v>
      </c>
      <c r="Z2215" s="11">
        <v>0.21188771853556218</v>
      </c>
    </row>
    <row r="2216" ht="22.5" customHeight="1">
      <c r="Q2216" s="9" t="s">
        <v>2254</v>
      </c>
      <c r="R2216" s="10">
        <v>0.7031037806892284</v>
      </c>
      <c r="S2216" s="10">
        <v>0.031791130103231695</v>
      </c>
      <c r="T2216" s="10">
        <v>20.858138057250795</v>
      </c>
      <c r="U2216" s="11">
        <v>0.00942723341743127</v>
      </c>
      <c r="V2216" s="11">
        <v>0.20848927722566754</v>
      </c>
      <c r="W2216" s="11">
        <v>0.20859956461852194</v>
      </c>
      <c r="X2216" s="11">
        <v>0.19666374725288013</v>
      </c>
      <c r="Y2216" s="11">
        <v>0.17579645037600966</v>
      </c>
      <c r="Z2216" s="11">
        <v>0.20102372710948951</v>
      </c>
    </row>
    <row r="2217" ht="22.5" customHeight="1">
      <c r="Q2217" s="9" t="s">
        <v>2255</v>
      </c>
      <c r="R2217" s="10">
        <v>0.7653101471321353</v>
      </c>
      <c r="S2217" s="10">
        <v>0.03477497101041879</v>
      </c>
      <c r="T2217" s="10">
        <v>20.85724663623236</v>
      </c>
      <c r="U2217" s="11">
        <v>0.1625021763950619</v>
      </c>
      <c r="V2217" s="11">
        <v>0.21504303032963917</v>
      </c>
      <c r="W2217" s="11">
        <v>0.2388005550622906</v>
      </c>
      <c r="X2217" s="11">
        <v>0.22830964853488953</v>
      </c>
      <c r="Y2217" s="11">
        <v>0.12362023924479229</v>
      </c>
      <c r="Z2217" s="11">
        <v>0.03172435043332665</v>
      </c>
    </row>
    <row r="2218" ht="22.5" customHeight="1">
      <c r="Q2218" s="9" t="s">
        <v>2256</v>
      </c>
      <c r="R2218" s="10">
        <v>0.749754858603553</v>
      </c>
      <c r="S2218" s="10">
        <v>0.034030063186181195</v>
      </c>
      <c r="T2218" s="10">
        <v>20.85670116803567</v>
      </c>
      <c r="U2218" s="11">
        <v>0.0768872158607467</v>
      </c>
      <c r="V2218" s="11">
        <v>0.22246364034836077</v>
      </c>
      <c r="W2218" s="11">
        <v>0.22221141549425683</v>
      </c>
      <c r="X2218" s="11">
        <v>0.1910493894173493</v>
      </c>
      <c r="Y2218" s="11">
        <v>0.21893801142360508</v>
      </c>
      <c r="Z2218" s="11">
        <v>0.0684503274556814</v>
      </c>
    </row>
    <row r="2219" ht="22.5" customHeight="1">
      <c r="Q2219" s="9" t="s">
        <v>2257</v>
      </c>
      <c r="R2219" s="10">
        <v>0.522331348251574</v>
      </c>
      <c r="S2219" s="10">
        <v>0.030255434636452444</v>
      </c>
      <c r="T2219" s="10">
        <v>20.856431158550496</v>
      </c>
      <c r="U2219" s="11">
        <v>0.009957563384895667</v>
      </c>
      <c r="V2219" s="11">
        <v>0.1988304392987391</v>
      </c>
      <c r="W2219" s="11">
        <v>0.19833218089945842</v>
      </c>
      <c r="X2219" s="11">
        <v>0.18343722375617</v>
      </c>
      <c r="Y2219" s="11">
        <v>0.15556106412715154</v>
      </c>
      <c r="Z2219" s="11">
        <v>0.2538815285335852</v>
      </c>
    </row>
    <row r="2220" ht="22.5" customHeight="1">
      <c r="Q2220" s="9" t="s">
        <v>2258</v>
      </c>
      <c r="R2220" s="10">
        <v>0.6999224748119283</v>
      </c>
      <c r="S2220" s="10">
        <v>0.031642075578800714</v>
      </c>
      <c r="T2220" s="10">
        <v>20.855852934440794</v>
      </c>
      <c r="U2220" s="11">
        <v>0.12680900325618602</v>
      </c>
      <c r="V2220" s="11">
        <v>0.24224688811398262</v>
      </c>
      <c r="W2220" s="11">
        <v>0.1670096075954587</v>
      </c>
      <c r="X2220" s="11">
        <v>0.15521032278507796</v>
      </c>
      <c r="Y2220" s="11">
        <v>0.21642774922434205</v>
      </c>
      <c r="Z2220" s="11">
        <v>0.09229642902495282</v>
      </c>
    </row>
    <row r="2221" ht="22.5" customHeight="1">
      <c r="Q2221" s="9" t="s">
        <v>2259</v>
      </c>
      <c r="R2221" s="10">
        <v>0.6523177015644311</v>
      </c>
      <c r="S2221" s="10">
        <v>0.029359886965508977</v>
      </c>
      <c r="T2221" s="10">
        <v>20.855587839413744</v>
      </c>
      <c r="U2221" s="11">
        <v>0.08558442139739598</v>
      </c>
      <c r="V2221" s="11">
        <v>0.15954073086908394</v>
      </c>
      <c r="W2221" s="11">
        <v>0.21580730276716567</v>
      </c>
      <c r="X2221" s="11">
        <v>0.26013958710198304</v>
      </c>
      <c r="Y2221" s="11">
        <v>0.09586075860891846</v>
      </c>
      <c r="Z2221" s="11">
        <v>0.1830671992554529</v>
      </c>
    </row>
    <row r="2222" ht="22.5" customHeight="1">
      <c r="Q2222" s="9" t="s">
        <v>2260</v>
      </c>
      <c r="R2222" s="10">
        <v>0.5806397515777342</v>
      </c>
      <c r="S2222" s="10">
        <v>0.02592354540118697</v>
      </c>
      <c r="T2222" s="10">
        <v>20.85516248687881</v>
      </c>
      <c r="U2222" s="11">
        <v>0.1417548027342822</v>
      </c>
      <c r="V2222" s="11">
        <v>0.13102708376507136</v>
      </c>
      <c r="W2222" s="11">
        <v>0.19393401636182744</v>
      </c>
      <c r="X2222" s="11">
        <v>0.22155290264750296</v>
      </c>
      <c r="Y2222" s="11">
        <v>0.11120718967589731</v>
      </c>
      <c r="Z2222" s="11">
        <v>0.20052400481541882</v>
      </c>
    </row>
    <row r="2223" ht="22.5" customHeight="1">
      <c r="Q2223" s="9" t="s">
        <v>2261</v>
      </c>
      <c r="R2223" s="10">
        <v>0.6797300999186532</v>
      </c>
      <c r="S2223" s="10">
        <v>0.030675886433683842</v>
      </c>
      <c r="T2223" s="10">
        <v>20.854494337160986</v>
      </c>
      <c r="U2223" s="11">
        <v>0.09329186360689408</v>
      </c>
      <c r="V2223" s="11">
        <v>0.24940909945706224</v>
      </c>
      <c r="W2223" s="11">
        <v>0.14481256583702237</v>
      </c>
      <c r="X2223" s="11">
        <v>0.2560977496706428</v>
      </c>
      <c r="Y2223" s="11">
        <v>0.054493010562538934</v>
      </c>
      <c r="Z2223" s="11">
        <v>0.20189571086583966</v>
      </c>
    </row>
    <row r="2224" ht="22.5" customHeight="1">
      <c r="Q2224" s="9" t="s">
        <v>2262</v>
      </c>
      <c r="R2224" s="10">
        <v>0.603162904160993</v>
      </c>
      <c r="S2224" s="10">
        <v>0.027005234436987442</v>
      </c>
      <c r="T2224" s="10">
        <v>20.853842445806087</v>
      </c>
      <c r="U2224" s="11">
        <v>0.015949806531099623</v>
      </c>
      <c r="V2224" s="11">
        <v>0.15321050446416518</v>
      </c>
      <c r="W2224" s="11">
        <v>0.19053452912734345</v>
      </c>
      <c r="X2224" s="11">
        <v>0.17928172331826123</v>
      </c>
      <c r="Y2224" s="11">
        <v>0.23671221964048647</v>
      </c>
      <c r="Z2224" s="11">
        <v>0.22431121691864406</v>
      </c>
    </row>
    <row r="2225" ht="22.5" customHeight="1">
      <c r="Q2225" s="9" t="s">
        <v>2263</v>
      </c>
      <c r="R2225" s="10">
        <v>0.5356095475439954</v>
      </c>
      <c r="S2225" s="10">
        <v>0.023766377524387483</v>
      </c>
      <c r="T2225" s="10">
        <v>20.853390342530478</v>
      </c>
      <c r="U2225" s="11">
        <v>0.23766343608416912</v>
      </c>
      <c r="V2225" s="11">
        <v>0.19476603356481595</v>
      </c>
      <c r="W2225" s="11">
        <v>0.10103103827972294</v>
      </c>
      <c r="X2225" s="11">
        <v>0.17337014966883954</v>
      </c>
      <c r="Y2225" s="11">
        <v>0.030155850059752857</v>
      </c>
      <c r="Z2225" s="11">
        <v>0.2630134923426996</v>
      </c>
    </row>
    <row r="2226" ht="22.5" customHeight="1">
      <c r="Q2226" s="9" t="s">
        <v>2264</v>
      </c>
      <c r="R2226" s="10">
        <v>0.5356802170596655</v>
      </c>
      <c r="S2226" s="10">
        <v>0.02376994724896284</v>
      </c>
      <c r="T2226" s="10">
        <v>20.853231682341814</v>
      </c>
      <c r="U2226" s="11">
        <v>0.23357515079423108</v>
      </c>
      <c r="V2226" s="11">
        <v>0.12424990805105228</v>
      </c>
      <c r="W2226" s="11">
        <v>0.16806624768508602</v>
      </c>
      <c r="X2226" s="11">
        <v>0.11482124986379118</v>
      </c>
      <c r="Y2226" s="11">
        <v>0.23618262840155166</v>
      </c>
      <c r="Z2226" s="11">
        <v>0.12310481520428788</v>
      </c>
    </row>
    <row r="2227" ht="22.5" customHeight="1">
      <c r="Q2227" s="9" t="s">
        <v>2265</v>
      </c>
      <c r="R2227" s="10">
        <v>0.6276001528879069</v>
      </c>
      <c r="S2227" s="10">
        <v>0.028178844567705096</v>
      </c>
      <c r="T2227" s="10">
        <v>20.85252826729941</v>
      </c>
      <c r="U2227" s="11">
        <v>0.18602802110498612</v>
      </c>
      <c r="V2227" s="11">
        <v>0.20422929314929406</v>
      </c>
      <c r="W2227" s="11">
        <v>0.16549926021767272</v>
      </c>
      <c r="X2227" s="11">
        <v>0.13267411118002825</v>
      </c>
      <c r="Y2227" s="11">
        <v>0.05185927326553474</v>
      </c>
      <c r="Z2227" s="11">
        <v>0.25971004108248424</v>
      </c>
    </row>
    <row r="2228" ht="22.5" customHeight="1">
      <c r="Q2228" s="9" t="s">
        <v>2266</v>
      </c>
      <c r="R2228" s="10">
        <v>0.5345885562845035</v>
      </c>
      <c r="S2228" s="10">
        <v>0.023718441691746996</v>
      </c>
      <c r="T2228" s="10">
        <v>20.85248949793355</v>
      </c>
      <c r="U2228" s="11">
        <v>0.237876154707508</v>
      </c>
      <c r="V2228" s="11">
        <v>0.192229401050577</v>
      </c>
      <c r="W2228" s="11">
        <v>0.094280929239639</v>
      </c>
      <c r="X2228" s="11">
        <v>0.131251976821368</v>
      </c>
      <c r="Y2228" s="11">
        <v>0.22518969507469525</v>
      </c>
      <c r="Z2228" s="11">
        <v>0.1191718431062127</v>
      </c>
    </row>
    <row r="2229" ht="22.5" customHeight="1">
      <c r="Q2229" s="9" t="s">
        <v>2267</v>
      </c>
      <c r="R2229" s="10">
        <v>0.5286704979901133</v>
      </c>
      <c r="S2229" s="10">
        <v>0.02343477479147715</v>
      </c>
      <c r="T2229" s="10">
        <v>20.852365868172754</v>
      </c>
      <c r="U2229" s="11">
        <v>0.008141097100386656</v>
      </c>
      <c r="V2229" s="11">
        <v>0.19770125907586664</v>
      </c>
      <c r="W2229" s="11">
        <v>0.07057960190973567</v>
      </c>
      <c r="X2229" s="11">
        <v>0.30696511858995396</v>
      </c>
      <c r="Y2229" s="11">
        <v>0.26063773307162175</v>
      </c>
      <c r="Z2229" s="11">
        <v>0.15597519025243528</v>
      </c>
    </row>
    <row r="2230" ht="22.5" customHeight="1">
      <c r="Q2230" s="9" t="s">
        <v>2268</v>
      </c>
      <c r="R2230" s="10">
        <v>0.7877722417648706</v>
      </c>
      <c r="S2230" s="10">
        <v>0.03586098613643045</v>
      </c>
      <c r="T2230" s="10">
        <v>20.85197096700093</v>
      </c>
      <c r="U2230" s="11">
        <v>0.02202125939690157</v>
      </c>
      <c r="V2230" s="11">
        <v>0.23148481197271825</v>
      </c>
      <c r="W2230" s="11">
        <v>0.24061790590159035</v>
      </c>
      <c r="X2230" s="11">
        <v>0.2996516278412146</v>
      </c>
      <c r="Y2230" s="11">
        <v>0.06302679709411527</v>
      </c>
      <c r="Z2230" s="11">
        <v>0.14319759779345997</v>
      </c>
    </row>
    <row r="2231" ht="22.5" customHeight="1">
      <c r="Q2231" s="9" t="s">
        <v>2269</v>
      </c>
      <c r="R2231" s="10">
        <v>0.536159032567215</v>
      </c>
      <c r="S2231" s="10">
        <v>0.02379533289099722</v>
      </c>
      <c r="T2231" s="10">
        <v>20.851107014978258</v>
      </c>
      <c r="U2231" s="11">
        <v>0.18390758946883015</v>
      </c>
      <c r="V2231" s="11">
        <v>0.15396977487342858</v>
      </c>
      <c r="W2231" s="11">
        <v>0.14037957846008003</v>
      </c>
      <c r="X2231" s="11">
        <v>0.056286922460153106</v>
      </c>
      <c r="Y2231" s="11">
        <v>0.33681102349388176</v>
      </c>
      <c r="Z2231" s="11">
        <v>0.1286451112436263</v>
      </c>
    </row>
    <row r="2232" ht="22.5" customHeight="1">
      <c r="Q2232" s="9" t="s">
        <v>2270</v>
      </c>
      <c r="R2232" s="10">
        <v>0.5365239578854166</v>
      </c>
      <c r="S2232" s="10">
        <v>0.023813222688228095</v>
      </c>
      <c r="T2232" s="10">
        <v>20.850767003949866</v>
      </c>
      <c r="U2232" s="11">
        <v>0.014431381682580494</v>
      </c>
      <c r="V2232" s="11">
        <v>0.10899390437010333</v>
      </c>
      <c r="W2232" s="11">
        <v>0.1630695657445702</v>
      </c>
      <c r="X2232" s="11">
        <v>0.24632102985000862</v>
      </c>
      <c r="Y2232" s="11">
        <v>0.4542010429618814</v>
      </c>
      <c r="Z2232" s="11">
        <v>0.012983075390855922</v>
      </c>
    </row>
    <row r="2233" ht="22.5" customHeight="1">
      <c r="Q2233" s="9" t="s">
        <v>2271</v>
      </c>
      <c r="R2233" s="10">
        <v>0.7105248850849024</v>
      </c>
      <c r="S2233" s="10">
        <v>0.032159159216493496</v>
      </c>
      <c r="T2233" s="10">
        <v>20.850199489699648</v>
      </c>
      <c r="U2233" s="11">
        <v>0.17618337548877255</v>
      </c>
      <c r="V2233" s="11">
        <v>0.2084342483048968</v>
      </c>
      <c r="W2233" s="11">
        <v>0.2127994770678678</v>
      </c>
      <c r="X2233" s="11">
        <v>0.16276954178448286</v>
      </c>
      <c r="Y2233" s="11">
        <v>0.13196750797145435</v>
      </c>
      <c r="Z2233" s="11">
        <v>0.10784584938252557</v>
      </c>
    </row>
    <row r="2234" ht="22.5" customHeight="1">
      <c r="Q2234" s="9" t="s">
        <v>2272</v>
      </c>
      <c r="R2234" s="10">
        <v>0.6294414686479896</v>
      </c>
      <c r="S2234" s="10">
        <v>0.028270505403043912</v>
      </c>
      <c r="T2234" s="10">
        <v>20.850050617932137</v>
      </c>
      <c r="U2234" s="11">
        <v>0.11731426398684351</v>
      </c>
      <c r="V2234" s="11">
        <v>0.17959265431935986</v>
      </c>
      <c r="W2234" s="11">
        <v>0.18782523566645815</v>
      </c>
      <c r="X2234" s="11">
        <v>0.12491761573752479</v>
      </c>
      <c r="Y2234" s="11">
        <v>0.1838200066350929</v>
      </c>
      <c r="Z2234" s="11">
        <v>0.2065302236547207</v>
      </c>
    </row>
    <row r="2235" ht="22.5" customHeight="1">
      <c r="Q2235" s="9" t="s">
        <v>2273</v>
      </c>
      <c r="R2235" s="10">
        <v>0.7102166228970875</v>
      </c>
      <c r="S2235" s="10">
        <v>0.03214467013567564</v>
      </c>
      <c r="T2235" s="10">
        <v>20.85000779501701</v>
      </c>
      <c r="U2235" s="11">
        <v>0.13888100726536928</v>
      </c>
      <c r="V2235" s="11">
        <v>0.21145975638532652</v>
      </c>
      <c r="W2235" s="11">
        <v>0.2120971811211962</v>
      </c>
      <c r="X2235" s="11">
        <v>0.19429474592439355</v>
      </c>
      <c r="Y2235" s="11">
        <v>0.0652131919333982</v>
      </c>
      <c r="Z2235" s="11">
        <v>0.17805411737031626</v>
      </c>
    </row>
    <row r="2236" ht="22.5" customHeight="1">
      <c r="Q2236" s="9" t="s">
        <v>2274</v>
      </c>
      <c r="R2236" s="10">
        <v>0.537491082771701</v>
      </c>
      <c r="S2236" s="10">
        <v>0.023860477522027135</v>
      </c>
      <c r="T2236" s="10">
        <v>20.850005299032055</v>
      </c>
      <c r="U2236" s="11">
        <v>0.27337632132962403</v>
      </c>
      <c r="V2236" s="11">
        <v>0.17519160480380108</v>
      </c>
      <c r="W2236" s="11">
        <v>0.13028873250420883</v>
      </c>
      <c r="X2236" s="11">
        <v>0.07989199103164218</v>
      </c>
      <c r="Y2236" s="11">
        <v>0.07427303661540326</v>
      </c>
      <c r="Z2236" s="11">
        <v>0.26697831371532066</v>
      </c>
    </row>
    <row r="2237" ht="22.5" customHeight="1">
      <c r="Q2237" s="9" t="s">
        <v>2275</v>
      </c>
      <c r="R2237" s="10">
        <v>0.7444147051893749</v>
      </c>
      <c r="S2237" s="10">
        <v>0.03378518230889143</v>
      </c>
      <c r="T2237" s="10">
        <v>20.849812167625636</v>
      </c>
      <c r="U2237" s="11">
        <v>0.16238881304012817</v>
      </c>
      <c r="V2237" s="11">
        <v>0.22141810292915662</v>
      </c>
      <c r="W2237" s="11">
        <v>0.22339256449134046</v>
      </c>
      <c r="X2237" s="11">
        <v>0.20579505310539986</v>
      </c>
      <c r="Y2237" s="11">
        <v>0.07369224995599136</v>
      </c>
      <c r="Z2237" s="11">
        <v>0.11331321647798354</v>
      </c>
    </row>
    <row r="2238" ht="22.5" customHeight="1">
      <c r="Q2238" s="9" t="s">
        <v>2276</v>
      </c>
      <c r="R2238" s="10">
        <v>0.6752201126748791</v>
      </c>
      <c r="S2238" s="10">
        <v>0.030466769307602018</v>
      </c>
      <c r="T2238" s="10">
        <v>20.84960522927451</v>
      </c>
      <c r="U2238" s="11">
        <v>0.1682288805738093</v>
      </c>
      <c r="V2238" s="11">
        <v>0.15692230781657263</v>
      </c>
      <c r="W2238" s="11">
        <v>0.22687200290290874</v>
      </c>
      <c r="X2238" s="11">
        <v>0.2628300231345099</v>
      </c>
      <c r="Y2238" s="11">
        <v>0.1463720173275837</v>
      </c>
      <c r="Z2238" s="11">
        <v>0.03877476824461566</v>
      </c>
    </row>
    <row r="2239" ht="22.5" customHeight="1">
      <c r="Q2239" s="9" t="s">
        <v>2277</v>
      </c>
      <c r="R2239" s="10">
        <v>0.7260710652677755</v>
      </c>
      <c r="S2239" s="10">
        <v>0.032906360552799045</v>
      </c>
      <c r="T2239" s="10">
        <v>20.849193096482306</v>
      </c>
      <c r="U2239" s="11">
        <v>0.1075813579847878</v>
      </c>
      <c r="V2239" s="11">
        <v>0.22495014909366562</v>
      </c>
      <c r="W2239" s="11">
        <v>0.2098010307409476</v>
      </c>
      <c r="X2239" s="11">
        <v>0.1952008682905517</v>
      </c>
      <c r="Y2239" s="11">
        <v>0.08421450659862227</v>
      </c>
      <c r="Z2239" s="11">
        <v>0.17825208729142525</v>
      </c>
    </row>
    <row r="2240" ht="22.5" customHeight="1">
      <c r="Q2240" s="9" t="s">
        <v>2278</v>
      </c>
      <c r="R2240" s="10">
        <v>0.6896532684858694</v>
      </c>
      <c r="S2240" s="10">
        <v>0.03115972692135241</v>
      </c>
      <c r="T2240" s="10">
        <v>20.84913228301401</v>
      </c>
      <c r="U2240" s="11">
        <v>0.12751177780127723</v>
      </c>
      <c r="V2240" s="11">
        <v>0.18818234576277396</v>
      </c>
      <c r="W2240" s="11">
        <v>0.2170448601686648</v>
      </c>
      <c r="X2240" s="11">
        <v>0.19318013270050452</v>
      </c>
      <c r="Y2240" s="11">
        <v>0.13499917616433052</v>
      </c>
      <c r="Z2240" s="11">
        <v>0.13908170740244905</v>
      </c>
    </row>
    <row r="2241" ht="22.5" customHeight="1">
      <c r="Q2241" s="9" t="s">
        <v>2279</v>
      </c>
      <c r="R2241" s="10">
        <v>0.3901150865246309</v>
      </c>
      <c r="S2241" s="10">
        <v>0.016793389436550232</v>
      </c>
      <c r="T2241" s="10">
        <v>20.848387268541366</v>
      </c>
      <c r="U2241" s="11">
        <v>0.24061872980539908</v>
      </c>
      <c r="V2241" s="11">
        <v>0.12557789610264145</v>
      </c>
      <c r="W2241" s="11">
        <v>0.050628357892819234</v>
      </c>
      <c r="X2241" s="11">
        <v>0.14110998460375804</v>
      </c>
      <c r="Y2241" s="11">
        <v>0.30378281789409806</v>
      </c>
      <c r="Z2241" s="11">
        <v>0.1382822137012841</v>
      </c>
    </row>
    <row r="2242" ht="22.5" customHeight="1">
      <c r="Q2242" s="9" t="s">
        <v>2280</v>
      </c>
      <c r="R2242" s="10">
        <v>0.4898547784061152</v>
      </c>
      <c r="S2242" s="10">
        <v>0.02157755041290358</v>
      </c>
      <c r="T2242" s="10">
        <v>20.84827840963346</v>
      </c>
      <c r="U2242" s="11">
        <v>0.21925814302942642</v>
      </c>
      <c r="V2242" s="11">
        <v>0.174879801865771</v>
      </c>
      <c r="W2242" s="11">
        <v>0.06306141470277256</v>
      </c>
      <c r="X2242" s="11">
        <v>0.21583815823545818</v>
      </c>
      <c r="Y2242" s="11">
        <v>0.30976049978928055</v>
      </c>
      <c r="Z2242" s="11">
        <v>0.017201982377291307</v>
      </c>
    </row>
    <row r="2243" ht="22.5" customHeight="1">
      <c r="Q2243" s="9" t="s">
        <v>2281</v>
      </c>
      <c r="R2243" s="10">
        <v>0.6029730358172349</v>
      </c>
      <c r="S2243" s="10">
        <v>0.027003372996989485</v>
      </c>
      <c r="T2243" s="10">
        <v>20.84824869396867</v>
      </c>
      <c r="U2243" s="11">
        <v>0.1729630324340044</v>
      </c>
      <c r="V2243" s="11">
        <v>0.14617754037830102</v>
      </c>
      <c r="W2243" s="11">
        <v>0.1954679524352826</v>
      </c>
      <c r="X2243" s="11">
        <v>0.16569056009920516</v>
      </c>
      <c r="Y2243" s="11">
        <v>0.17651364771546865</v>
      </c>
      <c r="Z2243" s="11">
        <v>0.1431872669377382</v>
      </c>
    </row>
    <row r="2244" ht="22.5" customHeight="1">
      <c r="Q2244" s="9" t="s">
        <v>2282</v>
      </c>
      <c r="R2244" s="10">
        <v>0.3659714741115576</v>
      </c>
      <c r="S2244" s="10">
        <v>0.015635492441809826</v>
      </c>
      <c r="T2244" s="10">
        <v>20.84817445467206</v>
      </c>
      <c r="U2244" s="11">
        <v>0.33147243779519103</v>
      </c>
      <c r="V2244" s="11">
        <v>0.0482290155999917</v>
      </c>
      <c r="W2244" s="11">
        <v>0.10077018977388393</v>
      </c>
      <c r="X2244" s="11">
        <v>0.21345095444812265</v>
      </c>
      <c r="Y2244" s="11">
        <v>0.2854868759995843</v>
      </c>
      <c r="Z2244" s="11">
        <v>0.020590526383226466</v>
      </c>
    </row>
    <row r="2245" ht="22.5" customHeight="1">
      <c r="Q2245" s="9" t="s">
        <v>2283</v>
      </c>
      <c r="R2245" s="10">
        <v>0.6886818574584505</v>
      </c>
      <c r="S2245" s="10">
        <v>0.031116036914872504</v>
      </c>
      <c r="T2245" s="10">
        <v>20.84718755261537</v>
      </c>
      <c r="U2245" s="11">
        <v>0.1334113582485932</v>
      </c>
      <c r="V2245" s="11">
        <v>0.25459240212574274</v>
      </c>
      <c r="W2245" s="11">
        <v>0.1389615402313261</v>
      </c>
      <c r="X2245" s="11">
        <v>0.2276624679777673</v>
      </c>
      <c r="Y2245" s="11">
        <v>0.17227174282902263</v>
      </c>
      <c r="Z2245" s="11">
        <v>0.073100488587548</v>
      </c>
    </row>
    <row r="2246" ht="22.5" customHeight="1">
      <c r="Q2246" s="9" t="s">
        <v>2284</v>
      </c>
      <c r="R2246" s="10">
        <v>0.6232514366301171</v>
      </c>
      <c r="S2246" s="10">
        <v>0.027978093585642915</v>
      </c>
      <c r="T2246" s="10">
        <v>20.8467183385724</v>
      </c>
      <c r="U2246" s="11">
        <v>0.19774369138599013</v>
      </c>
      <c r="V2246" s="11">
        <v>0.19467255523346008</v>
      </c>
      <c r="W2246" s="11">
        <v>0.16905359159959674</v>
      </c>
      <c r="X2246" s="11">
        <v>0.08746842247616742</v>
      </c>
      <c r="Y2246" s="11">
        <v>0.17042621691448692</v>
      </c>
      <c r="Z2246" s="11">
        <v>0.18063552239029884</v>
      </c>
    </row>
    <row r="2247" ht="22.5" customHeight="1">
      <c r="Q2247" s="9" t="s">
        <v>2285</v>
      </c>
      <c r="R2247" s="10">
        <v>0.7404336800191397</v>
      </c>
      <c r="S2247" s="10">
        <v>0.03359963325969498</v>
      </c>
      <c r="T2247" s="10">
        <v>20.846468013666</v>
      </c>
      <c r="U2247" s="11">
        <v>0.08899686527187187</v>
      </c>
      <c r="V2247" s="11">
        <v>0.2009417469146926</v>
      </c>
      <c r="W2247" s="11">
        <v>0.23716853211426553</v>
      </c>
      <c r="X2247" s="11">
        <v>0.2950715413690887</v>
      </c>
      <c r="Y2247" s="11">
        <v>0.0305287588517098</v>
      </c>
      <c r="Z2247" s="11">
        <v>0.1472925554783715</v>
      </c>
    </row>
    <row r="2248" ht="22.5" customHeight="1">
      <c r="Q2248" s="9" t="s">
        <v>2286</v>
      </c>
      <c r="R2248" s="10">
        <v>0.7448582516125041</v>
      </c>
      <c r="S2248" s="10">
        <v>0.033811992374245675</v>
      </c>
      <c r="T2248" s="10">
        <v>20.846398041583285</v>
      </c>
      <c r="U2248" s="11">
        <v>0.07307963910136013</v>
      </c>
      <c r="V2248" s="11">
        <v>0.26919138607037046</v>
      </c>
      <c r="W2248" s="11">
        <v>0.1692083403011636</v>
      </c>
      <c r="X2248" s="11">
        <v>0.2616575218482378</v>
      </c>
      <c r="Y2248" s="11">
        <v>0.09760303361889171</v>
      </c>
      <c r="Z2248" s="11">
        <v>0.12926007905997633</v>
      </c>
    </row>
    <row r="2249" ht="22.5" customHeight="1">
      <c r="Q2249" s="9" t="s">
        <v>2287</v>
      </c>
      <c r="R2249" s="10">
        <v>0.688457684925892</v>
      </c>
      <c r="S2249" s="10">
        <v>0.031107682940999137</v>
      </c>
      <c r="T2249" s="10">
        <v>20.845579728834164</v>
      </c>
      <c r="U2249" s="11">
        <v>0.11963369295063664</v>
      </c>
      <c r="V2249" s="11">
        <v>0.2095381997522966</v>
      </c>
      <c r="W2249" s="11">
        <v>0.20132735600371687</v>
      </c>
      <c r="X2249" s="11">
        <v>0.19920824105545132</v>
      </c>
      <c r="Y2249" s="11">
        <v>0.02631922229525398</v>
      </c>
      <c r="Z2249" s="11">
        <v>0.24397328794264467</v>
      </c>
    </row>
    <row r="2250" ht="22.5" customHeight="1">
      <c r="Q2250" s="9" t="s">
        <v>2288</v>
      </c>
      <c r="R2250" s="10">
        <v>0.6106861915177597</v>
      </c>
      <c r="S2250" s="10">
        <v>0.027378015456423384</v>
      </c>
      <c r="T2250" s="10">
        <v>20.844688046367008</v>
      </c>
      <c r="U2250" s="11">
        <v>0.11698199280543797</v>
      </c>
      <c r="V2250" s="11">
        <v>0.15648179799283624</v>
      </c>
      <c r="W2250" s="11">
        <v>0.19663769406862744</v>
      </c>
      <c r="X2250" s="11">
        <v>0.22039441041071894</v>
      </c>
      <c r="Y2250" s="11">
        <v>0.032064148071311464</v>
      </c>
      <c r="Z2250" s="11">
        <v>0.277439956651068</v>
      </c>
    </row>
    <row r="2251" ht="22.5" customHeight="1">
      <c r="Q2251" s="9" t="s">
        <v>2289</v>
      </c>
      <c r="R2251" s="10">
        <v>0.5107667953566877</v>
      </c>
      <c r="S2251" s="10">
        <v>0.022584931851976252</v>
      </c>
      <c r="T2251" s="10">
        <v>20.84428673250542</v>
      </c>
      <c r="U2251" s="11">
        <v>0.21147966390236037</v>
      </c>
      <c r="V2251" s="11">
        <v>0.11657793390739253</v>
      </c>
      <c r="W2251" s="11">
        <v>0.15536926608754628</v>
      </c>
      <c r="X2251" s="11">
        <v>0.10443439170808984</v>
      </c>
      <c r="Y2251" s="11">
        <v>0.30437253493637406</v>
      </c>
      <c r="Z2251" s="11">
        <v>0.10776620945823688</v>
      </c>
    </row>
    <row r="2252" ht="22.5" customHeight="1">
      <c r="Q2252" s="9" t="s">
        <v>2290</v>
      </c>
      <c r="R2252" s="10">
        <v>0.40597390175061854</v>
      </c>
      <c r="S2252" s="10">
        <v>0.01755777600146961</v>
      </c>
      <c r="T2252" s="10">
        <v>20.84397828745429</v>
      </c>
      <c r="U2252" s="11">
        <v>0.10173817255379397</v>
      </c>
      <c r="V2252" s="11">
        <v>0.04506747596541252</v>
      </c>
      <c r="W2252" s="11">
        <v>0.13107803738714893</v>
      </c>
      <c r="X2252" s="11">
        <v>0.379725745036048</v>
      </c>
      <c r="Y2252" s="11">
        <v>0.18615178147254455</v>
      </c>
      <c r="Z2252" s="11">
        <v>0.15623878758505208</v>
      </c>
    </row>
    <row r="2253" ht="22.5" customHeight="1">
      <c r="Q2253" s="9" t="s">
        <v>2291</v>
      </c>
      <c r="R2253" s="10">
        <v>0.6945412617607211</v>
      </c>
      <c r="S2253" s="10">
        <v>0.03140263926621347</v>
      </c>
      <c r="T2253" s="10">
        <v>20.84351115241931</v>
      </c>
      <c r="U2253" s="11">
        <v>0.18370591960844782</v>
      </c>
      <c r="V2253" s="11">
        <v>0.2644811807858794</v>
      </c>
      <c r="W2253" s="11">
        <v>0.12279901140438985</v>
      </c>
      <c r="X2253" s="11">
        <v>0.3499834320941041</v>
      </c>
      <c r="Y2253" s="11">
        <v>0.04951061697385058</v>
      </c>
      <c r="Z2253" s="11">
        <v>0.029519839133328316</v>
      </c>
    </row>
    <row r="2254" ht="22.5" customHeight="1">
      <c r="Q2254" s="9" t="s">
        <v>2292</v>
      </c>
      <c r="R2254" s="10">
        <v>0.45591931294339344</v>
      </c>
      <c r="S2254" s="10">
        <v>0.019954771838605424</v>
      </c>
      <c r="T2254" s="10">
        <v>20.843100402618322</v>
      </c>
      <c r="U2254" s="11">
        <v>0.21690215078822142</v>
      </c>
      <c r="V2254" s="11">
        <v>0.07590134729707612</v>
      </c>
      <c r="W2254" s="11">
        <v>0.15350655973685726</v>
      </c>
      <c r="X2254" s="11">
        <v>0.25144440760575815</v>
      </c>
      <c r="Y2254" s="11">
        <v>0.08886633143140982</v>
      </c>
      <c r="Z2254" s="11">
        <v>0.21337920314067724</v>
      </c>
    </row>
    <row r="2255" ht="22.5" customHeight="1">
      <c r="Q2255" s="9" t="s">
        <v>2293</v>
      </c>
      <c r="R2255" s="10">
        <v>0.4304380049011621</v>
      </c>
      <c r="S2255" s="10">
        <v>0.018732384366696546</v>
      </c>
      <c r="T2255" s="10">
        <v>20.842942214836466</v>
      </c>
      <c r="U2255" s="11">
        <v>0.16732883906892365</v>
      </c>
      <c r="V2255" s="11">
        <v>0.156450362087668</v>
      </c>
      <c r="W2255" s="11">
        <v>0.04787480881639627</v>
      </c>
      <c r="X2255" s="11">
        <v>0.22549782070771543</v>
      </c>
      <c r="Y2255" s="11">
        <v>0.20468410662377798</v>
      </c>
      <c r="Z2255" s="11">
        <v>0.19816406269551864</v>
      </c>
    </row>
    <row r="2256" ht="22.5" customHeight="1">
      <c r="Q2256" s="9" t="s">
        <v>2294</v>
      </c>
      <c r="R2256" s="10">
        <v>0.5462703161131405</v>
      </c>
      <c r="S2256" s="10">
        <v>0.02428989798677104</v>
      </c>
      <c r="T2256" s="10">
        <v>20.84283418517729</v>
      </c>
      <c r="U2256" s="11">
        <v>0.20877502168581294</v>
      </c>
      <c r="V2256" s="11">
        <v>0.1908600135564381</v>
      </c>
      <c r="W2256" s="11">
        <v>0.106596298958475</v>
      </c>
      <c r="X2256" s="11">
        <v>0.10090967902135288</v>
      </c>
      <c r="Y2256" s="11">
        <v>0.27111643286210824</v>
      </c>
      <c r="Z2256" s="11">
        <v>0.12174255391581276</v>
      </c>
    </row>
    <row r="2257" ht="22.5" customHeight="1">
      <c r="Q2257" s="9" t="s">
        <v>2295</v>
      </c>
      <c r="R2257" s="10">
        <v>0.6409898086776021</v>
      </c>
      <c r="S2257" s="10">
        <v>0.02883441864079324</v>
      </c>
      <c r="T2257" s="10">
        <v>20.84279264182414</v>
      </c>
      <c r="U2257" s="11">
        <v>0.24198931942358093</v>
      </c>
      <c r="V2257" s="11">
        <v>0.23306514496154418</v>
      </c>
      <c r="W2257" s="11">
        <v>0.13518806906603428</v>
      </c>
      <c r="X2257" s="11">
        <v>0.2102927125406717</v>
      </c>
      <c r="Y2257" s="11">
        <v>0.0038612248524483002</v>
      </c>
      <c r="Z2257" s="11">
        <v>0.17560352915572053</v>
      </c>
    </row>
    <row r="2258" ht="22.5" customHeight="1">
      <c r="Q2258" s="9" t="s">
        <v>2296</v>
      </c>
      <c r="R2258" s="10">
        <v>0.5874105456942338</v>
      </c>
      <c r="S2258" s="10">
        <v>0.02626444587372089</v>
      </c>
      <c r="T2258" s="10">
        <v>20.84226517955781</v>
      </c>
      <c r="U2258" s="11">
        <v>0.16612654211474231</v>
      </c>
      <c r="V2258" s="11">
        <v>0.15141425110048237</v>
      </c>
      <c r="W2258" s="11">
        <v>0.18340769069107035</v>
      </c>
      <c r="X2258" s="11">
        <v>0.12308275696893221</v>
      </c>
      <c r="Y2258" s="11">
        <v>0.19249930545602684</v>
      </c>
      <c r="Z2258" s="11">
        <v>0.18346945366874587</v>
      </c>
    </row>
    <row r="2259" ht="22.5" customHeight="1">
      <c r="Q2259" s="9" t="s">
        <v>2297</v>
      </c>
      <c r="R2259" s="10">
        <v>0.6324822614444573</v>
      </c>
      <c r="S2259" s="10">
        <v>0.028427419831044083</v>
      </c>
      <c r="T2259" s="10">
        <v>20.841928847775296</v>
      </c>
      <c r="U2259" s="11">
        <v>0.2528305234031992</v>
      </c>
      <c r="V2259" s="11">
        <v>0.17239123538545806</v>
      </c>
      <c r="W2259" s="11">
        <v>0.19285860510002253</v>
      </c>
      <c r="X2259" s="11">
        <v>0.11300958311160808</v>
      </c>
      <c r="Y2259" s="11">
        <v>0.17004962652788513</v>
      </c>
      <c r="Z2259" s="11">
        <v>0.09886042647182705</v>
      </c>
    </row>
    <row r="2260" ht="22.5" customHeight="1">
      <c r="Q2260" s="9" t="s">
        <v>2298</v>
      </c>
      <c r="R2260" s="10">
        <v>0.7415920024806127</v>
      </c>
      <c r="S2260" s="10">
        <v>0.03366304062802784</v>
      </c>
      <c r="T2260" s="10">
        <v>20.841611137660195</v>
      </c>
      <c r="U2260" s="11">
        <v>0.012395547942339642</v>
      </c>
      <c r="V2260" s="11">
        <v>0.26340477076720975</v>
      </c>
      <c r="W2260" s="11">
        <v>0.16804635309694552</v>
      </c>
      <c r="X2260" s="11">
        <v>0.227427270495369</v>
      </c>
      <c r="Y2260" s="11">
        <v>0.2711258750213314</v>
      </c>
      <c r="Z2260" s="11">
        <v>0.0576001826768047</v>
      </c>
    </row>
    <row r="2261" ht="22.5" customHeight="1">
      <c r="Q2261" s="9" t="s">
        <v>2299</v>
      </c>
      <c r="R2261" s="10">
        <v>0.736706835144768</v>
      </c>
      <c r="S2261" s="10">
        <v>0.03342944652205784</v>
      </c>
      <c r="T2261" s="10">
        <v>20.841111882754564</v>
      </c>
      <c r="U2261" s="11">
        <v>0.18081751354215403</v>
      </c>
      <c r="V2261" s="11">
        <v>0.2589157474112339</v>
      </c>
      <c r="W2261" s="11">
        <v>0.17829571990952114</v>
      </c>
      <c r="X2261" s="11">
        <v>0.23640193167008292</v>
      </c>
      <c r="Y2261" s="11">
        <v>0.004954906984565252</v>
      </c>
      <c r="Z2261" s="11">
        <v>0.14061418048244279</v>
      </c>
    </row>
    <row r="2262" ht="22.5" customHeight="1">
      <c r="Q2262" s="9" t="s">
        <v>2300</v>
      </c>
      <c r="R2262" s="10">
        <v>0.6841644548850657</v>
      </c>
      <c r="S2262" s="10">
        <v>0.030908779376029375</v>
      </c>
      <c r="T2262" s="10">
        <v>20.840824771768027</v>
      </c>
      <c r="U2262" s="11">
        <v>0.10849436081307573</v>
      </c>
      <c r="V2262" s="11">
        <v>0.19653539251682303</v>
      </c>
      <c r="W2262" s="11">
        <v>0.2050208316342386</v>
      </c>
      <c r="X2262" s="11">
        <v>0.1457293923685341</v>
      </c>
      <c r="Y2262" s="11">
        <v>0.22501890966921242</v>
      </c>
      <c r="Z2262" s="11">
        <v>0.11920111299811616</v>
      </c>
    </row>
    <row r="2263" ht="22.5" customHeight="1">
      <c r="Q2263" s="9" t="s">
        <v>2301</v>
      </c>
      <c r="R2263" s="10">
        <v>0.43878461379774475</v>
      </c>
      <c r="S2263" s="10">
        <v>0.0191349096440879</v>
      </c>
      <c r="T2263" s="10">
        <v>20.84068444613518</v>
      </c>
      <c r="U2263" s="11">
        <v>0.06677419198616179</v>
      </c>
      <c r="V2263" s="11">
        <v>0.16237672185619817</v>
      </c>
      <c r="W2263" s="11">
        <v>0.04664371945668523</v>
      </c>
      <c r="X2263" s="11">
        <v>0.2975951079013561</v>
      </c>
      <c r="Y2263" s="11">
        <v>0.16348892958319222</v>
      </c>
      <c r="Z2263" s="11">
        <v>0.2631213292164065</v>
      </c>
    </row>
    <row r="2264" ht="22.5" customHeight="1">
      <c r="Q2264" s="9" t="s">
        <v>2302</v>
      </c>
      <c r="R2264" s="10">
        <v>0.7222677387298175</v>
      </c>
      <c r="S2264" s="10">
        <v>0.03273811354192639</v>
      </c>
      <c r="T2264" s="10">
        <v>20.840166549488703</v>
      </c>
      <c r="U2264" s="11">
        <v>0.2358786238734271</v>
      </c>
      <c r="V2264" s="11">
        <v>0.26180989234392305</v>
      </c>
      <c r="W2264" s="11">
        <v>0.15685615773027226</v>
      </c>
      <c r="X2264" s="11">
        <v>0.20448890979232037</v>
      </c>
      <c r="Y2264" s="11">
        <v>0.12845260763260077</v>
      </c>
      <c r="Z2264" s="11">
        <v>0.01251380862745651</v>
      </c>
    </row>
    <row r="2265" ht="22.5" customHeight="1">
      <c r="Q2265" s="9" t="s">
        <v>2303</v>
      </c>
      <c r="R2265" s="10">
        <v>0.5646428419255771</v>
      </c>
      <c r="S2265" s="10">
        <v>0.02517490972850033</v>
      </c>
      <c r="T2265" s="10">
        <v>20.839909560097958</v>
      </c>
      <c r="U2265" s="11">
        <v>0.07107143382975921</v>
      </c>
      <c r="V2265" s="11">
        <v>0.16054395775124908</v>
      </c>
      <c r="W2265" s="11">
        <v>0.16053942371542293</v>
      </c>
      <c r="X2265" s="11">
        <v>0.08909221358501368</v>
      </c>
      <c r="Y2265" s="11">
        <v>0.27756974172781884</v>
      </c>
      <c r="Z2265" s="11">
        <v>0.24118322939073625</v>
      </c>
    </row>
    <row r="2266" ht="22.5" customHeight="1">
      <c r="Q2266" s="9" t="s">
        <v>2304</v>
      </c>
      <c r="R2266" s="10">
        <v>0.6883326551176316</v>
      </c>
      <c r="S2266" s="10">
        <v>0.031110458643304167</v>
      </c>
      <c r="T2266" s="10">
        <v>20.839700968444923</v>
      </c>
      <c r="U2266" s="11">
        <v>0.0733908769562616</v>
      </c>
      <c r="V2266" s="11">
        <v>0.23451460812315034</v>
      </c>
      <c r="W2266" s="11">
        <v>0.16860457459457498</v>
      </c>
      <c r="X2266" s="11">
        <v>0.14687657260998518</v>
      </c>
      <c r="Y2266" s="11">
        <v>0.24379419904469204</v>
      </c>
      <c r="Z2266" s="11">
        <v>0.13281916867133603</v>
      </c>
    </row>
    <row r="2267" ht="22.5" customHeight="1">
      <c r="Q2267" s="9" t="s">
        <v>2305</v>
      </c>
      <c r="R2267" s="10">
        <v>0.7835454370625058</v>
      </c>
      <c r="S2267" s="10">
        <v>0.03567939649314627</v>
      </c>
      <c r="T2267" s="10">
        <v>20.83963043504211</v>
      </c>
      <c r="U2267" s="11">
        <v>0.14956432790636046</v>
      </c>
      <c r="V2267" s="11">
        <v>0.2231125435269296</v>
      </c>
      <c r="W2267" s="11">
        <v>0.24344581867322995</v>
      </c>
      <c r="X2267" s="11">
        <v>0.23402506443482424</v>
      </c>
      <c r="Y2267" s="11">
        <v>0.1270671666912776</v>
      </c>
      <c r="Z2267" s="11">
        <v>0.022785078767378137</v>
      </c>
    </row>
    <row r="2268" ht="22.5" customHeight="1">
      <c r="Q2268" s="9" t="s">
        <v>2306</v>
      </c>
      <c r="R2268" s="10">
        <v>0.6564123346180016</v>
      </c>
      <c r="S2268" s="10">
        <v>0.02957909927841619</v>
      </c>
      <c r="T2268" s="10">
        <v>20.839455887955197</v>
      </c>
      <c r="U2268" s="11">
        <v>0.04522263252238981</v>
      </c>
      <c r="V2268" s="11">
        <v>0.219304344276974</v>
      </c>
      <c r="W2268" s="11">
        <v>0.16687263650019113</v>
      </c>
      <c r="X2268" s="11">
        <v>0.1390671031848849</v>
      </c>
      <c r="Y2268" s="11">
        <v>0.1996214068762562</v>
      </c>
      <c r="Z2268" s="11">
        <v>0.22991187663930385</v>
      </c>
    </row>
    <row r="2269" ht="22.5" customHeight="1">
      <c r="Q2269" s="9" t="s">
        <v>2307</v>
      </c>
      <c r="R2269" s="10">
        <v>0.33604833500485237</v>
      </c>
      <c r="S2269" s="10">
        <v>0.014206607065890801</v>
      </c>
      <c r="T2269" s="10">
        <v>20.838778297433624</v>
      </c>
      <c r="U2269" s="11">
        <v>0.14588840153653707</v>
      </c>
      <c r="V2269" s="11">
        <v>0.0516314846477816</v>
      </c>
      <c r="W2269" s="11">
        <v>0.09247775480931202</v>
      </c>
      <c r="X2269" s="11">
        <v>0.168416614636991</v>
      </c>
      <c r="Y2269" s="11">
        <v>0.2689825858244944</v>
      </c>
      <c r="Z2269" s="11">
        <v>0.272603158544884</v>
      </c>
    </row>
    <row r="2270" ht="22.5" customHeight="1">
      <c r="Q2270" s="9" t="s">
        <v>2308</v>
      </c>
      <c r="R2270" s="10">
        <v>0.40693685726870343</v>
      </c>
      <c r="S2270" s="10">
        <v>0.01760980963768041</v>
      </c>
      <c r="T2270" s="10">
        <v>20.837071201698517</v>
      </c>
      <c r="U2270" s="11">
        <v>0.04848387610688955</v>
      </c>
      <c r="V2270" s="11">
        <v>0.07223372234307932</v>
      </c>
      <c r="W2270" s="11">
        <v>0.12715686212509283</v>
      </c>
      <c r="X2270" s="11">
        <v>0.19048142399185033</v>
      </c>
      <c r="Y2270" s="11">
        <v>0.2449897278423618</v>
      </c>
      <c r="Z2270" s="11">
        <v>0.31665438759072617</v>
      </c>
    </row>
    <row r="2271" ht="22.5" customHeight="1">
      <c r="Q2271" s="9" t="s">
        <v>2309</v>
      </c>
      <c r="R2271" s="10">
        <v>0.7123280929050614</v>
      </c>
      <c r="S2271" s="10">
        <v>0.03226628245798172</v>
      </c>
      <c r="T2271" s="10">
        <v>20.836862560184628</v>
      </c>
      <c r="U2271" s="11">
        <v>0.21206929973427083</v>
      </c>
      <c r="V2271" s="11">
        <v>0.21876521066588506</v>
      </c>
      <c r="W2271" s="11">
        <v>0.20658817165750948</v>
      </c>
      <c r="X2271" s="11">
        <v>0.1792374119588919</v>
      </c>
      <c r="Y2271" s="11">
        <v>0.030123493521631847</v>
      </c>
      <c r="Z2271" s="11">
        <v>0.15321641246181084</v>
      </c>
    </row>
    <row r="2272" ht="22.5" customHeight="1">
      <c r="Q2272" s="9" t="s">
        <v>2310</v>
      </c>
      <c r="R2272" s="10">
        <v>0.6224135795137352</v>
      </c>
      <c r="S2272" s="10">
        <v>0.027951267973976644</v>
      </c>
      <c r="T2272" s="10">
        <v>20.83674987682052</v>
      </c>
      <c r="U2272" s="11">
        <v>0.10003722201088841</v>
      </c>
      <c r="V2272" s="11">
        <v>0.19327897284366302</v>
      </c>
      <c r="W2272" s="11">
        <v>0.17221915473471283</v>
      </c>
      <c r="X2272" s="11">
        <v>0.10885159639293734</v>
      </c>
      <c r="Y2272" s="11">
        <v>0.17222763124459636</v>
      </c>
      <c r="Z2272" s="11">
        <v>0.25338542277320203</v>
      </c>
    </row>
    <row r="2273" ht="22.5" customHeight="1">
      <c r="Q2273" s="9" t="s">
        <v>2311</v>
      </c>
      <c r="R2273" s="10">
        <v>0.5505609643025071</v>
      </c>
      <c r="S2273" s="10">
        <v>0.024503106959781352</v>
      </c>
      <c r="T2273" s="10">
        <v>20.83658064834497</v>
      </c>
      <c r="U2273" s="11">
        <v>0.18006577915579663</v>
      </c>
      <c r="V2273" s="11">
        <v>0.1179163061057931</v>
      </c>
      <c r="W2273" s="11">
        <v>0.18463076802475692</v>
      </c>
      <c r="X2273" s="11">
        <v>0.20466298595001278</v>
      </c>
      <c r="Y2273" s="11">
        <v>0.12609867157812424</v>
      </c>
      <c r="Z2273" s="11">
        <v>0.1866254891855163</v>
      </c>
    </row>
    <row r="2274" ht="22.5" customHeight="1">
      <c r="Q2274" s="9" t="s">
        <v>2312</v>
      </c>
      <c r="R2274" s="10">
        <v>0.467292417363122</v>
      </c>
      <c r="S2274" s="10">
        <v>0.020506879572029738</v>
      </c>
      <c r="T2274" s="10">
        <v>20.836540043172903</v>
      </c>
      <c r="U2274" s="11">
        <v>0.2962976626470588</v>
      </c>
      <c r="V2274" s="11">
        <v>0.1352369002226468</v>
      </c>
      <c r="W2274" s="11">
        <v>0.11488147710865455</v>
      </c>
      <c r="X2274" s="11">
        <v>0.030864060162205893</v>
      </c>
      <c r="Y2274" s="11">
        <v>0.22395359732124415</v>
      </c>
      <c r="Z2274" s="11">
        <v>0.19876630253818967</v>
      </c>
    </row>
    <row r="2275" ht="22.5" customHeight="1">
      <c r="Q2275" s="9" t="s">
        <v>2313</v>
      </c>
      <c r="R2275" s="10">
        <v>0.7150238382731464</v>
      </c>
      <c r="S2275" s="10">
        <v>0.03239638510760758</v>
      </c>
      <c r="T2275" s="10">
        <v>20.836393814649146</v>
      </c>
      <c r="U2275" s="11">
        <v>0.1264002507936316</v>
      </c>
      <c r="V2275" s="11">
        <v>0.24147477445181936</v>
      </c>
      <c r="W2275" s="11">
        <v>0.18373714450078577</v>
      </c>
      <c r="X2275" s="11">
        <v>0.1633893597135522</v>
      </c>
      <c r="Y2275" s="11">
        <v>0.1362921293764712</v>
      </c>
      <c r="Z2275" s="11">
        <v>0.14870634116374004</v>
      </c>
    </row>
    <row r="2276" ht="22.5" customHeight="1">
      <c r="Q2276" s="9" t="s">
        <v>2314</v>
      </c>
      <c r="R2276" s="10">
        <v>0.4321419161070344</v>
      </c>
      <c r="S2276" s="10">
        <v>0.018820375787392374</v>
      </c>
      <c r="T2276" s="10">
        <v>20.836030084464483</v>
      </c>
      <c r="U2276" s="11">
        <v>0.1561477217919761</v>
      </c>
      <c r="V2276" s="11">
        <v>0.15475440196030818</v>
      </c>
      <c r="W2276" s="11">
        <v>0.06126569192042852</v>
      </c>
      <c r="X2276" s="11">
        <v>0.15236185604763353</v>
      </c>
      <c r="Y2276" s="11">
        <v>0.20507855716783546</v>
      </c>
      <c r="Z2276" s="11">
        <v>0.2703917711118182</v>
      </c>
    </row>
    <row r="2277" ht="22.5" customHeight="1">
      <c r="Q2277" s="9" t="s">
        <v>2315</v>
      </c>
      <c r="R2277" s="10">
        <v>0.7045171083020942</v>
      </c>
      <c r="S2277" s="10">
        <v>0.03189281521029126</v>
      </c>
      <c r="T2277" s="10">
        <v>20.83595016371167</v>
      </c>
      <c r="U2277" s="11">
        <v>0.07180793977835305</v>
      </c>
      <c r="V2277" s="11">
        <v>0.24994821414380647</v>
      </c>
      <c r="W2277" s="11">
        <v>0.16548127466048612</v>
      </c>
      <c r="X2277" s="11">
        <v>0.20388713860608573</v>
      </c>
      <c r="Y2277" s="11">
        <v>0.12505605323213803</v>
      </c>
      <c r="Z2277" s="11">
        <v>0.1838193795791305</v>
      </c>
    </row>
    <row r="2278" ht="22.5" customHeight="1">
      <c r="Q2278" s="9" t="s">
        <v>2316</v>
      </c>
      <c r="R2278" s="10">
        <v>0.3743719756517619</v>
      </c>
      <c r="S2278" s="10">
        <v>0.016048276429755898</v>
      </c>
      <c r="T2278" s="10">
        <v>20.835382361172844</v>
      </c>
      <c r="U2278" s="11">
        <v>0.0738284349560664</v>
      </c>
      <c r="V2278" s="11">
        <v>0.04303886528614063</v>
      </c>
      <c r="W2278" s="11">
        <v>0.110675822208688</v>
      </c>
      <c r="X2278" s="11">
        <v>0.31892744025371633</v>
      </c>
      <c r="Y2278" s="11">
        <v>0.307760903052221</v>
      </c>
      <c r="Z2278" s="11">
        <v>0.14576853424316766</v>
      </c>
    </row>
    <row r="2279" ht="22.5" customHeight="1">
      <c r="Q2279" s="9" t="s">
        <v>2317</v>
      </c>
      <c r="R2279" s="10">
        <v>0.6999207365828777</v>
      </c>
      <c r="S2279" s="10">
        <v>0.031674277921217145</v>
      </c>
      <c r="T2279" s="10">
        <v>20.83459450044249</v>
      </c>
      <c r="U2279" s="11">
        <v>0.024326633877661607</v>
      </c>
      <c r="V2279" s="11">
        <v>0.23167064883563435</v>
      </c>
      <c r="W2279" s="11">
        <v>0.1850827685406514</v>
      </c>
      <c r="X2279" s="11">
        <v>0.17548626256809743</v>
      </c>
      <c r="Y2279" s="11">
        <v>0.16024372935324013</v>
      </c>
      <c r="Z2279" s="11">
        <v>0.22318995682471512</v>
      </c>
    </row>
    <row r="2280" ht="22.5" customHeight="1">
      <c r="Q2280" s="9" t="s">
        <v>2318</v>
      </c>
      <c r="R2280" s="10">
        <v>0.7836578365536039</v>
      </c>
      <c r="S2280" s="10">
        <v>0.03569600501239319</v>
      </c>
      <c r="T2280" s="10">
        <v>20.833083038155547</v>
      </c>
      <c r="U2280" s="11">
        <v>0.07413883969625308</v>
      </c>
      <c r="V2280" s="11">
        <v>0.2221320668128567</v>
      </c>
      <c r="W2280" s="11">
        <v>0.24298420921411343</v>
      </c>
      <c r="X2280" s="11">
        <v>0.23681431635622968</v>
      </c>
      <c r="Y2280" s="11">
        <v>0.19945446210570283</v>
      </c>
      <c r="Z2280" s="11">
        <v>0.02447610581484433</v>
      </c>
    </row>
    <row r="2281" ht="22.5" customHeight="1">
      <c r="Q2281" s="9" t="s">
        <v>2319</v>
      </c>
      <c r="R2281" s="10">
        <v>0.6003651621767926</v>
      </c>
      <c r="S2281" s="10">
        <v>0.026898208232964654</v>
      </c>
      <c r="T2281" s="10">
        <v>20.83280630901081</v>
      </c>
      <c r="U2281" s="11">
        <v>0.254193901751861</v>
      </c>
      <c r="V2281" s="11">
        <v>0.19746897353011353</v>
      </c>
      <c r="W2281" s="11">
        <v>0.14146228236037836</v>
      </c>
      <c r="X2281" s="11">
        <v>0.06845589182348488</v>
      </c>
      <c r="Y2281" s="11">
        <v>0.26979790434994677</v>
      </c>
      <c r="Z2281" s="11">
        <v>0.06862104618421556</v>
      </c>
    </row>
    <row r="2282" ht="22.5" customHeight="1">
      <c r="Q2282" s="9" t="s">
        <v>2320</v>
      </c>
      <c r="R2282" s="10">
        <v>0.40268878995658763</v>
      </c>
      <c r="S2282" s="10">
        <v>0.017409717769303668</v>
      </c>
      <c r="T2282" s="10">
        <v>20.832548508975286</v>
      </c>
      <c r="U2282" s="11">
        <v>0.23891236415580336</v>
      </c>
      <c r="V2282" s="11">
        <v>0.05648323343309005</v>
      </c>
      <c r="W2282" s="11">
        <v>0.12821917787984485</v>
      </c>
      <c r="X2282" s="11">
        <v>0.2221207972074283</v>
      </c>
      <c r="Y2282" s="11">
        <v>0.2144346310879336</v>
      </c>
      <c r="Z2282" s="11">
        <v>0.13982979623589983</v>
      </c>
    </row>
    <row r="2283" ht="22.5" customHeight="1">
      <c r="Q2283" s="9" t="s">
        <v>2321</v>
      </c>
      <c r="R2283" s="10">
        <v>0.5640920967717112</v>
      </c>
      <c r="S2283" s="10">
        <v>0.025157398344238437</v>
      </c>
      <c r="T2283" s="10">
        <v>20.832523681517294</v>
      </c>
      <c r="U2283" s="11">
        <v>0.2378692977330795</v>
      </c>
      <c r="V2283" s="11">
        <v>0.12890873237742456</v>
      </c>
      <c r="W2283" s="11">
        <v>0.1810232471989347</v>
      </c>
      <c r="X2283" s="11">
        <v>0.13700981257428488</v>
      </c>
      <c r="Y2283" s="11">
        <v>0.23449254999836772</v>
      </c>
      <c r="Z2283" s="11">
        <v>0.08069636011790865</v>
      </c>
    </row>
    <row r="2284" ht="22.5" customHeight="1">
      <c r="Q2284" s="9" t="s">
        <v>2322</v>
      </c>
      <c r="R2284" s="10">
        <v>0.6064330239474186</v>
      </c>
      <c r="S2284" s="10">
        <v>0.0271899716541464</v>
      </c>
      <c r="T2284" s="10">
        <v>20.832424217001307</v>
      </c>
      <c r="U2284" s="11">
        <v>0.10930553729054034</v>
      </c>
      <c r="V2284" s="11">
        <v>0.20539814082079116</v>
      </c>
      <c r="W2284" s="11">
        <v>0.13767435760084484</v>
      </c>
      <c r="X2284" s="11">
        <v>0.10254465541878297</v>
      </c>
      <c r="Y2284" s="11">
        <v>0.31419816936833866</v>
      </c>
      <c r="Z2284" s="11">
        <v>0.13087913950070199</v>
      </c>
    </row>
    <row r="2285" ht="22.5" customHeight="1">
      <c r="Q2285" s="9" t="s">
        <v>2323</v>
      </c>
      <c r="R2285" s="10">
        <v>0.43573572499649854</v>
      </c>
      <c r="S2285" s="10">
        <v>0.01899620658421129</v>
      </c>
      <c r="T2285" s="10">
        <v>20.832355304317158</v>
      </c>
      <c r="U2285" s="11">
        <v>0.20274312139451053</v>
      </c>
      <c r="V2285" s="11">
        <v>0.15007451431480973</v>
      </c>
      <c r="W2285" s="11">
        <v>0.06929004011218655</v>
      </c>
      <c r="X2285" s="11">
        <v>0.10648087010764616</v>
      </c>
      <c r="Y2285" s="11">
        <v>0.24790556431781766</v>
      </c>
      <c r="Z2285" s="11">
        <v>0.22350588975302926</v>
      </c>
    </row>
    <row r="2286" ht="22.5" customHeight="1">
      <c r="Q2286" s="9" t="s">
        <v>2324</v>
      </c>
      <c r="R2286" s="10">
        <v>0.7189378256912833</v>
      </c>
      <c r="S2286" s="10">
        <v>0.03259094417903872</v>
      </c>
      <c r="T2286" s="10">
        <v>20.83210053570497</v>
      </c>
      <c r="U2286" s="11">
        <v>0.16742256402828173</v>
      </c>
      <c r="V2286" s="11">
        <v>0.22143581534581402</v>
      </c>
      <c r="W2286" s="11">
        <v>0.2069342152867739</v>
      </c>
      <c r="X2286" s="11">
        <v>0.15129036832006407</v>
      </c>
      <c r="Y2286" s="11">
        <v>0.13775993285809962</v>
      </c>
      <c r="Z2286" s="11">
        <v>0.11515710416096663</v>
      </c>
    </row>
    <row r="2287" ht="22.5" customHeight="1">
      <c r="Q2287" s="9" t="s">
        <v>2325</v>
      </c>
      <c r="R2287" s="10">
        <v>0.5107080185984536</v>
      </c>
      <c r="S2287" s="10">
        <v>0.0225963410274244</v>
      </c>
      <c r="T2287" s="10">
        <v>20.83116102855642</v>
      </c>
      <c r="U2287" s="11">
        <v>0.21976233228364023</v>
      </c>
      <c r="V2287" s="11">
        <v>0.07465832267755744</v>
      </c>
      <c r="W2287" s="11">
        <v>0.1753645618890277</v>
      </c>
      <c r="X2287" s="11">
        <v>0.34827160197229595</v>
      </c>
      <c r="Y2287" s="11">
        <v>0.18030221915462058</v>
      </c>
      <c r="Z2287" s="11">
        <v>0.0016409620228582003</v>
      </c>
    </row>
    <row r="2288" ht="22.5" customHeight="1">
      <c r="Q2288" s="9" t="s">
        <v>2326</v>
      </c>
      <c r="R2288" s="10">
        <v>0.3878202564552846</v>
      </c>
      <c r="S2288" s="10">
        <v>0.016697292011646065</v>
      </c>
      <c r="T2288" s="10">
        <v>20.830938107370116</v>
      </c>
      <c r="U2288" s="11">
        <v>0.07388755342491338</v>
      </c>
      <c r="V2288" s="11">
        <v>0.07108316967594801</v>
      </c>
      <c r="W2288" s="11">
        <v>0.11583170908499628</v>
      </c>
      <c r="X2288" s="11">
        <v>0.15559752818562883</v>
      </c>
      <c r="Y2288" s="11">
        <v>0.26872357631147326</v>
      </c>
      <c r="Z2288" s="11">
        <v>0.3148764633170403</v>
      </c>
    </row>
    <row r="2289" ht="22.5" customHeight="1">
      <c r="Q2289" s="9" t="s">
        <v>2327</v>
      </c>
      <c r="R2289" s="10">
        <v>0.7888179889697907</v>
      </c>
      <c r="S2289" s="10">
        <v>0.03594769185561464</v>
      </c>
      <c r="T2289" s="10">
        <v>20.830766881430065</v>
      </c>
      <c r="U2289" s="11">
        <v>0.125368989642346</v>
      </c>
      <c r="V2289" s="11">
        <v>0.2773985162983467</v>
      </c>
      <c r="W2289" s="11">
        <v>0.19309100016210118</v>
      </c>
      <c r="X2289" s="11">
        <v>0.24706279576782642</v>
      </c>
      <c r="Y2289" s="11">
        <v>0.08373543752971105</v>
      </c>
      <c r="Z2289" s="11">
        <v>0.07334326059966864</v>
      </c>
    </row>
    <row r="2290" ht="22.5" customHeight="1">
      <c r="Q2290" s="9" t="s">
        <v>2328</v>
      </c>
      <c r="R2290" s="10">
        <v>0.36869319739071255</v>
      </c>
      <c r="S2290" s="10">
        <v>0.015779377940982307</v>
      </c>
      <c r="T2290" s="10">
        <v>20.830554830493565</v>
      </c>
      <c r="U2290" s="11">
        <v>0.2582821991161182</v>
      </c>
      <c r="V2290" s="11">
        <v>0.11545105158649309</v>
      </c>
      <c r="W2290" s="11">
        <v>0.05572198682399519</v>
      </c>
      <c r="X2290" s="11">
        <v>0.09428385182522286</v>
      </c>
      <c r="Y2290" s="11">
        <v>0.236320017934882</v>
      </c>
      <c r="Z2290" s="11">
        <v>0.2399408927132887</v>
      </c>
    </row>
    <row r="2291" ht="22.5" customHeight="1">
      <c r="Q2291" s="9" t="s">
        <v>2329</v>
      </c>
      <c r="R2291" s="10">
        <v>0.7895956317424662</v>
      </c>
      <c r="S2291" s="10">
        <v>0.035986048787720784</v>
      </c>
      <c r="T2291" s="10">
        <v>20.830173275323418</v>
      </c>
      <c r="U2291" s="11">
        <v>0.2091541729777092</v>
      </c>
      <c r="V2291" s="11">
        <v>0.27000580626153203</v>
      </c>
      <c r="W2291" s="11">
        <v>0.20201463225809047</v>
      </c>
      <c r="X2291" s="11">
        <v>0.20965264987697949</v>
      </c>
      <c r="Y2291" s="11">
        <v>0.08177446016387407</v>
      </c>
      <c r="Z2291" s="11">
        <v>0.027398278461814744</v>
      </c>
    </row>
    <row r="2292" ht="22.5" customHeight="1">
      <c r="Q2292" s="9" t="s">
        <v>2330</v>
      </c>
      <c r="R2292" s="10">
        <v>0.506198867389338</v>
      </c>
      <c r="S2292" s="10">
        <v>0.02238114732805438</v>
      </c>
      <c r="T2292" s="10">
        <v>20.82998072243445</v>
      </c>
      <c r="U2292" s="11">
        <v>0.18039016486127535</v>
      </c>
      <c r="V2292" s="11">
        <v>0.1444305161104535</v>
      </c>
      <c r="W2292" s="11">
        <v>0.1368221456670639</v>
      </c>
      <c r="X2292" s="11">
        <v>0.04638081109872208</v>
      </c>
      <c r="Y2292" s="11">
        <v>0.2415142619811071</v>
      </c>
      <c r="Z2292" s="11">
        <v>0.25046210028137816</v>
      </c>
    </row>
    <row r="2293" ht="22.5" customHeight="1">
      <c r="Q2293" s="9" t="s">
        <v>2331</v>
      </c>
      <c r="R2293" s="10">
        <v>0.6895515369469958</v>
      </c>
      <c r="S2293" s="10">
        <v>0.03118578664348344</v>
      </c>
      <c r="T2293" s="10">
        <v>20.82844804823051</v>
      </c>
      <c r="U2293" s="11">
        <v>0.18778929087952204</v>
      </c>
      <c r="V2293" s="11">
        <v>0.19087962925793092</v>
      </c>
      <c r="W2293" s="11">
        <v>0.21400455910370167</v>
      </c>
      <c r="X2293" s="11">
        <v>0.15798143850344704</v>
      </c>
      <c r="Y2293" s="11">
        <v>0.15635476639472312</v>
      </c>
      <c r="Z2293" s="11">
        <v>0.09299031586067534</v>
      </c>
    </row>
    <row r="2294" ht="22.5" customHeight="1">
      <c r="Q2294" s="9" t="s">
        <v>2332</v>
      </c>
      <c r="R2294" s="10">
        <v>0.7402057414552963</v>
      </c>
      <c r="S2294" s="10">
        <v>0.03361803792853883</v>
      </c>
      <c r="T2294" s="10">
        <v>20.828275074937718</v>
      </c>
      <c r="U2294" s="11">
        <v>0.10428462523621708</v>
      </c>
      <c r="V2294" s="11">
        <v>0.2731706332564501</v>
      </c>
      <c r="W2294" s="11">
        <v>0.15460224965854402</v>
      </c>
      <c r="X2294" s="11">
        <v>0.2574170570230765</v>
      </c>
      <c r="Y2294" s="11">
        <v>0.1778289768813715</v>
      </c>
      <c r="Z2294" s="11">
        <v>0.03269645794434075</v>
      </c>
    </row>
    <row r="2295" ht="22.5" customHeight="1">
      <c r="Q2295" s="9" t="s">
        <v>2333</v>
      </c>
      <c r="R2295" s="10">
        <v>0.5842706351498689</v>
      </c>
      <c r="S2295" s="10">
        <v>0.02613184963471054</v>
      </c>
      <c r="T2295" s="10">
        <v>20.827864952464843</v>
      </c>
      <c r="U2295" s="11">
        <v>0.06518020687963946</v>
      </c>
      <c r="V2295" s="11">
        <v>0.21996269370598254</v>
      </c>
      <c r="W2295" s="11">
        <v>0.09987264913322105</v>
      </c>
      <c r="X2295" s="11">
        <v>0.23128696987590652</v>
      </c>
      <c r="Y2295" s="11">
        <v>0.19647028000286235</v>
      </c>
      <c r="Z2295" s="11">
        <v>0.18722720040238813</v>
      </c>
    </row>
    <row r="2296" ht="22.5" customHeight="1">
      <c r="Q2296" s="9" t="s">
        <v>2334</v>
      </c>
      <c r="R2296" s="10">
        <v>0.6391171622273185</v>
      </c>
      <c r="S2296" s="10">
        <v>0.028766315141631558</v>
      </c>
      <c r="T2296" s="10">
        <v>20.827038822231923</v>
      </c>
      <c r="U2296" s="11">
        <v>0.12937205948423403</v>
      </c>
      <c r="V2296" s="11">
        <v>0.2205129871664796</v>
      </c>
      <c r="W2296" s="11">
        <v>0.14140667188874653</v>
      </c>
      <c r="X2296" s="11">
        <v>0.12292996937224818</v>
      </c>
      <c r="Y2296" s="11">
        <v>0.32315250609880103</v>
      </c>
      <c r="Z2296" s="11">
        <v>0.06262580598949058</v>
      </c>
    </row>
    <row r="2297" ht="22.5" customHeight="1">
      <c r="Q2297" s="9" t="s">
        <v>2335</v>
      </c>
      <c r="R2297" s="10">
        <v>0.5747406271864062</v>
      </c>
      <c r="S2297" s="10">
        <v>0.02567546786983795</v>
      </c>
      <c r="T2297" s="10">
        <v>20.82690877912252</v>
      </c>
      <c r="U2297" s="11">
        <v>0.17127591482771984</v>
      </c>
      <c r="V2297" s="11">
        <v>0.13409565536639695</v>
      </c>
      <c r="W2297" s="11">
        <v>0.1877956721103683</v>
      </c>
      <c r="X2297" s="11">
        <v>0.16196332301615624</v>
      </c>
      <c r="Y2297" s="11">
        <v>0.17860716386019918</v>
      </c>
      <c r="Z2297" s="11">
        <v>0.1662622708191594</v>
      </c>
    </row>
    <row r="2298" ht="22.5" customHeight="1">
      <c r="Q2298" s="9" t="s">
        <v>2336</v>
      </c>
      <c r="R2298" s="10">
        <v>0.6890432133881759</v>
      </c>
      <c r="S2298" s="10">
        <v>0.031164110901270782</v>
      </c>
      <c r="T2298" s="10">
        <v>20.826623786713252</v>
      </c>
      <c r="U2298" s="11">
        <v>0.031387791565121684</v>
      </c>
      <c r="V2298" s="11">
        <v>0.2515398903225827</v>
      </c>
      <c r="W2298" s="11">
        <v>0.1510175365398383</v>
      </c>
      <c r="X2298" s="11">
        <v>0.2825058431346626</v>
      </c>
      <c r="Y2298" s="11">
        <v>0.030603431204186092</v>
      </c>
      <c r="Z2298" s="11">
        <v>0.25294550723360865</v>
      </c>
    </row>
    <row r="2299" ht="22.5" customHeight="1">
      <c r="Q2299" s="9" t="s">
        <v>2337</v>
      </c>
      <c r="R2299" s="10">
        <v>0.6502258637235636</v>
      </c>
      <c r="S2299" s="10">
        <v>0.029300519967707536</v>
      </c>
      <c r="T2299" s="10">
        <v>20.82645169423959</v>
      </c>
      <c r="U2299" s="11">
        <v>0.19033568231384548</v>
      </c>
      <c r="V2299" s="11">
        <v>0.20600217885471458</v>
      </c>
      <c r="W2299" s="11">
        <v>0.17976851957194268</v>
      </c>
      <c r="X2299" s="11">
        <v>0.1425431693517419</v>
      </c>
      <c r="Y2299" s="11">
        <v>0.03790628744771235</v>
      </c>
      <c r="Z2299" s="11">
        <v>0.24344416246004313</v>
      </c>
    </row>
    <row r="2300" ht="22.5" customHeight="1">
      <c r="Q2300" s="9" t="s">
        <v>2338</v>
      </c>
      <c r="R2300" s="10">
        <v>0.522331348251574</v>
      </c>
      <c r="S2300" s="10">
        <v>0.03176448285217014</v>
      </c>
      <c r="T2300" s="10">
        <v>20.826442933911213</v>
      </c>
      <c r="U2300" s="11">
        <v>0.20907897162887187</v>
      </c>
      <c r="V2300" s="11">
        <v>0.19701045065648096</v>
      </c>
      <c r="W2300" s="11">
        <v>0.21836205235279976</v>
      </c>
      <c r="X2300" s="11">
        <v>0.19561616255510597</v>
      </c>
      <c r="Y2300" s="11">
        <v>0.04501985540410447</v>
      </c>
      <c r="Z2300" s="11">
        <v>0.13491250740263702</v>
      </c>
    </row>
    <row r="2301" ht="22.5" customHeight="1">
      <c r="Q2301" s="9" t="s">
        <v>2339</v>
      </c>
      <c r="R2301" s="10">
        <v>0.6242648243567088</v>
      </c>
      <c r="S2301" s="10">
        <v>0.02805409431915349</v>
      </c>
      <c r="T2301" s="10">
        <v>20.826365581790007</v>
      </c>
      <c r="U2301" s="11">
        <v>0.12343158460873592</v>
      </c>
      <c r="V2301" s="11">
        <v>0.22925694661412915</v>
      </c>
      <c r="W2301" s="11">
        <v>0.1204498493985444</v>
      </c>
      <c r="X2301" s="11">
        <v>0.17874384406327076</v>
      </c>
      <c r="Y2301" s="11">
        <v>0.23714021125840007</v>
      </c>
      <c r="Z2301" s="11">
        <v>0.11097756405691953</v>
      </c>
    </row>
    <row r="2302" ht="22.5" customHeight="1">
      <c r="Q2302" s="9" t="s">
        <v>2340</v>
      </c>
      <c r="R2302" s="10">
        <v>0.6990303062831518</v>
      </c>
      <c r="S2302" s="10">
        <v>0.031644334404203965</v>
      </c>
      <c r="T2302" s="10">
        <v>20.82617058286425</v>
      </c>
      <c r="U2302" s="11">
        <v>0.21226430045713182</v>
      </c>
      <c r="V2302" s="11">
        <v>0.17109557192447888</v>
      </c>
      <c r="W2302" s="11">
        <v>0.23296526692447145</v>
      </c>
      <c r="X2302" s="11">
        <v>0.26343388288604846</v>
      </c>
      <c r="Y2302" s="11">
        <v>0.06565067302052052</v>
      </c>
      <c r="Z2302" s="11">
        <v>0.054590304787348796</v>
      </c>
    </row>
    <row r="2303" ht="22.5" customHeight="1">
      <c r="Q2303" s="9" t="s">
        <v>2341</v>
      </c>
      <c r="R2303" s="10">
        <v>0.6695232808436626</v>
      </c>
      <c r="S2303" s="10">
        <v>0.030227796664665265</v>
      </c>
      <c r="T2303" s="10">
        <v>20.82597312094344</v>
      </c>
      <c r="U2303" s="11">
        <v>0.035439538134393135</v>
      </c>
      <c r="V2303" s="11">
        <v>0.25123852841642114</v>
      </c>
      <c r="W2303" s="11">
        <v>0.1258962332634935</v>
      </c>
      <c r="X2303" s="11">
        <v>0.2690094730540648</v>
      </c>
      <c r="Y2303" s="11">
        <v>0.2033333005624276</v>
      </c>
      <c r="Z2303" s="11">
        <v>0.11508292656919962</v>
      </c>
    </row>
    <row r="2304" ht="22.5" customHeight="1">
      <c r="Q2304" s="9" t="s">
        <v>2342</v>
      </c>
      <c r="R2304" s="10">
        <v>0.6725790159470024</v>
      </c>
      <c r="S2304" s="10">
        <v>0.030375038054084275</v>
      </c>
      <c r="T2304" s="10">
        <v>20.825620525006876</v>
      </c>
      <c r="U2304" s="11">
        <v>0.18917933662885214</v>
      </c>
      <c r="V2304" s="11">
        <v>0.2056954963101287</v>
      </c>
      <c r="W2304" s="11">
        <v>0.18708455313695657</v>
      </c>
      <c r="X2304" s="11">
        <v>0.09722719315878599</v>
      </c>
      <c r="Y2304" s="11">
        <v>0.25080845846053534</v>
      </c>
      <c r="Z2304" s="11">
        <v>0.07000496230474132</v>
      </c>
    </row>
    <row r="2305" ht="22.5" customHeight="1">
      <c r="Q2305" s="9" t="s">
        <v>2343</v>
      </c>
      <c r="R2305" s="10">
        <v>0.5811988109485371</v>
      </c>
      <c r="S2305" s="10">
        <v>0.02598722508950746</v>
      </c>
      <c r="T2305" s="10">
        <v>20.825571375338964</v>
      </c>
      <c r="U2305" s="11">
        <v>0.1719686121293593</v>
      </c>
      <c r="V2305" s="11">
        <v>0.21255301245644437</v>
      </c>
      <c r="W2305" s="11">
        <v>0.110360546664916</v>
      </c>
      <c r="X2305" s="11">
        <v>0.14900148283548423</v>
      </c>
      <c r="Y2305" s="11">
        <v>0.19953022872309856</v>
      </c>
      <c r="Z2305" s="11">
        <v>0.15658611719069754</v>
      </c>
    </row>
    <row r="2306" ht="22.5" customHeight="1">
      <c r="Q2306" s="9" t="s">
        <v>2344</v>
      </c>
      <c r="R2306" s="10">
        <v>0.6236943981750687</v>
      </c>
      <c r="S2306" s="10">
        <v>0.028028134949497584</v>
      </c>
      <c r="T2306" s="10">
        <v>20.825302833270808</v>
      </c>
      <c r="U2306" s="11">
        <v>0.12354176487879465</v>
      </c>
      <c r="V2306" s="11">
        <v>0.20695281899831955</v>
      </c>
      <c r="W2306" s="11">
        <v>0.16158748429146197</v>
      </c>
      <c r="X2306" s="11">
        <v>0.1725067850230019</v>
      </c>
      <c r="Y2306" s="11">
        <v>6.11429673859206E-4</v>
      </c>
      <c r="Z2306" s="11">
        <v>0.3347997171345627</v>
      </c>
    </row>
    <row r="2307" ht="22.5" customHeight="1">
      <c r="Q2307" s="9" t="s">
        <v>2345</v>
      </c>
      <c r="R2307" s="10">
        <v>0.522331348251574</v>
      </c>
      <c r="S2307" s="10">
        <v>0.02029100515925366</v>
      </c>
      <c r="T2307" s="10">
        <v>20.82422833782975</v>
      </c>
      <c r="U2307" s="11">
        <v>0.12938583162116032</v>
      </c>
      <c r="V2307" s="11">
        <v>0.16785340484807562</v>
      </c>
      <c r="W2307" s="11">
        <v>0.05881668530366204</v>
      </c>
      <c r="X2307" s="11">
        <v>0.20763523884919663</v>
      </c>
      <c r="Y2307" s="11">
        <v>0.2754698862880003</v>
      </c>
      <c r="Z2307" s="11">
        <v>0.160838953089905</v>
      </c>
    </row>
    <row r="2308" ht="22.5" customHeight="1">
      <c r="Q2308" s="9" t="s">
        <v>2346</v>
      </c>
      <c r="R2308" s="10">
        <v>0.5752448616913729</v>
      </c>
      <c r="S2308" s="10">
        <v>0.025703800529904144</v>
      </c>
      <c r="T2308" s="10">
        <v>20.82356891420247</v>
      </c>
      <c r="U2308" s="11">
        <v>0.22355578459229</v>
      </c>
      <c r="V2308" s="11">
        <v>0.1920593153925508</v>
      </c>
      <c r="W2308" s="11">
        <v>0.1263810169753637</v>
      </c>
      <c r="X2308" s="11">
        <v>0.07491023152638696</v>
      </c>
      <c r="Y2308" s="11">
        <v>0.31162975397561515</v>
      </c>
      <c r="Z2308" s="11">
        <v>0.0714638975377934</v>
      </c>
    </row>
    <row r="2309" ht="22.5" customHeight="1">
      <c r="Q2309" s="9" t="s">
        <v>2347</v>
      </c>
      <c r="R2309" s="10">
        <v>0.27186825663141795</v>
      </c>
      <c r="S2309" s="10">
        <v>0.011134926693581414</v>
      </c>
      <c r="T2309" s="10">
        <v>20.82350993519117</v>
      </c>
      <c r="U2309" s="11">
        <v>0.1598142861572425</v>
      </c>
      <c r="V2309" s="11">
        <v>0.028153250309429254</v>
      </c>
      <c r="W2309" s="11">
        <v>0.06011233039297519</v>
      </c>
      <c r="X2309" s="11">
        <v>0.26767216827275053</v>
      </c>
      <c r="Y2309" s="11">
        <v>0.21053338410666533</v>
      </c>
      <c r="Z2309" s="11">
        <v>0.27371458076093713</v>
      </c>
    </row>
    <row r="2310" ht="22.5" customHeight="1">
      <c r="Q2310" s="9" t="s">
        <v>2348</v>
      </c>
      <c r="R2310" s="10">
        <v>0.672706087918098</v>
      </c>
      <c r="S2310" s="10">
        <v>0.030384666550133024</v>
      </c>
      <c r="T2310" s="10">
        <v>20.823203271761034</v>
      </c>
      <c r="U2310" s="11">
        <v>0.035581324469781295</v>
      </c>
      <c r="V2310" s="11">
        <v>0.22669844864473912</v>
      </c>
      <c r="W2310" s="11">
        <v>0.1625976909916245</v>
      </c>
      <c r="X2310" s="11">
        <v>0.14037361091178846</v>
      </c>
      <c r="Y2310" s="11">
        <v>0.3206585525841753</v>
      </c>
      <c r="Z2310" s="11">
        <v>0.1140903723978913</v>
      </c>
    </row>
    <row r="2311" ht="22.5" customHeight="1">
      <c r="Q2311" s="9" t="s">
        <v>2349</v>
      </c>
      <c r="R2311" s="10">
        <v>0.3628841716289529</v>
      </c>
      <c r="S2311" s="10">
        <v>0.015506045412074274</v>
      </c>
      <c r="T2311" s="10">
        <v>20.823115310724482</v>
      </c>
      <c r="U2311" s="11">
        <v>0.3404960766443768</v>
      </c>
      <c r="V2311" s="11">
        <v>0.11099358790920119</v>
      </c>
      <c r="W2311" s="11">
        <v>0.06334638580378356</v>
      </c>
      <c r="X2311" s="11">
        <v>0.11369541709681401</v>
      </c>
      <c r="Y2311" s="11">
        <v>0.04119226021771084</v>
      </c>
      <c r="Z2311" s="11">
        <v>0.3302762723281135</v>
      </c>
    </row>
    <row r="2312" ht="22.5" customHeight="1">
      <c r="Q2312" s="9" t="s">
        <v>2350</v>
      </c>
      <c r="R2312" s="10">
        <v>0.5845139664289911</v>
      </c>
      <c r="S2312" s="10">
        <v>0.026150090253452527</v>
      </c>
      <c r="T2312" s="10">
        <v>20.82264195463342</v>
      </c>
      <c r="U2312" s="11">
        <v>0.03326917419496325</v>
      </c>
      <c r="V2312" s="11">
        <v>0.13298884405659808</v>
      </c>
      <c r="W2312" s="11">
        <v>0.19245701191009953</v>
      </c>
      <c r="X2312" s="11">
        <v>0.21292734245554507</v>
      </c>
      <c r="Y2312" s="11">
        <v>0.23850055705035988</v>
      </c>
      <c r="Z2312" s="11">
        <v>0.18985707033243437</v>
      </c>
    </row>
    <row r="2313" ht="22.5" customHeight="1">
      <c r="Q2313" s="9" t="s">
        <v>2351</v>
      </c>
      <c r="R2313" s="10">
        <v>0.6111877666466099</v>
      </c>
      <c r="S2313" s="10">
        <v>0.027431489245126877</v>
      </c>
      <c r="T2313" s="10">
        <v>20.822338938381908</v>
      </c>
      <c r="U2313" s="11">
        <v>0.2236020320351987</v>
      </c>
      <c r="V2313" s="11">
        <v>0.1573757374946091</v>
      </c>
      <c r="W2313" s="11">
        <v>0.1929336054507794</v>
      </c>
      <c r="X2313" s="11">
        <v>0.12962657617144882</v>
      </c>
      <c r="Y2313" s="11">
        <v>0.1614683948314116</v>
      </c>
      <c r="Z2313" s="11">
        <v>0.13499365401655236</v>
      </c>
    </row>
    <row r="2314" ht="22.5" customHeight="1">
      <c r="Q2314" s="9" t="s">
        <v>2352</v>
      </c>
      <c r="R2314" s="10">
        <v>0.5625559433793093</v>
      </c>
      <c r="S2314" s="10">
        <v>0.025095972345837426</v>
      </c>
      <c r="T2314" s="10">
        <v>20.822303124110018</v>
      </c>
      <c r="U2314" s="11">
        <v>0.05269521686361538</v>
      </c>
      <c r="V2314" s="11">
        <v>0.2135874863039894</v>
      </c>
      <c r="W2314" s="11">
        <v>0.09075506180646987</v>
      </c>
      <c r="X2314" s="11">
        <v>0.25747784905834176</v>
      </c>
      <c r="Y2314" s="11">
        <v>0.1554352983710571</v>
      </c>
      <c r="Z2314" s="11">
        <v>0.23004908759652654</v>
      </c>
    </row>
    <row r="2315" ht="22.5" customHeight="1">
      <c r="Q2315" s="9" t="s">
        <v>2353</v>
      </c>
      <c r="R2315" s="10">
        <v>0.5887416306430933</v>
      </c>
      <c r="S2315" s="10">
        <v>0.026353961005531643</v>
      </c>
      <c r="T2315" s="10">
        <v>20.82197930428422</v>
      </c>
      <c r="U2315" s="11">
        <v>0.08719179792686034</v>
      </c>
      <c r="V2315" s="11">
        <v>0.20602380875223164</v>
      </c>
      <c r="W2315" s="11">
        <v>0.13610860024339833</v>
      </c>
      <c r="X2315" s="11">
        <v>0.15852763139377468</v>
      </c>
      <c r="Y2315" s="11">
        <v>0.06287075781261842</v>
      </c>
      <c r="Z2315" s="11">
        <v>0.3492774038711165</v>
      </c>
    </row>
    <row r="2316" ht="22.5" customHeight="1">
      <c r="Q2316" s="9" t="s">
        <v>2354</v>
      </c>
      <c r="R2316" s="10">
        <v>0.2866032162008455</v>
      </c>
      <c r="S2316" s="10">
        <v>0.011844152350687618</v>
      </c>
      <c r="T2316" s="10">
        <v>20.82067242123315</v>
      </c>
      <c r="U2316" s="11">
        <v>0.13521354458438686</v>
      </c>
      <c r="V2316" s="11">
        <v>0.03052942959976679</v>
      </c>
      <c r="W2316" s="11">
        <v>0.06156068527425243</v>
      </c>
      <c r="X2316" s="11">
        <v>0.43620886740026116</v>
      </c>
      <c r="Y2316" s="11">
        <v>0.015428587092386063</v>
      </c>
      <c r="Z2316" s="11">
        <v>0.32105888604894667</v>
      </c>
    </row>
    <row r="2317" ht="22.5" customHeight="1">
      <c r="Q2317" s="9" t="s">
        <v>2355</v>
      </c>
      <c r="R2317" s="10">
        <v>0.7082335913230695</v>
      </c>
      <c r="S2317" s="10">
        <v>0.032094718459629926</v>
      </c>
      <c r="T2317" s="10">
        <v>20.82067154331332</v>
      </c>
      <c r="U2317" s="11">
        <v>0.09129993978242298</v>
      </c>
      <c r="V2317" s="11">
        <v>0.22504880994064166</v>
      </c>
      <c r="W2317" s="11">
        <v>0.1998903549865344</v>
      </c>
      <c r="X2317" s="11">
        <v>0.19614422993773126</v>
      </c>
      <c r="Y2317" s="11">
        <v>0.04911321088703522</v>
      </c>
      <c r="Z2317" s="11">
        <v>0.23850345446563445</v>
      </c>
    </row>
    <row r="2318" ht="22.5" customHeight="1">
      <c r="Q2318" s="9" t="s">
        <v>2356</v>
      </c>
      <c r="R2318" s="10">
        <v>0.7688895578833537</v>
      </c>
      <c r="S2318" s="10">
        <v>0.03500807922754369</v>
      </c>
      <c r="T2318" s="10">
        <v>20.820609812545133</v>
      </c>
      <c r="U2318" s="11">
        <v>0.11320776539070748</v>
      </c>
      <c r="V2318" s="11">
        <v>0.22243063650616718</v>
      </c>
      <c r="W2318" s="11">
        <v>0.23625911181064926</v>
      </c>
      <c r="X2318" s="11">
        <v>0.21462699131301508</v>
      </c>
      <c r="Y2318" s="11">
        <v>0.14999532897924114</v>
      </c>
      <c r="Z2318" s="11">
        <v>0.06348016600021988</v>
      </c>
    </row>
    <row r="2319" ht="22.5" customHeight="1">
      <c r="Q2319" s="9" t="s">
        <v>2357</v>
      </c>
      <c r="R2319" s="10">
        <v>0.620315014450466</v>
      </c>
      <c r="S2319" s="10">
        <v>0.027872492600071054</v>
      </c>
      <c r="T2319" s="10">
        <v>20.8203486777134</v>
      </c>
      <c r="U2319" s="11">
        <v>0.21242658795383484</v>
      </c>
      <c r="V2319" s="11">
        <v>0.1633144492488551</v>
      </c>
      <c r="W2319" s="11">
        <v>0.19116684672784165</v>
      </c>
      <c r="X2319" s="11">
        <v>0.111236528466164</v>
      </c>
      <c r="Y2319" s="11">
        <v>0.23413449990914512</v>
      </c>
      <c r="Z2319" s="11">
        <v>0.08772108769415918</v>
      </c>
    </row>
    <row r="2320" ht="22.5" customHeight="1">
      <c r="Q2320" s="9" t="s">
        <v>2358</v>
      </c>
      <c r="R2320" s="10">
        <v>0.7131158562305282</v>
      </c>
      <c r="S2320" s="10">
        <v>0.03233047178964403</v>
      </c>
      <c r="T2320" s="10">
        <v>20.819858757710364</v>
      </c>
      <c r="U2320" s="11">
        <v>0.1049795256171315</v>
      </c>
      <c r="V2320" s="11">
        <v>0.17801218767094013</v>
      </c>
      <c r="W2320" s="11">
        <v>0.23721278047303657</v>
      </c>
      <c r="X2320" s="11">
        <v>0.3289651902173654</v>
      </c>
      <c r="Y2320" s="11">
        <v>0.010138819775881915</v>
      </c>
      <c r="Z2320" s="11">
        <v>0.14069149624564448</v>
      </c>
    </row>
    <row r="2321" ht="22.5" customHeight="1">
      <c r="Q2321" s="9" t="s">
        <v>2359</v>
      </c>
      <c r="R2321" s="10">
        <v>0.522331348251574</v>
      </c>
      <c r="S2321" s="10">
        <v>0.028781700397531463</v>
      </c>
      <c r="T2321" s="10">
        <v>20.81918715452671</v>
      </c>
      <c r="U2321" s="11">
        <v>0.12301342681830522</v>
      </c>
      <c r="V2321" s="11">
        <v>0.18533475819986586</v>
      </c>
      <c r="W2321" s="11">
        <v>0.19260295479400522</v>
      </c>
      <c r="X2321" s="11">
        <v>0.16510771372860739</v>
      </c>
      <c r="Y2321" s="11">
        <v>0.056901567024104364</v>
      </c>
      <c r="Z2321" s="11">
        <v>0.2770395794351119</v>
      </c>
    </row>
    <row r="2322" ht="22.5" customHeight="1">
      <c r="Q2322" s="9" t="s">
        <v>2360</v>
      </c>
      <c r="R2322" s="10">
        <v>0.48868302762990945</v>
      </c>
      <c r="S2322" s="10">
        <v>0.02155161421476483</v>
      </c>
      <c r="T2322" s="10">
        <v>20.818998667975436</v>
      </c>
      <c r="U2322" s="11">
        <v>0.2373445268125369</v>
      </c>
      <c r="V2322" s="11">
        <v>0.178709024056709</v>
      </c>
      <c r="W2322" s="11">
        <v>0.07860732601652307</v>
      </c>
      <c r="X2322" s="11">
        <v>0.1489196008273995</v>
      </c>
      <c r="Y2322" s="11">
        <v>0.13950938323085502</v>
      </c>
      <c r="Z2322" s="11">
        <v>0.21691013905597653</v>
      </c>
    </row>
    <row r="2323" ht="22.5" customHeight="1">
      <c r="Q2323" s="9" t="s">
        <v>2361</v>
      </c>
      <c r="R2323" s="10">
        <v>0.7633812258240344</v>
      </c>
      <c r="S2323" s="10">
        <v>0.03474645969918993</v>
      </c>
      <c r="T2323" s="10">
        <v>20.8188469296312</v>
      </c>
      <c r="U2323" s="11">
        <v>0.14139683799856465</v>
      </c>
      <c r="V2323" s="11">
        <v>0.2693285043263929</v>
      </c>
      <c r="W2323" s="11">
        <v>0.18458138644723987</v>
      </c>
      <c r="X2323" s="11">
        <v>0.21782029533136435</v>
      </c>
      <c r="Y2323" s="11">
        <v>0.10130552655927114</v>
      </c>
      <c r="Z2323" s="11">
        <v>0.08556744933716715</v>
      </c>
    </row>
    <row r="2324" ht="22.5" customHeight="1">
      <c r="Q2324" s="9" t="s">
        <v>2362</v>
      </c>
      <c r="R2324" s="10">
        <v>0.7265830874216015</v>
      </c>
      <c r="S2324" s="10">
        <v>0.032979567685308686</v>
      </c>
      <c r="T2324" s="10">
        <v>20.81843806968554</v>
      </c>
      <c r="U2324" s="11">
        <v>0.32119218456883325</v>
      </c>
      <c r="V2324" s="11">
        <v>0.19944547095189258</v>
      </c>
      <c r="W2324" s="11">
        <v>0.22823036094678578</v>
      </c>
      <c r="X2324" s="11">
        <v>0.196523054635811</v>
      </c>
      <c r="Y2324" s="11">
        <v>0.04232415768161646</v>
      </c>
      <c r="Z2324" s="11">
        <v>0.012284771215060917</v>
      </c>
    </row>
    <row r="2325" ht="22.5" customHeight="1">
      <c r="Q2325" s="9" t="s">
        <v>2363</v>
      </c>
      <c r="R2325" s="10">
        <v>0.7546569340013163</v>
      </c>
      <c r="S2325" s="10">
        <v>0.03432893855125086</v>
      </c>
      <c r="T2325" s="10">
        <v>20.817915268029047</v>
      </c>
      <c r="U2325" s="11">
        <v>0.20007040006143417</v>
      </c>
      <c r="V2325" s="11">
        <v>0.2478777466005632</v>
      </c>
      <c r="W2325" s="11">
        <v>0.20509201691243045</v>
      </c>
      <c r="X2325" s="11">
        <v>0.18755104977871304</v>
      </c>
      <c r="Y2325" s="11">
        <v>0.05266209133535534</v>
      </c>
      <c r="Z2325" s="11">
        <v>0.10674669531150391</v>
      </c>
    </row>
    <row r="2326" ht="22.5" customHeight="1">
      <c r="Q2326" s="9" t="s">
        <v>2364</v>
      </c>
      <c r="R2326" s="10">
        <v>0.6514173089225108</v>
      </c>
      <c r="S2326" s="10">
        <v>0.02937028300420491</v>
      </c>
      <c r="T2326" s="10">
        <v>20.81754911367299</v>
      </c>
      <c r="U2326" s="11">
        <v>0.08830541728163821</v>
      </c>
      <c r="V2326" s="11">
        <v>0.20453835918712776</v>
      </c>
      <c r="W2326" s="11">
        <v>0.17857499863128584</v>
      </c>
      <c r="X2326" s="11">
        <v>0.11023977876793253</v>
      </c>
      <c r="Y2326" s="11">
        <v>0.22189532778313473</v>
      </c>
      <c r="Z2326" s="11">
        <v>0.1964461183488811</v>
      </c>
    </row>
    <row r="2327" ht="22.5" customHeight="1">
      <c r="Q2327" s="9" t="s">
        <v>2365</v>
      </c>
      <c r="R2327" s="10">
        <v>0.5958758175933471</v>
      </c>
      <c r="S2327" s="10">
        <v>0.02670288059568366</v>
      </c>
      <c r="T2327" s="10">
        <v>20.81707310945324</v>
      </c>
      <c r="U2327" s="11">
        <v>0.08554834405942807</v>
      </c>
      <c r="V2327" s="11">
        <v>0.18092827772725564</v>
      </c>
      <c r="W2327" s="11">
        <v>0.16090555838454004</v>
      </c>
      <c r="X2327" s="11">
        <v>0.08156088027567958</v>
      </c>
      <c r="Y2327" s="11">
        <v>0.2974791523773714</v>
      </c>
      <c r="Z2327" s="11">
        <v>0.19357778717572538</v>
      </c>
    </row>
    <row r="2328" ht="22.5" customHeight="1">
      <c r="Q2328" s="9" t="s">
        <v>2366</v>
      </c>
      <c r="R2328" s="10">
        <v>0.6076908363997673</v>
      </c>
      <c r="S2328" s="10">
        <v>0.02727048686177255</v>
      </c>
      <c r="T2328" s="10">
        <v>20.81704075461702</v>
      </c>
      <c r="U2328" s="11">
        <v>0.2064811079328884</v>
      </c>
      <c r="V2328" s="11">
        <v>0.134450079336712</v>
      </c>
      <c r="W2328" s="11">
        <v>0.20483189517287267</v>
      </c>
      <c r="X2328" s="11">
        <v>0.21731767687700032</v>
      </c>
      <c r="Y2328" s="11">
        <v>0.14505818062050663</v>
      </c>
      <c r="Z2328" s="11">
        <v>0.0918610600600199</v>
      </c>
    </row>
    <row r="2329" ht="22.5" customHeight="1">
      <c r="Q2329" s="9" t="s">
        <v>2367</v>
      </c>
      <c r="R2329" s="10">
        <v>0.6810639335851417</v>
      </c>
      <c r="S2329" s="10">
        <v>0.030795520763633726</v>
      </c>
      <c r="T2329" s="10">
        <v>20.816791458262035</v>
      </c>
      <c r="U2329" s="11">
        <v>0.10290293135711406</v>
      </c>
      <c r="V2329" s="11">
        <v>0.24637893521087417</v>
      </c>
      <c r="W2329" s="11">
        <v>0.13988098662001774</v>
      </c>
      <c r="X2329" s="11">
        <v>0.18933999590758815</v>
      </c>
      <c r="Y2329" s="11">
        <v>0.29346165848107264</v>
      </c>
      <c r="Z2329" s="11">
        <v>0.02803549242333314</v>
      </c>
    </row>
    <row r="2330" ht="22.5" customHeight="1">
      <c r="Q2330" s="9" t="s">
        <v>2368</v>
      </c>
      <c r="R2330" s="10">
        <v>0.5029267802130809</v>
      </c>
      <c r="S2330" s="10">
        <v>0.02223835832640335</v>
      </c>
      <c r="T2330" s="10">
        <v>20.81658966990622</v>
      </c>
      <c r="U2330" s="11">
        <v>0.1367550209604572</v>
      </c>
      <c r="V2330" s="11">
        <v>0.1810182571859124</v>
      </c>
      <c r="W2330" s="11">
        <v>0.08492597101893302</v>
      </c>
      <c r="X2330" s="11">
        <v>0.13512371731540831</v>
      </c>
      <c r="Y2330" s="11">
        <v>0.26322447060958293</v>
      </c>
      <c r="Z2330" s="11">
        <v>0.1989525629097061</v>
      </c>
    </row>
    <row r="2331" ht="22.5" customHeight="1">
      <c r="Q2331" s="9" t="s">
        <v>2369</v>
      </c>
      <c r="R2331" s="10">
        <v>0.522331348251574</v>
      </c>
      <c r="S2331" s="10">
        <v>0.03563048735709475</v>
      </c>
      <c r="T2331" s="10">
        <v>20.816487422660654</v>
      </c>
      <c r="U2331" s="11">
        <v>0.18682869016928488</v>
      </c>
      <c r="V2331" s="11">
        <v>0.23505238669293166</v>
      </c>
      <c r="W2331" s="11">
        <v>0.23257002748337272</v>
      </c>
      <c r="X2331" s="11">
        <v>0.18805280902775873</v>
      </c>
      <c r="Y2331" s="11">
        <v>0.14216631223469725</v>
      </c>
      <c r="Z2331" s="11">
        <v>0.015329774391954685</v>
      </c>
    </row>
    <row r="2332" ht="22.5" customHeight="1">
      <c r="Q2332" s="9" t="s">
        <v>2370</v>
      </c>
      <c r="R2332" s="10">
        <v>0.6623693913047147</v>
      </c>
      <c r="S2332" s="10">
        <v>0.029898673757875978</v>
      </c>
      <c r="T2332" s="10">
        <v>20.815953120354333</v>
      </c>
      <c r="U2332" s="11">
        <v>0.2653727572109436</v>
      </c>
      <c r="V2332" s="11">
        <v>0.21204881613436982</v>
      </c>
      <c r="W2332" s="11">
        <v>0.1804599264167043</v>
      </c>
      <c r="X2332" s="11">
        <v>0.1464440258609792</v>
      </c>
      <c r="Y2332" s="11">
        <v>0.0010938457214466006</v>
      </c>
      <c r="Z2332" s="11">
        <v>0.1945806286555564</v>
      </c>
    </row>
    <row r="2333" ht="22.5" customHeight="1">
      <c r="Q2333" s="9" t="s">
        <v>2371</v>
      </c>
      <c r="R2333" s="10">
        <v>0.7629620245313243</v>
      </c>
      <c r="S2333" s="10">
        <v>0.03473134058985022</v>
      </c>
      <c r="T2333" s="10">
        <v>20.81583987986345</v>
      </c>
      <c r="U2333" s="11">
        <v>0.08709949772827295</v>
      </c>
      <c r="V2333" s="11">
        <v>0.18756596534877845</v>
      </c>
      <c r="W2333" s="11">
        <v>0.256212800994391</v>
      </c>
      <c r="X2333" s="11">
        <v>0.36316030325578164</v>
      </c>
      <c r="Y2333" s="11">
        <v>0.06586197786652619</v>
      </c>
      <c r="Z2333" s="11">
        <v>0.04009945480624972</v>
      </c>
    </row>
    <row r="2334" ht="22.5" customHeight="1">
      <c r="Q2334" s="9" t="s">
        <v>2372</v>
      </c>
      <c r="R2334" s="10">
        <v>0.7143242359528238</v>
      </c>
      <c r="S2334" s="10">
        <v>0.03239518342995627</v>
      </c>
      <c r="T2334" s="10">
        <v>20.81557085209361</v>
      </c>
      <c r="U2334" s="11">
        <v>0.10234978223285081</v>
      </c>
      <c r="V2334" s="11">
        <v>0.1631188985372798</v>
      </c>
      <c r="W2334" s="11">
        <v>0.2443804755256623</v>
      </c>
      <c r="X2334" s="11">
        <v>0.3668121935745949</v>
      </c>
      <c r="Y2334" s="11">
        <v>0.07076139342753932</v>
      </c>
      <c r="Z2334" s="11">
        <v>0.05257725670207281</v>
      </c>
    </row>
    <row r="2335" ht="22.5" customHeight="1">
      <c r="Q2335" s="9" t="s">
        <v>2373</v>
      </c>
      <c r="R2335" s="10">
        <v>0.6908153469751536</v>
      </c>
      <c r="S2335" s="10">
        <v>0.03126727847622728</v>
      </c>
      <c r="T2335" s="10">
        <v>20.814582486607293</v>
      </c>
      <c r="U2335" s="11">
        <v>0.12316767605360754</v>
      </c>
      <c r="V2335" s="11">
        <v>0.24148296965668287</v>
      </c>
      <c r="W2335" s="11">
        <v>0.1542790105382581</v>
      </c>
      <c r="X2335" s="11">
        <v>0.1520681790645722</v>
      </c>
      <c r="Y2335" s="11">
        <v>0.31809436428362226</v>
      </c>
      <c r="Z2335" s="11">
        <v>0.010907800403257105</v>
      </c>
    </row>
    <row r="2336" ht="22.5" customHeight="1">
      <c r="Q2336" s="9" t="s">
        <v>2374</v>
      </c>
      <c r="R2336" s="10">
        <v>0.6438957326535738</v>
      </c>
      <c r="S2336" s="10">
        <v>0.029013475462540465</v>
      </c>
      <c r="T2336" s="10">
        <v>20.814318968207324</v>
      </c>
      <c r="U2336" s="11">
        <v>0.07498016926115497</v>
      </c>
      <c r="V2336" s="11">
        <v>0.17452555570808043</v>
      </c>
      <c r="W2336" s="11">
        <v>0.1998578513622642</v>
      </c>
      <c r="X2336" s="11">
        <v>0.151364402103379</v>
      </c>
      <c r="Y2336" s="11">
        <v>0.2206407154649903</v>
      </c>
      <c r="Z2336" s="11">
        <v>0.17863130610013106</v>
      </c>
    </row>
    <row r="2337" ht="22.5" customHeight="1">
      <c r="Q2337" s="9" t="s">
        <v>2375</v>
      </c>
      <c r="R2337" s="10">
        <v>0.6271075202193526</v>
      </c>
      <c r="S2337" s="10">
        <v>0.028206958274648624</v>
      </c>
      <c r="T2337" s="10">
        <v>20.814279742705303</v>
      </c>
      <c r="U2337" s="11">
        <v>0.35538774327480055</v>
      </c>
      <c r="V2337" s="11">
        <v>0.17389479322666318</v>
      </c>
      <c r="W2337" s="11">
        <v>0.18936320692397182</v>
      </c>
      <c r="X2337" s="11">
        <v>0.12110268334510628</v>
      </c>
      <c r="Y2337" s="11">
        <v>0.051269702500144065</v>
      </c>
      <c r="Z2337" s="11">
        <v>0.10898187072931398</v>
      </c>
    </row>
    <row r="2338" ht="22.5" customHeight="1">
      <c r="Q2338" s="9" t="s">
        <v>2376</v>
      </c>
      <c r="R2338" s="10">
        <v>0.7791217060471549</v>
      </c>
      <c r="S2338" s="10">
        <v>0.03551346161959235</v>
      </c>
      <c r="T2338" s="10">
        <v>20.812437659960196</v>
      </c>
      <c r="U2338" s="11">
        <v>0.08180961130956056</v>
      </c>
      <c r="V2338" s="11">
        <v>0.24637243452216898</v>
      </c>
      <c r="W2338" s="11">
        <v>0.22215144289831965</v>
      </c>
      <c r="X2338" s="11">
        <v>0.20104299020345667</v>
      </c>
      <c r="Y2338" s="11">
        <v>0.1504636475155577</v>
      </c>
      <c r="Z2338" s="11">
        <v>0.09815987355093644</v>
      </c>
    </row>
    <row r="2339" ht="22.5" customHeight="1">
      <c r="Q2339" s="9" t="s">
        <v>2377</v>
      </c>
      <c r="R2339" s="10">
        <v>0.5071404951935492</v>
      </c>
      <c r="S2339" s="10">
        <v>0.022445443762558144</v>
      </c>
      <c r="T2339" s="10">
        <v>20.81226373313229</v>
      </c>
      <c r="U2339" s="11">
        <v>0.2343934525362829</v>
      </c>
      <c r="V2339" s="11">
        <v>0.19071573268881692</v>
      </c>
      <c r="W2339" s="11">
        <v>0.0732259734320076</v>
      </c>
      <c r="X2339" s="11">
        <v>0.2734498369420901</v>
      </c>
      <c r="Y2339" s="11">
        <v>0.0013377309234877586</v>
      </c>
      <c r="Z2339" s="11">
        <v>0.22687727347731476</v>
      </c>
    </row>
    <row r="2340" ht="22.5" customHeight="1">
      <c r="Q2340" s="9" t="s">
        <v>2378</v>
      </c>
      <c r="R2340" s="10">
        <v>0.522331348251574</v>
      </c>
      <c r="S2340" s="10">
        <v>0.028033309393357145</v>
      </c>
      <c r="T2340" s="10">
        <v>20.812168105992928</v>
      </c>
      <c r="U2340" s="11">
        <v>0.1273157419763708</v>
      </c>
      <c r="V2340" s="11">
        <v>0.19731223313332735</v>
      </c>
      <c r="W2340" s="11">
        <v>0.16452899024856657</v>
      </c>
      <c r="X2340" s="11">
        <v>0.08245114712661603</v>
      </c>
      <c r="Y2340" s="11">
        <v>0.2576550252960438</v>
      </c>
      <c r="Z2340" s="11">
        <v>0.1707368622190755</v>
      </c>
    </row>
    <row r="2341" ht="22.5" customHeight="1">
      <c r="Q2341" s="9" t="s">
        <v>2379</v>
      </c>
      <c r="R2341" s="10">
        <v>0.3747519192581589</v>
      </c>
      <c r="S2341" s="10">
        <v>0.01608452654482464</v>
      </c>
      <c r="T2341" s="10">
        <v>20.81204680319725</v>
      </c>
      <c r="U2341" s="11">
        <v>0.3116310747890659</v>
      </c>
      <c r="V2341" s="11">
        <v>0.08689658956170124</v>
      </c>
      <c r="W2341" s="11">
        <v>0.08074444502546112</v>
      </c>
      <c r="X2341" s="11">
        <v>0.08594022428945279</v>
      </c>
      <c r="Y2341" s="11">
        <v>0.34050341927450234</v>
      </c>
      <c r="Z2341" s="11">
        <v>0.09428424705981651</v>
      </c>
    </row>
    <row r="2342" ht="22.5" customHeight="1">
      <c r="Q2342" s="9" t="s">
        <v>2380</v>
      </c>
      <c r="R2342" s="10">
        <v>0.6493963193500104</v>
      </c>
      <c r="S2342" s="10">
        <v>0.02928142490208729</v>
      </c>
      <c r="T2342" s="10">
        <v>20.811703029744645</v>
      </c>
      <c r="U2342" s="11">
        <v>0.17960204835874313</v>
      </c>
      <c r="V2342" s="11">
        <v>0.2224904059180893</v>
      </c>
      <c r="W2342" s="11">
        <v>0.15239400801317174</v>
      </c>
      <c r="X2342" s="11">
        <v>0.1038636092298731</v>
      </c>
      <c r="Y2342" s="11">
        <v>0.24565319815090828</v>
      </c>
      <c r="Z2342" s="11">
        <v>0.09599673032921441</v>
      </c>
    </row>
    <row r="2343" ht="22.5" customHeight="1">
      <c r="Q2343" s="9" t="s">
        <v>2381</v>
      </c>
      <c r="R2343" s="10">
        <v>0.7460791630506649</v>
      </c>
      <c r="S2343" s="10">
        <v>0.033927329842313926</v>
      </c>
      <c r="T2343" s="10">
        <v>20.811515858523236</v>
      </c>
      <c r="U2343" s="11">
        <v>0.10975960120849851</v>
      </c>
      <c r="V2343" s="11">
        <v>0.2535014575664904</v>
      </c>
      <c r="W2343" s="11">
        <v>0.1939727294290202</v>
      </c>
      <c r="X2343" s="11">
        <v>0.20284694313434629</v>
      </c>
      <c r="Y2343" s="11">
        <v>0.07673970001175758</v>
      </c>
      <c r="Z2343" s="11">
        <v>0.16317956864988692</v>
      </c>
    </row>
    <row r="2344" ht="22.5" customHeight="1">
      <c r="Q2344" s="9" t="s">
        <v>2382</v>
      </c>
      <c r="R2344" s="10">
        <v>0.7283738268596163</v>
      </c>
      <c r="S2344" s="10">
        <v>0.03307706327206043</v>
      </c>
      <c r="T2344" s="10">
        <v>20.811213534820446</v>
      </c>
      <c r="U2344" s="11">
        <v>0.11659816457255257</v>
      </c>
      <c r="V2344" s="11">
        <v>0.2070214618288215</v>
      </c>
      <c r="W2344" s="11">
        <v>0.22101401602843243</v>
      </c>
      <c r="X2344" s="11">
        <v>0.16367750333269057</v>
      </c>
      <c r="Y2344" s="11">
        <v>0.2621254232739995</v>
      </c>
      <c r="Z2344" s="11">
        <v>0.029563430963503487</v>
      </c>
    </row>
    <row r="2345" ht="22.5" customHeight="1">
      <c r="Q2345" s="9" t="s">
        <v>2383</v>
      </c>
      <c r="R2345" s="10">
        <v>0.522331348251574</v>
      </c>
      <c r="S2345" s="10">
        <v>0.03289635561476593</v>
      </c>
      <c r="T2345" s="10">
        <v>20.81103841703431</v>
      </c>
      <c r="U2345" s="11">
        <v>0.1090484320934802</v>
      </c>
      <c r="V2345" s="11">
        <v>0.2518131171704375</v>
      </c>
      <c r="W2345" s="11">
        <v>0.18090834695683072</v>
      </c>
      <c r="X2345" s="11">
        <v>0.2309718820997009</v>
      </c>
      <c r="Y2345" s="11">
        <v>0.012588872690800506</v>
      </c>
      <c r="Z2345" s="11">
        <v>0.21466934898875012</v>
      </c>
    </row>
    <row r="2346" ht="22.5" customHeight="1">
      <c r="Q2346" s="9" t="s">
        <v>2384</v>
      </c>
      <c r="R2346" s="10">
        <v>0.6040160513743799</v>
      </c>
      <c r="S2346" s="10">
        <v>0.027102802389240066</v>
      </c>
      <c r="T2346" s="10">
        <v>20.81024844863632</v>
      </c>
      <c r="U2346" s="11">
        <v>0.22051089876773364</v>
      </c>
      <c r="V2346" s="11">
        <v>0.13479899097566034</v>
      </c>
      <c r="W2346" s="11">
        <v>0.2041849724730064</v>
      </c>
      <c r="X2346" s="11">
        <v>0.23260438038180817</v>
      </c>
      <c r="Y2346" s="11">
        <v>0.07360492352895787</v>
      </c>
      <c r="Z2346" s="11">
        <v>0.13429583387283353</v>
      </c>
    </row>
    <row r="2347" ht="22.5" customHeight="1">
      <c r="Q2347" s="9" t="s">
        <v>2385</v>
      </c>
      <c r="R2347" s="10">
        <v>0.5829222181623517</v>
      </c>
      <c r="S2347" s="10">
        <v>0.02609027062050238</v>
      </c>
      <c r="T2347" s="10">
        <v>20.809374730506242</v>
      </c>
      <c r="U2347" s="11">
        <v>0.07758643421583258</v>
      </c>
      <c r="V2347" s="11">
        <v>0.14391700866643747</v>
      </c>
      <c r="W2347" s="11">
        <v>0.18728721243776075</v>
      </c>
      <c r="X2347" s="11">
        <v>0.1603569707069791</v>
      </c>
      <c r="Y2347" s="11">
        <v>0.19951843608281247</v>
      </c>
      <c r="Z2347" s="11">
        <v>0.2313339378901776</v>
      </c>
    </row>
    <row r="2348" ht="22.5" customHeight="1">
      <c r="Q2348" s="9" t="s">
        <v>2386</v>
      </c>
      <c r="R2348" s="10">
        <v>0.7068264318098473</v>
      </c>
      <c r="S2348" s="10">
        <v>0.03204465114449966</v>
      </c>
      <c r="T2348" s="10">
        <v>20.80928978764387</v>
      </c>
      <c r="U2348" s="11">
        <v>0.12151620363294291</v>
      </c>
      <c r="V2348" s="11">
        <v>0.17730491613986016</v>
      </c>
      <c r="W2348" s="11">
        <v>0.23228495313076566</v>
      </c>
      <c r="X2348" s="11">
        <v>0.2331367640465166</v>
      </c>
      <c r="Y2348" s="11">
        <v>0.18701708114907112</v>
      </c>
      <c r="Z2348" s="11">
        <v>0.04874008190084345</v>
      </c>
    </row>
    <row r="2349" ht="22.5" customHeight="1">
      <c r="Q2349" s="9" t="s">
        <v>2387</v>
      </c>
      <c r="R2349" s="10">
        <v>0.6346782642238542</v>
      </c>
      <c r="S2349" s="10">
        <v>0.02857799657204733</v>
      </c>
      <c r="T2349" s="10">
        <v>20.80895568465146</v>
      </c>
      <c r="U2349" s="11">
        <v>0.10348826969800314</v>
      </c>
      <c r="V2349" s="11">
        <v>0.19704421507107303</v>
      </c>
      <c r="W2349" s="11">
        <v>0.1795561002966999</v>
      </c>
      <c r="X2349" s="11">
        <v>0.13970925383549018</v>
      </c>
      <c r="Y2349" s="11">
        <v>0.08249505196986746</v>
      </c>
      <c r="Z2349" s="11">
        <v>0.2977071091288662</v>
      </c>
    </row>
    <row r="2350" ht="22.5" customHeight="1">
      <c r="Q2350" s="9" t="s">
        <v>2388</v>
      </c>
      <c r="R2350" s="10">
        <v>0.30260932341651703</v>
      </c>
      <c r="S2350" s="10">
        <v>0.01262002495582225</v>
      </c>
      <c r="T2350" s="10">
        <v>20.80893851920334</v>
      </c>
      <c r="U2350" s="11">
        <v>0.21663974113172027</v>
      </c>
      <c r="V2350" s="11">
        <v>0.042774588954888525</v>
      </c>
      <c r="W2350" s="11">
        <v>0.031819258260306224</v>
      </c>
      <c r="X2350" s="11">
        <v>0.5837138690014599</v>
      </c>
      <c r="Y2350" s="11">
        <v>0.07731095184224018</v>
      </c>
      <c r="Z2350" s="11">
        <v>0.0477415908093849</v>
      </c>
    </row>
    <row r="2351" ht="22.5" customHeight="1">
      <c r="Q2351" s="9" t="s">
        <v>2389</v>
      </c>
      <c r="R2351" s="10">
        <v>0.522331348251574</v>
      </c>
      <c r="S2351" s="10">
        <v>0.026927825645614592</v>
      </c>
      <c r="T2351" s="10">
        <v>20.80784661201574</v>
      </c>
      <c r="U2351" s="11">
        <v>0.030687208986951157</v>
      </c>
      <c r="V2351" s="11">
        <v>0.2272279005155686</v>
      </c>
      <c r="W2351" s="11">
        <v>0.10578696607518209</v>
      </c>
      <c r="X2351" s="11">
        <v>0.2560087851992015</v>
      </c>
      <c r="Y2351" s="11">
        <v>0.15332671915117277</v>
      </c>
      <c r="Z2351" s="11">
        <v>0.2269624200719238</v>
      </c>
    </row>
    <row r="2352" ht="22.5" customHeight="1">
      <c r="Q2352" s="9" t="s">
        <v>2390</v>
      </c>
      <c r="R2352" s="10">
        <v>0.4925841553036577</v>
      </c>
      <c r="S2352" s="10">
        <v>0.021750828914510238</v>
      </c>
      <c r="T2352" s="10">
        <v>20.80767390900369</v>
      </c>
      <c r="U2352" s="11">
        <v>0.29087592928688366</v>
      </c>
      <c r="V2352" s="11">
        <v>0.08245716504735645</v>
      </c>
      <c r="W2352" s="11">
        <v>0.16519704713797848</v>
      </c>
      <c r="X2352" s="11">
        <v>0.2276540862436819</v>
      </c>
      <c r="Y2352" s="11">
        <v>0.19251451681878975</v>
      </c>
      <c r="Z2352" s="11">
        <v>0.041301255465309744</v>
      </c>
    </row>
    <row r="2353" ht="22.5" customHeight="1">
      <c r="Q2353" s="9" t="s">
        <v>2391</v>
      </c>
      <c r="R2353" s="10">
        <v>0.6954798070144667</v>
      </c>
      <c r="S2353" s="10">
        <v>0.03150286213682454</v>
      </c>
      <c r="T2353" s="10">
        <v>20.806992208122537</v>
      </c>
      <c r="U2353" s="11">
        <v>0.2335164023548694</v>
      </c>
      <c r="V2353" s="11">
        <v>0.21649800781191308</v>
      </c>
      <c r="W2353" s="11">
        <v>0.19515576144189187</v>
      </c>
      <c r="X2353" s="11">
        <v>0.11162082218645177</v>
      </c>
      <c r="Y2353" s="11">
        <v>0.1568479398854395</v>
      </c>
      <c r="Z2353" s="11">
        <v>0.08636106631943447</v>
      </c>
    </row>
    <row r="2354" ht="22.5" customHeight="1">
      <c r="Q2354" s="9" t="s">
        <v>2392</v>
      </c>
      <c r="R2354" s="10">
        <v>0.6896744763382747</v>
      </c>
      <c r="S2354" s="10">
        <v>0.031224209877012396</v>
      </c>
      <c r="T2354" s="10">
        <v>20.806754723249927</v>
      </c>
      <c r="U2354" s="11">
        <v>0.11241712952214164</v>
      </c>
      <c r="V2354" s="11">
        <v>0.1794584289800285</v>
      </c>
      <c r="W2354" s="11">
        <v>0.22513485915606735</v>
      </c>
      <c r="X2354" s="11">
        <v>0.2633380646223737</v>
      </c>
      <c r="Y2354" s="11">
        <v>0.03289532224036246</v>
      </c>
      <c r="Z2354" s="11">
        <v>0.18675619547902642</v>
      </c>
    </row>
    <row r="2355" ht="22.5" customHeight="1">
      <c r="Q2355" s="9" t="s">
        <v>2393</v>
      </c>
      <c r="R2355" s="10">
        <v>0.5469452055689257</v>
      </c>
      <c r="S2355" s="10">
        <v>0.02436464619103636</v>
      </c>
      <c r="T2355" s="10">
        <v>20.80659007293233</v>
      </c>
      <c r="U2355" s="11">
        <v>0.19484184606693214</v>
      </c>
      <c r="V2355" s="11">
        <v>0.1134509042187956</v>
      </c>
      <c r="W2355" s="11">
        <v>0.18401996349001454</v>
      </c>
      <c r="X2355" s="11">
        <v>0.19688774391558098</v>
      </c>
      <c r="Y2355" s="11">
        <v>0.16531952567106384</v>
      </c>
      <c r="Z2355" s="11">
        <v>0.14548001663761295</v>
      </c>
    </row>
    <row r="2356" ht="22.5" customHeight="1">
      <c r="Q2356" s="9" t="s">
        <v>2394</v>
      </c>
      <c r="R2356" s="10">
        <v>0.6155738567449498</v>
      </c>
      <c r="S2356" s="10">
        <v>0.027663283473834673</v>
      </c>
      <c r="T2356" s="10">
        <v>20.806418633903547</v>
      </c>
      <c r="U2356" s="11">
        <v>0.22474570864442292</v>
      </c>
      <c r="V2356" s="11">
        <v>0.13540498501332474</v>
      </c>
      <c r="W2356" s="11">
        <v>0.20860716013274463</v>
      </c>
      <c r="X2356" s="11">
        <v>0.22814943489193348</v>
      </c>
      <c r="Y2356" s="11">
        <v>0.12575845724073656</v>
      </c>
      <c r="Z2356" s="11">
        <v>0.07733425407683767</v>
      </c>
    </row>
    <row r="2357" ht="22.5" customHeight="1">
      <c r="Q2357" s="9" t="s">
        <v>2395</v>
      </c>
      <c r="R2357" s="10">
        <v>0.6736461120534973</v>
      </c>
      <c r="S2357" s="10">
        <v>0.03045436404346392</v>
      </c>
      <c r="T2357" s="10">
        <v>20.80641418580171</v>
      </c>
      <c r="U2357" s="11">
        <v>0.25841104636963813</v>
      </c>
      <c r="V2357" s="11">
        <v>0.23075263010729175</v>
      </c>
      <c r="W2357" s="11">
        <v>0.16366216800569977</v>
      </c>
      <c r="X2357" s="11">
        <v>0.11588262476220865</v>
      </c>
      <c r="Y2357" s="11">
        <v>0.13676274304896827</v>
      </c>
      <c r="Z2357" s="11">
        <v>0.09452878770619343</v>
      </c>
    </row>
    <row r="2358" ht="22.5" customHeight="1">
      <c r="Q2358" s="9" t="s">
        <v>2396</v>
      </c>
      <c r="R2358" s="10">
        <v>0.5812498057090764</v>
      </c>
      <c r="S2358" s="10">
        <v>0.02601461773473871</v>
      </c>
      <c r="T2358" s="10">
        <v>20.805602881733545</v>
      </c>
      <c r="U2358" s="11">
        <v>0.08338899974637658</v>
      </c>
      <c r="V2358" s="11">
        <v>0.20790607871468023</v>
      </c>
      <c r="W2358" s="11">
        <v>0.12739130796734352</v>
      </c>
      <c r="X2358" s="11">
        <v>0.18879801246215175</v>
      </c>
      <c r="Y2358" s="11">
        <v>0.02714703195300481</v>
      </c>
      <c r="Z2358" s="11">
        <v>0.3653685691564432</v>
      </c>
    </row>
    <row r="2359" ht="22.5" customHeight="1">
      <c r="Q2359" s="9" t="s">
        <v>2397</v>
      </c>
      <c r="R2359" s="10">
        <v>0.7231115980006022</v>
      </c>
      <c r="S2359" s="10">
        <v>0.03283351584690717</v>
      </c>
      <c r="T2359" s="10">
        <v>20.80531372837885</v>
      </c>
      <c r="U2359" s="11">
        <v>0.07347434447736462</v>
      </c>
      <c r="V2359" s="11">
        <v>0.2172058339903931</v>
      </c>
      <c r="W2359" s="11">
        <v>0.21582082591476276</v>
      </c>
      <c r="X2359" s="11">
        <v>0.19201741870020286</v>
      </c>
      <c r="Y2359" s="11">
        <v>0.11438533352342549</v>
      </c>
      <c r="Z2359" s="11">
        <v>0.187096243393851</v>
      </c>
    </row>
    <row r="2360" ht="22.5" customHeight="1">
      <c r="Q2360" s="9" t="s">
        <v>2398</v>
      </c>
      <c r="R2360" s="10">
        <v>0.7072835541551074</v>
      </c>
      <c r="S2360" s="10">
        <v>0.032072776284062174</v>
      </c>
      <c r="T2360" s="10">
        <v>20.805294441775484</v>
      </c>
      <c r="U2360" s="11">
        <v>0.22548069018873823</v>
      </c>
      <c r="V2360" s="11">
        <v>0.2477783410758937</v>
      </c>
      <c r="W2360" s="11">
        <v>0.16921167787325625</v>
      </c>
      <c r="X2360" s="11">
        <v>0.15757422241376381</v>
      </c>
      <c r="Y2360" s="11">
        <v>0.10352868210290941</v>
      </c>
      <c r="Z2360" s="11">
        <v>0.09642638634543857</v>
      </c>
    </row>
    <row r="2361" ht="22.5" customHeight="1">
      <c r="Q2361" s="9" t="s">
        <v>2399</v>
      </c>
      <c r="R2361" s="10">
        <v>0.6613896266525972</v>
      </c>
      <c r="S2361" s="10">
        <v>0.02986964265367077</v>
      </c>
      <c r="T2361" s="10">
        <v>20.803383350025875</v>
      </c>
      <c r="U2361" s="11">
        <v>0.16973867872007176</v>
      </c>
      <c r="V2361" s="11">
        <v>0.1643696973627025</v>
      </c>
      <c r="W2361" s="11">
        <v>0.2175595058220736</v>
      </c>
      <c r="X2361" s="11">
        <v>0.20284000956855383</v>
      </c>
      <c r="Y2361" s="11">
        <v>0.13609800164648103</v>
      </c>
      <c r="Z2361" s="11">
        <v>0.10939410688011728</v>
      </c>
    </row>
    <row r="2362" ht="22.5" customHeight="1">
      <c r="Q2362" s="9" t="s">
        <v>2400</v>
      </c>
      <c r="R2362" s="10">
        <v>0.5983384012659001</v>
      </c>
      <c r="S2362" s="10">
        <v>0.02683915239189111</v>
      </c>
      <c r="T2362" s="10">
        <v>20.80313093026702</v>
      </c>
      <c r="U2362" s="11">
        <v>0.19522660194473626</v>
      </c>
      <c r="V2362" s="11">
        <v>0.16359633397189347</v>
      </c>
      <c r="W2362" s="11">
        <v>0.18116883734284786</v>
      </c>
      <c r="X2362" s="11">
        <v>0.0946892337849454</v>
      </c>
      <c r="Y2362" s="11">
        <v>0.1885847901926728</v>
      </c>
      <c r="Z2362" s="11">
        <v>0.17673420276290425</v>
      </c>
    </row>
    <row r="2363" ht="22.5" customHeight="1">
      <c r="Q2363" s="9" t="s">
        <v>2401</v>
      </c>
      <c r="R2363" s="10">
        <v>0.522331348251574</v>
      </c>
      <c r="S2363" s="10">
        <v>0.026268818785581717</v>
      </c>
      <c r="T2363" s="10">
        <v>20.80310757495106</v>
      </c>
      <c r="U2363" s="11">
        <v>0.11384614772297998</v>
      </c>
      <c r="V2363" s="11">
        <v>0.2217244744513521</v>
      </c>
      <c r="W2363" s="11">
        <v>0.09928113092264541</v>
      </c>
      <c r="X2363" s="11">
        <v>0.22223472300438255</v>
      </c>
      <c r="Y2363" s="11">
        <v>0.18184712963384841</v>
      </c>
      <c r="Z2363" s="11">
        <v>0.16106639426479144</v>
      </c>
    </row>
    <row r="2364" ht="22.5" customHeight="1">
      <c r="Q2364" s="9" t="s">
        <v>2402</v>
      </c>
      <c r="R2364" s="10">
        <v>0.8068675974333115</v>
      </c>
      <c r="S2364" s="10">
        <v>0.03686341560008083</v>
      </c>
      <c r="T2364" s="10">
        <v>20.802944733955417</v>
      </c>
      <c r="U2364" s="11">
        <v>0.04084807526285339</v>
      </c>
      <c r="V2364" s="11">
        <v>0.237605043672995</v>
      </c>
      <c r="W2364" s="11">
        <v>0.24828584826223848</v>
      </c>
      <c r="X2364" s="11">
        <v>0.30804636821698594</v>
      </c>
      <c r="Y2364" s="11">
        <v>0.0333152214310001</v>
      </c>
      <c r="Z2364" s="11">
        <v>0.13189944315392707</v>
      </c>
    </row>
    <row r="2365" ht="22.5" customHeight="1">
      <c r="Q2365" s="9" t="s">
        <v>2403</v>
      </c>
      <c r="R2365" s="10">
        <v>0.550891774479853</v>
      </c>
      <c r="S2365" s="10">
        <v>0.02455865977451946</v>
      </c>
      <c r="T2365" s="10">
        <v>20.80291755211832</v>
      </c>
      <c r="U2365" s="11">
        <v>0.0823472884394265</v>
      </c>
      <c r="V2365" s="11">
        <v>0.13317079017646835</v>
      </c>
      <c r="W2365" s="11">
        <v>0.1783994440607874</v>
      </c>
      <c r="X2365" s="11">
        <v>0.1710807854506289</v>
      </c>
      <c r="Y2365" s="11">
        <v>0.12969176521812828</v>
      </c>
      <c r="Z2365" s="11">
        <v>0.3053099266545605</v>
      </c>
    </row>
    <row r="2366" ht="22.5" customHeight="1">
      <c r="Q2366" s="9" t="s">
        <v>2404</v>
      </c>
      <c r="R2366" s="10">
        <v>0.5738935217573197</v>
      </c>
      <c r="S2366" s="10">
        <v>0.025664605063689873</v>
      </c>
      <c r="T2366" s="10">
        <v>20.802717222119618</v>
      </c>
      <c r="U2366" s="11">
        <v>0.35262528811862226</v>
      </c>
      <c r="V2366" s="11">
        <v>0.14342975730376234</v>
      </c>
      <c r="W2366" s="11">
        <v>0.17305002349376417</v>
      </c>
      <c r="X2366" s="11">
        <v>0.0836183132159348</v>
      </c>
      <c r="Y2366" s="11">
        <v>0.2460966843628692</v>
      </c>
      <c r="Z2366" s="11">
        <v>0.001179933505047323</v>
      </c>
    </row>
    <row r="2367" ht="22.5" customHeight="1">
      <c r="Q2367" s="9" t="s">
        <v>2405</v>
      </c>
      <c r="R2367" s="10">
        <v>0.5304545505186247</v>
      </c>
      <c r="S2367" s="10">
        <v>0.02357686190450837</v>
      </c>
      <c r="T2367" s="10">
        <v>20.802367698681728</v>
      </c>
      <c r="U2367" s="11">
        <v>0.10703865423784695</v>
      </c>
      <c r="V2367" s="11">
        <v>0.09610187399103533</v>
      </c>
      <c r="W2367" s="11">
        <v>0.18336799466139697</v>
      </c>
      <c r="X2367" s="11">
        <v>0.29786277098387237</v>
      </c>
      <c r="Y2367" s="11">
        <v>0.13789353554583914</v>
      </c>
      <c r="Z2367" s="11">
        <v>0.17773517058000918</v>
      </c>
    </row>
    <row r="2368" ht="22.5" customHeight="1">
      <c r="Q2368" s="9" t="s">
        <v>2406</v>
      </c>
      <c r="R2368" s="10">
        <v>0.6798891511623633</v>
      </c>
      <c r="S2368" s="10">
        <v>0.030760427725845467</v>
      </c>
      <c r="T2368" s="10">
        <v>20.802348942135055</v>
      </c>
      <c r="U2368" s="11">
        <v>0.19282403303796075</v>
      </c>
      <c r="V2368" s="11">
        <v>0.21260530056252724</v>
      </c>
      <c r="W2368" s="11">
        <v>0.189845518181279</v>
      </c>
      <c r="X2368" s="11">
        <v>0.10827738118823947</v>
      </c>
      <c r="Y2368" s="11">
        <v>0.1646816699217769</v>
      </c>
      <c r="Z2368" s="11">
        <v>0.1317660971082167</v>
      </c>
    </row>
    <row r="2369" ht="22.5" customHeight="1">
      <c r="Q2369" s="9" t="s">
        <v>2407</v>
      </c>
      <c r="R2369" s="10">
        <v>0.6766465088725332</v>
      </c>
      <c r="S2369" s="10">
        <v>0.03060536857295322</v>
      </c>
      <c r="T2369" s="10">
        <v>20.80179192598107</v>
      </c>
      <c r="U2369" s="11">
        <v>0.05154393049527702</v>
      </c>
      <c r="V2369" s="11">
        <v>0.174288818392187</v>
      </c>
      <c r="W2369" s="11">
        <v>0.21404390900758713</v>
      </c>
      <c r="X2369" s="11">
        <v>0.18930877939073218</v>
      </c>
      <c r="Y2369" s="11">
        <v>0.30780619170775725</v>
      </c>
      <c r="Z2369" s="11">
        <v>0.06300837100645941</v>
      </c>
    </row>
    <row r="2370" ht="22.5" customHeight="1">
      <c r="Q2370" s="9" t="s">
        <v>2408</v>
      </c>
      <c r="R2370" s="10">
        <v>0.6095944655096511</v>
      </c>
      <c r="S2370" s="10">
        <v>0.02738199987262643</v>
      </c>
      <c r="T2370" s="10">
        <v>20.801784681880385</v>
      </c>
      <c r="U2370" s="11">
        <v>0.1909672867502202</v>
      </c>
      <c r="V2370" s="11">
        <v>0.1630184494185597</v>
      </c>
      <c r="W2370" s="11">
        <v>0.1871082553383611</v>
      </c>
      <c r="X2370" s="11">
        <v>0.10391710678326276</v>
      </c>
      <c r="Y2370" s="11">
        <v>0.2152759559585077</v>
      </c>
      <c r="Z2370" s="11">
        <v>0.13971294575108847</v>
      </c>
    </row>
    <row r="2371" ht="22.5" customHeight="1">
      <c r="Q2371" s="9" t="s">
        <v>2409</v>
      </c>
      <c r="R2371" s="10">
        <v>0.3857219559316437</v>
      </c>
      <c r="S2371" s="10">
        <v>0.016620187507484882</v>
      </c>
      <c r="T2371" s="10">
        <v>20.80132704736022</v>
      </c>
      <c r="U2371" s="11">
        <v>0.25766041296089265</v>
      </c>
      <c r="V2371" s="11">
        <v>0.059165479966759624</v>
      </c>
      <c r="W2371" s="11">
        <v>0.11997309967712626</v>
      </c>
      <c r="X2371" s="11">
        <v>0.17501701796831975</v>
      </c>
      <c r="Y2371" s="11">
        <v>0.19004054779123844</v>
      </c>
      <c r="Z2371" s="11">
        <v>0.19814344163566325</v>
      </c>
    </row>
    <row r="2372" ht="22.5" customHeight="1">
      <c r="Q2372" s="9" t="s">
        <v>2410</v>
      </c>
      <c r="R2372" s="10">
        <v>0.7059359418701128</v>
      </c>
      <c r="S2372" s="10">
        <v>0.032014164352809696</v>
      </c>
      <c r="T2372" s="10">
        <v>20.801290782767765</v>
      </c>
      <c r="U2372" s="11">
        <v>0.04318670326595209</v>
      </c>
      <c r="V2372" s="11">
        <v>0.26094175164107763</v>
      </c>
      <c r="W2372" s="11">
        <v>0.150909376436224</v>
      </c>
      <c r="X2372" s="11">
        <v>0.28181244318479953</v>
      </c>
      <c r="Y2372" s="11">
        <v>0.05970752393672309</v>
      </c>
      <c r="Z2372" s="11">
        <v>0.20344220153522372</v>
      </c>
    </row>
    <row r="2373" ht="22.5" customHeight="1">
      <c r="Q2373" s="9" t="s">
        <v>2411</v>
      </c>
      <c r="R2373" s="10">
        <v>0.6412664868249653</v>
      </c>
      <c r="S2373" s="10">
        <v>0.028905248996288817</v>
      </c>
      <c r="T2373" s="10">
        <v>20.801290689527107</v>
      </c>
      <c r="U2373" s="11">
        <v>0.13626239797950646</v>
      </c>
      <c r="V2373" s="11">
        <v>0.14900635472975904</v>
      </c>
      <c r="W2373" s="11">
        <v>0.21063113085649823</v>
      </c>
      <c r="X2373" s="11">
        <v>0.2006060958026298</v>
      </c>
      <c r="Y2373" s="11">
        <v>0.2775095273656746</v>
      </c>
      <c r="Z2373" s="11">
        <v>0.025984493265931916</v>
      </c>
    </row>
    <row r="2374" ht="22.5" customHeight="1">
      <c r="Q2374" s="9" t="s">
        <v>2412</v>
      </c>
      <c r="R2374" s="10">
        <v>0.708538962374848</v>
      </c>
      <c r="S2374" s="10">
        <v>0.03214100473934793</v>
      </c>
      <c r="T2374" s="10">
        <v>20.80018866231657</v>
      </c>
      <c r="U2374" s="11">
        <v>0.27874161941953374</v>
      </c>
      <c r="V2374" s="11">
        <v>0.2207688169229495</v>
      </c>
      <c r="W2374" s="11">
        <v>0.19632873105766788</v>
      </c>
      <c r="X2374" s="11">
        <v>0.10236967165052428</v>
      </c>
      <c r="Y2374" s="11">
        <v>0.19426972647543517</v>
      </c>
      <c r="Z2374" s="11">
        <v>0.007521434473889103</v>
      </c>
    </row>
    <row r="2375" ht="22.5" customHeight="1">
      <c r="Q2375" s="9" t="s">
        <v>2413</v>
      </c>
      <c r="R2375" s="10">
        <v>0.6444444667140028</v>
      </c>
      <c r="S2375" s="10">
        <v>0.029060256535789492</v>
      </c>
      <c r="T2375" s="10">
        <v>20.799694798619285</v>
      </c>
      <c r="U2375" s="11">
        <v>0.27374087611546916</v>
      </c>
      <c r="V2375" s="11">
        <v>0.2059496582170617</v>
      </c>
      <c r="W2375" s="11">
        <v>0.17480983066918743</v>
      </c>
      <c r="X2375" s="11">
        <v>0.12989467390768344</v>
      </c>
      <c r="Y2375" s="11">
        <v>0.009418099352820735</v>
      </c>
      <c r="Z2375" s="11">
        <v>0.2061868617377775</v>
      </c>
    </row>
    <row r="2376" ht="22.5" customHeight="1">
      <c r="Q2376" s="9" t="s">
        <v>2414</v>
      </c>
      <c r="R2376" s="10">
        <v>0.7393888796304552</v>
      </c>
      <c r="S2376" s="10">
        <v>0.03362496483820856</v>
      </c>
      <c r="T2376" s="10">
        <v>20.79969103300679</v>
      </c>
      <c r="U2376" s="11">
        <v>0.14290768248985958</v>
      </c>
      <c r="V2376" s="11">
        <v>0.23992179546730258</v>
      </c>
      <c r="W2376" s="11">
        <v>0.20426023998921164</v>
      </c>
      <c r="X2376" s="11">
        <v>0.1715525154731967</v>
      </c>
      <c r="Y2376" s="11">
        <v>0.09615819387461291</v>
      </c>
      <c r="Z2376" s="11">
        <v>0.1451995727058167</v>
      </c>
    </row>
    <row r="2377" ht="22.5" customHeight="1">
      <c r="Q2377" s="9" t="s">
        <v>2415</v>
      </c>
      <c r="R2377" s="10">
        <v>0.4458294586421009</v>
      </c>
      <c r="S2377" s="10">
        <v>0.01951135338335872</v>
      </c>
      <c r="T2377" s="10">
        <v>20.79965703395203</v>
      </c>
      <c r="U2377" s="11">
        <v>0.19569595835075612</v>
      </c>
      <c r="V2377" s="11">
        <v>0.08446069384058091</v>
      </c>
      <c r="W2377" s="11">
        <v>0.1431539430156866</v>
      </c>
      <c r="X2377" s="11">
        <v>0.14780838368058266</v>
      </c>
      <c r="Y2377" s="11">
        <v>0.21103364598280405</v>
      </c>
      <c r="Z2377" s="11">
        <v>0.2178473751295897</v>
      </c>
    </row>
    <row r="2378" ht="22.5" customHeight="1">
      <c r="Q2378" s="9" t="s">
        <v>2416</v>
      </c>
      <c r="R2378" s="10">
        <v>0.658245286539832</v>
      </c>
      <c r="S2378" s="10">
        <v>0.029724992513465442</v>
      </c>
      <c r="T2378" s="10">
        <v>20.798837418033543</v>
      </c>
      <c r="U2378" s="11">
        <v>0.0797969950295658</v>
      </c>
      <c r="V2378" s="11">
        <v>0.2226744968885078</v>
      </c>
      <c r="W2378" s="11">
        <v>0.16790625017471905</v>
      </c>
      <c r="X2378" s="11">
        <v>0.1470307616406562</v>
      </c>
      <c r="Y2378" s="11">
        <v>0.11541932236746268</v>
      </c>
      <c r="Z2378" s="11">
        <v>0.2671721738990883</v>
      </c>
    </row>
    <row r="2379" ht="22.5" customHeight="1">
      <c r="Q2379" s="9" t="s">
        <v>2417</v>
      </c>
      <c r="R2379" s="10">
        <v>0.625870051561375</v>
      </c>
      <c r="S2379" s="10">
        <v>0.028168566116348093</v>
      </c>
      <c r="T2379" s="10">
        <v>20.798717589723374</v>
      </c>
      <c r="U2379" s="11">
        <v>0.059173985558142975</v>
      </c>
      <c r="V2379" s="11">
        <v>0.2407204741783993</v>
      </c>
      <c r="W2379" s="11">
        <v>0.09366407744480956</v>
      </c>
      <c r="X2379" s="11">
        <v>0.35510909892132847</v>
      </c>
      <c r="Y2379" s="11">
        <v>0.1804616473114651</v>
      </c>
      <c r="Z2379" s="11">
        <v>0.07087071658585457</v>
      </c>
    </row>
    <row r="2380" ht="22.5" customHeight="1">
      <c r="Q2380" s="9" t="s">
        <v>2418</v>
      </c>
      <c r="R2380" s="10">
        <v>0.6448413093168984</v>
      </c>
      <c r="S2380" s="10">
        <v>0.02908099715223417</v>
      </c>
      <c r="T2380" s="10">
        <v>20.798506535063257</v>
      </c>
      <c r="U2380" s="11">
        <v>0.21951539772041975</v>
      </c>
      <c r="V2380" s="11">
        <v>0.22984995665894345</v>
      </c>
      <c r="W2380" s="11">
        <v>0.14629582774463884</v>
      </c>
      <c r="X2380" s="11">
        <v>0.1665396486407768</v>
      </c>
      <c r="Y2380" s="11">
        <v>0.03355322318210355</v>
      </c>
      <c r="Z2380" s="11">
        <v>0.20424594605311752</v>
      </c>
    </row>
    <row r="2381" ht="22.5" customHeight="1">
      <c r="Q2381" s="9" t="s">
        <v>2419</v>
      </c>
      <c r="R2381" s="10">
        <v>0.6040872593386272</v>
      </c>
      <c r="S2381" s="10">
        <v>0.027121528407026578</v>
      </c>
      <c r="T2381" s="10">
        <v>20.798505558871263</v>
      </c>
      <c r="U2381" s="11">
        <v>0.22908094211248112</v>
      </c>
      <c r="V2381" s="11">
        <v>0.12820948979024863</v>
      </c>
      <c r="W2381" s="11">
        <v>0.2064598530783887</v>
      </c>
      <c r="X2381" s="11">
        <v>0.24267585446475537</v>
      </c>
      <c r="Y2381" s="11">
        <v>0.1129699262734192</v>
      </c>
      <c r="Z2381" s="11">
        <v>0.08060393428070711</v>
      </c>
    </row>
    <row r="2382" ht="22.5" customHeight="1">
      <c r="Q2382" s="9" t="s">
        <v>2420</v>
      </c>
      <c r="R2382" s="10">
        <v>0.30019682636887446</v>
      </c>
      <c r="S2382" s="10">
        <v>0.012510399932346821</v>
      </c>
      <c r="T2382" s="10">
        <v>20.798441918400307</v>
      </c>
      <c r="U2382" s="11">
        <v>0.08199421045418168</v>
      </c>
      <c r="V2382" s="11">
        <v>0.05291640430361307</v>
      </c>
      <c r="W2382" s="11">
        <v>0.06571632235569912</v>
      </c>
      <c r="X2382" s="11">
        <v>0.16608500025121342</v>
      </c>
      <c r="Y2382" s="11">
        <v>0.30715898308862444</v>
      </c>
      <c r="Z2382" s="11">
        <v>0.3261290795466683</v>
      </c>
    </row>
    <row r="2383" ht="22.5" customHeight="1">
      <c r="Q2383" s="9" t="s">
        <v>2421</v>
      </c>
      <c r="R2383" s="10">
        <v>0.3827027827221453</v>
      </c>
      <c r="S2383" s="10">
        <v>0.016477572135017847</v>
      </c>
      <c r="T2383" s="10">
        <v>20.798135788089763</v>
      </c>
      <c r="U2383" s="11">
        <v>0.09735243043711199</v>
      </c>
      <c r="V2383" s="11">
        <v>0.05255156897641855</v>
      </c>
      <c r="W2383" s="11">
        <v>0.11725391240420419</v>
      </c>
      <c r="X2383" s="11">
        <v>0.24128545271427576</v>
      </c>
      <c r="Y2383" s="11">
        <v>0.2896320930067792</v>
      </c>
      <c r="Z2383" s="11">
        <v>0.2019245424612103</v>
      </c>
    </row>
    <row r="2384" ht="22.5" customHeight="1">
      <c r="Q2384" s="9" t="s">
        <v>2422</v>
      </c>
      <c r="R2384" s="10">
        <v>0.5501845674240196</v>
      </c>
      <c r="S2384" s="10">
        <v>0.02453090241700144</v>
      </c>
      <c r="T2384" s="10">
        <v>20.79762736614328</v>
      </c>
      <c r="U2384" s="11">
        <v>0.11466136568833747</v>
      </c>
      <c r="V2384" s="11">
        <v>0.12466411290105908</v>
      </c>
      <c r="W2384" s="11">
        <v>0.1805205592779222</v>
      </c>
      <c r="X2384" s="11">
        <v>0.166217815695491</v>
      </c>
      <c r="Y2384" s="11">
        <v>0.20045587788822067</v>
      </c>
      <c r="Z2384" s="11">
        <v>0.21348026854896948</v>
      </c>
    </row>
    <row r="2385" ht="22.5" customHeight="1">
      <c r="Q2385" s="9" t="s">
        <v>2423</v>
      </c>
      <c r="R2385" s="10">
        <v>0.28656574116172373</v>
      </c>
      <c r="S2385" s="10">
        <v>0.011855595639830272</v>
      </c>
      <c r="T2385" s="10">
        <v>20.797414879211722</v>
      </c>
      <c r="U2385" s="11">
        <v>0.2575060584321262</v>
      </c>
      <c r="V2385" s="11">
        <v>0.05839087801019305</v>
      </c>
      <c r="W2385" s="11">
        <v>0.04697648878206587</v>
      </c>
      <c r="X2385" s="11">
        <v>0.1429897982864411</v>
      </c>
      <c r="Y2385" s="11">
        <v>0.2594074593486904</v>
      </c>
      <c r="Z2385" s="11">
        <v>0.23472931714048328</v>
      </c>
    </row>
    <row r="2386" ht="22.5" customHeight="1">
      <c r="Q2386" s="9" t="s">
        <v>2424</v>
      </c>
      <c r="R2386" s="10">
        <v>0.552676279518092</v>
      </c>
      <c r="S2386" s="10">
        <v>0.024651673724372398</v>
      </c>
      <c r="T2386" s="10">
        <v>20.796814254896766</v>
      </c>
      <c r="U2386" s="11">
        <v>0.010450807970790508</v>
      </c>
      <c r="V2386" s="11">
        <v>0.11746499823084863</v>
      </c>
      <c r="W2386" s="11">
        <v>0.18673964054874212</v>
      </c>
      <c r="X2386" s="11">
        <v>0.26999861416966064</v>
      </c>
      <c r="Y2386" s="11">
        <v>0.1316536558247167</v>
      </c>
      <c r="Z2386" s="11">
        <v>0.2836922832552414</v>
      </c>
    </row>
    <row r="2387" ht="22.5" customHeight="1">
      <c r="Q2387" s="9" t="s">
        <v>2425</v>
      </c>
      <c r="R2387" s="10">
        <v>0.34877797667803745</v>
      </c>
      <c r="S2387" s="10">
        <v>0.014847849975012907</v>
      </c>
      <c r="T2387" s="10">
        <v>20.7961406666738</v>
      </c>
      <c r="U2387" s="11">
        <v>0.06917076783561153</v>
      </c>
      <c r="V2387" s="11">
        <v>0.11193892936748205</v>
      </c>
      <c r="W2387" s="11">
        <v>0.028441461260842637</v>
      </c>
      <c r="X2387" s="11">
        <v>0.26119227340702816</v>
      </c>
      <c r="Y2387" s="11">
        <v>0.2945877332656135</v>
      </c>
      <c r="Z2387" s="11">
        <v>0.2346688348634221</v>
      </c>
    </row>
    <row r="2388" ht="22.5" customHeight="1">
      <c r="Q2388" s="9" t="s">
        <v>2426</v>
      </c>
      <c r="R2388" s="10">
        <v>0.5542168045485781</v>
      </c>
      <c r="S2388" s="10">
        <v>0.024726715823400518</v>
      </c>
      <c r="T2388" s="10">
        <v>20.796000901257614</v>
      </c>
      <c r="U2388" s="11">
        <v>0.20284005355916757</v>
      </c>
      <c r="V2388" s="11">
        <v>0.20558558171151167</v>
      </c>
      <c r="W2388" s="11">
        <v>0.09104028207528649</v>
      </c>
      <c r="X2388" s="11">
        <v>0.17314081431104014</v>
      </c>
      <c r="Y2388" s="11">
        <v>0.22491733168310246</v>
      </c>
      <c r="Z2388" s="11">
        <v>0.10247593665989152</v>
      </c>
    </row>
    <row r="2389" ht="22.5" customHeight="1">
      <c r="Q2389" s="9" t="s">
        <v>2427</v>
      </c>
      <c r="R2389" s="10">
        <v>0.6070219789702709</v>
      </c>
      <c r="S2389" s="10">
        <v>0.0272659813260484</v>
      </c>
      <c r="T2389" s="10">
        <v>20.79594980242173</v>
      </c>
      <c r="U2389" s="11">
        <v>0.21742403624696063</v>
      </c>
      <c r="V2389" s="11">
        <v>0.14273588882222474</v>
      </c>
      <c r="W2389" s="11">
        <v>0.19818186567048307</v>
      </c>
      <c r="X2389" s="11">
        <v>0.15678711391149217</v>
      </c>
      <c r="Y2389" s="11">
        <v>0.212765344570918</v>
      </c>
      <c r="Z2389" s="11">
        <v>0.07210575077792149</v>
      </c>
    </row>
    <row r="2390" ht="22.5" customHeight="1">
      <c r="Q2390" s="9" t="s">
        <v>2428</v>
      </c>
      <c r="R2390" s="10">
        <v>0.6179565692175774</v>
      </c>
      <c r="S2390" s="10">
        <v>0.027792032021301767</v>
      </c>
      <c r="T2390" s="10">
        <v>20.79576508743912</v>
      </c>
      <c r="U2390" s="11">
        <v>0.13248911812028885</v>
      </c>
      <c r="V2390" s="11">
        <v>0.16369968086977843</v>
      </c>
      <c r="W2390" s="11">
        <v>0.1953263844561692</v>
      </c>
      <c r="X2390" s="11">
        <v>0.1481631741243968</v>
      </c>
      <c r="Y2390" s="11">
        <v>0.13999419273720556</v>
      </c>
      <c r="Z2390" s="11">
        <v>0.22032744969216117</v>
      </c>
    </row>
    <row r="2391" ht="22.5" customHeight="1">
      <c r="Q2391" s="9" t="s">
        <v>2429</v>
      </c>
      <c r="R2391" s="10">
        <v>0.5247825853768447</v>
      </c>
      <c r="S2391" s="10">
        <v>0.023311688792675044</v>
      </c>
      <c r="T2391" s="10">
        <v>20.795687077341743</v>
      </c>
      <c r="U2391" s="11">
        <v>0.15285992487111358</v>
      </c>
      <c r="V2391" s="11">
        <v>0.19293160840007179</v>
      </c>
      <c r="W2391" s="11">
        <v>0.08845400251266146</v>
      </c>
      <c r="X2391" s="11">
        <v>0.1504738725428469</v>
      </c>
      <c r="Y2391" s="11">
        <v>0.22408903329563976</v>
      </c>
      <c r="Z2391" s="11">
        <v>0.1911915583776665</v>
      </c>
    </row>
    <row r="2392" ht="22.5" customHeight="1">
      <c r="Q2392" s="9" t="s">
        <v>2430</v>
      </c>
      <c r="R2392" s="10">
        <v>0.54529797142178</v>
      </c>
      <c r="S2392" s="10">
        <v>0.02429821251138308</v>
      </c>
      <c r="T2392" s="10">
        <v>20.79568491653701</v>
      </c>
      <c r="U2392" s="11">
        <v>0.27734553526122196</v>
      </c>
      <c r="V2392" s="11">
        <v>0.10047854544565016</v>
      </c>
      <c r="W2392" s="11">
        <v>0.18834423770512437</v>
      </c>
      <c r="X2392" s="11">
        <v>0.31120369795299485</v>
      </c>
      <c r="Y2392" s="11">
        <v>0.0057007035248737795</v>
      </c>
      <c r="Z2392" s="11">
        <v>0.11692728011013498</v>
      </c>
    </row>
    <row r="2393" ht="22.5" customHeight="1">
      <c r="Q2393" s="9" t="s">
        <v>2431</v>
      </c>
      <c r="R2393" s="10">
        <v>0.5326090425105031</v>
      </c>
      <c r="S2393" s="10">
        <v>0.023688342307960145</v>
      </c>
      <c r="T2393" s="10">
        <v>20.79542063798059</v>
      </c>
      <c r="U2393" s="11">
        <v>0.2627598243647735</v>
      </c>
      <c r="V2393" s="11">
        <v>0.15513385139257607</v>
      </c>
      <c r="W2393" s="11">
        <v>0.14627718399871642</v>
      </c>
      <c r="X2393" s="11">
        <v>0.045689122276469644</v>
      </c>
      <c r="Y2393" s="11">
        <v>0.16468476228469028</v>
      </c>
      <c r="Z2393" s="11">
        <v>0.22545525568277403</v>
      </c>
    </row>
    <row r="2394" ht="22.5" customHeight="1">
      <c r="Q2394" s="9" t="s">
        <v>2432</v>
      </c>
      <c r="R2394" s="10">
        <v>0.4924360196560761</v>
      </c>
      <c r="S2394" s="10">
        <v>0.02175777176201967</v>
      </c>
      <c r="T2394" s="10">
        <v>20.79422583363282</v>
      </c>
      <c r="U2394" s="11">
        <v>0.09916531699738894</v>
      </c>
      <c r="V2394" s="11">
        <v>0.18734175924318416</v>
      </c>
      <c r="W2394" s="11">
        <v>0.06273239755856143</v>
      </c>
      <c r="X2394" s="11">
        <v>0.2828620084006437</v>
      </c>
      <c r="Y2394" s="11">
        <v>0.12832602047649083</v>
      </c>
      <c r="Z2394" s="11">
        <v>0.23957249732373095</v>
      </c>
    </row>
    <row r="2395" ht="22.5" customHeight="1">
      <c r="Q2395" s="9" t="s">
        <v>2433</v>
      </c>
      <c r="R2395" s="10">
        <v>0.6057940158845168</v>
      </c>
      <c r="S2395" s="10">
        <v>0.02720950899575068</v>
      </c>
      <c r="T2395" s="10">
        <v>20.793981103182603</v>
      </c>
      <c r="U2395" s="11">
        <v>0.1908738294544924</v>
      </c>
      <c r="V2395" s="11">
        <v>0.1581532046593083</v>
      </c>
      <c r="W2395" s="11">
        <v>0.18740288726356352</v>
      </c>
      <c r="X2395" s="11">
        <v>0.10614375587667757</v>
      </c>
      <c r="Y2395" s="11">
        <v>0.23878067760714214</v>
      </c>
      <c r="Z2395" s="11">
        <v>0.11864564513881593</v>
      </c>
    </row>
    <row r="2396" ht="22.5" customHeight="1">
      <c r="Q2396" s="9" t="s">
        <v>2434</v>
      </c>
      <c r="R2396" s="10">
        <v>0.39728667691954844</v>
      </c>
      <c r="S2396" s="10">
        <v>0.017182496666233938</v>
      </c>
      <c r="T2396" s="10">
        <v>20.793641567914158</v>
      </c>
      <c r="U2396" s="11">
        <v>0.2650073196251795</v>
      </c>
      <c r="V2396" s="11">
        <v>0.07441776999907453</v>
      </c>
      <c r="W2396" s="11">
        <v>0.12169407972725589</v>
      </c>
      <c r="X2396" s="11">
        <v>0.12490082423964874</v>
      </c>
      <c r="Y2396" s="11">
        <v>0.15024226818377848</v>
      </c>
      <c r="Z2396" s="11">
        <v>0.2637377382250628</v>
      </c>
    </row>
    <row r="2397" ht="22.5" customHeight="1">
      <c r="Q2397" s="9" t="s">
        <v>2435</v>
      </c>
      <c r="R2397" s="10">
        <v>0.2659394806678485</v>
      </c>
      <c r="S2397" s="10">
        <v>0.010866092251155465</v>
      </c>
      <c r="T2397" s="10">
        <v>20.79307587728448</v>
      </c>
      <c r="U2397" s="11">
        <v>0.2579524318751716</v>
      </c>
      <c r="V2397" s="11">
        <v>0.05898737135081768</v>
      </c>
      <c r="W2397" s="11">
        <v>0.02608738510148209</v>
      </c>
      <c r="X2397" s="11">
        <v>0.21337429463474597</v>
      </c>
      <c r="Y2397" s="11">
        <v>0.1998563856956515</v>
      </c>
      <c r="Z2397" s="11">
        <v>0.2437421313421313</v>
      </c>
    </row>
    <row r="2398" ht="22.5" customHeight="1">
      <c r="Q2398" s="9" t="s">
        <v>2436</v>
      </c>
      <c r="R2398" s="10">
        <v>0.6707006709825499</v>
      </c>
      <c r="S2398" s="10">
        <v>0.03033295974627749</v>
      </c>
      <c r="T2398" s="10">
        <v>20.792585895280148</v>
      </c>
      <c r="U2398" s="11">
        <v>0.006348473809461531</v>
      </c>
      <c r="V2398" s="11">
        <v>0.24268449198923098</v>
      </c>
      <c r="W2398" s="11">
        <v>0.15021614058478364</v>
      </c>
      <c r="X2398" s="11">
        <v>0.21750324897764753</v>
      </c>
      <c r="Y2398" s="11">
        <v>0.12128511856740554</v>
      </c>
      <c r="Z2398" s="11">
        <v>0.2619625260714708</v>
      </c>
    </row>
    <row r="2399" ht="22.5" customHeight="1">
      <c r="Q2399" s="9" t="s">
        <v>2437</v>
      </c>
      <c r="R2399" s="10">
        <v>0.7401666077986251</v>
      </c>
      <c r="S2399" s="10">
        <v>0.03367415650522331</v>
      </c>
      <c r="T2399" s="10">
        <v>20.792402259282124</v>
      </c>
      <c r="U2399" s="11">
        <v>0.12392961720419075</v>
      </c>
      <c r="V2399" s="11">
        <v>0.20639211572653895</v>
      </c>
      <c r="W2399" s="11">
        <v>0.23414342149180972</v>
      </c>
      <c r="X2399" s="11">
        <v>0.22311101099077027</v>
      </c>
      <c r="Y2399" s="11">
        <v>0.09647971477694146</v>
      </c>
      <c r="Z2399" s="11">
        <v>0.11594411980974872</v>
      </c>
    </row>
    <row r="2400" ht="22.5" customHeight="1">
      <c r="Q2400" s="9" t="s">
        <v>2438</v>
      </c>
      <c r="R2400" s="10">
        <v>0.6600637949822203</v>
      </c>
      <c r="S2400" s="10">
        <v>0.02982175861575491</v>
      </c>
      <c r="T2400" s="10">
        <v>20.7923282785422</v>
      </c>
      <c r="U2400" s="11">
        <v>0.08017763099546651</v>
      </c>
      <c r="V2400" s="11">
        <v>0.2398793330284439</v>
      </c>
      <c r="W2400" s="11">
        <v>0.1462291117365067</v>
      </c>
      <c r="X2400" s="11">
        <v>0.21376250470560373</v>
      </c>
      <c r="Y2400" s="11">
        <v>0.06099627537206975</v>
      </c>
      <c r="Z2400" s="11">
        <v>0.2589551441619093</v>
      </c>
    </row>
    <row r="2401" ht="22.5" customHeight="1">
      <c r="Q2401" s="9" t="s">
        <v>2439</v>
      </c>
      <c r="R2401" s="10">
        <v>0.6621044428908343</v>
      </c>
      <c r="S2401" s="10">
        <v>0.029920242697100797</v>
      </c>
      <c r="T2401" s="10">
        <v>20.79209213604122</v>
      </c>
      <c r="U2401" s="11">
        <v>0.2531481062639126</v>
      </c>
      <c r="V2401" s="11">
        <v>0.20540256988375563</v>
      </c>
      <c r="W2401" s="11">
        <v>0.18096703526600766</v>
      </c>
      <c r="X2401" s="11">
        <v>0.07783150897063065</v>
      </c>
      <c r="Y2401" s="11">
        <v>0.2211369550128928</v>
      </c>
      <c r="Z2401" s="11">
        <v>0.0615138246028006</v>
      </c>
    </row>
    <row r="2402" ht="22.5" customHeight="1">
      <c r="Q2402" s="9" t="s">
        <v>2440</v>
      </c>
      <c r="R2402" s="10">
        <v>0.6416332694269883</v>
      </c>
      <c r="S2402" s="10">
        <v>0.028936596074469693</v>
      </c>
      <c r="T2402" s="10">
        <v>20.791431994235143</v>
      </c>
      <c r="U2402" s="11">
        <v>0.25402721751623025</v>
      </c>
      <c r="V2402" s="11">
        <v>0.24197051156430038</v>
      </c>
      <c r="W2402" s="11">
        <v>0.1142942490056206</v>
      </c>
      <c r="X2402" s="11">
        <v>0.22628614822043364</v>
      </c>
      <c r="Y2402" s="11">
        <v>0.1298930038983124</v>
      </c>
      <c r="Z2402" s="11">
        <v>0.03352886979510273</v>
      </c>
    </row>
    <row r="2403" ht="22.5" customHeight="1">
      <c r="Q2403" s="9" t="s">
        <v>2441</v>
      </c>
      <c r="R2403" s="10">
        <v>0.4091228485046417</v>
      </c>
      <c r="S2403" s="10">
        <v>0.01775393381536903</v>
      </c>
      <c r="T2403" s="10">
        <v>20.7910456546314</v>
      </c>
      <c r="U2403" s="11">
        <v>0.2643160478459295</v>
      </c>
      <c r="V2403" s="11">
        <v>0.1456795764895023</v>
      </c>
      <c r="W2403" s="11">
        <v>0.03299247712723523</v>
      </c>
      <c r="X2403" s="11">
        <v>0.29245909635932527</v>
      </c>
      <c r="Y2403" s="11">
        <v>0.15371737353220694</v>
      </c>
      <c r="Z2403" s="11">
        <v>0.11083542864580072</v>
      </c>
    </row>
    <row r="2404" ht="22.5" customHeight="1">
      <c r="Q2404" s="9" t="s">
        <v>2442</v>
      </c>
      <c r="R2404" s="10">
        <v>0.2933703361924968</v>
      </c>
      <c r="S2404" s="10">
        <v>0.01218652707684565</v>
      </c>
      <c r="T2404" s="10">
        <v>20.791020657058187</v>
      </c>
      <c r="U2404" s="11">
        <v>0.2244788981503565</v>
      </c>
      <c r="V2404" s="11">
        <v>0.07761560930105257</v>
      </c>
      <c r="W2404" s="11">
        <v>0.026569205049441012</v>
      </c>
      <c r="X2404" s="11">
        <v>0.1987306016729386</v>
      </c>
      <c r="Y2404" s="11">
        <v>0.25369949176483486</v>
      </c>
      <c r="Z2404" s="11">
        <v>0.2189061940613764</v>
      </c>
    </row>
    <row r="2405" ht="22.5" customHeight="1">
      <c r="Q2405" s="9" t="s">
        <v>2443</v>
      </c>
      <c r="R2405" s="10">
        <v>0.7256096751293978</v>
      </c>
      <c r="S2405" s="10">
        <v>0.03297628305005983</v>
      </c>
      <c r="T2405" s="10">
        <v>20.79099315373428</v>
      </c>
      <c r="U2405" s="11">
        <v>0.16228000688332375</v>
      </c>
      <c r="V2405" s="11">
        <v>0.21550590858912652</v>
      </c>
      <c r="W2405" s="11">
        <v>0.21636191552573095</v>
      </c>
      <c r="X2405" s="11">
        <v>0.14861224873301573</v>
      </c>
      <c r="Y2405" s="11">
        <v>0.1698227755166785</v>
      </c>
      <c r="Z2405" s="11">
        <v>0.08741714475212456</v>
      </c>
    </row>
    <row r="2406" ht="22.5" customHeight="1">
      <c r="Q2406" s="9" t="s">
        <v>2444</v>
      </c>
      <c r="R2406" s="10">
        <v>0.7181763508570853</v>
      </c>
      <c r="S2406" s="10">
        <v>0.032619512051111285</v>
      </c>
      <c r="T2406" s="10">
        <v>20.790511819871966</v>
      </c>
      <c r="U2406" s="11">
        <v>0.3227642821804171</v>
      </c>
      <c r="V2406" s="11">
        <v>0.2222683468682453</v>
      </c>
      <c r="W2406" s="11">
        <v>0.20470684818934295</v>
      </c>
      <c r="X2406" s="11">
        <v>0.13601829005898286</v>
      </c>
      <c r="Y2406" s="11">
        <v>0.06116126902695076</v>
      </c>
      <c r="Z2406" s="11">
        <v>0.05308096367606102</v>
      </c>
    </row>
    <row r="2407" ht="22.5" customHeight="1">
      <c r="Q2407" s="9" t="s">
        <v>2445</v>
      </c>
      <c r="R2407" s="10">
        <v>0.5483212144619594</v>
      </c>
      <c r="S2407" s="10">
        <v>0.024449821840094376</v>
      </c>
      <c r="T2407" s="10">
        <v>20.790385213702532</v>
      </c>
      <c r="U2407" s="11">
        <v>0.0020067956190904152</v>
      </c>
      <c r="V2407" s="11">
        <v>0.13064400191868078</v>
      </c>
      <c r="W2407" s="11">
        <v>0.17875823699525106</v>
      </c>
      <c r="X2407" s="11">
        <v>0.2157046394133911</v>
      </c>
      <c r="Y2407" s="11">
        <v>0.11332170322378328</v>
      </c>
      <c r="Z2407" s="11">
        <v>0.3595646228298034</v>
      </c>
    </row>
    <row r="2408" ht="22.5" customHeight="1">
      <c r="Q2408" s="9" t="s">
        <v>2446</v>
      </c>
      <c r="R2408" s="10">
        <v>0.7450662903167623</v>
      </c>
      <c r="S2408" s="10">
        <v>0.03391311884599799</v>
      </c>
      <c r="T2408" s="10">
        <v>20.790370048786166</v>
      </c>
      <c r="U2408" s="11">
        <v>0.12114532186904964</v>
      </c>
      <c r="V2408" s="11">
        <v>0.22142628058443503</v>
      </c>
      <c r="W2408" s="11">
        <v>0.2249655660322759</v>
      </c>
      <c r="X2408" s="11">
        <v>0.18728932240042348</v>
      </c>
      <c r="Y2408" s="11">
        <v>0.12304843359724664</v>
      </c>
      <c r="Z2408" s="11">
        <v>0.12212507551656934</v>
      </c>
    </row>
    <row r="2409" ht="22.5" customHeight="1">
      <c r="Q2409" s="9" t="s">
        <v>2447</v>
      </c>
      <c r="R2409" s="10">
        <v>0.6775742306259032</v>
      </c>
      <c r="S2409" s="10">
        <v>0.030667119112241105</v>
      </c>
      <c r="T2409" s="10">
        <v>20.790157311235948</v>
      </c>
      <c r="U2409" s="11">
        <v>0.19279878007423648</v>
      </c>
      <c r="V2409" s="11">
        <v>0.21042710368778583</v>
      </c>
      <c r="W2409" s="11">
        <v>0.19227595880953763</v>
      </c>
      <c r="X2409" s="11">
        <v>0.11749315800739832</v>
      </c>
      <c r="Y2409" s="11">
        <v>0.12262265828738714</v>
      </c>
      <c r="Z2409" s="11">
        <v>0.1643823411336547</v>
      </c>
    </row>
    <row r="2410" ht="22.5" customHeight="1">
      <c r="Q2410" s="9" t="s">
        <v>2448</v>
      </c>
      <c r="R2410" s="10">
        <v>0.6956310035855061</v>
      </c>
      <c r="S2410" s="10">
        <v>0.0315368108387556</v>
      </c>
      <c r="T2410" s="10">
        <v>20.78938821486036</v>
      </c>
      <c r="U2410" s="11">
        <v>0.12905282488758407</v>
      </c>
      <c r="V2410" s="11">
        <v>0.21968255290565772</v>
      </c>
      <c r="W2410" s="11">
        <v>0.19700640488686358</v>
      </c>
      <c r="X2410" s="11">
        <v>0.15424382706391443</v>
      </c>
      <c r="Y2410" s="11">
        <v>0.08715759818169934</v>
      </c>
      <c r="Z2410" s="11">
        <v>0.21285679207428085</v>
      </c>
    </row>
    <row r="2411" ht="22.5" customHeight="1">
      <c r="Q2411" s="9" t="s">
        <v>2449</v>
      </c>
      <c r="R2411" s="10">
        <v>0.6879495367007602</v>
      </c>
      <c r="S2411" s="10">
        <v>0.031167578586764243</v>
      </c>
      <c r="T2411" s="10">
        <v>20.789216425555793</v>
      </c>
      <c r="U2411" s="11">
        <v>0.12928381240031514</v>
      </c>
      <c r="V2411" s="11">
        <v>0.230925973709765</v>
      </c>
      <c r="W2411" s="11">
        <v>0.18005678641291983</v>
      </c>
      <c r="X2411" s="11">
        <v>0.15886116417067978</v>
      </c>
      <c r="Y2411" s="11">
        <v>0.0716029130188835</v>
      </c>
      <c r="Z2411" s="11">
        <v>0.22926935028743672</v>
      </c>
    </row>
    <row r="2412" ht="22.5" customHeight="1">
      <c r="Q2412" s="9" t="s">
        <v>2450</v>
      </c>
      <c r="R2412" s="10">
        <v>0.6859807205564067</v>
      </c>
      <c r="S2412" s="10">
        <v>0.031073065653322903</v>
      </c>
      <c r="T2412" s="10">
        <v>20.789088780730797</v>
      </c>
      <c r="U2412" s="11">
        <v>0.19717298924488236</v>
      </c>
      <c r="V2412" s="11">
        <v>0.21342315182172775</v>
      </c>
      <c r="W2412" s="11">
        <v>0.19643651177350813</v>
      </c>
      <c r="X2412" s="11">
        <v>0.15019513792966682</v>
      </c>
      <c r="Y2412" s="11">
        <v>0.0444421163691546</v>
      </c>
      <c r="Z2412" s="11">
        <v>0.19833009286106024</v>
      </c>
    </row>
    <row r="2413" ht="22.5" customHeight="1">
      <c r="Q2413" s="9" t="s">
        <v>2451</v>
      </c>
      <c r="R2413" s="10">
        <v>0.7162638447338598</v>
      </c>
      <c r="S2413" s="10">
        <v>0.03253009835193129</v>
      </c>
      <c r="T2413" s="10">
        <v>20.78886566580917</v>
      </c>
      <c r="U2413" s="11">
        <v>0.3547278654053552</v>
      </c>
      <c r="V2413" s="11">
        <v>0.2090091808858376</v>
      </c>
      <c r="W2413" s="11">
        <v>0.2151629164816009</v>
      </c>
      <c r="X2413" s="11">
        <v>0.1630364775492063</v>
      </c>
      <c r="Y2413" s="11">
        <v>0.01614689986427281</v>
      </c>
      <c r="Z2413" s="11">
        <v>0.04191665981372713</v>
      </c>
    </row>
    <row r="2414" ht="22.5" customHeight="1">
      <c r="Q2414" s="9" t="s">
        <v>2452</v>
      </c>
      <c r="R2414" s="10">
        <v>0.6253518529434087</v>
      </c>
      <c r="S2414" s="10">
        <v>0.02815712555852601</v>
      </c>
      <c r="T2414" s="10">
        <v>20.788764525225602</v>
      </c>
      <c r="U2414" s="11">
        <v>0.2667840984482296</v>
      </c>
      <c r="V2414" s="11">
        <v>0.20091538820340832</v>
      </c>
      <c r="W2414" s="11">
        <v>0.16752937792737124</v>
      </c>
      <c r="X2414" s="11">
        <v>0.12358302382288121</v>
      </c>
      <c r="Y2414" s="11">
        <v>0.005681577721347934</v>
      </c>
      <c r="Z2414" s="11">
        <v>0.23550653387676157</v>
      </c>
    </row>
    <row r="2415" ht="22.5" customHeight="1">
      <c r="Q2415" s="9" t="s">
        <v>2453</v>
      </c>
      <c r="R2415" s="10">
        <v>0.5910866193302547</v>
      </c>
      <c r="S2415" s="10">
        <v>0.026509079569583243</v>
      </c>
      <c r="T2415" s="10">
        <v>20.788598784945233</v>
      </c>
      <c r="U2415" s="11">
        <v>0.14335439612418552</v>
      </c>
      <c r="V2415" s="11">
        <v>0.22264914753577267</v>
      </c>
      <c r="W2415" s="11">
        <v>0.1050196173103762</v>
      </c>
      <c r="X2415" s="11">
        <v>0.20157944703575129</v>
      </c>
      <c r="Y2415" s="11">
        <v>0.15242724411341257</v>
      </c>
      <c r="Z2415" s="11">
        <v>0.1749701478805016</v>
      </c>
    </row>
    <row r="2416" ht="22.5" customHeight="1">
      <c r="Q2416" s="9" t="s">
        <v>2454</v>
      </c>
      <c r="R2416" s="10">
        <v>0.7700594171181971</v>
      </c>
      <c r="S2416" s="10">
        <v>0.0351186168393139</v>
      </c>
      <c r="T2416" s="10">
        <v>20.788387551212566</v>
      </c>
      <c r="U2416" s="11">
        <v>0.11851090910307545</v>
      </c>
      <c r="V2416" s="11">
        <v>0.26090038161962975</v>
      </c>
      <c r="W2416" s="11">
        <v>0.20210400955664662</v>
      </c>
      <c r="X2416" s="11">
        <v>0.19629304570453512</v>
      </c>
      <c r="Y2416" s="11">
        <v>0.10627366530867526</v>
      </c>
      <c r="Z2416" s="11">
        <v>0.115917988707438</v>
      </c>
    </row>
    <row r="2417" ht="22.5" customHeight="1">
      <c r="Q2417" s="9" t="s">
        <v>2455</v>
      </c>
      <c r="R2417" s="10">
        <v>0.522331348251574</v>
      </c>
      <c r="S2417" s="10">
        <v>0.0396078004470803</v>
      </c>
      <c r="T2417" s="10">
        <v>20.788100888462573</v>
      </c>
      <c r="U2417" s="11">
        <v>0.05872686738716911</v>
      </c>
      <c r="V2417" s="11">
        <v>0.24509377269653235</v>
      </c>
      <c r="W2417" s="11">
        <v>0.27330359569242807</v>
      </c>
      <c r="X2417" s="11">
        <v>0.33775329288813183</v>
      </c>
      <c r="Y2417" s="11">
        <v>0.08506286657571724</v>
      </c>
      <c r="Z2417" s="11">
        <v>5.9604760021245795E-5</v>
      </c>
    </row>
    <row r="2418" ht="22.5" customHeight="1">
      <c r="Q2418" s="9" t="s">
        <v>2456</v>
      </c>
      <c r="R2418" s="10">
        <v>0.2797969271613224</v>
      </c>
      <c r="S2418" s="10">
        <v>0.01153530791951085</v>
      </c>
      <c r="T2418" s="10">
        <v>20.788082020396633</v>
      </c>
      <c r="U2418" s="11">
        <v>0.27969652497892455</v>
      </c>
      <c r="V2418" s="11">
        <v>0.054344771304762056</v>
      </c>
      <c r="W2418" s="11">
        <v>0.030347515388543574</v>
      </c>
      <c r="X2418" s="11">
        <v>0.24149561428900906</v>
      </c>
      <c r="Y2418" s="11">
        <v>0.28012251284415457</v>
      </c>
      <c r="Z2418" s="11">
        <v>0.11399306119460613</v>
      </c>
    </row>
    <row r="2419" ht="22.5" customHeight="1">
      <c r="Q2419" s="9" t="s">
        <v>2457</v>
      </c>
      <c r="R2419" s="10">
        <v>0.6834896755252674</v>
      </c>
      <c r="S2419" s="10">
        <v>0.030955371715606573</v>
      </c>
      <c r="T2419" s="10">
        <v>20.7876578397165</v>
      </c>
      <c r="U2419" s="11">
        <v>0.26207742302964326</v>
      </c>
      <c r="V2419" s="11">
        <v>0.21419601595022922</v>
      </c>
      <c r="W2419" s="11">
        <v>0.191853923328019</v>
      </c>
      <c r="X2419" s="11">
        <v>0.11953019418691158</v>
      </c>
      <c r="Y2419" s="11">
        <v>0.07870716438131918</v>
      </c>
      <c r="Z2419" s="11">
        <v>0.13363527912387785</v>
      </c>
    </row>
    <row r="2420" ht="22.5" customHeight="1">
      <c r="Q2420" s="9" t="s">
        <v>2458</v>
      </c>
      <c r="R2420" s="10">
        <v>0.8034941137862179</v>
      </c>
      <c r="S2420" s="10">
        <v>0.03672855991235342</v>
      </c>
      <c r="T2420" s="10">
        <v>20.78747752724771</v>
      </c>
      <c r="U2420" s="11">
        <v>0.09202159986110231</v>
      </c>
      <c r="V2420" s="11">
        <v>0.28049340747053086</v>
      </c>
      <c r="W2420" s="11">
        <v>0.1974393626087655</v>
      </c>
      <c r="X2420" s="11">
        <v>0.21319489113593937</v>
      </c>
      <c r="Y2420" s="11">
        <v>0.21418073223577866</v>
      </c>
      <c r="Z2420" s="11">
        <v>0.0026700066878831887</v>
      </c>
    </row>
    <row r="2421" ht="22.5" customHeight="1">
      <c r="Q2421" s="9" t="s">
        <v>2459</v>
      </c>
      <c r="R2421" s="10">
        <v>0.8042766096689292</v>
      </c>
      <c r="S2421" s="10">
        <v>0.03676664324621941</v>
      </c>
      <c r="T2421" s="10">
        <v>20.787228373031233</v>
      </c>
      <c r="U2421" s="11">
        <v>0.08545290539611769</v>
      </c>
      <c r="V2421" s="11">
        <v>0.2561147040236038</v>
      </c>
      <c r="W2421" s="11">
        <v>0.23127533541339462</v>
      </c>
      <c r="X2421" s="11">
        <v>0.25311170600212035</v>
      </c>
      <c r="Y2421" s="11">
        <v>0.04141537547310108</v>
      </c>
      <c r="Z2421" s="11">
        <v>0.13262997369166254</v>
      </c>
    </row>
    <row r="2422" ht="22.5" customHeight="1">
      <c r="Q2422" s="9" t="s">
        <v>2460</v>
      </c>
      <c r="R2422" s="10">
        <v>0.38037170975164564</v>
      </c>
      <c r="S2422" s="10">
        <v>0.01637429816744683</v>
      </c>
      <c r="T2422" s="10">
        <v>20.786949539512282</v>
      </c>
      <c r="U2422" s="11">
        <v>0.07803587120405307</v>
      </c>
      <c r="V2422" s="11">
        <v>0.13217439617753113</v>
      </c>
      <c r="W2422" s="11">
        <v>0.05593844832189604</v>
      </c>
      <c r="X2422" s="11">
        <v>0.17111085252555708</v>
      </c>
      <c r="Y2422" s="11">
        <v>0.10459611507830098</v>
      </c>
      <c r="Z2422" s="11">
        <v>0.4581443166926616</v>
      </c>
    </row>
    <row r="2423" ht="22.5" customHeight="1">
      <c r="Q2423" s="9" t="s">
        <v>2461</v>
      </c>
      <c r="R2423" s="10">
        <v>0.7220596312764925</v>
      </c>
      <c r="S2423" s="10">
        <v>0.0328124474533752</v>
      </c>
      <c r="T2423" s="10">
        <v>20.786612527019333</v>
      </c>
      <c r="U2423" s="11">
        <v>0.0673454112706442</v>
      </c>
      <c r="V2423" s="11">
        <v>0.2608433340776421</v>
      </c>
      <c r="W2423" s="11">
        <v>0.16659863967717922</v>
      </c>
      <c r="X2423" s="11">
        <v>0.2745903985606482</v>
      </c>
      <c r="Y2423" s="11">
        <v>0.0042605924041874505</v>
      </c>
      <c r="Z2423" s="11">
        <v>0.2263616240096987</v>
      </c>
    </row>
    <row r="2424" ht="22.5" customHeight="1">
      <c r="Q2424" s="9" t="s">
        <v>2462</v>
      </c>
      <c r="R2424" s="10">
        <v>0.6687924243064265</v>
      </c>
      <c r="S2424" s="10">
        <v>0.030250101464427272</v>
      </c>
      <c r="T2424" s="10">
        <v>20.786456701504207</v>
      </c>
      <c r="U2424" s="11">
        <v>0.16314694702970603</v>
      </c>
      <c r="V2424" s="11">
        <v>0.18819198620895392</v>
      </c>
      <c r="W2424" s="11">
        <v>0.20760431741842691</v>
      </c>
      <c r="X2424" s="11">
        <v>0.1657770743248755</v>
      </c>
      <c r="Y2424" s="11">
        <v>0.07756253636383649</v>
      </c>
      <c r="Z2424" s="11">
        <v>0.19771713865420115</v>
      </c>
    </row>
    <row r="2425" ht="22.5" customHeight="1">
      <c r="Q2425" s="9" t="s">
        <v>2463</v>
      </c>
      <c r="R2425" s="10">
        <v>0.6368646451895135</v>
      </c>
      <c r="S2425" s="10">
        <v>0.028714225723307472</v>
      </c>
      <c r="T2425" s="10">
        <v>20.786374354682167</v>
      </c>
      <c r="U2425" s="11">
        <v>0.03078016727178417</v>
      </c>
      <c r="V2425" s="11">
        <v>0.2377875705924249</v>
      </c>
      <c r="W2425" s="11">
        <v>0.10575927501209129</v>
      </c>
      <c r="X2425" s="11">
        <v>0.2793974235143791</v>
      </c>
      <c r="Y2425" s="11">
        <v>0.3272119714789069</v>
      </c>
      <c r="Z2425" s="11">
        <v>0.019063592130413635</v>
      </c>
    </row>
    <row r="2426" ht="22.5" customHeight="1">
      <c r="Q2426" s="9" t="s">
        <v>2464</v>
      </c>
      <c r="R2426" s="10">
        <v>0.7433512439234495</v>
      </c>
      <c r="S2426" s="10">
        <v>0.03383766511105022</v>
      </c>
      <c r="T2426" s="10">
        <v>20.786045420544077</v>
      </c>
      <c r="U2426" s="11">
        <v>0.0013676855255430795</v>
      </c>
      <c r="V2426" s="11">
        <v>0.19898172000572795</v>
      </c>
      <c r="W2426" s="11">
        <v>0.23798528774965066</v>
      </c>
      <c r="X2426" s="11">
        <v>0.2494702875739216</v>
      </c>
      <c r="Y2426" s="11">
        <v>0.2251266607896288</v>
      </c>
      <c r="Z2426" s="11">
        <v>0.08706835835552798</v>
      </c>
    </row>
    <row r="2427" ht="22.5" customHeight="1">
      <c r="Q2427" s="9" t="s">
        <v>2465</v>
      </c>
      <c r="R2427" s="10">
        <v>0.6719201519010484</v>
      </c>
      <c r="S2427" s="10">
        <v>0.030401491346345046</v>
      </c>
      <c r="T2427" s="10">
        <v>20.78582740241194</v>
      </c>
      <c r="U2427" s="11">
        <v>0.2147079741126149</v>
      </c>
      <c r="V2427" s="11">
        <v>0.1820433144008188</v>
      </c>
      <c r="W2427" s="11">
        <v>0.21202213455028543</v>
      </c>
      <c r="X2427" s="11">
        <v>0.15405637352282184</v>
      </c>
      <c r="Y2427" s="11">
        <v>0.11995912513657368</v>
      </c>
      <c r="Z2427" s="11">
        <v>0.11721107827688537</v>
      </c>
    </row>
    <row r="2428" ht="22.5" customHeight="1">
      <c r="Q2428" s="9" t="s">
        <v>2466</v>
      </c>
      <c r="R2428" s="10">
        <v>0.602377510045036</v>
      </c>
      <c r="S2428" s="10">
        <v>0.027056120921151044</v>
      </c>
      <c r="T2428" s="10">
        <v>20.78559271981221</v>
      </c>
      <c r="U2428" s="11">
        <v>0.18340836850445041</v>
      </c>
      <c r="V2428" s="11">
        <v>0.14610268946951022</v>
      </c>
      <c r="W2428" s="11">
        <v>0.19865427682259984</v>
      </c>
      <c r="X2428" s="11">
        <v>0.19149415676588835</v>
      </c>
      <c r="Y2428" s="11">
        <v>0.07321085353922502</v>
      </c>
      <c r="Z2428" s="11">
        <v>0.2071296548983263</v>
      </c>
    </row>
    <row r="2429" ht="22.5" customHeight="1">
      <c r="Q2429" s="9" t="s">
        <v>2467</v>
      </c>
      <c r="R2429" s="10">
        <v>0.5244458401028304</v>
      </c>
      <c r="S2429" s="10">
        <v>0.02330696198044856</v>
      </c>
      <c r="T2429" s="10">
        <v>20.785456315980433</v>
      </c>
      <c r="U2429" s="11">
        <v>0.3467502554928045</v>
      </c>
      <c r="V2429" s="11">
        <v>0.19124157819199464</v>
      </c>
      <c r="W2429" s="11">
        <v>0.09139696517645188</v>
      </c>
      <c r="X2429" s="11">
        <v>0.1746922890219038</v>
      </c>
      <c r="Y2429" s="11">
        <v>0.016591793794834806</v>
      </c>
      <c r="Z2429" s="11">
        <v>0.1793271183220104</v>
      </c>
    </row>
    <row r="2430" ht="22.5" customHeight="1">
      <c r="Q2430" s="9" t="s">
        <v>2468</v>
      </c>
      <c r="R2430" s="10">
        <v>0.41091699742436877</v>
      </c>
      <c r="S2430" s="10">
        <v>0.017846195066776503</v>
      </c>
      <c r="T2430" s="10">
        <v>20.784094090447834</v>
      </c>
      <c r="U2430" s="11">
        <v>0.23683732919264613</v>
      </c>
      <c r="V2430" s="11">
        <v>0.1465520863483238</v>
      </c>
      <c r="W2430" s="11">
        <v>0.040541325631626886</v>
      </c>
      <c r="X2430" s="11">
        <v>0.22407132773722588</v>
      </c>
      <c r="Y2430" s="11">
        <v>0.201415630461402</v>
      </c>
      <c r="Z2430" s="11">
        <v>0.15058230062877528</v>
      </c>
    </row>
    <row r="2431" ht="22.5" customHeight="1">
      <c r="Q2431" s="9" t="s">
        <v>2469</v>
      </c>
      <c r="R2431" s="10">
        <v>0.6481309081700417</v>
      </c>
      <c r="S2431" s="10">
        <v>0.029259471258091155</v>
      </c>
      <c r="T2431" s="10">
        <v>20.784070320541918</v>
      </c>
      <c r="U2431" s="11">
        <v>0.2699520757107181</v>
      </c>
      <c r="V2431" s="11">
        <v>0.22483205862269862</v>
      </c>
      <c r="W2431" s="11">
        <v>0.15159468488317235</v>
      </c>
      <c r="X2431" s="11">
        <v>0.10520454185915641</v>
      </c>
      <c r="Y2431" s="11">
        <v>0.14075671511502807</v>
      </c>
      <c r="Z2431" s="11">
        <v>0.10765992380922637</v>
      </c>
    </row>
    <row r="2432" ht="22.5" customHeight="1">
      <c r="Q2432" s="9" t="s">
        <v>2470</v>
      </c>
      <c r="R2432" s="10">
        <v>0.7420716678752971</v>
      </c>
      <c r="S2432" s="10">
        <v>0.03377939386121969</v>
      </c>
      <c r="T2432" s="10">
        <v>20.784022080434898</v>
      </c>
      <c r="U2432" s="11">
        <v>0.1664994012495559</v>
      </c>
      <c r="V2432" s="11">
        <v>0.22017259592992183</v>
      </c>
      <c r="W2432" s="11">
        <v>0.22152673017095667</v>
      </c>
      <c r="X2432" s="11">
        <v>0.15168160684163334</v>
      </c>
      <c r="Y2432" s="11">
        <v>0.18921751342164247</v>
      </c>
      <c r="Z2432" s="11">
        <v>0.050902152386289756</v>
      </c>
    </row>
    <row r="2433" ht="22.5" customHeight="1">
      <c r="Q2433" s="9" t="s">
        <v>2471</v>
      </c>
      <c r="R2433" s="10">
        <v>0.2680926804629729</v>
      </c>
      <c r="S2433" s="10">
        <v>0.010974477117844461</v>
      </c>
      <c r="T2433" s="10">
        <v>20.783922369485378</v>
      </c>
      <c r="U2433" s="11">
        <v>0.24917226348740873</v>
      </c>
      <c r="V2433" s="11">
        <v>0.051953901548931175</v>
      </c>
      <c r="W2433" s="11">
        <v>0.026799082229591133</v>
      </c>
      <c r="X2433" s="11">
        <v>0.24806508867705782</v>
      </c>
      <c r="Y2433" s="11">
        <v>0.2558048529415863</v>
      </c>
      <c r="Z2433" s="11">
        <v>0.16820481111542476</v>
      </c>
    </row>
    <row r="2434" ht="22.5" customHeight="1">
      <c r="Q2434" s="9" t="s">
        <v>2472</v>
      </c>
      <c r="R2434" s="10">
        <v>0.6197852066965902</v>
      </c>
      <c r="S2434" s="10">
        <v>0.027896613700133226</v>
      </c>
      <c r="T2434" s="10">
        <v>20.78335431421274</v>
      </c>
      <c r="U2434" s="11">
        <v>0.2428529144748059</v>
      </c>
      <c r="V2434" s="11">
        <v>0.19250897723221758</v>
      </c>
      <c r="W2434" s="11">
        <v>0.17186663041747935</v>
      </c>
      <c r="X2434" s="11">
        <v>0.09135113137822119</v>
      </c>
      <c r="Y2434" s="11">
        <v>0.0875862259341857</v>
      </c>
      <c r="Z2434" s="11">
        <v>0.21383412056309034</v>
      </c>
    </row>
    <row r="2435" ht="22.5" customHeight="1">
      <c r="Q2435" s="9" t="s">
        <v>2473</v>
      </c>
      <c r="R2435" s="10">
        <v>0.7577351974404928</v>
      </c>
      <c r="S2435" s="10">
        <v>0.03453461150723536</v>
      </c>
      <c r="T2435" s="10">
        <v>20.783068525039578</v>
      </c>
      <c r="U2435" s="11">
        <v>0.043175304889037786</v>
      </c>
      <c r="V2435" s="11">
        <v>0.2250216689492491</v>
      </c>
      <c r="W2435" s="11">
        <v>0.2311305131253882</v>
      </c>
      <c r="X2435" s="11">
        <v>0.2751648423014606</v>
      </c>
      <c r="Y2435" s="11">
        <v>0.012156389234876075</v>
      </c>
      <c r="Z2435" s="11">
        <v>0.2133512814999883</v>
      </c>
    </row>
    <row r="2436" ht="22.5" customHeight="1">
      <c r="Q2436" s="9" t="s">
        <v>2474</v>
      </c>
      <c r="R2436" s="10">
        <v>0.7550013490713684</v>
      </c>
      <c r="S2436" s="10">
        <v>0.034403529609247044</v>
      </c>
      <c r="T2436" s="10">
        <v>20.78279052156291</v>
      </c>
      <c r="U2436" s="11">
        <v>0.014050229411358542</v>
      </c>
      <c r="V2436" s="11">
        <v>0.2794058664659719</v>
      </c>
      <c r="W2436" s="11">
        <v>0.16322906427604536</v>
      </c>
      <c r="X2436" s="11">
        <v>0.34922259282268053</v>
      </c>
      <c r="Y2436" s="11">
        <v>0.01878551421167336</v>
      </c>
      <c r="Z2436" s="11">
        <v>0.17530673281227038</v>
      </c>
    </row>
    <row r="2437" ht="22.5" customHeight="1">
      <c r="Q2437" s="9" t="s">
        <v>2475</v>
      </c>
      <c r="R2437" s="10">
        <v>0.5785879755002745</v>
      </c>
      <c r="S2437" s="10">
        <v>0.025916341721747067</v>
      </c>
      <c r="T2437" s="10">
        <v>20.781790164787473</v>
      </c>
      <c r="U2437" s="11">
        <v>0.16235040630700473</v>
      </c>
      <c r="V2437" s="11">
        <v>0.13209490532377519</v>
      </c>
      <c r="W2437" s="11">
        <v>0.19104497439646873</v>
      </c>
      <c r="X2437" s="11">
        <v>0.1668065076964427</v>
      </c>
      <c r="Y2437" s="11">
        <v>0.1993909939429754</v>
      </c>
      <c r="Z2437" s="11">
        <v>0.14831221233333333</v>
      </c>
    </row>
    <row r="2438" ht="22.5" customHeight="1">
      <c r="Q2438" s="9" t="s">
        <v>2476</v>
      </c>
      <c r="R2438" s="10">
        <v>0.5373290371925105</v>
      </c>
      <c r="S2438" s="10">
        <v>0.02393150520492057</v>
      </c>
      <c r="T2438" s="10">
        <v>20.78135215206833</v>
      </c>
      <c r="U2438" s="11">
        <v>0.12080230896137409</v>
      </c>
      <c r="V2438" s="11">
        <v>0.10886263689310031</v>
      </c>
      <c r="W2438" s="11">
        <v>0.18328123165425877</v>
      </c>
      <c r="X2438" s="11">
        <v>0.2362806015008585</v>
      </c>
      <c r="Y2438" s="11">
        <v>0.1275023876008329</v>
      </c>
      <c r="Z2438" s="11">
        <v>0.22327083338957548</v>
      </c>
    </row>
    <row r="2439" ht="22.5" customHeight="1">
      <c r="Q2439" s="9" t="s">
        <v>2477</v>
      </c>
      <c r="R2439" s="10">
        <v>0.7404250983260913</v>
      </c>
      <c r="S2439" s="10">
        <v>0.033704674553795014</v>
      </c>
      <c r="T2439" s="10">
        <v>20.781244963756105</v>
      </c>
      <c r="U2439" s="11">
        <v>0.024039533771388632</v>
      </c>
      <c r="V2439" s="11">
        <v>0.2400178032401975</v>
      </c>
      <c r="W2439" s="11">
        <v>0.2068227872916218</v>
      </c>
      <c r="X2439" s="11">
        <v>0.22082794739543635</v>
      </c>
      <c r="Y2439" s="11">
        <v>0.06847092614906085</v>
      </c>
      <c r="Z2439" s="11">
        <v>0.23982100215229502</v>
      </c>
    </row>
    <row r="2440" ht="22.5" customHeight="1">
      <c r="Q2440" s="9" t="s">
        <v>2478</v>
      </c>
      <c r="R2440" s="10">
        <v>0.7497998718360747</v>
      </c>
      <c r="S2440" s="10">
        <v>0.03415593573437927</v>
      </c>
      <c r="T2440" s="10">
        <v>20.78115725934083</v>
      </c>
      <c r="U2440" s="11">
        <v>0.04806924400750214</v>
      </c>
      <c r="V2440" s="11">
        <v>0.230866701421148</v>
      </c>
      <c r="W2440" s="11">
        <v>0.21664875652928636</v>
      </c>
      <c r="X2440" s="11">
        <v>0.16917304053147303</v>
      </c>
      <c r="Y2440" s="11">
        <v>0.23623060210609428</v>
      </c>
      <c r="Z2440" s="11">
        <v>0.09901165540449619</v>
      </c>
    </row>
    <row r="2441" ht="22.5" customHeight="1">
      <c r="Q2441" s="9" t="s">
        <v>2479</v>
      </c>
      <c r="R2441" s="10">
        <v>0.520897301810586</v>
      </c>
      <c r="S2441" s="10">
        <v>0.023141309479894935</v>
      </c>
      <c r="T2441" s="10">
        <v>20.780902750053425</v>
      </c>
      <c r="U2441" s="11">
        <v>0.1089680359561617</v>
      </c>
      <c r="V2441" s="11">
        <v>0.18860600592604276</v>
      </c>
      <c r="W2441" s="11">
        <v>0.09464832623209013</v>
      </c>
      <c r="X2441" s="11">
        <v>0.12712036359373946</v>
      </c>
      <c r="Y2441" s="11">
        <v>0.23764310240827724</v>
      </c>
      <c r="Z2441" s="11">
        <v>0.24301416588368868</v>
      </c>
    </row>
    <row r="2442" ht="22.5" customHeight="1">
      <c r="Q2442" s="9" t="s">
        <v>2480</v>
      </c>
      <c r="R2442" s="10">
        <v>0.5747578684680444</v>
      </c>
      <c r="S2442" s="10">
        <v>0.02573333515521032</v>
      </c>
      <c r="T2442" s="10">
        <v>20.78074471274937</v>
      </c>
      <c r="U2442" s="11">
        <v>0.2256883540862601</v>
      </c>
      <c r="V2442" s="11">
        <v>0.2060090187017788</v>
      </c>
      <c r="W2442" s="11">
        <v>0.12028843465984941</v>
      </c>
      <c r="X2442" s="11">
        <v>0.11649258665535582</v>
      </c>
      <c r="Y2442" s="11">
        <v>0.11244926200339322</v>
      </c>
      <c r="Z2442" s="11">
        <v>0.21907234389336278</v>
      </c>
    </row>
    <row r="2443" ht="22.5" customHeight="1">
      <c r="Q2443" s="9" t="s">
        <v>2481</v>
      </c>
      <c r="R2443" s="10">
        <v>0.48486362896957474</v>
      </c>
      <c r="S2443" s="10">
        <v>0.021407670571919942</v>
      </c>
      <c r="T2443" s="10">
        <v>20.780571500062898</v>
      </c>
      <c r="U2443" s="11">
        <v>0.25838713309424555</v>
      </c>
      <c r="V2443" s="11">
        <v>0.17788444226614844</v>
      </c>
      <c r="W2443" s="11">
        <v>0.07450916883999913</v>
      </c>
      <c r="X2443" s="11">
        <v>0.15128359479627337</v>
      </c>
      <c r="Y2443" s="11">
        <v>0.14895165568712612</v>
      </c>
      <c r="Z2443" s="11">
        <v>0.18898400531620738</v>
      </c>
    </row>
    <row r="2444" ht="22.5" customHeight="1">
      <c r="Q2444" s="9" t="s">
        <v>2482</v>
      </c>
      <c r="R2444" s="10">
        <v>0.6285238198027696</v>
      </c>
      <c r="S2444" s="10">
        <v>0.02832146439074314</v>
      </c>
      <c r="T2444" s="10">
        <v>20.780133812400194</v>
      </c>
      <c r="U2444" s="11">
        <v>0.22417810805184507</v>
      </c>
      <c r="V2444" s="11">
        <v>0.21929370589792135</v>
      </c>
      <c r="W2444" s="11">
        <v>0.14235302424988233</v>
      </c>
      <c r="X2444" s="11">
        <v>0.09715084322908808</v>
      </c>
      <c r="Y2444" s="11">
        <v>0.1978532623016309</v>
      </c>
      <c r="Z2444" s="11">
        <v>0.1191710562696324</v>
      </c>
    </row>
    <row r="2445" ht="22.5" customHeight="1">
      <c r="Q2445" s="9" t="s">
        <v>2483</v>
      </c>
      <c r="R2445" s="10">
        <v>0.66922463548289</v>
      </c>
      <c r="S2445" s="10">
        <v>0.030280789602782684</v>
      </c>
      <c r="T2445" s="10">
        <v>20.779664062163913</v>
      </c>
      <c r="U2445" s="11">
        <v>0.08598189685918695</v>
      </c>
      <c r="V2445" s="11">
        <v>0.15202264745677851</v>
      </c>
      <c r="W2445" s="11">
        <v>0.2233348735321442</v>
      </c>
      <c r="X2445" s="11">
        <v>0.2511133156949217</v>
      </c>
      <c r="Y2445" s="11">
        <v>0.2870678144267776</v>
      </c>
      <c r="Z2445" s="11">
        <v>4.7945203019103625E-4</v>
      </c>
    </row>
    <row r="2446" ht="22.5" customHeight="1">
      <c r="Q2446" s="9" t="s">
        <v>2484</v>
      </c>
      <c r="R2446" s="10">
        <v>0.4927619037502635</v>
      </c>
      <c r="S2446" s="10">
        <v>0.021788876270773444</v>
      </c>
      <c r="T2446" s="10">
        <v>20.77949767228596</v>
      </c>
      <c r="U2446" s="11">
        <v>0.14809380606406009</v>
      </c>
      <c r="V2446" s="11">
        <v>0.08984251874417963</v>
      </c>
      <c r="W2446" s="11">
        <v>0.16614790852534222</v>
      </c>
      <c r="X2446" s="11">
        <v>0.21477419200900544</v>
      </c>
      <c r="Y2446" s="11">
        <v>0.20494006814641724</v>
      </c>
      <c r="Z2446" s="11">
        <v>0.17620150651099536</v>
      </c>
    </row>
    <row r="2447" ht="22.5" customHeight="1">
      <c r="Q2447" s="9" t="s">
        <v>2485</v>
      </c>
      <c r="R2447" s="10">
        <v>0.5389539770083394</v>
      </c>
      <c r="S2447" s="10">
        <v>0.024012380243185756</v>
      </c>
      <c r="T2447" s="10">
        <v>20.779030314994813</v>
      </c>
      <c r="U2447" s="11">
        <v>0.18460678638306882</v>
      </c>
      <c r="V2447" s="11">
        <v>0.19733627650757918</v>
      </c>
      <c r="W2447" s="11">
        <v>0.09874007803144903</v>
      </c>
      <c r="X2447" s="11">
        <v>0.13095109622259518</v>
      </c>
      <c r="Y2447" s="11">
        <v>0.1750712218581591</v>
      </c>
      <c r="Z2447" s="11">
        <v>0.2132945409971487</v>
      </c>
    </row>
    <row r="2448" ht="22.5" customHeight="1">
      <c r="Q2448" s="9" t="s">
        <v>2486</v>
      </c>
      <c r="R2448" s="10">
        <v>0.6126577034279013</v>
      </c>
      <c r="S2448" s="10">
        <v>0.0275594178654407</v>
      </c>
      <c r="T2448" s="10">
        <v>20.779020305287712</v>
      </c>
      <c r="U2448" s="11">
        <v>0.13499084264451328</v>
      </c>
      <c r="V2448" s="11">
        <v>0.22348433346653232</v>
      </c>
      <c r="W2448" s="11">
        <v>0.1233146653754865</v>
      </c>
      <c r="X2448" s="11">
        <v>0.1452036242017079</v>
      </c>
      <c r="Y2448" s="11">
        <v>0.21668506065295257</v>
      </c>
      <c r="Z2448" s="11">
        <v>0.15632147365880728</v>
      </c>
    </row>
    <row r="2449" ht="22.5" customHeight="1">
      <c r="Q2449" s="9" t="s">
        <v>2487</v>
      </c>
      <c r="R2449" s="10">
        <v>0.5927485761868705</v>
      </c>
      <c r="S2449" s="10">
        <v>0.026602270302972856</v>
      </c>
      <c r="T2449" s="10">
        <v>20.778248243162153</v>
      </c>
      <c r="U2449" s="11">
        <v>0.22789743075115046</v>
      </c>
      <c r="V2449" s="11">
        <v>0.12641696312023432</v>
      </c>
      <c r="W2449" s="11">
        <v>0.20113743670973955</v>
      </c>
      <c r="X2449" s="11">
        <v>0.21142876297747604</v>
      </c>
      <c r="Y2449" s="11">
        <v>0.1552480201626433</v>
      </c>
      <c r="Z2449" s="11">
        <v>0.07787138627875642</v>
      </c>
    </row>
    <row r="2450" ht="22.5" customHeight="1">
      <c r="Q2450" s="9" t="s">
        <v>2488</v>
      </c>
      <c r="R2450" s="10">
        <v>0.6951754287876122</v>
      </c>
      <c r="S2450" s="10">
        <v>0.03153189169647096</v>
      </c>
      <c r="T2450" s="10">
        <v>20.778183405372385</v>
      </c>
      <c r="U2450" s="11">
        <v>0.03267605184814518</v>
      </c>
      <c r="V2450" s="11">
        <v>0.21748550471937944</v>
      </c>
      <c r="W2450" s="11">
        <v>0.19842840639921605</v>
      </c>
      <c r="X2450" s="11">
        <v>0.16061066303689542</v>
      </c>
      <c r="Y2450" s="11">
        <v>0.15456704246148084</v>
      </c>
      <c r="Z2450" s="11">
        <v>0.2362323315348831</v>
      </c>
    </row>
    <row r="2451" ht="22.5" customHeight="1">
      <c r="Q2451" s="9" t="s">
        <v>2489</v>
      </c>
      <c r="R2451" s="10">
        <v>0.39631858919102614</v>
      </c>
      <c r="S2451" s="10">
        <v>0.017148702747336864</v>
      </c>
      <c r="T2451" s="10">
        <v>20.7781658146918</v>
      </c>
      <c r="U2451" s="11">
        <v>0.2931395073613456</v>
      </c>
      <c r="V2451" s="11">
        <v>0.1307673484744242</v>
      </c>
      <c r="W2451" s="11">
        <v>0.0442909963252524</v>
      </c>
      <c r="X2451" s="11">
        <v>0.1725973594681747</v>
      </c>
      <c r="Y2451" s="11">
        <v>0.281858157221788</v>
      </c>
      <c r="Z2451" s="11">
        <v>0.07734663114901526</v>
      </c>
    </row>
    <row r="2452" ht="22.5" customHeight="1">
      <c r="Q2452" s="9" t="s">
        <v>2490</v>
      </c>
      <c r="R2452" s="10">
        <v>0.47002766523266176</v>
      </c>
      <c r="S2452" s="10">
        <v>0.02069623010240427</v>
      </c>
      <c r="T2452" s="10">
        <v>20.77806745986583</v>
      </c>
      <c r="U2452" s="11">
        <v>0.3133316363103656</v>
      </c>
      <c r="V2452" s="11">
        <v>0.17445041471298403</v>
      </c>
      <c r="W2452" s="11">
        <v>0.05631925396938185</v>
      </c>
      <c r="X2452" s="11">
        <v>0.28186166562475545</v>
      </c>
      <c r="Y2452" s="11">
        <v>0.01819863092146215</v>
      </c>
      <c r="Z2452" s="11">
        <v>0.15583839846105102</v>
      </c>
    </row>
    <row r="2453" ht="22.5" customHeight="1">
      <c r="Q2453" s="9" t="s">
        <v>2491</v>
      </c>
      <c r="R2453" s="10">
        <v>0.7935934952211582</v>
      </c>
      <c r="S2453" s="10">
        <v>0.03626994100121678</v>
      </c>
      <c r="T2453" s="10">
        <v>20.777356522192214</v>
      </c>
      <c r="U2453" s="11">
        <v>0.10904758410117077</v>
      </c>
      <c r="V2453" s="11">
        <v>0.2768503327333631</v>
      </c>
      <c r="W2453" s="11">
        <v>0.1999313895764971</v>
      </c>
      <c r="X2453" s="11">
        <v>0.23002355839886374</v>
      </c>
      <c r="Y2453" s="11">
        <v>0.08942711611364577</v>
      </c>
      <c r="Z2453" s="11">
        <v>0.09472001907645947</v>
      </c>
    </row>
    <row r="2454" ht="22.5" customHeight="1">
      <c r="Q2454" s="9" t="s">
        <v>2492</v>
      </c>
      <c r="R2454" s="10">
        <v>0.5818386926370845</v>
      </c>
      <c r="S2454" s="10">
        <v>0.026078498933171376</v>
      </c>
      <c r="T2454" s="10">
        <v>20.777219349380402</v>
      </c>
      <c r="U2454" s="11">
        <v>0.07739338438515928</v>
      </c>
      <c r="V2454" s="11">
        <v>0.13040208313627402</v>
      </c>
      <c r="W2454" s="11">
        <v>0.19443157456330348</v>
      </c>
      <c r="X2454" s="11">
        <v>0.20603130454981547</v>
      </c>
      <c r="Y2454" s="11">
        <v>0.20154648468645406</v>
      </c>
      <c r="Z2454" s="11">
        <v>0.19019516867899358</v>
      </c>
    </row>
    <row r="2455" ht="22.5" customHeight="1">
      <c r="Q2455" s="9" t="s">
        <v>2493</v>
      </c>
      <c r="R2455" s="10">
        <v>0.6792554880297944</v>
      </c>
      <c r="S2455" s="10">
        <v>0.03076745598361923</v>
      </c>
      <c r="T2455" s="10">
        <v>20.77700178949269</v>
      </c>
      <c r="U2455" s="11">
        <v>0.2535849278075022</v>
      </c>
      <c r="V2455" s="11">
        <v>0.23305256842619143</v>
      </c>
      <c r="W2455" s="11">
        <v>0.15926136354335615</v>
      </c>
      <c r="X2455" s="11">
        <v>0.10222785211097728</v>
      </c>
      <c r="Y2455" s="11">
        <v>0.2488296309477722</v>
      </c>
      <c r="Z2455" s="11">
        <v>0.003043657164200809</v>
      </c>
    </row>
    <row r="2456" ht="22.5" customHeight="1">
      <c r="Q2456" s="9" t="s">
        <v>2494</v>
      </c>
      <c r="R2456" s="10">
        <v>0.6262899697082365</v>
      </c>
      <c r="S2456" s="10">
        <v>0.028218402948243106</v>
      </c>
      <c r="T2456" s="10">
        <v>20.77686574904974</v>
      </c>
      <c r="U2456" s="11">
        <v>0.1502927464027929</v>
      </c>
      <c r="V2456" s="11">
        <v>0.15223485536059964</v>
      </c>
      <c r="W2456" s="11">
        <v>0.2045001108572687</v>
      </c>
      <c r="X2456" s="11">
        <v>0.16666330418381792</v>
      </c>
      <c r="Y2456" s="11">
        <v>0.21588724696581038</v>
      </c>
      <c r="Z2456" s="11">
        <v>0.11042173622971042</v>
      </c>
    </row>
    <row r="2457" ht="22.5" customHeight="1">
      <c r="Q2457" s="9" t="s">
        <v>2495</v>
      </c>
      <c r="R2457" s="10">
        <v>0.6132436794418994</v>
      </c>
      <c r="S2457" s="10">
        <v>0.02759095817754835</v>
      </c>
      <c r="T2457" s="10">
        <v>20.77650496054052</v>
      </c>
      <c r="U2457" s="11">
        <v>0.14570382412472901</v>
      </c>
      <c r="V2457" s="11">
        <v>0.167280368620235</v>
      </c>
      <c r="W2457" s="11">
        <v>0.18289865608600023</v>
      </c>
      <c r="X2457" s="11">
        <v>0.09341082569017797</v>
      </c>
      <c r="Y2457" s="11">
        <v>0.30115616308658594</v>
      </c>
      <c r="Z2457" s="11">
        <v>0.10955016239227192</v>
      </c>
    </row>
    <row r="2458" ht="22.5" customHeight="1">
      <c r="Q2458" s="9" t="s">
        <v>2496</v>
      </c>
      <c r="R2458" s="10">
        <v>0.5269358121609524</v>
      </c>
      <c r="S2458" s="10">
        <v>0.02343696355210813</v>
      </c>
      <c r="T2458" s="10">
        <v>20.776403525069828</v>
      </c>
      <c r="U2458" s="11">
        <v>0.16751229347839738</v>
      </c>
      <c r="V2458" s="11">
        <v>0.1984853560065131</v>
      </c>
      <c r="W2458" s="11">
        <v>0.0865778569101964</v>
      </c>
      <c r="X2458" s="11">
        <v>0.19836653257438203</v>
      </c>
      <c r="Y2458" s="11">
        <v>0.09342850176180881</v>
      </c>
      <c r="Z2458" s="11">
        <v>0.2556294592687021</v>
      </c>
    </row>
    <row r="2459" ht="22.5" customHeight="1">
      <c r="Q2459" s="9" t="s">
        <v>2497</v>
      </c>
      <c r="R2459" s="10">
        <v>0.6751418550887612</v>
      </c>
      <c r="S2459" s="10">
        <v>0.030570876390560327</v>
      </c>
      <c r="T2459" s="10">
        <v>20.776043413818527</v>
      </c>
      <c r="U2459" s="11">
        <v>0.18595701707716603</v>
      </c>
      <c r="V2459" s="11">
        <v>0.1872734916797442</v>
      </c>
      <c r="W2459" s="11">
        <v>0.21175942023522207</v>
      </c>
      <c r="X2459" s="11">
        <v>0.16705644309599801</v>
      </c>
      <c r="Y2459" s="11">
        <v>0.07857503849881847</v>
      </c>
      <c r="Z2459" s="11">
        <v>0.16937858941305128</v>
      </c>
    </row>
    <row r="2460" ht="22.5" customHeight="1">
      <c r="Q2460" s="9" t="s">
        <v>2498</v>
      </c>
      <c r="R2460" s="10">
        <v>0.5358148416278448</v>
      </c>
      <c r="S2460" s="10">
        <v>0.02386528716480402</v>
      </c>
      <c r="T2460" s="10">
        <v>20.775565707797607</v>
      </c>
      <c r="U2460" s="11">
        <v>0.19529315224374225</v>
      </c>
      <c r="V2460" s="11">
        <v>0.112905074596517</v>
      </c>
      <c r="W2460" s="11">
        <v>0.17530252766848767</v>
      </c>
      <c r="X2460" s="11">
        <v>0.15477049941451146</v>
      </c>
      <c r="Y2460" s="11">
        <v>0.25682277863305236</v>
      </c>
      <c r="Z2460" s="11">
        <v>0.10490596744368927</v>
      </c>
    </row>
    <row r="2461" ht="22.5" customHeight="1">
      <c r="Q2461" s="9" t="s">
        <v>2499</v>
      </c>
      <c r="R2461" s="10">
        <v>0.5834736789866254</v>
      </c>
      <c r="S2461" s="10">
        <v>0.026159609206297257</v>
      </c>
      <c r="T2461" s="10">
        <v>20.775298082656295</v>
      </c>
      <c r="U2461" s="11">
        <v>0.17645868844456133</v>
      </c>
      <c r="V2461" s="11">
        <v>0.13681719502818232</v>
      </c>
      <c r="W2461" s="11">
        <v>0.19418219013121363</v>
      </c>
      <c r="X2461" s="11">
        <v>0.1989085805489297</v>
      </c>
      <c r="Y2461" s="11">
        <v>0.06889659029965749</v>
      </c>
      <c r="Z2461" s="11">
        <v>0.22473675554745542</v>
      </c>
    </row>
    <row r="2462" ht="22.5" customHeight="1">
      <c r="Q2462" s="9" t="s">
        <v>2500</v>
      </c>
      <c r="R2462" s="10">
        <v>0.6507766613342616</v>
      </c>
      <c r="S2462" s="10">
        <v>0.029400997427002626</v>
      </c>
      <c r="T2462" s="10">
        <v>20.77401159095741</v>
      </c>
      <c r="U2462" s="11">
        <v>0.13720618657488298</v>
      </c>
      <c r="V2462" s="11">
        <v>0.23478764573721095</v>
      </c>
      <c r="W2462" s="11">
        <v>0.14358940487195876</v>
      </c>
      <c r="X2462" s="11">
        <v>0.1514389338856693</v>
      </c>
      <c r="Y2462" s="11">
        <v>0.14809685341733875</v>
      </c>
      <c r="Z2462" s="11">
        <v>0.18488097551293922</v>
      </c>
    </row>
    <row r="2463" ht="22.5" customHeight="1">
      <c r="Q2463" s="9" t="s">
        <v>2501</v>
      </c>
      <c r="R2463" s="10">
        <v>0.4439552516918388</v>
      </c>
      <c r="S2463" s="10">
        <v>0.01944553042059155</v>
      </c>
      <c r="T2463" s="10">
        <v>20.773681301286413</v>
      </c>
      <c r="U2463" s="11">
        <v>0.20720230167774945</v>
      </c>
      <c r="V2463" s="11">
        <v>0.10072647513185268</v>
      </c>
      <c r="W2463" s="11">
        <v>0.12595034807826408</v>
      </c>
      <c r="X2463" s="11">
        <v>0.07303983654721255</v>
      </c>
      <c r="Y2463" s="11">
        <v>0.32193229221691</v>
      </c>
      <c r="Z2463" s="11">
        <v>0.17114874634801133</v>
      </c>
    </row>
    <row r="2464" ht="22.5" customHeight="1">
      <c r="Q2464" s="9" t="s">
        <v>2502</v>
      </c>
      <c r="R2464" s="10">
        <v>0.6708728399203711</v>
      </c>
      <c r="S2464" s="10">
        <v>0.030369093966342513</v>
      </c>
      <c r="T2464" s="10">
        <v>20.773515358066177</v>
      </c>
      <c r="U2464" s="11">
        <v>0.2549337687137688</v>
      </c>
      <c r="V2464" s="11">
        <v>0.203806676523988</v>
      </c>
      <c r="W2464" s="11">
        <v>0.19043846836291378</v>
      </c>
      <c r="X2464" s="11">
        <v>0.08629216197136981</v>
      </c>
      <c r="Y2464" s="11">
        <v>0.1860749315910498</v>
      </c>
      <c r="Z2464" s="11">
        <v>0.07845399283690982</v>
      </c>
    </row>
    <row r="2465" ht="22.5" customHeight="1">
      <c r="Q2465" s="9" t="s">
        <v>2503</v>
      </c>
      <c r="R2465" s="10">
        <v>0.6088010317008486</v>
      </c>
      <c r="S2465" s="10">
        <v>0.02738133338667727</v>
      </c>
      <c r="T2465" s="10">
        <v>20.773313836411116</v>
      </c>
      <c r="U2465" s="11">
        <v>0.22760170897808768</v>
      </c>
      <c r="V2465" s="11">
        <v>0.18624677386689864</v>
      </c>
      <c r="W2465" s="11">
        <v>0.15979754839672858</v>
      </c>
      <c r="X2465" s="11">
        <v>0.05395124424783555</v>
      </c>
      <c r="Y2465" s="11">
        <v>0.31133169938843686</v>
      </c>
      <c r="Z2465" s="11">
        <v>0.0610710251220127</v>
      </c>
    </row>
    <row r="2466" ht="22.5" customHeight="1">
      <c r="Q2466" s="9" t="s">
        <v>2504</v>
      </c>
      <c r="R2466" s="10">
        <v>0.5390292632169754</v>
      </c>
      <c r="S2466" s="10">
        <v>0.024022958077329456</v>
      </c>
      <c r="T2466" s="10">
        <v>20.773014780719738</v>
      </c>
      <c r="U2466" s="11">
        <v>0.1789161862771808</v>
      </c>
      <c r="V2466" s="11">
        <v>0.18920154076558984</v>
      </c>
      <c r="W2466" s="11">
        <v>0.10938725297381813</v>
      </c>
      <c r="X2466" s="11">
        <v>0.08430222981987166</v>
      </c>
      <c r="Y2466" s="11">
        <v>0.23643016567622646</v>
      </c>
      <c r="Z2466" s="11">
        <v>0.20176262448731302</v>
      </c>
    </row>
    <row r="2467" ht="22.5" customHeight="1">
      <c r="Q2467" s="9" t="s">
        <v>2505</v>
      </c>
      <c r="R2467" s="10">
        <v>0.7112068614551788</v>
      </c>
      <c r="S2467" s="10">
        <v>0.032312238391559917</v>
      </c>
      <c r="T2467" s="10">
        <v>20.772527527232548</v>
      </c>
      <c r="U2467" s="11">
        <v>0.21592271801665164</v>
      </c>
      <c r="V2467" s="11">
        <v>0.2624466972417728</v>
      </c>
      <c r="W2467" s="11">
        <v>0.14926688830010232</v>
      </c>
      <c r="X2467" s="11">
        <v>0.20414334493290712</v>
      </c>
      <c r="Y2467" s="11">
        <v>0.1271708025350352</v>
      </c>
      <c r="Z2467" s="11">
        <v>0.04104954897353089</v>
      </c>
    </row>
    <row r="2468" ht="22.5" customHeight="1">
      <c r="Q2468" s="9" t="s">
        <v>2506</v>
      </c>
      <c r="R2468" s="10">
        <v>0.5253033148830548</v>
      </c>
      <c r="S2468" s="10">
        <v>0.02336284883076272</v>
      </c>
      <c r="T2468" s="10">
        <v>20.772437402584146</v>
      </c>
      <c r="U2468" s="11">
        <v>0.23868454593203572</v>
      </c>
      <c r="V2468" s="11">
        <v>0.13780253766019526</v>
      </c>
      <c r="W2468" s="11">
        <v>0.15490127350484412</v>
      </c>
      <c r="X2468" s="11">
        <v>0.05710129635155137</v>
      </c>
      <c r="Y2468" s="11">
        <v>0.2189181904451183</v>
      </c>
      <c r="Z2468" s="11">
        <v>0.19259215610625513</v>
      </c>
    </row>
    <row r="2469" ht="22.5" customHeight="1">
      <c r="Q2469" s="9" t="s">
        <v>2507</v>
      </c>
      <c r="R2469" s="10">
        <v>0.6952858277664963</v>
      </c>
      <c r="S2469" s="10">
        <v>0.03154651423013503</v>
      </c>
      <c r="T2469" s="10">
        <v>20.772051802177558</v>
      </c>
      <c r="U2469" s="11">
        <v>0.18326805457750428</v>
      </c>
      <c r="V2469" s="11">
        <v>0.21460105600918655</v>
      </c>
      <c r="W2469" s="11">
        <v>0.20200886540142216</v>
      </c>
      <c r="X2469" s="11">
        <v>0.1608411640069284</v>
      </c>
      <c r="Y2469" s="11">
        <v>0.03592273321396244</v>
      </c>
      <c r="Z2469" s="11">
        <v>0.20335812679099613</v>
      </c>
    </row>
    <row r="2470" ht="22.5" customHeight="1">
      <c r="Q2470" s="9" t="s">
        <v>2508</v>
      </c>
      <c r="R2470" s="10">
        <v>0.6923069536864089</v>
      </c>
      <c r="S2470" s="10">
        <v>0.031403214678366626</v>
      </c>
      <c r="T2470" s="10">
        <v>20.771980205446194</v>
      </c>
      <c r="U2470" s="11">
        <v>0.19079946555369026</v>
      </c>
      <c r="V2470" s="11">
        <v>0.17897004780016756</v>
      </c>
      <c r="W2470" s="11">
        <v>0.22635583718238528</v>
      </c>
      <c r="X2470" s="11">
        <v>0.20774724005111717</v>
      </c>
      <c r="Y2470" s="11">
        <v>0.09301592480846665</v>
      </c>
      <c r="Z2470" s="11">
        <v>0.10311148460417319</v>
      </c>
    </row>
    <row r="2471" ht="22.5" customHeight="1">
      <c r="Q2471" s="9" t="s">
        <v>2509</v>
      </c>
      <c r="R2471" s="10">
        <v>0.522267007294354</v>
      </c>
      <c r="S2471" s="10">
        <v>0.023217220010882528</v>
      </c>
      <c r="T2471" s="10">
        <v>20.771953191135832</v>
      </c>
      <c r="U2471" s="11">
        <v>0.2834173154521196</v>
      </c>
      <c r="V2471" s="11">
        <v>0.1309688176985029</v>
      </c>
      <c r="W2471" s="11">
        <v>0.16189312960526958</v>
      </c>
      <c r="X2471" s="11">
        <v>0.10368298062196138</v>
      </c>
      <c r="Y2471" s="11">
        <v>0.07259839175739936</v>
      </c>
      <c r="Z2471" s="11">
        <v>0.24743936486474707</v>
      </c>
    </row>
    <row r="2472" ht="22.5" customHeight="1">
      <c r="Q2472" s="9" t="s">
        <v>2510</v>
      </c>
      <c r="R2472" s="10">
        <v>0.6865474193572253</v>
      </c>
      <c r="S2472" s="10">
        <v>0.031125983946834416</v>
      </c>
      <c r="T2472" s="10">
        <v>20.77195119234072</v>
      </c>
      <c r="U2472" s="11">
        <v>0.05938046063318293</v>
      </c>
      <c r="V2472" s="11">
        <v>0.19834168818847475</v>
      </c>
      <c r="W2472" s="11">
        <v>0.2096718294363901</v>
      </c>
      <c r="X2472" s="11">
        <v>0.16648555066908172</v>
      </c>
      <c r="Y2472" s="11">
        <v>0.1581272539209109</v>
      </c>
      <c r="Z2472" s="11">
        <v>0.2079932171519597</v>
      </c>
    </row>
    <row r="2473" ht="22.5" customHeight="1">
      <c r="Q2473" s="9" t="s">
        <v>2511</v>
      </c>
      <c r="R2473" s="10">
        <v>0.522331348251574</v>
      </c>
      <c r="S2473" s="10">
        <v>0.023314085886708334</v>
      </c>
      <c r="T2473" s="10">
        <v>20.771902421856247</v>
      </c>
      <c r="U2473" s="11">
        <v>0.07269223762216444</v>
      </c>
      <c r="V2473" s="11">
        <v>0.10320743886463246</v>
      </c>
      <c r="W2473" s="11">
        <v>0.1795304701926172</v>
      </c>
      <c r="X2473" s="11">
        <v>0.2826219164843356</v>
      </c>
      <c r="Y2473" s="11">
        <v>0.0796362937892303</v>
      </c>
      <c r="Z2473" s="11">
        <v>0.28231164304702</v>
      </c>
    </row>
    <row r="2474" ht="22.5" customHeight="1">
      <c r="Q2474" s="9" t="s">
        <v>2512</v>
      </c>
      <c r="R2474" s="10">
        <v>0.45654978783980676</v>
      </c>
      <c r="S2474" s="10">
        <v>0.020054071914422662</v>
      </c>
      <c r="T2474" s="10">
        <v>20.771332107382584</v>
      </c>
      <c r="U2474" s="11">
        <v>0.1625779549884673</v>
      </c>
      <c r="V2474" s="11">
        <v>0.09432772586437754</v>
      </c>
      <c r="W2474" s="11">
        <v>0.1413934785746918</v>
      </c>
      <c r="X2474" s="11">
        <v>0.11619630813438558</v>
      </c>
      <c r="Y2474" s="11">
        <v>0.2837485708305406</v>
      </c>
      <c r="Z2474" s="11">
        <v>0.20175596160753714</v>
      </c>
    </row>
    <row r="2475" ht="22.5" customHeight="1">
      <c r="Q2475" s="9" t="s">
        <v>2513</v>
      </c>
      <c r="R2475" s="10">
        <v>0.4802961656493958</v>
      </c>
      <c r="S2475" s="10">
        <v>0.02119778064342729</v>
      </c>
      <c r="T2475" s="10">
        <v>20.770861490441767</v>
      </c>
      <c r="U2475" s="11">
        <v>0.2442095268167566</v>
      </c>
      <c r="V2475" s="11">
        <v>0.17797664673617658</v>
      </c>
      <c r="W2475" s="11">
        <v>0.05412791505280885</v>
      </c>
      <c r="X2475" s="11">
        <v>0.25000420614780516</v>
      </c>
      <c r="Y2475" s="11">
        <v>0.21033207985571467</v>
      </c>
      <c r="Z2475" s="11">
        <v>0.06334962539073825</v>
      </c>
    </row>
    <row r="2476" ht="22.5" customHeight="1">
      <c r="Q2476" s="9" t="s">
        <v>2514</v>
      </c>
      <c r="R2476" s="10">
        <v>0.7099576318845269</v>
      </c>
      <c r="S2476" s="10">
        <v>0.03225524457595024</v>
      </c>
      <c r="T2476" s="10">
        <v>20.770502307214016</v>
      </c>
      <c r="U2476" s="11">
        <v>0.014404462069550645</v>
      </c>
      <c r="V2476" s="11">
        <v>0.2706689279430902</v>
      </c>
      <c r="W2476" s="11">
        <v>0.13201843943556227</v>
      </c>
      <c r="X2476" s="11">
        <v>0.3954936805627534</v>
      </c>
      <c r="Y2476" s="11">
        <v>0.03251762672070613</v>
      </c>
      <c r="Z2476" s="11">
        <v>0.15489686326833724</v>
      </c>
    </row>
    <row r="2477" ht="22.5" customHeight="1">
      <c r="Q2477" s="9" t="s">
        <v>2515</v>
      </c>
      <c r="R2477" s="10">
        <v>0.6473907150189273</v>
      </c>
      <c r="S2477" s="10">
        <v>0.02924314696630697</v>
      </c>
      <c r="T2477" s="10">
        <v>20.770360854758337</v>
      </c>
      <c r="U2477" s="11">
        <v>0.30137394075396484</v>
      </c>
      <c r="V2477" s="11">
        <v>0.23712492689718956</v>
      </c>
      <c r="W2477" s="11">
        <v>0.13343319270126136</v>
      </c>
      <c r="X2477" s="11">
        <v>0.1759361253049378</v>
      </c>
      <c r="Y2477" s="11">
        <v>0.052656255806684635</v>
      </c>
      <c r="Z2477" s="11">
        <v>0.0994755585359618</v>
      </c>
    </row>
    <row r="2478" ht="22.5" customHeight="1">
      <c r="Q2478" s="9" t="s">
        <v>2516</v>
      </c>
      <c r="R2478" s="10">
        <v>0.6503306684205288</v>
      </c>
      <c r="S2478" s="10">
        <v>0.02938474191259547</v>
      </c>
      <c r="T2478" s="10">
        <v>20.770325981965378</v>
      </c>
      <c r="U2478" s="11">
        <v>0.13787728675693717</v>
      </c>
      <c r="V2478" s="11">
        <v>0.20554704385925468</v>
      </c>
      <c r="W2478" s="11">
        <v>0.17660665866263758</v>
      </c>
      <c r="X2478" s="11">
        <v>0.08708455386791329</v>
      </c>
      <c r="Y2478" s="11">
        <v>0.22886940097443018</v>
      </c>
      <c r="Z2478" s="11">
        <v>0.16401505587882725</v>
      </c>
    </row>
    <row r="2479" ht="22.5" customHeight="1">
      <c r="Q2479" s="9" t="s">
        <v>2517</v>
      </c>
      <c r="R2479" s="10">
        <v>0.7616686794261326</v>
      </c>
      <c r="S2479" s="10">
        <v>0.034745676497579994</v>
      </c>
      <c r="T2479" s="10">
        <v>20.770028163832013</v>
      </c>
      <c r="U2479" s="11">
        <v>0.22003078390164146</v>
      </c>
      <c r="V2479" s="11">
        <v>0.23124518254916798</v>
      </c>
      <c r="W2479" s="11">
        <v>0.22471308085557545</v>
      </c>
      <c r="X2479" s="11">
        <v>0.15449334858023744</v>
      </c>
      <c r="Y2479" s="11">
        <v>0.13919485555921976</v>
      </c>
      <c r="Z2479" s="11">
        <v>0.03032274855415796</v>
      </c>
    </row>
    <row r="2480" ht="22.5" customHeight="1">
      <c r="Q2480" s="9" t="s">
        <v>2518</v>
      </c>
      <c r="R2480" s="10">
        <v>0.7273168667776687</v>
      </c>
      <c r="S2480" s="10">
        <v>0.03309187189556349</v>
      </c>
      <c r="T2480" s="10">
        <v>20.769960337898404</v>
      </c>
      <c r="U2480" s="11">
        <v>0.06996599631624509</v>
      </c>
      <c r="V2480" s="11">
        <v>0.19527073367599745</v>
      </c>
      <c r="W2480" s="11">
        <v>0.23478819351620184</v>
      </c>
      <c r="X2480" s="11">
        <v>0.23306411111864075</v>
      </c>
      <c r="Y2480" s="11">
        <v>0.1397549118624333</v>
      </c>
      <c r="Z2480" s="11">
        <v>0.1271560535104816</v>
      </c>
    </row>
    <row r="2481" ht="22.5" customHeight="1">
      <c r="Q2481" s="9" t="s">
        <v>2519</v>
      </c>
      <c r="R2481" s="10">
        <v>0.5208969928651774</v>
      </c>
      <c r="S2481" s="10">
        <v>0.02315350471340522</v>
      </c>
      <c r="T2481" s="10">
        <v>20.769943851599788</v>
      </c>
      <c r="U2481" s="11">
        <v>0.24317693030871096</v>
      </c>
      <c r="V2481" s="11">
        <v>0.12953847164250323</v>
      </c>
      <c r="W2481" s="11">
        <v>0.154986130772657</v>
      </c>
      <c r="X2481" s="11">
        <v>0.06547147967382096</v>
      </c>
      <c r="Y2481" s="11">
        <v>0.27329971746500636</v>
      </c>
      <c r="Z2481" s="11">
        <v>0.1335272701373014</v>
      </c>
    </row>
    <row r="2482" ht="22.5" customHeight="1">
      <c r="Q2482" s="9" t="s">
        <v>2520</v>
      </c>
      <c r="R2482" s="10">
        <v>0.282123830567975</v>
      </c>
      <c r="S2482" s="10">
        <v>0.011657551100276444</v>
      </c>
      <c r="T2482" s="10">
        <v>20.76969926919157</v>
      </c>
      <c r="U2482" s="11">
        <v>0.24253061672343887</v>
      </c>
      <c r="V2482" s="11">
        <v>0.02408143645178125</v>
      </c>
      <c r="W2482" s="11">
        <v>0.06891031653823998</v>
      </c>
      <c r="X2482" s="11">
        <v>0.3105939183663426</v>
      </c>
      <c r="Y2482" s="11">
        <v>0.11212740592513722</v>
      </c>
      <c r="Z2482" s="11">
        <v>0.24175630599506</v>
      </c>
    </row>
    <row r="2483" ht="22.5" customHeight="1">
      <c r="Q2483" s="9" t="s">
        <v>2521</v>
      </c>
      <c r="R2483" s="10">
        <v>0.6203391934292096</v>
      </c>
      <c r="S2483" s="10">
        <v>0.02794213729518658</v>
      </c>
      <c r="T2483" s="10">
        <v>20.769320088094375</v>
      </c>
      <c r="U2483" s="11">
        <v>0.2222084059712199</v>
      </c>
      <c r="V2483" s="11">
        <v>0.18156795314171076</v>
      </c>
      <c r="W2483" s="11">
        <v>0.17811948882083828</v>
      </c>
      <c r="X2483" s="11">
        <v>0.06869697629771136</v>
      </c>
      <c r="Y2483" s="11">
        <v>0.2212991380603987</v>
      </c>
      <c r="Z2483" s="11">
        <v>0.12810803770812101</v>
      </c>
    </row>
    <row r="2484" ht="22.5" customHeight="1">
      <c r="Q2484" s="9" t="s">
        <v>2522</v>
      </c>
      <c r="R2484" s="10">
        <v>0.6866563482898587</v>
      </c>
      <c r="S2484" s="10">
        <v>0.031135380611239237</v>
      </c>
      <c r="T2484" s="10">
        <v>20.769180771036694</v>
      </c>
      <c r="U2484" s="11">
        <v>0.32735633702563716</v>
      </c>
      <c r="V2484" s="11">
        <v>0.20475726567367852</v>
      </c>
      <c r="W2484" s="11">
        <v>0.2007391950432352</v>
      </c>
      <c r="X2484" s="11">
        <v>0.11215186185015348</v>
      </c>
      <c r="Y2484" s="11">
        <v>0.08953545850397562</v>
      </c>
      <c r="Z2484" s="11">
        <v>0.06545988190332003</v>
      </c>
    </row>
    <row r="2485" ht="22.5" customHeight="1">
      <c r="Q2485" s="9" t="s">
        <v>2523</v>
      </c>
      <c r="R2485" s="10">
        <v>0.672188298042841</v>
      </c>
      <c r="S2485" s="10">
        <v>0.030438804889472686</v>
      </c>
      <c r="T2485" s="10">
        <v>20.769156356118447</v>
      </c>
      <c r="U2485" s="11">
        <v>0.16967518337235124</v>
      </c>
      <c r="V2485" s="11">
        <v>0.17193049851298636</v>
      </c>
      <c r="W2485" s="11">
        <v>0.2203007676372204</v>
      </c>
      <c r="X2485" s="11">
        <v>0.2020159195755585</v>
      </c>
      <c r="Y2485" s="11">
        <v>0.1004285486471639</v>
      </c>
      <c r="Z2485" s="11">
        <v>0.1356490822547196</v>
      </c>
    </row>
    <row r="2486" ht="22.5" customHeight="1">
      <c r="Q2486" s="9" t="s">
        <v>2524</v>
      </c>
      <c r="R2486" s="10">
        <v>0.5921575900079389</v>
      </c>
      <c r="S2486" s="10">
        <v>0.026585484244867025</v>
      </c>
      <c r="T2486" s="10">
        <v>20.76913795973253</v>
      </c>
      <c r="U2486" s="11">
        <v>0.10801537735648743</v>
      </c>
      <c r="V2486" s="11">
        <v>0.13609270848655403</v>
      </c>
      <c r="W2486" s="11">
        <v>0.19849743115501378</v>
      </c>
      <c r="X2486" s="11">
        <v>0.207444468875889</v>
      </c>
      <c r="Y2486" s="11">
        <v>0.1429089437142699</v>
      </c>
      <c r="Z2486" s="11">
        <v>0.20704107041178582</v>
      </c>
    </row>
    <row r="2487" ht="22.5" customHeight="1">
      <c r="Q2487" s="9" t="s">
        <v>2525</v>
      </c>
      <c r="R2487" s="10">
        <v>0.8003187193809876</v>
      </c>
      <c r="S2487" s="10">
        <v>0.03660968617718512</v>
      </c>
      <c r="T2487" s="10">
        <v>20.768239194981476</v>
      </c>
      <c r="U2487" s="11">
        <v>0.06337270308171399</v>
      </c>
      <c r="V2487" s="11">
        <v>0.22597588435710167</v>
      </c>
      <c r="W2487" s="11">
        <v>0.2535503951503366</v>
      </c>
      <c r="X2487" s="11">
        <v>0.27019491649954963</v>
      </c>
      <c r="Y2487" s="11">
        <v>0.11465447280684395</v>
      </c>
      <c r="Z2487" s="11">
        <v>0.07225162810445429</v>
      </c>
    </row>
    <row r="2488" ht="22.5" customHeight="1">
      <c r="Q2488" s="9" t="s">
        <v>2526</v>
      </c>
      <c r="R2488" s="10">
        <v>0.5820152657006997</v>
      </c>
      <c r="S2488" s="10">
        <v>0.026099198843335912</v>
      </c>
      <c r="T2488" s="10">
        <v>20.767505889901912</v>
      </c>
      <c r="U2488" s="11">
        <v>0.049139097566455</v>
      </c>
      <c r="V2488" s="11">
        <v>0.11976777001962739</v>
      </c>
      <c r="W2488" s="11">
        <v>0.20077713822305635</v>
      </c>
      <c r="X2488" s="11">
        <v>0.30940205776889784</v>
      </c>
      <c r="Y2488" s="11">
        <v>0.101345671808349</v>
      </c>
      <c r="Z2488" s="11">
        <v>0.21956826461361442</v>
      </c>
    </row>
    <row r="2489" ht="22.5" customHeight="1">
      <c r="Q2489" s="9" t="s">
        <v>2527</v>
      </c>
      <c r="R2489" s="10">
        <v>0.6492230506646691</v>
      </c>
      <c r="S2489" s="10">
        <v>0.0293354398017848</v>
      </c>
      <c r="T2489" s="10">
        <v>20.767476294239955</v>
      </c>
      <c r="U2489" s="11">
        <v>0.1769584706891741</v>
      </c>
      <c r="V2489" s="11">
        <v>0.2185103605867323</v>
      </c>
      <c r="W2489" s="11">
        <v>0.15740120667265914</v>
      </c>
      <c r="X2489" s="11">
        <v>0.08606244000040619</v>
      </c>
      <c r="Y2489" s="11">
        <v>0.26704624673197075</v>
      </c>
      <c r="Z2489" s="11">
        <v>0.09402127531905749</v>
      </c>
    </row>
    <row r="2490" ht="22.5" customHeight="1">
      <c r="Q2490" s="9" t="s">
        <v>2528</v>
      </c>
      <c r="R2490" s="10">
        <v>0.6505671902001313</v>
      </c>
      <c r="S2490" s="10">
        <v>0.029400185286486746</v>
      </c>
      <c r="T2490" s="10">
        <v>20.767460621439255</v>
      </c>
      <c r="U2490" s="11">
        <v>0.13041372494096604</v>
      </c>
      <c r="V2490" s="11">
        <v>0.17338415663422777</v>
      </c>
      <c r="W2490" s="11">
        <v>0.20585349797095415</v>
      </c>
      <c r="X2490" s="11">
        <v>0.14623759550262813</v>
      </c>
      <c r="Y2490" s="11">
        <v>0.19042996986411187</v>
      </c>
      <c r="Z2490" s="11">
        <v>0.15368105508711208</v>
      </c>
    </row>
    <row r="2491" ht="22.5" customHeight="1">
      <c r="Q2491" s="9" t="s">
        <v>2529</v>
      </c>
      <c r="R2491" s="10">
        <v>0.6403275828680655</v>
      </c>
      <c r="S2491" s="10">
        <v>0.028908468983325473</v>
      </c>
      <c r="T2491" s="10">
        <v>20.766495216828567</v>
      </c>
      <c r="U2491" s="11">
        <v>0.18746220487046514</v>
      </c>
      <c r="V2491" s="11">
        <v>0.1467782842658538</v>
      </c>
      <c r="W2491" s="11">
        <v>0.21477037895443296</v>
      </c>
      <c r="X2491" s="11">
        <v>0.205090690999237</v>
      </c>
      <c r="Y2491" s="11">
        <v>0.1972807219036926</v>
      </c>
      <c r="Z2491" s="11">
        <v>0.048617719006318505</v>
      </c>
    </row>
    <row r="2492" ht="22.5" customHeight="1">
      <c r="Q2492" s="9" t="s">
        <v>2530</v>
      </c>
      <c r="R2492" s="10">
        <v>0.7008419858746214</v>
      </c>
      <c r="S2492" s="10">
        <v>0.03182266990663017</v>
      </c>
      <c r="T2492" s="10">
        <v>20.766390369305142</v>
      </c>
      <c r="U2492" s="11">
        <v>0.14936614878555243</v>
      </c>
      <c r="V2492" s="11">
        <v>0.22830789030400114</v>
      </c>
      <c r="W2492" s="11">
        <v>0.1919999278587974</v>
      </c>
      <c r="X2492" s="11">
        <v>0.14626433954013948</v>
      </c>
      <c r="Y2492" s="11">
        <v>0.08378298368516719</v>
      </c>
      <c r="Z2492" s="11">
        <v>0.2002787098263423</v>
      </c>
    </row>
    <row r="2493" ht="22.5" customHeight="1">
      <c r="Q2493" s="9" t="s">
        <v>2531</v>
      </c>
      <c r="R2493" s="10">
        <v>0.6694552580762151</v>
      </c>
      <c r="S2493" s="10">
        <v>0.03031217872533545</v>
      </c>
      <c r="T2493" s="10">
        <v>20.765754378127408</v>
      </c>
      <c r="U2493" s="11">
        <v>0.19038676961716114</v>
      </c>
      <c r="V2493" s="11">
        <v>0.22217476897753272</v>
      </c>
      <c r="W2493" s="11">
        <v>0.1765744111312556</v>
      </c>
      <c r="X2493" s="11">
        <v>0.12811013993932796</v>
      </c>
      <c r="Y2493" s="11">
        <v>0.06939971463648309</v>
      </c>
      <c r="Z2493" s="11">
        <v>0.21335419569823955</v>
      </c>
    </row>
    <row r="2494" ht="22.5" customHeight="1">
      <c r="Q2494" s="9" t="s">
        <v>2532</v>
      </c>
      <c r="R2494" s="10">
        <v>0.3722926878169133</v>
      </c>
      <c r="S2494" s="10">
        <v>0.01600200802730115</v>
      </c>
      <c r="T2494" s="10">
        <v>20.765686859423283</v>
      </c>
      <c r="U2494" s="11">
        <v>0.2117935569645665</v>
      </c>
      <c r="V2494" s="11">
        <v>0.04616510524574737</v>
      </c>
      <c r="W2494" s="11">
        <v>0.11844594070173928</v>
      </c>
      <c r="X2494" s="11">
        <v>0.2492694928354831</v>
      </c>
      <c r="Y2494" s="11">
        <v>0.16067757477748543</v>
      </c>
      <c r="Z2494" s="11">
        <v>0.2136483294749783</v>
      </c>
    </row>
    <row r="2495" ht="22.5" customHeight="1">
      <c r="Q2495" s="9" t="s">
        <v>2533</v>
      </c>
      <c r="R2495" s="10">
        <v>0.7079041185027385</v>
      </c>
      <c r="S2495" s="10">
        <v>0.032164321606403354</v>
      </c>
      <c r="T2495" s="10">
        <v>20.76537247313714</v>
      </c>
      <c r="U2495" s="11">
        <v>0.009382110404922981</v>
      </c>
      <c r="V2495" s="11">
        <v>0.26801648727290184</v>
      </c>
      <c r="W2495" s="11">
        <v>0.13869052217375724</v>
      </c>
      <c r="X2495" s="11">
        <v>0.33157430454542286</v>
      </c>
      <c r="Y2495" s="11">
        <v>0.07919787149850419</v>
      </c>
      <c r="Z2495" s="11">
        <v>0.17313870410449078</v>
      </c>
    </row>
    <row r="2496" ht="22.5" customHeight="1">
      <c r="Q2496" s="9" t="s">
        <v>2534</v>
      </c>
      <c r="R2496" s="10">
        <v>0.848238525443818</v>
      </c>
      <c r="S2496" s="10">
        <v>0.03892286307542681</v>
      </c>
      <c r="T2496" s="10">
        <v>20.76513549061306</v>
      </c>
      <c r="U2496" s="11">
        <v>0.050141803329798326</v>
      </c>
      <c r="V2496" s="11">
        <v>0.2866358387344064</v>
      </c>
      <c r="W2496" s="11">
        <v>0.22560128740786173</v>
      </c>
      <c r="X2496" s="11">
        <v>0.24276434445876588</v>
      </c>
      <c r="Y2496" s="11">
        <v>0.16862394775841083</v>
      </c>
      <c r="Z2496" s="11">
        <v>0.026232778310756957</v>
      </c>
    </row>
    <row r="2497" ht="22.5" customHeight="1">
      <c r="Q2497" s="9" t="s">
        <v>2535</v>
      </c>
      <c r="R2497" s="10">
        <v>0.550832203085833</v>
      </c>
      <c r="S2497" s="10">
        <v>0.024601284220074023</v>
      </c>
      <c r="T2497" s="10">
        <v>20.76445272190331</v>
      </c>
      <c r="U2497" s="11">
        <v>0.275487280076968</v>
      </c>
      <c r="V2497" s="11">
        <v>0.18034587968037516</v>
      </c>
      <c r="W2497" s="11">
        <v>0.1244050126807842</v>
      </c>
      <c r="X2497" s="11">
        <v>0.04552990555738816</v>
      </c>
      <c r="Y2497" s="11">
        <v>0.2760981416966957</v>
      </c>
      <c r="Z2497" s="11">
        <v>0.0981337803077888</v>
      </c>
    </row>
    <row r="2498" ht="22.5" customHeight="1">
      <c r="Q2498" s="9" t="s">
        <v>2536</v>
      </c>
      <c r="R2498" s="10">
        <v>0.522331348251574</v>
      </c>
      <c r="S2498" s="10">
        <v>0.02505537576966252</v>
      </c>
      <c r="T2498" s="10">
        <v>20.764162679580217</v>
      </c>
      <c r="U2498" s="11">
        <v>0.24761140591603834</v>
      </c>
      <c r="V2498" s="11">
        <v>0.19336142347551466</v>
      </c>
      <c r="W2498" s="11">
        <v>0.11858985258911256</v>
      </c>
      <c r="X2498" s="11">
        <v>0.06973497433013136</v>
      </c>
      <c r="Y2498" s="11">
        <v>0.24018690285726343</v>
      </c>
      <c r="Z2498" s="11">
        <v>0.13051544083193972</v>
      </c>
    </row>
    <row r="2499" ht="22.5" customHeight="1">
      <c r="Q2499" s="9" t="s">
        <v>2537</v>
      </c>
      <c r="R2499" s="10">
        <v>0.47921333230014784</v>
      </c>
      <c r="S2499" s="10">
        <v>0.021152819539926457</v>
      </c>
      <c r="T2499" s="10">
        <v>20.76381975798177</v>
      </c>
      <c r="U2499" s="11">
        <v>0.014370050868781542</v>
      </c>
      <c r="V2499" s="11">
        <v>0.09060928987707087</v>
      </c>
      <c r="W2499" s="11">
        <v>0.16083809980069616</v>
      </c>
      <c r="X2499" s="11">
        <v>0.2493305529558745</v>
      </c>
      <c r="Y2499" s="11">
        <v>0.16636481909180115</v>
      </c>
      <c r="Z2499" s="11">
        <v>0.31848718740577575</v>
      </c>
    </row>
    <row r="2500" ht="22.5" customHeight="1">
      <c r="Q2500" s="9" t="s">
        <v>2538</v>
      </c>
      <c r="R2500" s="10">
        <v>0.4124604747221812</v>
      </c>
      <c r="S2500" s="10">
        <v>0.017938128419231286</v>
      </c>
      <c r="T2500" s="10">
        <v>20.76361959382954</v>
      </c>
      <c r="U2500" s="11">
        <v>0.2613645866126792</v>
      </c>
      <c r="V2500" s="11">
        <v>0.07047784304964816</v>
      </c>
      <c r="W2500" s="11">
        <v>0.12100932451074133</v>
      </c>
      <c r="X2500" s="11">
        <v>0.14841956748671312</v>
      </c>
      <c r="Y2500" s="11">
        <v>0.3284601383122213</v>
      </c>
      <c r="Z2500" s="11">
        <v>0.0702685400279968</v>
      </c>
    </row>
    <row r="2501" ht="22.5" customHeight="1">
      <c r="Q2501" s="9" t="s">
        <v>2539</v>
      </c>
      <c r="R2501" s="10">
        <v>0.7473101425807722</v>
      </c>
      <c r="S2501" s="10">
        <v>0.03406521598910276</v>
      </c>
      <c r="T2501" s="10">
        <v>20.763412825770313</v>
      </c>
      <c r="U2501" s="11">
        <v>0.2167586783823953</v>
      </c>
      <c r="V2501" s="11">
        <v>0.2537681702465107</v>
      </c>
      <c r="W2501" s="11">
        <v>0.1949358394397016</v>
      </c>
      <c r="X2501" s="11">
        <v>0.18097755465252421</v>
      </c>
      <c r="Y2501" s="11">
        <v>0.03264795287281247</v>
      </c>
      <c r="Z2501" s="11">
        <v>0.12091180440605573</v>
      </c>
    </row>
    <row r="2502" ht="22.5" customHeight="1">
      <c r="Q2502" s="9" t="s">
        <v>2540</v>
      </c>
      <c r="R2502" s="10">
        <v>0.75475757276277</v>
      </c>
      <c r="S2502" s="10">
        <v>0.03442481213739266</v>
      </c>
      <c r="T2502" s="10">
        <v>20.762860517876042</v>
      </c>
      <c r="U2502" s="11">
        <v>0.13941776780421655</v>
      </c>
      <c r="V2502" s="11">
        <v>0.259355824053846</v>
      </c>
      <c r="W2502" s="11">
        <v>0.19133628834244995</v>
      </c>
      <c r="X2502" s="11">
        <v>0.1620796929450224</v>
      </c>
      <c r="Y2502" s="11">
        <v>0.16852541903864704</v>
      </c>
      <c r="Z2502" s="11">
        <v>0.07928500781581799</v>
      </c>
    </row>
    <row r="2503" ht="22.5" customHeight="1">
      <c r="Q2503" s="9" t="s">
        <v>2541</v>
      </c>
      <c r="R2503" s="10">
        <v>0.6777509998498071</v>
      </c>
      <c r="S2503" s="10">
        <v>0.030716197023259985</v>
      </c>
      <c r="T2503" s="10">
        <v>20.762694006906752</v>
      </c>
      <c r="U2503" s="11">
        <v>0.03782773847493975</v>
      </c>
      <c r="V2503" s="11">
        <v>0.24983243553559664</v>
      </c>
      <c r="W2503" s="11">
        <v>0.14632634035009653</v>
      </c>
      <c r="X2503" s="11">
        <v>0.23916152821923012</v>
      </c>
      <c r="Y2503" s="11">
        <v>0.0799369498819461</v>
      </c>
      <c r="Z2503" s="11">
        <v>0.2469150075381909</v>
      </c>
    </row>
    <row r="2504" ht="22.5" customHeight="1">
      <c r="Q2504" s="9" t="s">
        <v>2542</v>
      </c>
      <c r="R2504" s="10">
        <v>0.5252342655955458</v>
      </c>
      <c r="S2504" s="10">
        <v>0.023370581891041634</v>
      </c>
      <c r="T2504" s="10">
        <v>20.76260950017444</v>
      </c>
      <c r="U2504" s="11">
        <v>0.22246125041899598</v>
      </c>
      <c r="V2504" s="11">
        <v>0.19936050067722483</v>
      </c>
      <c r="W2504" s="11">
        <v>0.07717283791866553</v>
      </c>
      <c r="X2504" s="11">
        <v>0.22020387163475683</v>
      </c>
      <c r="Y2504" s="11">
        <v>0.11156130834771592</v>
      </c>
      <c r="Z2504" s="11">
        <v>0.1692402310026409</v>
      </c>
    </row>
    <row r="2505" ht="22.5" customHeight="1">
      <c r="Q2505" s="9" t="s">
        <v>2543</v>
      </c>
      <c r="R2505" s="10">
        <v>0.778301511855349</v>
      </c>
      <c r="S2505" s="10">
        <v>0.03555945619834946</v>
      </c>
      <c r="T2505" s="10">
        <v>20.762452264093348</v>
      </c>
      <c r="U2505" s="11">
        <v>0.113589082625524</v>
      </c>
      <c r="V2505" s="11">
        <v>0.2300301421750072</v>
      </c>
      <c r="W2505" s="11">
        <v>0.23896733657249825</v>
      </c>
      <c r="X2505" s="11">
        <v>0.2269784262473599</v>
      </c>
      <c r="Y2505" s="11">
        <v>0.07588776016759335</v>
      </c>
      <c r="Z2505" s="11">
        <v>0.11454725221201736</v>
      </c>
    </row>
    <row r="2506" ht="22.5" customHeight="1">
      <c r="Q2506" s="9" t="s">
        <v>2544</v>
      </c>
      <c r="R2506" s="10">
        <v>0.5235695476955876</v>
      </c>
      <c r="S2506" s="10">
        <v>0.023290671719641283</v>
      </c>
      <c r="T2506" s="10">
        <v>20.762370167614705</v>
      </c>
      <c r="U2506" s="11">
        <v>0.20268837162515516</v>
      </c>
      <c r="V2506" s="11">
        <v>0.19704708647705618</v>
      </c>
      <c r="W2506" s="11">
        <v>0.08209855671638108</v>
      </c>
      <c r="X2506" s="11">
        <v>0.18545823020083788</v>
      </c>
      <c r="Y2506" s="11">
        <v>0.13882586130578994</v>
      </c>
      <c r="Z2506" s="11">
        <v>0.19388189367477973</v>
      </c>
    </row>
    <row r="2507" ht="22.5" customHeight="1">
      <c r="Q2507" s="9" t="s">
        <v>2545</v>
      </c>
      <c r="R2507" s="10">
        <v>0.682533012730084</v>
      </c>
      <c r="S2507" s="10">
        <v>0.030947112613112504</v>
      </c>
      <c r="T2507" s="10">
        <v>20.76229277874015</v>
      </c>
      <c r="U2507" s="11">
        <v>0.23867275587372228</v>
      </c>
      <c r="V2507" s="11">
        <v>0.16121484905399264</v>
      </c>
      <c r="W2507" s="11">
        <v>0.22954856587115005</v>
      </c>
      <c r="X2507" s="11">
        <v>0.225492821964056</v>
      </c>
      <c r="Y2507" s="11">
        <v>0.13771120564202782</v>
      </c>
      <c r="Z2507" s="11">
        <v>0.007359801595051088</v>
      </c>
    </row>
    <row r="2508" ht="22.5" customHeight="1">
      <c r="Q2508" s="9" t="s">
        <v>2546</v>
      </c>
      <c r="R2508" s="10">
        <v>0.6919972920439518</v>
      </c>
      <c r="S2508" s="10">
        <v>0.03140391431860267</v>
      </c>
      <c r="T2508" s="10">
        <v>20.76165682498151</v>
      </c>
      <c r="U2508" s="11">
        <v>0.2752075734444094</v>
      </c>
      <c r="V2508" s="11">
        <v>0.18493698783020343</v>
      </c>
      <c r="W2508" s="11">
        <v>0.22102455460521317</v>
      </c>
      <c r="X2508" s="11">
        <v>0.1669832100624726</v>
      </c>
      <c r="Y2508" s="11">
        <v>0.08894464061156734</v>
      </c>
      <c r="Z2508" s="11">
        <v>0.06290303344613418</v>
      </c>
    </row>
    <row r="2509" ht="22.5" customHeight="1">
      <c r="Q2509" s="9" t="s">
        <v>2547</v>
      </c>
      <c r="R2509" s="10">
        <v>0.64794966259164</v>
      </c>
      <c r="S2509" s="10">
        <v>0.02928242149507961</v>
      </c>
      <c r="T2509" s="10">
        <v>20.76159113732432</v>
      </c>
      <c r="U2509" s="11">
        <v>0.24701168152508957</v>
      </c>
      <c r="V2509" s="11">
        <v>0.24157706595483308</v>
      </c>
      <c r="W2509" s="11">
        <v>0.12758102456748008</v>
      </c>
      <c r="X2509" s="11">
        <v>0.19676954660683899</v>
      </c>
      <c r="Y2509" s="11">
        <v>0.07669386977364476</v>
      </c>
      <c r="Z2509" s="11">
        <v>0.11036681157211355</v>
      </c>
    </row>
    <row r="2510" ht="22.5" customHeight="1">
      <c r="Q2510" s="9" t="s">
        <v>2548</v>
      </c>
      <c r="R2510" s="10">
        <v>0.7394663249417349</v>
      </c>
      <c r="S2510" s="10">
        <v>0.033690752001177736</v>
      </c>
      <c r="T2510" s="10">
        <v>20.761374662022487</v>
      </c>
      <c r="U2510" s="11">
        <v>0.16116243164671631</v>
      </c>
      <c r="V2510" s="11">
        <v>0.2315997814726367</v>
      </c>
      <c r="W2510" s="11">
        <v>0.21466638071504954</v>
      </c>
      <c r="X2510" s="11">
        <v>0.20341530759653265</v>
      </c>
      <c r="Y2510" s="11">
        <v>0.0023903122448576705</v>
      </c>
      <c r="Z2510" s="11">
        <v>0.18676578632420698</v>
      </c>
    </row>
    <row r="2511" ht="22.5" customHeight="1">
      <c r="Q2511" s="9" t="s">
        <v>2549</v>
      </c>
      <c r="R2511" s="10">
        <v>0.6837585958297733</v>
      </c>
      <c r="S2511" s="10">
        <v>0.031007578578265714</v>
      </c>
      <c r="T2511" s="10">
        <v>20.76133078901575</v>
      </c>
      <c r="U2511" s="11">
        <v>0.27026225670450754</v>
      </c>
      <c r="V2511" s="11">
        <v>0.25115236761672577</v>
      </c>
      <c r="W2511" s="11">
        <v>0.14379070424766696</v>
      </c>
      <c r="X2511" s="11">
        <v>0.18410365284086128</v>
      </c>
      <c r="Y2511" s="11">
        <v>0.08406180174327493</v>
      </c>
      <c r="Z2511" s="11">
        <v>0.06662921684696355</v>
      </c>
    </row>
    <row r="2512" ht="22.5" customHeight="1">
      <c r="Q2512" s="9" t="s">
        <v>2550</v>
      </c>
      <c r="R2512" s="10">
        <v>0.6496614031911907</v>
      </c>
      <c r="S2512" s="10">
        <v>0.029365323079483637</v>
      </c>
      <c r="T2512" s="10">
        <v>20.761270071540142</v>
      </c>
      <c r="U2512" s="11">
        <v>0.12603274885039956</v>
      </c>
      <c r="V2512" s="11">
        <v>0.22857500800129082</v>
      </c>
      <c r="W2512" s="11">
        <v>0.14832355738967534</v>
      </c>
      <c r="X2512" s="11">
        <v>0.1180019313136647</v>
      </c>
      <c r="Y2512" s="11">
        <v>0.23063240195444729</v>
      </c>
      <c r="Z2512" s="11">
        <v>0.14843435249052225</v>
      </c>
    </row>
    <row r="2513" ht="22.5" customHeight="1">
      <c r="Q2513" s="9" t="s">
        <v>2551</v>
      </c>
      <c r="R2513" s="10">
        <v>0.5586216031923074</v>
      </c>
      <c r="S2513" s="10">
        <v>0.024981142937907496</v>
      </c>
      <c r="T2513" s="10">
        <v>20.760523426865625</v>
      </c>
      <c r="U2513" s="11">
        <v>0.17724513843441414</v>
      </c>
      <c r="V2513" s="11">
        <v>0.21123491677316739</v>
      </c>
      <c r="W2513" s="11">
        <v>0.09533727712690516</v>
      </c>
      <c r="X2513" s="11">
        <v>0.1998400523125488</v>
      </c>
      <c r="Y2513" s="11">
        <v>0.09979166588054103</v>
      </c>
      <c r="Z2513" s="11">
        <v>0.21655094947242348</v>
      </c>
    </row>
    <row r="2514" ht="22.5" customHeight="1">
      <c r="Q2514" s="9" t="s">
        <v>2552</v>
      </c>
      <c r="R2514" s="10">
        <v>0.6125762360702927</v>
      </c>
      <c r="S2514" s="10">
        <v>0.02758074317944708</v>
      </c>
      <c r="T2514" s="10">
        <v>20.76000027791025</v>
      </c>
      <c r="U2514" s="11">
        <v>0.1502922080756536</v>
      </c>
      <c r="V2514" s="11">
        <v>0.21458503041591062</v>
      </c>
      <c r="W2514" s="11">
        <v>0.14009489375750528</v>
      </c>
      <c r="X2514" s="11">
        <v>0.101286103676651</v>
      </c>
      <c r="Y2514" s="11">
        <v>0.1830937824887279</v>
      </c>
      <c r="Z2514" s="11">
        <v>0.21064798158555165</v>
      </c>
    </row>
    <row r="2515" ht="22.5" customHeight="1">
      <c r="Q2515" s="9" t="s">
        <v>2553</v>
      </c>
      <c r="R2515" s="10">
        <v>0.673627939619503</v>
      </c>
      <c r="S2515" s="10">
        <v>0.030521721139178972</v>
      </c>
      <c r="T2515" s="10">
        <v>20.759901996684956</v>
      </c>
      <c r="U2515" s="11">
        <v>0.04525923984036218</v>
      </c>
      <c r="V2515" s="11">
        <v>0.17859225020695413</v>
      </c>
      <c r="W2515" s="11">
        <v>0.2149233506167906</v>
      </c>
      <c r="X2515" s="11">
        <v>0.1830798738120586</v>
      </c>
      <c r="Y2515" s="11">
        <v>0.21977630199613452</v>
      </c>
      <c r="Z2515" s="11">
        <v>0.15836898352769996</v>
      </c>
    </row>
    <row r="2516" ht="22.5" customHeight="1">
      <c r="Q2516" s="9" t="s">
        <v>2554</v>
      </c>
      <c r="R2516" s="10">
        <v>0.7125605789259388</v>
      </c>
      <c r="S2516" s="10">
        <v>0.03239768943405276</v>
      </c>
      <c r="T2516" s="10">
        <v>20.759522999162396</v>
      </c>
      <c r="U2516" s="11">
        <v>0.1648337848530846</v>
      </c>
      <c r="V2516" s="11">
        <v>0.2105914313468692</v>
      </c>
      <c r="W2516" s="11">
        <v>0.2131079334897479</v>
      </c>
      <c r="X2516" s="11">
        <v>0.13267261497579358</v>
      </c>
      <c r="Y2516" s="11">
        <v>0.18068088963089343</v>
      </c>
      <c r="Z2516" s="11">
        <v>0.09811334570361142</v>
      </c>
    </row>
    <row r="2517" ht="22.5" customHeight="1">
      <c r="Q2517" s="9" t="s">
        <v>2555</v>
      </c>
      <c r="R2517" s="10">
        <v>0.6864404622371255</v>
      </c>
      <c r="S2517" s="10">
        <v>0.031139625769246386</v>
      </c>
      <c r="T2517" s="10">
        <v>20.759416539795176</v>
      </c>
      <c r="U2517" s="11">
        <v>0.1366332755721175</v>
      </c>
      <c r="V2517" s="11">
        <v>0.19737186903481274</v>
      </c>
      <c r="W2517" s="11">
        <v>0.2087333350296282</v>
      </c>
      <c r="X2517" s="11">
        <v>0.13260410020808372</v>
      </c>
      <c r="Y2517" s="11">
        <v>0.18829096393948602</v>
      </c>
      <c r="Z2517" s="11">
        <v>0.13636645621587182</v>
      </c>
    </row>
    <row r="2518" ht="22.5" customHeight="1">
      <c r="Q2518" s="9" t="s">
        <v>2556</v>
      </c>
      <c r="R2518" s="10">
        <v>0.5981097240123321</v>
      </c>
      <c r="S2518" s="10">
        <v>0.026884913997897626</v>
      </c>
      <c r="T2518" s="10">
        <v>20.759215523470736</v>
      </c>
      <c r="U2518" s="11">
        <v>0.20650625134068515</v>
      </c>
      <c r="V2518" s="11">
        <v>0.21627539703821783</v>
      </c>
      <c r="W2518" s="11">
        <v>0.12219739679681611</v>
      </c>
      <c r="X2518" s="11">
        <v>0.11741174904941828</v>
      </c>
      <c r="Y2518" s="11">
        <v>0.18662856977958509</v>
      </c>
      <c r="Z2518" s="11">
        <v>0.15098063599527764</v>
      </c>
    </row>
    <row r="2519" ht="22.5" customHeight="1">
      <c r="Q2519" s="9" t="s">
        <v>2557</v>
      </c>
      <c r="R2519" s="10">
        <v>0.7094095045319041</v>
      </c>
      <c r="S2519" s="10">
        <v>0.032248011098988096</v>
      </c>
      <c r="T2519" s="10">
        <v>20.758164045438118</v>
      </c>
      <c r="U2519" s="11">
        <v>0.11571128797086018</v>
      </c>
      <c r="V2519" s="11">
        <v>0.20498530367901516</v>
      </c>
      <c r="W2519" s="11">
        <v>0.2186535928675719</v>
      </c>
      <c r="X2519" s="11">
        <v>0.17479412454733476</v>
      </c>
      <c r="Y2519" s="11">
        <v>0.11317210716374862</v>
      </c>
      <c r="Z2519" s="11">
        <v>0.17268358377146936</v>
      </c>
    </row>
    <row r="2520" ht="22.5" customHeight="1">
      <c r="Q2520" s="9" t="s">
        <v>2558</v>
      </c>
      <c r="R2520" s="10">
        <v>0.7396116701562216</v>
      </c>
      <c r="S2520" s="10">
        <v>0.03370459354962349</v>
      </c>
      <c r="T2520" s="10">
        <v>20.757160863731492</v>
      </c>
      <c r="U2520" s="11">
        <v>0.30543754314163724</v>
      </c>
      <c r="V2520" s="11">
        <v>0.2442580277316703</v>
      </c>
      <c r="W2520" s="11">
        <v>0.19785979842552054</v>
      </c>
      <c r="X2520" s="11">
        <v>0.14546612367450595</v>
      </c>
      <c r="Y2520" s="11">
        <v>0.05063438504971711</v>
      </c>
      <c r="Z2520" s="11">
        <v>0.05634412197694893</v>
      </c>
    </row>
    <row r="2521" ht="22.5" customHeight="1">
      <c r="Q2521" s="9" t="s">
        <v>2559</v>
      </c>
      <c r="R2521" s="10">
        <v>0.2870894966949868</v>
      </c>
      <c r="S2521" s="10">
        <v>0.011903842685656526</v>
      </c>
      <c r="T2521" s="10">
        <v>20.7571204710825</v>
      </c>
      <c r="U2521" s="11">
        <v>0.32333594734293963</v>
      </c>
      <c r="V2521" s="11">
        <v>0.06627183922915772</v>
      </c>
      <c r="W2521" s="11">
        <v>0.02714296765579695</v>
      </c>
      <c r="X2521" s="11">
        <v>0.21759391564091068</v>
      </c>
      <c r="Y2521" s="11">
        <v>0.2374955673639367</v>
      </c>
      <c r="Z2521" s="11">
        <v>0.12815976276725824</v>
      </c>
    </row>
    <row r="2522" ht="22.5" customHeight="1">
      <c r="Q2522" s="9" t="s">
        <v>2560</v>
      </c>
      <c r="R2522" s="10">
        <v>0.44563611411632914</v>
      </c>
      <c r="S2522" s="10">
        <v>0.019542172230392407</v>
      </c>
      <c r="T2522" s="10">
        <v>20.756961372261124</v>
      </c>
      <c r="U2522" s="11">
        <v>0.18236848519182725</v>
      </c>
      <c r="V2522" s="11">
        <v>0.16706120413616052</v>
      </c>
      <c r="W2522" s="11">
        <v>0.050270469653059244</v>
      </c>
      <c r="X2522" s="11">
        <v>0.26775406035470734</v>
      </c>
      <c r="Y2522" s="11">
        <v>0.08438858231267655</v>
      </c>
      <c r="Z2522" s="11">
        <v>0.24815719835156902</v>
      </c>
    </row>
    <row r="2523" ht="22.5" customHeight="1">
      <c r="Q2523" s="9" t="s">
        <v>2561</v>
      </c>
      <c r="R2523" s="10">
        <v>0.5838631771929133</v>
      </c>
      <c r="S2523" s="10">
        <v>0.026201682619558228</v>
      </c>
      <c r="T2523" s="10">
        <v>20.756803488144953</v>
      </c>
      <c r="U2523" s="11">
        <v>0.30456301279754056</v>
      </c>
      <c r="V2523" s="11">
        <v>0.2236754535866285</v>
      </c>
      <c r="W2523" s="11">
        <v>0.0825926401615117</v>
      </c>
      <c r="X2523" s="11">
        <v>0.31090971266393846</v>
      </c>
      <c r="Y2523" s="11">
        <v>0.05208162260122748</v>
      </c>
      <c r="Z2523" s="11">
        <v>0.02617755818915343</v>
      </c>
    </row>
    <row r="2524" ht="22.5" customHeight="1">
      <c r="Q2524" s="9" t="s">
        <v>2562</v>
      </c>
      <c r="R2524" s="10">
        <v>0.6653450889036566</v>
      </c>
      <c r="S2524" s="10">
        <v>0.030128025952358296</v>
      </c>
      <c r="T2524" s="10">
        <v>20.756258305556432</v>
      </c>
      <c r="U2524" s="11">
        <v>0.1657745204240152</v>
      </c>
      <c r="V2524" s="11">
        <v>0.185618797986565</v>
      </c>
      <c r="W2524" s="11">
        <v>0.2072643418654369</v>
      </c>
      <c r="X2524" s="11">
        <v>0.14403325776915066</v>
      </c>
      <c r="Y2524" s="11">
        <v>0.12217329144906261</v>
      </c>
      <c r="Z2524" s="11">
        <v>0.17513579050576952</v>
      </c>
    </row>
    <row r="2525" ht="22.5" customHeight="1">
      <c r="Q2525" s="9" t="s">
        <v>2563</v>
      </c>
      <c r="R2525" s="10">
        <v>0.694648521681454</v>
      </c>
      <c r="S2525" s="10">
        <v>0.03153996081161678</v>
      </c>
      <c r="T2525" s="10">
        <v>20.75616154349609</v>
      </c>
      <c r="U2525" s="11">
        <v>0.14185687211227443</v>
      </c>
      <c r="V2525" s="11">
        <v>0.26284281898065015</v>
      </c>
      <c r="W2525" s="11">
        <v>0.13180499087197775</v>
      </c>
      <c r="X2525" s="11">
        <v>0.2490886856766659</v>
      </c>
      <c r="Y2525" s="11">
        <v>0.16635750147930436</v>
      </c>
      <c r="Z2525" s="11">
        <v>0.048049130879127384</v>
      </c>
    </row>
    <row r="2526" ht="22.5" customHeight="1">
      <c r="Q2526" s="9" t="s">
        <v>2564</v>
      </c>
      <c r="R2526" s="10">
        <v>0.7268624395647938</v>
      </c>
      <c r="S2526" s="10">
        <v>0.033093066417029006</v>
      </c>
      <c r="T2526" s="10">
        <v>20.75547883381845</v>
      </c>
      <c r="U2526" s="11">
        <v>0.1698581671229155</v>
      </c>
      <c r="V2526" s="11">
        <v>0.20471899444223696</v>
      </c>
      <c r="W2526" s="11">
        <v>0.22402542425512295</v>
      </c>
      <c r="X2526" s="11">
        <v>0.14752600639247243</v>
      </c>
      <c r="Y2526" s="11">
        <v>0.22875840219876786</v>
      </c>
      <c r="Z2526" s="11">
        <v>0.02511300558848425</v>
      </c>
    </row>
    <row r="2527" ht="22.5" customHeight="1">
      <c r="Q2527" s="9" t="s">
        <v>2565</v>
      </c>
      <c r="R2527" s="10">
        <v>0.8170380026220074</v>
      </c>
      <c r="S2527" s="10">
        <v>0.037438191758172555</v>
      </c>
      <c r="T2527" s="10">
        <v>20.755222571677336</v>
      </c>
      <c r="U2527" s="11">
        <v>0.05312440060777054</v>
      </c>
      <c r="V2527" s="11">
        <v>0.2775180705725243</v>
      </c>
      <c r="W2527" s="11">
        <v>0.21297485303096023</v>
      </c>
      <c r="X2527" s="11">
        <v>0.20754429435416558</v>
      </c>
      <c r="Y2527" s="11">
        <v>0.22006811422269335</v>
      </c>
      <c r="Z2527" s="11">
        <v>0.028770267211885945</v>
      </c>
    </row>
    <row r="2528" ht="22.5" customHeight="1">
      <c r="Q2528" s="9" t="s">
        <v>2566</v>
      </c>
      <c r="R2528" s="10">
        <v>0.6111805140473187</v>
      </c>
      <c r="S2528" s="10">
        <v>0.027520020485529983</v>
      </c>
      <c r="T2528" s="10">
        <v>20.755090438528022</v>
      </c>
      <c r="U2528" s="11">
        <v>0.2031388681776536</v>
      </c>
      <c r="V2528" s="11">
        <v>0.21924917670476518</v>
      </c>
      <c r="W2528" s="11">
        <v>0.12486169904053539</v>
      </c>
      <c r="X2528" s="11">
        <v>0.11399534430442229</v>
      </c>
      <c r="Y2528" s="11">
        <v>0.24781037522071017</v>
      </c>
      <c r="Z2528" s="11">
        <v>0.09094453655191323</v>
      </c>
    </row>
    <row r="2529" ht="22.5" customHeight="1">
      <c r="Q2529" s="9" t="s">
        <v>2567</v>
      </c>
      <c r="R2529" s="10">
        <v>0.7266242257914989</v>
      </c>
      <c r="S2529" s="10">
        <v>0.03308250367789663</v>
      </c>
      <c r="T2529" s="10">
        <v>20.754905144928685</v>
      </c>
      <c r="U2529" s="11">
        <v>0.16846183067450765</v>
      </c>
      <c r="V2529" s="11">
        <v>0.19186160686784162</v>
      </c>
      <c r="W2529" s="11">
        <v>0.235309727367258</v>
      </c>
      <c r="X2529" s="11">
        <v>0.19818138605875055</v>
      </c>
      <c r="Y2529" s="11">
        <v>0.16511706665835035</v>
      </c>
      <c r="Z2529" s="11">
        <v>0.04106838237329182</v>
      </c>
    </row>
    <row r="2530" ht="22.5" customHeight="1">
      <c r="Q2530" s="9" t="s">
        <v>2568</v>
      </c>
      <c r="R2530" s="10">
        <v>0.7224681799397987</v>
      </c>
      <c r="S2530" s="10">
        <v>0.0328834869153909</v>
      </c>
      <c r="T2530" s="10">
        <v>20.75413053657561</v>
      </c>
      <c r="U2530" s="11">
        <v>0.08615508349550816</v>
      </c>
      <c r="V2530" s="11">
        <v>0.1726339609128969</v>
      </c>
      <c r="W2530" s="11">
        <v>0.24382631844534602</v>
      </c>
      <c r="X2530" s="11">
        <v>0.28295522902228326</v>
      </c>
      <c r="Y2530" s="11">
        <v>0.1889624853097079</v>
      </c>
      <c r="Z2530" s="11">
        <v>0.025466922814257702</v>
      </c>
    </row>
    <row r="2531" ht="22.5" customHeight="1">
      <c r="Q2531" s="9" t="s">
        <v>2569</v>
      </c>
      <c r="R2531" s="10">
        <v>0.6539808776951872</v>
      </c>
      <c r="S2531" s="10">
        <v>0.029584097032150695</v>
      </c>
      <c r="T2531" s="10">
        <v>20.753747428151677</v>
      </c>
      <c r="U2531" s="11">
        <v>0.18217387279749025</v>
      </c>
      <c r="V2531" s="11">
        <v>0.1864880842595503</v>
      </c>
      <c r="W2531" s="11">
        <v>0.20083817054292516</v>
      </c>
      <c r="X2531" s="11">
        <v>0.1428119418385549</v>
      </c>
      <c r="Y2531" s="11">
        <v>0.07323445061104407</v>
      </c>
      <c r="Z2531" s="11">
        <v>0.21445347995043532</v>
      </c>
    </row>
    <row r="2532" ht="22.5" customHeight="1">
      <c r="Q2532" s="9" t="s">
        <v>2570</v>
      </c>
      <c r="R2532" s="10">
        <v>0.6841096418175253</v>
      </c>
      <c r="S2532" s="10">
        <v>0.031035898798797267</v>
      </c>
      <c r="T2532" s="10">
        <v>20.75369706523487</v>
      </c>
      <c r="U2532" s="11">
        <v>0.08709857671404016</v>
      </c>
      <c r="V2532" s="11">
        <v>0.2021424134066679</v>
      </c>
      <c r="W2532" s="11">
        <v>0.2054820029446286</v>
      </c>
      <c r="X2532" s="11">
        <v>0.14550489358442983</v>
      </c>
      <c r="Y2532" s="11">
        <v>0.15407640631754535</v>
      </c>
      <c r="Z2532" s="11">
        <v>0.20569570703268816</v>
      </c>
    </row>
    <row r="2533" ht="22.5" customHeight="1">
      <c r="Q2533" s="9" t="s">
        <v>2571</v>
      </c>
      <c r="R2533" s="10">
        <v>0.753580157762413</v>
      </c>
      <c r="S2533" s="10">
        <v>0.034385192551490536</v>
      </c>
      <c r="T2533" s="10">
        <v>20.75254215005059</v>
      </c>
      <c r="U2533" s="11">
        <v>0.21357824619649646</v>
      </c>
      <c r="V2533" s="11">
        <v>0.22686771268305364</v>
      </c>
      <c r="W2533" s="11">
        <v>0.22660177312454416</v>
      </c>
      <c r="X2533" s="11">
        <v>0.1858145453724268</v>
      </c>
      <c r="Y2533" s="11">
        <v>0.042403216457571336</v>
      </c>
      <c r="Z2533" s="11">
        <v>0.10473450616590761</v>
      </c>
    </row>
    <row r="2534" ht="22.5" customHeight="1">
      <c r="Q2534" s="9" t="s">
        <v>2572</v>
      </c>
      <c r="R2534" s="10">
        <v>0.8613914977019249</v>
      </c>
      <c r="S2534" s="10">
        <v>0.03958030680346345</v>
      </c>
      <c r="T2534" s="10">
        <v>20.75252983208431</v>
      </c>
      <c r="U2534" s="11">
        <v>0.13975785023156215</v>
      </c>
      <c r="V2534" s="11">
        <v>0.2636515561360527</v>
      </c>
      <c r="W2534" s="11">
        <v>0.25952174876716677</v>
      </c>
      <c r="X2534" s="11">
        <v>0.27693262894810833</v>
      </c>
      <c r="Y2534" s="11">
        <v>0.0382346116343095</v>
      </c>
      <c r="Z2534" s="11">
        <v>0.02190160428280045</v>
      </c>
    </row>
    <row r="2535" ht="22.5" customHeight="1">
      <c r="Q2535" s="9" t="s">
        <v>2573</v>
      </c>
      <c r="R2535" s="10">
        <v>0.4527810172816574</v>
      </c>
      <c r="S2535" s="10">
        <v>0.019890642780151385</v>
      </c>
      <c r="T2535" s="10">
        <v>20.75252277385255</v>
      </c>
      <c r="U2535" s="11">
        <v>0.03567616819510981</v>
      </c>
      <c r="V2535" s="11">
        <v>0.12412707918056168</v>
      </c>
      <c r="W2535" s="11">
        <v>0.11691466426257208</v>
      </c>
      <c r="X2535" s="11">
        <v>0.06688123611831526</v>
      </c>
      <c r="Y2535" s="11">
        <v>0.33719999913096294</v>
      </c>
      <c r="Z2535" s="11">
        <v>0.3192008531124783</v>
      </c>
    </row>
    <row r="2536" ht="22.5" customHeight="1">
      <c r="Q2536" s="9" t="s">
        <v>2574</v>
      </c>
      <c r="R2536" s="10">
        <v>0.8335080359714591</v>
      </c>
      <c r="S2536" s="10">
        <v>0.038236925015372</v>
      </c>
      <c r="T2536" s="10">
        <v>20.752401916536257</v>
      </c>
      <c r="U2536" s="11">
        <v>0.13629705254887445</v>
      </c>
      <c r="V2536" s="11">
        <v>0.26628044816956137</v>
      </c>
      <c r="W2536" s="11">
        <v>0.23929401713020562</v>
      </c>
      <c r="X2536" s="11">
        <v>0.21823319313336315</v>
      </c>
      <c r="Y2536" s="11">
        <v>0.10610863744118504</v>
      </c>
      <c r="Z2536" s="11">
        <v>0.033786651576810385</v>
      </c>
    </row>
    <row r="2537" ht="22.5" customHeight="1">
      <c r="Q2537" s="9" t="s">
        <v>2575</v>
      </c>
      <c r="R2537" s="10">
        <v>0.6766312448830226</v>
      </c>
      <c r="S2537" s="10">
        <v>0.0306775770718389</v>
      </c>
      <c r="T2537" s="10">
        <v>20.75233136542035</v>
      </c>
      <c r="U2537" s="11">
        <v>0.24672510768522316</v>
      </c>
      <c r="V2537" s="11">
        <v>0.2122440152547406</v>
      </c>
      <c r="W2537" s="11">
        <v>0.19142708471285366</v>
      </c>
      <c r="X2537" s="11">
        <v>0.12814079898398134</v>
      </c>
      <c r="Y2537" s="11">
        <v>0.03921344689402997</v>
      </c>
      <c r="Z2537" s="11">
        <v>0.18224954646917133</v>
      </c>
    </row>
    <row r="2538" ht="22.5" customHeight="1">
      <c r="Q2538" s="9" t="s">
        <v>2576</v>
      </c>
      <c r="R2538" s="10">
        <v>0.6532066361356481</v>
      </c>
      <c r="S2538" s="10">
        <v>0.0295498208255838</v>
      </c>
      <c r="T2538" s="10">
        <v>20.751619434685125</v>
      </c>
      <c r="U2538" s="11">
        <v>0.2035189431656907</v>
      </c>
      <c r="V2538" s="11">
        <v>0.13942348414431396</v>
      </c>
      <c r="W2538" s="11">
        <v>0.22701368666792068</v>
      </c>
      <c r="X2538" s="11">
        <v>0.31810373286656984</v>
      </c>
      <c r="Y2538" s="11">
        <v>0.04677674588916511</v>
      </c>
      <c r="Z2538" s="11">
        <v>0.06516340726633982</v>
      </c>
    </row>
    <row r="2539" ht="22.5" customHeight="1">
      <c r="Q2539" s="9" t="s">
        <v>2577</v>
      </c>
      <c r="R2539" s="10">
        <v>0.719445594428514</v>
      </c>
      <c r="S2539" s="10">
        <v>0.03274197418518565</v>
      </c>
      <c r="T2539" s="10">
        <v>20.751515793935667</v>
      </c>
      <c r="U2539" s="11">
        <v>0.3261125878297398</v>
      </c>
      <c r="V2539" s="11">
        <v>0.2502077547552861</v>
      </c>
      <c r="W2539" s="11">
        <v>0.1754927880235429</v>
      </c>
      <c r="X2539" s="11">
        <v>0.1589052897015887</v>
      </c>
      <c r="Y2539" s="11">
        <v>0.028109166009443475</v>
      </c>
      <c r="Z2539" s="11">
        <v>0.061172413680399135</v>
      </c>
    </row>
    <row r="2540" ht="22.5" customHeight="1">
      <c r="Q2540" s="9" t="s">
        <v>2578</v>
      </c>
      <c r="R2540" s="10">
        <v>0.6033913236608051</v>
      </c>
      <c r="S2540" s="10">
        <v>0.02714961798240264</v>
      </c>
      <c r="T2540" s="10">
        <v>20.75135362957866</v>
      </c>
      <c r="U2540" s="11">
        <v>0.18988750906430976</v>
      </c>
      <c r="V2540" s="11">
        <v>0.21108844743258268</v>
      </c>
      <c r="W2540" s="11">
        <v>0.14105005929913017</v>
      </c>
      <c r="X2540" s="11">
        <v>0.12267898569376337</v>
      </c>
      <c r="Y2540" s="11">
        <v>0.05934229067508573</v>
      </c>
      <c r="Z2540" s="11">
        <v>0.2759527078351284</v>
      </c>
    </row>
    <row r="2541" ht="22.5" customHeight="1">
      <c r="Q2541" s="9" t="s">
        <v>2579</v>
      </c>
      <c r="R2541" s="10">
        <v>0.7080618793404435</v>
      </c>
      <c r="S2541" s="10">
        <v>0.032194904057954374</v>
      </c>
      <c r="T2541" s="10">
        <v>20.750547295865783</v>
      </c>
      <c r="U2541" s="11">
        <v>0.1524015330732499</v>
      </c>
      <c r="V2541" s="11">
        <v>0.2659883636198028</v>
      </c>
      <c r="W2541" s="11">
        <v>0.14235769100485623</v>
      </c>
      <c r="X2541" s="11">
        <v>0.23895310976233078</v>
      </c>
      <c r="Y2541" s="11">
        <v>0.12272381973476927</v>
      </c>
      <c r="Z2541" s="11">
        <v>0.07757548280499098</v>
      </c>
    </row>
    <row r="2542" ht="22.5" customHeight="1">
      <c r="Q2542" s="9" t="s">
        <v>2580</v>
      </c>
      <c r="R2542" s="10">
        <v>0.6226091160080811</v>
      </c>
      <c r="S2542" s="10">
        <v>0.02807763958871202</v>
      </c>
      <c r="T2542" s="10">
        <v>20.749932136115383</v>
      </c>
      <c r="U2542" s="11">
        <v>0.004271887530710537</v>
      </c>
      <c r="V2542" s="11">
        <v>0.12714122919571152</v>
      </c>
      <c r="W2542" s="11">
        <v>0.21611758248741691</v>
      </c>
      <c r="X2542" s="11">
        <v>0.3994753374975298</v>
      </c>
      <c r="Y2542" s="11">
        <v>0.06325618900889293</v>
      </c>
      <c r="Z2542" s="11">
        <v>0.18973777427973823</v>
      </c>
    </row>
    <row r="2543" ht="22.5" customHeight="1">
      <c r="Q2543" s="9" t="s">
        <v>2581</v>
      </c>
      <c r="R2543" s="10">
        <v>0.522331348251574</v>
      </c>
      <c r="S2543" s="10">
        <v>0.02664225196961823</v>
      </c>
      <c r="T2543" s="10">
        <v>20.749874545095697</v>
      </c>
      <c r="U2543" s="11">
        <v>0.3918549734305114</v>
      </c>
      <c r="V2543" s="11">
        <v>0.12802647086508637</v>
      </c>
      <c r="W2543" s="11">
        <v>0.19917848253695486</v>
      </c>
      <c r="X2543" s="11">
        <v>0.2121980995205598</v>
      </c>
      <c r="Y2543" s="11">
        <v>0.036570906234746146</v>
      </c>
      <c r="Z2543" s="11">
        <v>0.03217106741214135</v>
      </c>
    </row>
    <row r="2544" ht="22.5" customHeight="1">
      <c r="Q2544" s="9" t="s">
        <v>2582</v>
      </c>
      <c r="R2544" s="10">
        <v>0.6858053318179286</v>
      </c>
      <c r="S2544" s="10">
        <v>0.031123365210665402</v>
      </c>
      <c r="T2544" s="10">
        <v>20.7498555328658</v>
      </c>
      <c r="U2544" s="11">
        <v>0.19097569361582628</v>
      </c>
      <c r="V2544" s="11">
        <v>0.19394328506182024</v>
      </c>
      <c r="W2544" s="11">
        <v>0.21298523035710254</v>
      </c>
      <c r="X2544" s="11">
        <v>0.15086867722055733</v>
      </c>
      <c r="Y2544" s="11">
        <v>0.09929703579490036</v>
      </c>
      <c r="Z2544" s="11">
        <v>0.15193007794979307</v>
      </c>
    </row>
    <row r="2545" ht="22.5" customHeight="1">
      <c r="Q2545" s="9" t="s">
        <v>2583</v>
      </c>
      <c r="R2545" s="10">
        <v>0.4466874038401341</v>
      </c>
      <c r="S2545" s="10">
        <v>0.01959982228087085</v>
      </c>
      <c r="T2545" s="10">
        <v>20.74954548118813</v>
      </c>
      <c r="U2545" s="11">
        <v>0.019019555489036114</v>
      </c>
      <c r="V2545" s="11">
        <v>0.16724823976132447</v>
      </c>
      <c r="W2545" s="11">
        <v>0.051001832427671104</v>
      </c>
      <c r="X2545" s="11">
        <v>0.29336258468491255</v>
      </c>
      <c r="Y2545" s="11">
        <v>0.1567886598508317</v>
      </c>
      <c r="Z2545" s="11">
        <v>0.31257912778622404</v>
      </c>
    </row>
    <row r="2546" ht="22.5" customHeight="1">
      <c r="Q2546" s="9" t="s">
        <v>2584</v>
      </c>
      <c r="R2546" s="10">
        <v>0.5202367521835907</v>
      </c>
      <c r="S2546" s="10">
        <v>0.0231448568998975</v>
      </c>
      <c r="T2546" s="10">
        <v>20.74917785236847</v>
      </c>
      <c r="U2546" s="11">
        <v>0.18238992235751622</v>
      </c>
      <c r="V2546" s="11">
        <v>0.09821449937405681</v>
      </c>
      <c r="W2546" s="11">
        <v>0.17815642558994782</v>
      </c>
      <c r="X2546" s="11">
        <v>0.2227150193589805</v>
      </c>
      <c r="Y2546" s="11">
        <v>0.15729018288668917</v>
      </c>
      <c r="Z2546" s="11">
        <v>0.16123395043280944</v>
      </c>
    </row>
    <row r="2547" ht="22.5" customHeight="1">
      <c r="Q2547" s="9" t="s">
        <v>2585</v>
      </c>
      <c r="R2547" s="10">
        <v>0.522331348251574</v>
      </c>
      <c r="S2547" s="10">
        <v>0.024654692825210926</v>
      </c>
      <c r="T2547" s="10">
        <v>20.74847858839161</v>
      </c>
      <c r="U2547" s="11">
        <v>0.10676080883964108</v>
      </c>
      <c r="V2547" s="11">
        <v>0.21161579002525768</v>
      </c>
      <c r="W2547" s="11">
        <v>0.06409686772879697</v>
      </c>
      <c r="X2547" s="11">
        <v>0.37411930562945706</v>
      </c>
      <c r="Y2547" s="11">
        <v>0.18397231243684983</v>
      </c>
      <c r="Z2547" s="11">
        <v>0.05943491533999737</v>
      </c>
    </row>
    <row r="2548" ht="22.5" customHeight="1">
      <c r="Q2548" s="9" t="s">
        <v>2586</v>
      </c>
      <c r="R2548" s="10">
        <v>0.6807640070644387</v>
      </c>
      <c r="S2548" s="10">
        <v>0.03088253558181236</v>
      </c>
      <c r="T2548" s="10">
        <v>20.748426092377063</v>
      </c>
      <c r="U2548" s="11">
        <v>0.21647530948820642</v>
      </c>
      <c r="V2548" s="11">
        <v>0.20939959716268122</v>
      </c>
      <c r="W2548" s="11">
        <v>0.19599075280757036</v>
      </c>
      <c r="X2548" s="11">
        <v>0.11031594453698552</v>
      </c>
      <c r="Y2548" s="11">
        <v>0.11422908228999615</v>
      </c>
      <c r="Z2548" s="11">
        <v>0.15358931371456025</v>
      </c>
    </row>
    <row r="2549" ht="22.5" customHeight="1">
      <c r="Q2549" s="9" t="s">
        <v>2587</v>
      </c>
      <c r="R2549" s="10">
        <v>0.6972514209021301</v>
      </c>
      <c r="S2549" s="10">
        <v>0.03167723771476488</v>
      </c>
      <c r="T2549" s="10">
        <v>20.748381750337487</v>
      </c>
      <c r="U2549" s="11">
        <v>0.0043836725730328615</v>
      </c>
      <c r="V2549" s="11">
        <v>0.2341161805947813</v>
      </c>
      <c r="W2549" s="11">
        <v>0.1822570550290881</v>
      </c>
      <c r="X2549" s="11">
        <v>0.15756947256831605</v>
      </c>
      <c r="Y2549" s="11">
        <v>0.18444623685537004</v>
      </c>
      <c r="Z2549" s="11">
        <v>0.2372273823794117</v>
      </c>
    </row>
    <row r="2550" ht="22.5" customHeight="1">
      <c r="Q2550" s="9" t="s">
        <v>2588</v>
      </c>
      <c r="R2550" s="10">
        <v>0.7643541949353996</v>
      </c>
      <c r="S2550" s="10">
        <v>0.03491144044053015</v>
      </c>
      <c r="T2550" s="10">
        <v>20.74833309067553</v>
      </c>
      <c r="U2550" s="11">
        <v>0.008879061949840575</v>
      </c>
      <c r="V2550" s="11">
        <v>0.2477806201478247</v>
      </c>
      <c r="W2550" s="11">
        <v>0.21125809914345176</v>
      </c>
      <c r="X2550" s="11">
        <v>0.17977413405440643</v>
      </c>
      <c r="Y2550" s="11">
        <v>0.22349457071525794</v>
      </c>
      <c r="Z2550" s="11">
        <v>0.1288135139892186</v>
      </c>
    </row>
    <row r="2551" ht="22.5" customHeight="1">
      <c r="Q2551" s="9" t="s">
        <v>2589</v>
      </c>
      <c r="R2551" s="10">
        <v>0.7587034729622653</v>
      </c>
      <c r="S2551" s="10">
        <v>0.0346392511836106</v>
      </c>
      <c r="T2551" s="10">
        <v>20.74823930669484</v>
      </c>
      <c r="U2551" s="11">
        <v>0.1385097278309327</v>
      </c>
      <c r="V2551" s="11">
        <v>0.22695048716626526</v>
      </c>
      <c r="W2551" s="11">
        <v>0.2280631066382832</v>
      </c>
      <c r="X2551" s="11">
        <v>0.16581467320692211</v>
      </c>
      <c r="Y2551" s="11">
        <v>0.16502843385015276</v>
      </c>
      <c r="Z2551" s="11">
        <v>0.07563357130744414</v>
      </c>
    </row>
    <row r="2552" ht="22.5" customHeight="1">
      <c r="Q2552" s="9" t="s">
        <v>2590</v>
      </c>
      <c r="R2552" s="10">
        <v>0.522331348251574</v>
      </c>
      <c r="S2552" s="10">
        <v>0.019318146313322865</v>
      </c>
      <c r="T2552" s="10">
        <v>20.74822114072517</v>
      </c>
      <c r="U2552" s="11">
        <v>0.2003429891823472</v>
      </c>
      <c r="V2552" s="11">
        <v>0.15502513783889574</v>
      </c>
      <c r="W2552" s="11">
        <v>0.04162052819922676</v>
      </c>
      <c r="X2552" s="11">
        <v>0.2704511709388904</v>
      </c>
      <c r="Y2552" s="11">
        <v>0.30834731389545994</v>
      </c>
      <c r="Z2552" s="11">
        <v>0.024212859945179976</v>
      </c>
    </row>
    <row r="2553" ht="22.5" customHeight="1">
      <c r="Q2553" s="9" t="s">
        <v>2591</v>
      </c>
      <c r="R2553" s="10">
        <v>0.7450210145194031</v>
      </c>
      <c r="S2553" s="10">
        <v>0.0339799662952249</v>
      </c>
      <c r="T2553" s="10">
        <v>20.748137546518915</v>
      </c>
      <c r="U2553" s="11">
        <v>0.26317336700779587</v>
      </c>
      <c r="V2553" s="11">
        <v>0.26132209175792753</v>
      </c>
      <c r="W2553" s="11">
        <v>0.1788103859481376</v>
      </c>
      <c r="X2553" s="11">
        <v>0.14780177018349608</v>
      </c>
      <c r="Y2553" s="11">
        <v>0.14768994874106764</v>
      </c>
      <c r="Z2553" s="11">
        <v>0.0012024363615752238</v>
      </c>
    </row>
    <row r="2554" ht="22.5" customHeight="1">
      <c r="Q2554" s="9" t="s">
        <v>2592</v>
      </c>
      <c r="R2554" s="10">
        <v>0.7120215133090505</v>
      </c>
      <c r="S2554" s="10">
        <v>0.03238978753692513</v>
      </c>
      <c r="T2554" s="10">
        <v>20.74794447302039</v>
      </c>
      <c r="U2554" s="11">
        <v>0.07469117679530064</v>
      </c>
      <c r="V2554" s="11">
        <v>0.19376583606563566</v>
      </c>
      <c r="W2554" s="11">
        <v>0.22690574737681593</v>
      </c>
      <c r="X2554" s="11">
        <v>0.1925567071781925</v>
      </c>
      <c r="Y2554" s="11">
        <v>0.18559991969515832</v>
      </c>
      <c r="Z2554" s="11">
        <v>0.12648061288889695</v>
      </c>
    </row>
    <row r="2555" ht="22.5" customHeight="1">
      <c r="Q2555" s="9" t="s">
        <v>2593</v>
      </c>
      <c r="R2555" s="10">
        <v>0.6940890867321304</v>
      </c>
      <c r="S2555" s="10">
        <v>0.03152609808343216</v>
      </c>
      <c r="T2555" s="10">
        <v>20.747543352847476</v>
      </c>
      <c r="U2555" s="11">
        <v>0.034012542776049044</v>
      </c>
      <c r="V2555" s="11">
        <v>0.2068665736855216</v>
      </c>
      <c r="W2555" s="11">
        <v>0.20692505032069336</v>
      </c>
      <c r="X2555" s="11">
        <v>0.15432588986301057</v>
      </c>
      <c r="Y2555" s="11">
        <v>0.19031351251799897</v>
      </c>
      <c r="Z2555" s="11">
        <v>0.2075564308367263</v>
      </c>
    </row>
    <row r="2556" ht="22.5" customHeight="1">
      <c r="Q2556" s="9" t="s">
        <v>2594</v>
      </c>
      <c r="R2556" s="10">
        <v>0.8416307508614346</v>
      </c>
      <c r="S2556" s="10">
        <v>0.03863761581117007</v>
      </c>
      <c r="T2556" s="10">
        <v>20.747417614460684</v>
      </c>
      <c r="U2556" s="11">
        <v>0.0539114178053016</v>
      </c>
      <c r="V2556" s="11">
        <v>0.2725574987327798</v>
      </c>
      <c r="W2556" s="11">
        <v>0.23933256930119523</v>
      </c>
      <c r="X2556" s="11">
        <v>0.2530715910155152</v>
      </c>
      <c r="Y2556" s="11">
        <v>0.09483553077752238</v>
      </c>
      <c r="Z2556" s="11">
        <v>0.08629139236768578</v>
      </c>
    </row>
    <row r="2557" ht="22.5" customHeight="1">
      <c r="Q2557" s="9" t="s">
        <v>2595</v>
      </c>
      <c r="R2557" s="10">
        <v>0.7707992606169471</v>
      </c>
      <c r="S2557" s="10">
        <v>0.035223648989315084</v>
      </c>
      <c r="T2557" s="10">
        <v>20.747403565105685</v>
      </c>
      <c r="U2557" s="11">
        <v>0.07445529401335545</v>
      </c>
      <c r="V2557" s="11">
        <v>0.2769134463747312</v>
      </c>
      <c r="W2557" s="11">
        <v>0.18426826769612367</v>
      </c>
      <c r="X2557" s="11">
        <v>0.2792551106557843</v>
      </c>
      <c r="Y2557" s="11">
        <v>0.00897204231913008</v>
      </c>
      <c r="Z2557" s="11">
        <v>0.1761358389408752</v>
      </c>
    </row>
    <row r="2558" ht="22.5" customHeight="1">
      <c r="Q2558" s="9" t="s">
        <v>2596</v>
      </c>
      <c r="R2558" s="10">
        <v>0.5390690701562801</v>
      </c>
      <c r="S2558" s="10">
        <v>0.024054539540572406</v>
      </c>
      <c r="T2558" s="10">
        <v>20.747396528397825</v>
      </c>
      <c r="U2558" s="11">
        <v>0.09421454459426758</v>
      </c>
      <c r="V2558" s="11">
        <v>0.16377768906339485</v>
      </c>
      <c r="W2558" s="11">
        <v>0.13293898224848977</v>
      </c>
      <c r="X2558" s="11">
        <v>0.061393582540816526</v>
      </c>
      <c r="Y2558" s="11">
        <v>0.38434909103125786</v>
      </c>
      <c r="Z2558" s="11">
        <v>0.16332611052177354</v>
      </c>
    </row>
    <row r="2559" ht="22.5" customHeight="1">
      <c r="Q2559" s="9" t="s">
        <v>2597</v>
      </c>
      <c r="R2559" s="10">
        <v>0.5808504323596765</v>
      </c>
      <c r="S2559" s="10">
        <v>0.02606947532719744</v>
      </c>
      <c r="T2559" s="10">
        <v>20.746502396825175</v>
      </c>
      <c r="U2559" s="11">
        <v>0.24233204572996592</v>
      </c>
      <c r="V2559" s="11">
        <v>0.13277311922921145</v>
      </c>
      <c r="W2559" s="11">
        <v>0.19248363841480381</v>
      </c>
      <c r="X2559" s="11">
        <v>0.1554651252458811</v>
      </c>
      <c r="Y2559" s="11">
        <v>0.1541117789978621</v>
      </c>
      <c r="Z2559" s="11">
        <v>0.12283429238227563</v>
      </c>
    </row>
    <row r="2560" ht="22.5" customHeight="1">
      <c r="Q2560" s="9" t="s">
        <v>2598</v>
      </c>
      <c r="R2560" s="10">
        <v>0.31782073604738437</v>
      </c>
      <c r="S2560" s="10">
        <v>0.013391390801355443</v>
      </c>
      <c r="T2560" s="10">
        <v>20.746219729414815</v>
      </c>
      <c r="U2560" s="11">
        <v>0.2684438867770878</v>
      </c>
      <c r="V2560" s="11">
        <v>0.0969034459279517</v>
      </c>
      <c r="W2560" s="11">
        <v>0.029828508492867986</v>
      </c>
      <c r="X2560" s="11">
        <v>0.17582263631860312</v>
      </c>
      <c r="Y2560" s="11">
        <v>0.18778053913552056</v>
      </c>
      <c r="Z2560" s="11">
        <v>0.2412209833479688</v>
      </c>
    </row>
    <row r="2561" ht="22.5" customHeight="1">
      <c r="Q2561" s="9" t="s">
        <v>2599</v>
      </c>
      <c r="R2561" s="10">
        <v>0.5748890170563992</v>
      </c>
      <c r="S2561" s="10">
        <v>0.02578372563835157</v>
      </c>
      <c r="T2561" s="10">
        <v>20.745218303936163</v>
      </c>
      <c r="U2561" s="11">
        <v>0.20809538231017452</v>
      </c>
      <c r="V2561" s="11">
        <v>0.20115484061352798</v>
      </c>
      <c r="W2561" s="11">
        <v>0.11917216878973967</v>
      </c>
      <c r="X2561" s="11">
        <v>0.08303185116196427</v>
      </c>
      <c r="Y2561" s="11">
        <v>0.27275948300018266</v>
      </c>
      <c r="Z2561" s="11">
        <v>0.11578627412441088</v>
      </c>
    </row>
    <row r="2562" ht="22.5" customHeight="1">
      <c r="Q2562" s="9" t="s">
        <v>2600</v>
      </c>
      <c r="R2562" s="10">
        <v>0.47751216699999366</v>
      </c>
      <c r="S2562" s="10">
        <v>0.02108980504753939</v>
      </c>
      <c r="T2562" s="10">
        <v>20.745197312814398</v>
      </c>
      <c r="U2562" s="11">
        <v>0.22880448542675788</v>
      </c>
      <c r="V2562" s="11">
        <v>0.0970768511219715</v>
      </c>
      <c r="W2562" s="11">
        <v>0.15587195505624063</v>
      </c>
      <c r="X2562" s="11">
        <v>0.13724556174447247</v>
      </c>
      <c r="Y2562" s="11">
        <v>0.16983664552121586</v>
      </c>
      <c r="Z2562" s="11">
        <v>0.2111645011293417</v>
      </c>
    </row>
    <row r="2563" ht="22.5" customHeight="1">
      <c r="Q2563" s="9" t="s">
        <v>2601</v>
      </c>
      <c r="R2563" s="10">
        <v>0.44175121265256734</v>
      </c>
      <c r="S2563" s="10">
        <v>0.019366038168669178</v>
      </c>
      <c r="T2563" s="10">
        <v>20.745142044722897</v>
      </c>
      <c r="U2563" s="11">
        <v>0.22198950066808015</v>
      </c>
      <c r="V2563" s="11">
        <v>0.16315091886397323</v>
      </c>
      <c r="W2563" s="11">
        <v>0.054066987314223575</v>
      </c>
      <c r="X2563" s="11">
        <v>0.19657323912219415</v>
      </c>
      <c r="Y2563" s="11">
        <v>0.1500756619747904</v>
      </c>
      <c r="Z2563" s="11">
        <v>0.2141436920567385</v>
      </c>
    </row>
    <row r="2564" ht="22.5" customHeight="1">
      <c r="Q2564" s="9" t="s">
        <v>2602</v>
      </c>
      <c r="R2564" s="10">
        <v>0.31069709539106927</v>
      </c>
      <c r="S2564" s="10">
        <v>0.013049015990647773</v>
      </c>
      <c r="T2564" s="10">
        <v>20.74463665191903</v>
      </c>
      <c r="U2564" s="11">
        <v>0.34597839379304385</v>
      </c>
      <c r="V2564" s="11">
        <v>0.08993025611338913</v>
      </c>
      <c r="W2564" s="11">
        <v>0.02337265132539722</v>
      </c>
      <c r="X2564" s="11">
        <v>0.3031579140766465</v>
      </c>
      <c r="Y2564" s="11">
        <v>0.01422567737884581</v>
      </c>
      <c r="Z2564" s="11">
        <v>0.2233351073126776</v>
      </c>
    </row>
    <row r="2565" ht="22.5" customHeight="1">
      <c r="Q2565" s="9" t="s">
        <v>2603</v>
      </c>
      <c r="R2565" s="10">
        <v>0.6112853705603951</v>
      </c>
      <c r="S2565" s="10">
        <v>0.027539348548775714</v>
      </c>
      <c r="T2565" s="10">
        <v>20.74433131737214</v>
      </c>
      <c r="U2565" s="11">
        <v>0.13638221127509598</v>
      </c>
      <c r="V2565" s="11">
        <v>0.18238972267048634</v>
      </c>
      <c r="W2565" s="11">
        <v>0.17078929273925142</v>
      </c>
      <c r="X2565" s="11">
        <v>0.06673132495966275</v>
      </c>
      <c r="Y2565" s="11">
        <v>0.2858678198443519</v>
      </c>
      <c r="Z2565" s="11">
        <v>0.15783962851115163</v>
      </c>
    </row>
    <row r="2566" ht="22.5" customHeight="1">
      <c r="Q2566" s="9" t="s">
        <v>2604</v>
      </c>
      <c r="R2566" s="10">
        <v>0.4529397153893421</v>
      </c>
      <c r="S2566" s="10">
        <v>0.01990624906819226</v>
      </c>
      <c r="T2566" s="10">
        <v>20.74422529200486</v>
      </c>
      <c r="U2566" s="11">
        <v>0.34173745626543206</v>
      </c>
      <c r="V2566" s="11">
        <v>0.13553327500529597</v>
      </c>
      <c r="W2566" s="11">
        <v>0.10347968100211677</v>
      </c>
      <c r="X2566" s="11">
        <v>0.024402122117564307</v>
      </c>
      <c r="Y2566" s="11">
        <v>0.2091388922819521</v>
      </c>
      <c r="Z2566" s="11">
        <v>0.18570857332763874</v>
      </c>
    </row>
    <row r="2567" ht="22.5" customHeight="1">
      <c r="Q2567" s="9" t="s">
        <v>2605</v>
      </c>
      <c r="R2567" s="10">
        <v>0.6100032283478447</v>
      </c>
      <c r="S2567" s="10">
        <v>0.027477847650920623</v>
      </c>
      <c r="T2567" s="10">
        <v>20.744100323620042</v>
      </c>
      <c r="U2567" s="11">
        <v>0.1520331603582201</v>
      </c>
      <c r="V2567" s="11">
        <v>0.2165099832816002</v>
      </c>
      <c r="W2567" s="11">
        <v>0.1266249706383841</v>
      </c>
      <c r="X2567" s="11">
        <v>0.11047518204274037</v>
      </c>
      <c r="Y2567" s="11">
        <v>0.2955196423039789</v>
      </c>
      <c r="Z2567" s="11">
        <v>0.0988370613750765</v>
      </c>
    </row>
    <row r="2568" ht="22.5" customHeight="1">
      <c r="Q2568" s="9" t="s">
        <v>2606</v>
      </c>
      <c r="R2568" s="10">
        <v>0.522331348251574</v>
      </c>
      <c r="S2568" s="10">
        <v>0.029728213360122196</v>
      </c>
      <c r="T2568" s="10">
        <v>20.74356280155074</v>
      </c>
      <c r="U2568" s="11">
        <v>0.17648766715361772</v>
      </c>
      <c r="V2568" s="11">
        <v>0.1550361567105572</v>
      </c>
      <c r="W2568" s="11">
        <v>0.2202249550831368</v>
      </c>
      <c r="X2568" s="11">
        <v>0.20564204699578253</v>
      </c>
      <c r="Y2568" s="11">
        <v>0.17589704105147916</v>
      </c>
      <c r="Z2568" s="11">
        <v>0.06671213300542672</v>
      </c>
    </row>
    <row r="2569" ht="22.5" customHeight="1">
      <c r="Q2569" s="9" t="s">
        <v>2607</v>
      </c>
      <c r="R2569" s="10">
        <v>0.6997937635680372</v>
      </c>
      <c r="S2569" s="10">
        <v>0.03180724113039798</v>
      </c>
      <c r="T2569" s="10">
        <v>20.743508085568493</v>
      </c>
      <c r="U2569" s="11">
        <v>0.19907821269840364</v>
      </c>
      <c r="V2569" s="11">
        <v>0.20155354751508936</v>
      </c>
      <c r="W2569" s="11">
        <v>0.21451644376938533</v>
      </c>
      <c r="X2569" s="11">
        <v>0.1392568268293375</v>
      </c>
      <c r="Y2569" s="11">
        <v>0.12516337531911467</v>
      </c>
      <c r="Z2569" s="11">
        <v>0.12043159386866957</v>
      </c>
    </row>
    <row r="2570" ht="22.5" customHeight="1">
      <c r="Q2570" s="9" t="s">
        <v>2608</v>
      </c>
      <c r="R2570" s="10">
        <v>0.4139827411190231</v>
      </c>
      <c r="S2570" s="10">
        <v>0.0180294707055815</v>
      </c>
      <c r="T2570" s="10">
        <v>20.74285747075464</v>
      </c>
      <c r="U2570" s="11">
        <v>0.23688927198681428</v>
      </c>
      <c r="V2570" s="11">
        <v>0.05784495436392195</v>
      </c>
      <c r="W2570" s="11">
        <v>0.1382823357612567</v>
      </c>
      <c r="X2570" s="11">
        <v>0.27871649102185664</v>
      </c>
      <c r="Y2570" s="11">
        <v>0.06923110582357542</v>
      </c>
      <c r="Z2570" s="11">
        <v>0.21903584104257498</v>
      </c>
    </row>
    <row r="2571" ht="22.5" customHeight="1">
      <c r="Q2571" s="9" t="s">
        <v>2609</v>
      </c>
      <c r="R2571" s="10">
        <v>0.6923246149335082</v>
      </c>
      <c r="S2571" s="10">
        <v>0.031448461348082414</v>
      </c>
      <c r="T2571" s="10">
        <v>20.742655982858885</v>
      </c>
      <c r="U2571" s="11">
        <v>0.1426362608116783</v>
      </c>
      <c r="V2571" s="11">
        <v>0.20206061578933585</v>
      </c>
      <c r="W2571" s="11">
        <v>0.20630352655087003</v>
      </c>
      <c r="X2571" s="11">
        <v>0.11453597976470259</v>
      </c>
      <c r="Y2571" s="11">
        <v>0.2419744396141074</v>
      </c>
      <c r="Z2571" s="11">
        <v>0.09248917746930588</v>
      </c>
    </row>
    <row r="2572" ht="22.5" customHeight="1">
      <c r="Q2572" s="9" t="s">
        <v>2610</v>
      </c>
      <c r="R2572" s="10">
        <v>0.673789791162877</v>
      </c>
      <c r="S2572" s="10">
        <v>0.03055511537003666</v>
      </c>
      <c r="T2572" s="10">
        <v>20.7425101652338</v>
      </c>
      <c r="U2572" s="11">
        <v>0.20868393585439998</v>
      </c>
      <c r="V2572" s="11">
        <v>0.2092032202945873</v>
      </c>
      <c r="W2572" s="11">
        <v>0.19366828145601883</v>
      </c>
      <c r="X2572" s="11">
        <v>0.13534036282777334</v>
      </c>
      <c r="Y2572" s="11">
        <v>0.038710324693623926</v>
      </c>
      <c r="Z2572" s="11">
        <v>0.21439387487359662</v>
      </c>
    </row>
    <row r="2573" ht="22.5" customHeight="1">
      <c r="Q2573" s="9" t="s">
        <v>2611</v>
      </c>
      <c r="R2573" s="10">
        <v>0.522331348251574</v>
      </c>
      <c r="S2573" s="10">
        <v>0.024378054230567162</v>
      </c>
      <c r="T2573" s="10">
        <v>20.742049917638226</v>
      </c>
      <c r="U2573" s="11">
        <v>0.21024081125385843</v>
      </c>
      <c r="V2573" s="11">
        <v>0.1441782331775261</v>
      </c>
      <c r="W2573" s="11">
        <v>0.16743099122866748</v>
      </c>
      <c r="X2573" s="11">
        <v>0.08750720343729909</v>
      </c>
      <c r="Y2573" s="11">
        <v>0.12663590038936026</v>
      </c>
      <c r="Z2573" s="11">
        <v>0.2640068605132887</v>
      </c>
    </row>
    <row r="2574" ht="22.5" customHeight="1">
      <c r="Q2574" s="9" t="s">
        <v>2612</v>
      </c>
      <c r="R2574" s="10">
        <v>0.8431466241594673</v>
      </c>
      <c r="S2574" s="10">
        <v>0.03872173540794601</v>
      </c>
      <c r="T2574" s="10">
        <v>20.741493522902775</v>
      </c>
      <c r="U2574" s="11">
        <v>0.08841744208445579</v>
      </c>
      <c r="V2574" s="11">
        <v>0.27923106958992616</v>
      </c>
      <c r="W2574" s="11">
        <v>0.23089507209252919</v>
      </c>
      <c r="X2574" s="11">
        <v>0.21332418446279366</v>
      </c>
      <c r="Y2574" s="11">
        <v>0.17660589265797558</v>
      </c>
      <c r="Z2574" s="11">
        <v>0.011526339112319664</v>
      </c>
    </row>
    <row r="2575" ht="22.5" customHeight="1">
      <c r="Q2575" s="9" t="s">
        <v>2613</v>
      </c>
      <c r="R2575" s="10">
        <v>0.7331765537065059</v>
      </c>
      <c r="S2575" s="10">
        <v>0.03342117971786692</v>
      </c>
      <c r="T2575" s="10">
        <v>20.74063691222529</v>
      </c>
      <c r="U2575" s="11">
        <v>0.13483241689555334</v>
      </c>
      <c r="V2575" s="11">
        <v>0.24247446026538408</v>
      </c>
      <c r="W2575" s="11">
        <v>0.20041255169377012</v>
      </c>
      <c r="X2575" s="11">
        <v>0.18990344677104679</v>
      </c>
      <c r="Y2575" s="11">
        <v>0.022118188179251545</v>
      </c>
      <c r="Z2575" s="11">
        <v>0.21025893619499422</v>
      </c>
    </row>
    <row r="2576" ht="22.5" customHeight="1">
      <c r="Q2576" s="9" t="s">
        <v>2614</v>
      </c>
      <c r="R2576" s="10">
        <v>0.6285325065673429</v>
      </c>
      <c r="S2576" s="10">
        <v>0.028376621197349457</v>
      </c>
      <c r="T2576" s="10">
        <v>20.74004873498876</v>
      </c>
      <c r="U2576" s="11">
        <v>0.24319732684533987</v>
      </c>
      <c r="V2576" s="11">
        <v>0.22216241444672455</v>
      </c>
      <c r="W2576" s="11">
        <v>0.1421438965316354</v>
      </c>
      <c r="X2576" s="11">
        <v>0.10474840345567935</v>
      </c>
      <c r="Y2576" s="11">
        <v>0.13167993552451102</v>
      </c>
      <c r="Z2576" s="11">
        <v>0.15606802319610977</v>
      </c>
    </row>
    <row r="2577" ht="22.5" customHeight="1">
      <c r="Q2577" s="9" t="s">
        <v>2615</v>
      </c>
      <c r="R2577" s="10">
        <v>0.522331348251574</v>
      </c>
      <c r="S2577" s="10">
        <v>0.01981547302282564</v>
      </c>
      <c r="T2577" s="10">
        <v>20.739757449232936</v>
      </c>
      <c r="U2577" s="11">
        <v>0.16578734265770803</v>
      </c>
      <c r="V2577" s="11">
        <v>0.08088586428398599</v>
      </c>
      <c r="W2577" s="11">
        <v>0.14651875306679205</v>
      </c>
      <c r="X2577" s="11">
        <v>0.16778884508026934</v>
      </c>
      <c r="Y2577" s="11">
        <v>0.2537317504860854</v>
      </c>
      <c r="Z2577" s="11">
        <v>0.18528744442515901</v>
      </c>
    </row>
    <row r="2578" ht="22.5" customHeight="1">
      <c r="Q2578" s="9" t="s">
        <v>2616</v>
      </c>
      <c r="R2578" s="10">
        <v>0.5463147700808004</v>
      </c>
      <c r="S2578" s="10">
        <v>0.024413673457238726</v>
      </c>
      <c r="T2578" s="10">
        <v>20.738983462182606</v>
      </c>
      <c r="U2578" s="11">
        <v>0.1471130531115891</v>
      </c>
      <c r="V2578" s="11">
        <v>0.12522550366995167</v>
      </c>
      <c r="W2578" s="11">
        <v>0.18112263086084393</v>
      </c>
      <c r="X2578" s="11">
        <v>0.16788334470386007</v>
      </c>
      <c r="Y2578" s="11">
        <v>0.11813190464724647</v>
      </c>
      <c r="Z2578" s="11">
        <v>0.26052356300650875</v>
      </c>
    </row>
    <row r="2579" ht="22.5" customHeight="1">
      <c r="Q2579" s="9" t="s">
        <v>2617</v>
      </c>
      <c r="R2579" s="10">
        <v>0.5376417927886165</v>
      </c>
      <c r="S2579" s="10">
        <v>0.023995614110770547</v>
      </c>
      <c r="T2579" s="10">
        <v>20.738864631318087</v>
      </c>
      <c r="U2579" s="11">
        <v>0.1724877302955341</v>
      </c>
      <c r="V2579" s="11">
        <v>0.20216830162561203</v>
      </c>
      <c r="W2579" s="11">
        <v>0.08161342725033992</v>
      </c>
      <c r="X2579" s="11">
        <v>0.1912337229045576</v>
      </c>
      <c r="Y2579" s="11">
        <v>0.22544412151849022</v>
      </c>
      <c r="Z2579" s="11">
        <v>0.1270526964054661</v>
      </c>
    </row>
    <row r="2580" ht="22.5" customHeight="1">
      <c r="Q2580" s="9" t="s">
        <v>2618</v>
      </c>
      <c r="R2580" s="10">
        <v>0.6474975897994868</v>
      </c>
      <c r="S2580" s="10">
        <v>0.029292985154026036</v>
      </c>
      <c r="T2580" s="10">
        <v>20.73867127591099</v>
      </c>
      <c r="U2580" s="11">
        <v>0.1263343102296751</v>
      </c>
      <c r="V2580" s="11">
        <v>0.1730209107731903</v>
      </c>
      <c r="W2580" s="11">
        <v>0.20612373411267634</v>
      </c>
      <c r="X2580" s="11">
        <v>0.14903848756132568</v>
      </c>
      <c r="Y2580" s="11">
        <v>0.15898663943562216</v>
      </c>
      <c r="Z2580" s="11">
        <v>0.18649591788751047</v>
      </c>
    </row>
    <row r="2581" ht="22.5" customHeight="1">
      <c r="Q2581" s="9" t="s">
        <v>2619</v>
      </c>
      <c r="R2581" s="10">
        <v>0.7398330155592944</v>
      </c>
      <c r="S2581" s="10">
        <v>0.03374544197410694</v>
      </c>
      <c r="T2581" s="10">
        <v>20.73859385502433</v>
      </c>
      <c r="U2581" s="11">
        <v>0.16930323781448076</v>
      </c>
      <c r="V2581" s="11">
        <v>0.24652254306759114</v>
      </c>
      <c r="W2581" s="11">
        <v>0.191706368750903</v>
      </c>
      <c r="X2581" s="11">
        <v>0.11880090063100138</v>
      </c>
      <c r="Y2581" s="11">
        <v>0.25417868508965535</v>
      </c>
      <c r="Z2581" s="11">
        <v>0.019488264646368353</v>
      </c>
    </row>
    <row r="2582" ht="22.5" customHeight="1">
      <c r="Q2582" s="9" t="s">
        <v>2620</v>
      </c>
      <c r="R2582" s="10">
        <v>0.7335297391377169</v>
      </c>
      <c r="S2582" s="10">
        <v>0.03344188554259751</v>
      </c>
      <c r="T2582" s="10">
        <v>20.738356342207872</v>
      </c>
      <c r="U2582" s="11">
        <v>0.23307318109939448</v>
      </c>
      <c r="V2582" s="11">
        <v>0.23639145548575116</v>
      </c>
      <c r="W2582" s="11">
        <v>0.20425854664702087</v>
      </c>
      <c r="X2582" s="11">
        <v>0.13701837615196027</v>
      </c>
      <c r="Y2582" s="11">
        <v>0.0839865637114309</v>
      </c>
      <c r="Z2582" s="11">
        <v>0.10527187690444229</v>
      </c>
    </row>
    <row r="2583" ht="22.5" customHeight="1">
      <c r="Q2583" s="9" t="s">
        <v>2621</v>
      </c>
      <c r="R2583" s="10">
        <v>0.7017780972733793</v>
      </c>
      <c r="S2583" s="10">
        <v>0.03191098197855432</v>
      </c>
      <c r="T2583" s="10">
        <v>20.738255492047383</v>
      </c>
      <c r="U2583" s="11">
        <v>0.16833507543019302</v>
      </c>
      <c r="V2583" s="11">
        <v>0.24707231086127854</v>
      </c>
      <c r="W2583" s="11">
        <v>0.16951722178697343</v>
      </c>
      <c r="X2583" s="11">
        <v>0.14788570207156396</v>
      </c>
      <c r="Y2583" s="11">
        <v>0.11421233819716187</v>
      </c>
      <c r="Z2583" s="11">
        <v>0.15297735165282902</v>
      </c>
    </row>
    <row r="2584" ht="22.5" customHeight="1">
      <c r="Q2584" s="9" t="s">
        <v>2622</v>
      </c>
      <c r="R2584" s="10">
        <v>0.6656852839491872</v>
      </c>
      <c r="S2584" s="10">
        <v>0.030170898237832113</v>
      </c>
      <c r="T2584" s="10">
        <v>20.738039650560463</v>
      </c>
      <c r="U2584" s="11">
        <v>0.22940774553335447</v>
      </c>
      <c r="V2584" s="11">
        <v>0.1594342905363208</v>
      </c>
      <c r="W2584" s="11">
        <v>0.22212372371528447</v>
      </c>
      <c r="X2584" s="11">
        <v>0.19314353145381946</v>
      </c>
      <c r="Y2584" s="11">
        <v>0.16113375692266793</v>
      </c>
      <c r="Z2584" s="11">
        <v>0.03475695183855294</v>
      </c>
    </row>
    <row r="2585" ht="22.5" customHeight="1">
      <c r="Q2585" s="9" t="s">
        <v>2623</v>
      </c>
      <c r="R2585" s="10">
        <v>0.6868701795620962</v>
      </c>
      <c r="S2585" s="10">
        <v>0.031193301088210203</v>
      </c>
      <c r="T2585" s="10">
        <v>20.737471091400028</v>
      </c>
      <c r="U2585" s="11">
        <v>0.04353702300113633</v>
      </c>
      <c r="V2585" s="11">
        <v>0.24720506006822707</v>
      </c>
      <c r="W2585" s="11">
        <v>0.15943761121150735</v>
      </c>
      <c r="X2585" s="11">
        <v>0.19511533685778798</v>
      </c>
      <c r="Y2585" s="11">
        <v>0.10643523408641459</v>
      </c>
      <c r="Z2585" s="11">
        <v>0.24826973477492673</v>
      </c>
    </row>
    <row r="2586" ht="22.5" customHeight="1">
      <c r="Q2586" s="9" t="s">
        <v>2624</v>
      </c>
      <c r="R2586" s="10">
        <v>0.4529106443604518</v>
      </c>
      <c r="S2586" s="10">
        <v>0.019912552997441022</v>
      </c>
      <c r="T2586" s="10">
        <v>20.736198136598322</v>
      </c>
      <c r="U2586" s="11">
        <v>0.26545715534598896</v>
      </c>
      <c r="V2586" s="11">
        <v>0.1382374993225194</v>
      </c>
      <c r="W2586" s="11">
        <v>0.10498018008387057</v>
      </c>
      <c r="X2586" s="11">
        <v>0.02377136310125827</v>
      </c>
      <c r="Y2586" s="11">
        <v>0.2073583724591507</v>
      </c>
      <c r="Z2586" s="11">
        <v>0.2601954296872121</v>
      </c>
    </row>
    <row r="2587" ht="22.5" customHeight="1">
      <c r="Q2587" s="9" t="s">
        <v>2625</v>
      </c>
      <c r="R2587" s="10">
        <v>0.6493961900322504</v>
      </c>
      <c r="S2587" s="10">
        <v>0.029388189760901007</v>
      </c>
      <c r="T2587" s="10">
        <v>20.73609143639771</v>
      </c>
      <c r="U2587" s="11">
        <v>0.17698836698302894</v>
      </c>
      <c r="V2587" s="11">
        <v>0.1982358084943502</v>
      </c>
      <c r="W2587" s="11">
        <v>0.1887174740122801</v>
      </c>
      <c r="X2587" s="11">
        <v>0.12231219728668495</v>
      </c>
      <c r="Y2587" s="11">
        <v>0.06552474220307768</v>
      </c>
      <c r="Z2587" s="11">
        <v>0.24822141102057824</v>
      </c>
    </row>
    <row r="2588" ht="22.5" customHeight="1">
      <c r="Q2588" s="9" t="s">
        <v>2626</v>
      </c>
      <c r="R2588" s="10">
        <v>0.4847807216358386</v>
      </c>
      <c r="S2588" s="10">
        <v>0.021449804410678182</v>
      </c>
      <c r="T2588" s="10">
        <v>20.735887056127048</v>
      </c>
      <c r="U2588" s="11">
        <v>0.2370787753605009</v>
      </c>
      <c r="V2588" s="11">
        <v>0.08824959067440614</v>
      </c>
      <c r="W2588" s="11">
        <v>0.1651194022771646</v>
      </c>
      <c r="X2588" s="11">
        <v>0.22027429023845213</v>
      </c>
      <c r="Y2588" s="11">
        <v>0.08545316293196771</v>
      </c>
      <c r="Z2588" s="11">
        <v>0.20382477851750858</v>
      </c>
    </row>
    <row r="2589" ht="22.5" customHeight="1">
      <c r="Q2589" s="9" t="s">
        <v>2627</v>
      </c>
      <c r="R2589" s="10">
        <v>0.6454939157667984</v>
      </c>
      <c r="S2589" s="10">
        <v>0.02920079484027351</v>
      </c>
      <c r="T2589" s="10">
        <v>20.735528573068354</v>
      </c>
      <c r="U2589" s="11">
        <v>0.011670686898606392</v>
      </c>
      <c r="V2589" s="11">
        <v>0.181715961958576</v>
      </c>
      <c r="W2589" s="11">
        <v>0.20103044104479792</v>
      </c>
      <c r="X2589" s="11">
        <v>0.2369440671410534</v>
      </c>
      <c r="Y2589" s="11">
        <v>0.008354178727913867</v>
      </c>
      <c r="Z2589" s="11">
        <v>0.3602846642290525</v>
      </c>
    </row>
    <row r="2590" ht="22.5" customHeight="1">
      <c r="Q2590" s="9" t="s">
        <v>2628</v>
      </c>
      <c r="R2590" s="10">
        <v>0.502523077224075</v>
      </c>
      <c r="S2590" s="10">
        <v>0.022305917830984668</v>
      </c>
      <c r="T2590" s="10">
        <v>20.735442528242178</v>
      </c>
      <c r="U2590" s="11">
        <v>0.22005222090574542</v>
      </c>
      <c r="V2590" s="11">
        <v>0.1718966152458409</v>
      </c>
      <c r="W2590" s="11">
        <v>0.10671780090428389</v>
      </c>
      <c r="X2590" s="11">
        <v>0.05772835292843736</v>
      </c>
      <c r="Y2590" s="11">
        <v>0.1717834640449334</v>
      </c>
      <c r="Z2590" s="11">
        <v>0.27182154597075914</v>
      </c>
    </row>
    <row r="2591" ht="22.5" customHeight="1">
      <c r="Q2591" s="9" t="s">
        <v>2629</v>
      </c>
      <c r="R2591" s="10">
        <v>0.7732554379535594</v>
      </c>
      <c r="S2591" s="10">
        <v>0.03536334240426199</v>
      </c>
      <c r="T2591" s="10">
        <v>20.734901966313778</v>
      </c>
      <c r="U2591" s="11">
        <v>0.0717910090996942</v>
      </c>
      <c r="V2591" s="11">
        <v>0.2484973224434808</v>
      </c>
      <c r="W2591" s="11">
        <v>0.21955896040464137</v>
      </c>
      <c r="X2591" s="11">
        <v>0.1866773991719973</v>
      </c>
      <c r="Y2591" s="11">
        <v>0.13007161096243428</v>
      </c>
      <c r="Z2591" s="11">
        <v>0.14340369791775207</v>
      </c>
    </row>
    <row r="2592" ht="22.5" customHeight="1">
      <c r="Q2592" s="9" t="s">
        <v>2630</v>
      </c>
      <c r="R2592" s="10">
        <v>0.7611739950240864</v>
      </c>
      <c r="S2592" s="10">
        <v>0.034780930633694605</v>
      </c>
      <c r="T2592" s="10">
        <v>20.734752690183544</v>
      </c>
      <c r="U2592" s="11">
        <v>0.07568417329599085</v>
      </c>
      <c r="V2592" s="11">
        <v>0.23345912781908243</v>
      </c>
      <c r="W2592" s="11">
        <v>0.2244786864726048</v>
      </c>
      <c r="X2592" s="11">
        <v>0.17016305612940275</v>
      </c>
      <c r="Y2592" s="11">
        <v>0.18421858021665607</v>
      </c>
      <c r="Z2592" s="11">
        <v>0.1119963760662631</v>
      </c>
    </row>
    <row r="2593" ht="22.5" customHeight="1">
      <c r="Q2593" s="9" t="s">
        <v>2631</v>
      </c>
      <c r="R2593" s="10">
        <v>0.3136126040855087</v>
      </c>
      <c r="S2593" s="10">
        <v>0.013196379212066406</v>
      </c>
      <c r="T2593" s="10">
        <v>20.733914938979993</v>
      </c>
      <c r="U2593" s="11">
        <v>0.26112110777447567</v>
      </c>
      <c r="V2593" s="11">
        <v>0.09010440363072589</v>
      </c>
      <c r="W2593" s="11">
        <v>0.012700538689144301</v>
      </c>
      <c r="X2593" s="11">
        <v>0.3450434973105418</v>
      </c>
      <c r="Y2593" s="11">
        <v>0.1733258906165487</v>
      </c>
      <c r="Z2593" s="11">
        <v>0.11770456197856359</v>
      </c>
    </row>
    <row r="2594" ht="22.5" customHeight="1">
      <c r="Q2594" s="9" t="s">
        <v>2632</v>
      </c>
      <c r="R2594" s="10">
        <v>0.7214272866966674</v>
      </c>
      <c r="S2594" s="10">
        <v>0.03286565037420126</v>
      </c>
      <c r="T2594" s="10">
        <v>20.73372286682546</v>
      </c>
      <c r="U2594" s="11">
        <v>0.2069100174977133</v>
      </c>
      <c r="V2594" s="11">
        <v>0.24700474448644344</v>
      </c>
      <c r="W2594" s="11">
        <v>0.18430066019895666</v>
      </c>
      <c r="X2594" s="11">
        <v>0.1403392655031548</v>
      </c>
      <c r="Y2594" s="11">
        <v>0.09604567240465647</v>
      </c>
      <c r="Z2594" s="11">
        <v>0.12539963990907532</v>
      </c>
    </row>
    <row r="2595" ht="22.5" customHeight="1">
      <c r="Q2595" s="9" t="s">
        <v>2633</v>
      </c>
      <c r="R2595" s="10">
        <v>0.7241176498838723</v>
      </c>
      <c r="S2595" s="10">
        <v>0.03299579065002325</v>
      </c>
      <c r="T2595" s="10">
        <v>20.733482556611815</v>
      </c>
      <c r="U2595" s="11">
        <v>0.28777977606342403</v>
      </c>
      <c r="V2595" s="11">
        <v>0.2189379457328491</v>
      </c>
      <c r="W2595" s="11">
        <v>0.21484395783617297</v>
      </c>
      <c r="X2595" s="11">
        <v>0.15621962516483803</v>
      </c>
      <c r="Y2595" s="11">
        <v>0.019296651177291645</v>
      </c>
      <c r="Z2595" s="11">
        <v>0.10292204402542422</v>
      </c>
    </row>
    <row r="2596" ht="22.5" customHeight="1">
      <c r="Q2596" s="9" t="s">
        <v>2634</v>
      </c>
      <c r="R2596" s="10">
        <v>0.6635007971636583</v>
      </c>
      <c r="S2596" s="10">
        <v>0.030072236444020736</v>
      </c>
      <c r="T2596" s="10">
        <v>20.733436248557727</v>
      </c>
      <c r="U2596" s="11">
        <v>0.14137137182017767</v>
      </c>
      <c r="V2596" s="11">
        <v>0.21939812329657363</v>
      </c>
      <c r="W2596" s="11">
        <v>0.17218108333342858</v>
      </c>
      <c r="X2596" s="11">
        <v>0.08976205877646093</v>
      </c>
      <c r="Y2596" s="11">
        <v>0.21572282703854329</v>
      </c>
      <c r="Z2596" s="11">
        <v>0.161564535734816</v>
      </c>
    </row>
    <row r="2597" ht="22.5" customHeight="1">
      <c r="Q2597" s="9" t="s">
        <v>2635</v>
      </c>
      <c r="R2597" s="10">
        <v>0.5340729592927992</v>
      </c>
      <c r="S2597" s="10">
        <v>0.023829797343518717</v>
      </c>
      <c r="T2597" s="10">
        <v>20.733410031587127</v>
      </c>
      <c r="U2597" s="11">
        <v>0.18362325767601317</v>
      </c>
      <c r="V2597" s="11">
        <v>0.19802824494634266</v>
      </c>
      <c r="W2597" s="11">
        <v>0.08735240300104108</v>
      </c>
      <c r="X2597" s="11">
        <v>0.1524960300301415</v>
      </c>
      <c r="Y2597" s="11">
        <v>0.2329825626857296</v>
      </c>
      <c r="Z2597" s="11">
        <v>0.14551750166073202</v>
      </c>
    </row>
    <row r="2598" ht="22.5" customHeight="1">
      <c r="Q2598" s="9" t="s">
        <v>2636</v>
      </c>
      <c r="R2598" s="10">
        <v>0.8384793633309741</v>
      </c>
      <c r="S2598" s="10">
        <v>0.03851227075891991</v>
      </c>
      <c r="T2598" s="10">
        <v>20.733115643305364</v>
      </c>
      <c r="U2598" s="11">
        <v>0.07898034547902485</v>
      </c>
      <c r="V2598" s="11">
        <v>0.24635723645066765</v>
      </c>
      <c r="W2598" s="11">
        <v>0.2600599433379766</v>
      </c>
      <c r="X2598" s="11">
        <v>0.2543953123655566</v>
      </c>
      <c r="Y2598" s="11">
        <v>0.13463576915087427</v>
      </c>
      <c r="Z2598" s="11">
        <v>0.025571393215900063</v>
      </c>
    </row>
    <row r="2599" ht="22.5" customHeight="1">
      <c r="Q2599" s="9" t="s">
        <v>2637</v>
      </c>
      <c r="R2599" s="10">
        <v>0.522331348251574</v>
      </c>
      <c r="S2599" s="10">
        <v>0.03016319402761561</v>
      </c>
      <c r="T2599" s="10">
        <v>20.732535042678865</v>
      </c>
      <c r="U2599" s="11">
        <v>0.19879246519181287</v>
      </c>
      <c r="V2599" s="11">
        <v>0.1881448824593695</v>
      </c>
      <c r="W2599" s="11">
        <v>0.20005591430235245</v>
      </c>
      <c r="X2599" s="11">
        <v>0.09492928045983724</v>
      </c>
      <c r="Y2599" s="11">
        <v>0.24970334844110997</v>
      </c>
      <c r="Z2599" s="11">
        <v>0.06837410914551799</v>
      </c>
    </row>
    <row r="2600" ht="22.5" customHeight="1">
      <c r="Q2600" s="9" t="s">
        <v>2638</v>
      </c>
      <c r="R2600" s="10">
        <v>0.6132732226852592</v>
      </c>
      <c r="S2600" s="10">
        <v>0.027650941951490975</v>
      </c>
      <c r="T2600" s="10">
        <v>20.732502483675695</v>
      </c>
      <c r="U2600" s="11">
        <v>0.18769290737526373</v>
      </c>
      <c r="V2600" s="11">
        <v>0.18830454264805435</v>
      </c>
      <c r="W2600" s="11">
        <v>0.17331126806288705</v>
      </c>
      <c r="X2600" s="11">
        <v>0.08217008990853032</v>
      </c>
      <c r="Y2600" s="11">
        <v>0.12034244654908234</v>
      </c>
      <c r="Z2600" s="11">
        <v>0.24817874545618201</v>
      </c>
    </row>
    <row r="2601" ht="22.5" customHeight="1">
      <c r="Q2601" s="9" t="s">
        <v>2639</v>
      </c>
      <c r="R2601" s="10">
        <v>0.8211021274662166</v>
      </c>
      <c r="S2601" s="10">
        <v>0.037675846324480095</v>
      </c>
      <c r="T2601" s="10">
        <v>20.73217203242203</v>
      </c>
      <c r="U2601" s="11">
        <v>0.061708671933287516</v>
      </c>
      <c r="V2601" s="11">
        <v>0.2473563881751452</v>
      </c>
      <c r="W2601" s="11">
        <v>0.2510289998275014</v>
      </c>
      <c r="X2601" s="11">
        <v>0.27956157995196723</v>
      </c>
      <c r="Y2601" s="11">
        <v>0.035745947024833344</v>
      </c>
      <c r="Z2601" s="11">
        <v>0.12459841308726537</v>
      </c>
    </row>
    <row r="2602" ht="22.5" customHeight="1">
      <c r="Q2602" s="9" t="s">
        <v>2640</v>
      </c>
      <c r="R2602" s="10">
        <v>0.6219496292450236</v>
      </c>
      <c r="S2602" s="10">
        <v>0.02807056410681919</v>
      </c>
      <c r="T2602" s="10">
        <v>20.731668484839975</v>
      </c>
      <c r="U2602" s="11">
        <v>0.14564066651828708</v>
      </c>
      <c r="V2602" s="11">
        <v>0.16910091170322405</v>
      </c>
      <c r="W2602" s="11">
        <v>0.19166183099764172</v>
      </c>
      <c r="X2602" s="11">
        <v>0.10231115022372253</v>
      </c>
      <c r="Y2602" s="11">
        <v>0.2267296422162009</v>
      </c>
      <c r="Z2602" s="11">
        <v>0.1645557983409237</v>
      </c>
    </row>
    <row r="2603" ht="22.5" customHeight="1">
      <c r="Q2603" s="9" t="s">
        <v>2641</v>
      </c>
      <c r="R2603" s="10">
        <v>0.47673839094287224</v>
      </c>
      <c r="S2603" s="10">
        <v>0.02106645876309192</v>
      </c>
      <c r="T2603" s="10">
        <v>20.73145733007726</v>
      </c>
      <c r="U2603" s="11">
        <v>0.41833598170437936</v>
      </c>
      <c r="V2603" s="11">
        <v>0.13243956512598973</v>
      </c>
      <c r="W2603" s="11">
        <v>0.11820120785567237</v>
      </c>
      <c r="X2603" s="11">
        <v>0.0270680464561871</v>
      </c>
      <c r="Y2603" s="11">
        <v>0.23006638308953076</v>
      </c>
      <c r="Z2603" s="11">
        <v>0.07388881576824069</v>
      </c>
    </row>
    <row r="2604" ht="22.5" customHeight="1">
      <c r="Q2604" s="9" t="s">
        <v>2642</v>
      </c>
      <c r="R2604" s="10">
        <v>0.6367550131822075</v>
      </c>
      <c r="S2604" s="10">
        <v>0.0287854052779735</v>
      </c>
      <c r="T2604" s="10">
        <v>20.731165930077857</v>
      </c>
      <c r="U2604" s="11">
        <v>0.22386075413913117</v>
      </c>
      <c r="V2604" s="11">
        <v>0.19044860509774905</v>
      </c>
      <c r="W2604" s="11">
        <v>0.18695711211623725</v>
      </c>
      <c r="X2604" s="11">
        <v>0.11046863087019457</v>
      </c>
      <c r="Y2604" s="11">
        <v>0.060893858712474956</v>
      </c>
      <c r="Z2604" s="11">
        <v>0.2273710390642131</v>
      </c>
    </row>
    <row r="2605" ht="22.5" customHeight="1">
      <c r="Q2605" s="9" t="s">
        <v>2643</v>
      </c>
      <c r="R2605" s="10">
        <v>0.7907098014509211</v>
      </c>
      <c r="S2605" s="10">
        <v>0.03621210106654718</v>
      </c>
      <c r="T2605" s="10">
        <v>20.730909815791616</v>
      </c>
      <c r="U2605" s="11">
        <v>0.26148738442210845</v>
      </c>
      <c r="V2605" s="11">
        <v>0.2553468891923597</v>
      </c>
      <c r="W2605" s="11">
        <v>0.22194359965791133</v>
      </c>
      <c r="X2605" s="11">
        <v>0.16591844743690082</v>
      </c>
      <c r="Y2605" s="11">
        <v>0.07195211186663554</v>
      </c>
      <c r="Z2605" s="11">
        <v>0.0233515674240841</v>
      </c>
    </row>
    <row r="2606" ht="22.5" customHeight="1">
      <c r="Q2606" s="9" t="s">
        <v>2644</v>
      </c>
      <c r="R2606" s="10">
        <v>0.6953444706332262</v>
      </c>
      <c r="S2606" s="10">
        <v>0.03161260049752197</v>
      </c>
      <c r="T2606" s="10">
        <v>20.730482792283947</v>
      </c>
      <c r="U2606" s="11">
        <v>0.2711648510723022</v>
      </c>
      <c r="V2606" s="11">
        <v>0.20623060917749608</v>
      </c>
      <c r="W2606" s="11">
        <v>0.20883824644464397</v>
      </c>
      <c r="X2606" s="11">
        <v>0.1495594458838626</v>
      </c>
      <c r="Y2606" s="11">
        <v>0.018591806041320217</v>
      </c>
      <c r="Z2606" s="11">
        <v>0.1456150413803749</v>
      </c>
    </row>
    <row r="2607" ht="22.5" customHeight="1">
      <c r="Q2607" s="9" t="s">
        <v>2645</v>
      </c>
      <c r="R2607" s="10">
        <v>0.30143197890777007</v>
      </c>
      <c r="S2607" s="10">
        <v>0.012611384633850291</v>
      </c>
      <c r="T2607" s="10">
        <v>20.72983946632307</v>
      </c>
      <c r="U2607" s="11">
        <v>0.2539305431920825</v>
      </c>
      <c r="V2607" s="11">
        <v>0.060208391935622774</v>
      </c>
      <c r="W2607" s="11">
        <v>0.047008421552231616</v>
      </c>
      <c r="X2607" s="11">
        <v>0.17060368699920264</v>
      </c>
      <c r="Y2607" s="11">
        <v>0.3346753163431664</v>
      </c>
      <c r="Z2607" s="11">
        <v>0.13357363997769398</v>
      </c>
    </row>
    <row r="2608" ht="22.5" customHeight="1">
      <c r="Q2608" s="9" t="s">
        <v>2646</v>
      </c>
      <c r="R2608" s="10">
        <v>0.6146728430305128</v>
      </c>
      <c r="S2608" s="10">
        <v>0.02772226525344363</v>
      </c>
      <c r="T2608" s="10">
        <v>20.729649535372207</v>
      </c>
      <c r="U2608" s="11">
        <v>0.4034671471412406</v>
      </c>
      <c r="V2608" s="11">
        <v>0.19453474753646796</v>
      </c>
      <c r="W2608" s="11">
        <v>0.15972006770870653</v>
      </c>
      <c r="X2608" s="11">
        <v>0.056844030583719604</v>
      </c>
      <c r="Y2608" s="11">
        <v>0.11680243295376615</v>
      </c>
      <c r="Z2608" s="11">
        <v>0.06863157407609902</v>
      </c>
    </row>
    <row r="2609" ht="22.5" customHeight="1">
      <c r="Q2609" s="9" t="s">
        <v>2647</v>
      </c>
      <c r="R2609" s="10">
        <v>0.6768827274615019</v>
      </c>
      <c r="S2609" s="10">
        <v>0.030723889126485777</v>
      </c>
      <c r="T2609" s="10">
        <v>20.729235313913172</v>
      </c>
      <c r="U2609" s="11">
        <v>0.14517244272997973</v>
      </c>
      <c r="V2609" s="11">
        <v>0.18163123278693583</v>
      </c>
      <c r="W2609" s="11">
        <v>0.21769217114216083</v>
      </c>
      <c r="X2609" s="11">
        <v>0.17560804972827598</v>
      </c>
      <c r="Y2609" s="11">
        <v>0.11060532233804657</v>
      </c>
      <c r="Z2609" s="11">
        <v>0.16929078127460107</v>
      </c>
    </row>
    <row r="2610" ht="22.5" customHeight="1">
      <c r="Q2610" s="9" t="s">
        <v>2648</v>
      </c>
      <c r="R2610" s="10">
        <v>0.48964137340208164</v>
      </c>
      <c r="S2610" s="10">
        <v>0.02169172988298876</v>
      </c>
      <c r="T2610" s="10">
        <v>20.72870056134631</v>
      </c>
      <c r="U2610" s="11">
        <v>0.3036042121343522</v>
      </c>
      <c r="V2610" s="11">
        <v>0.18423670887753205</v>
      </c>
      <c r="W2610" s="11">
        <v>0.055496246445333</v>
      </c>
      <c r="X2610" s="11">
        <v>0.32555269881071475</v>
      </c>
      <c r="Y2610" s="11">
        <v>0.013862000693244779</v>
      </c>
      <c r="Z2610" s="11">
        <v>0.11724813303882328</v>
      </c>
    </row>
    <row r="2611" ht="22.5" customHeight="1">
      <c r="Q2611" s="9" t="s">
        <v>2649</v>
      </c>
      <c r="R2611" s="10">
        <v>0.8066396675519539</v>
      </c>
      <c r="S2611" s="10">
        <v>0.036984838222809575</v>
      </c>
      <c r="T2611" s="10">
        <v>20.728485087144332</v>
      </c>
      <c r="U2611" s="11">
        <v>0.16764009552501855</v>
      </c>
      <c r="V2611" s="11">
        <v>0.25113402699383697</v>
      </c>
      <c r="W2611" s="11">
        <v>0.23787609432259832</v>
      </c>
      <c r="X2611" s="11">
        <v>0.19810287703140234</v>
      </c>
      <c r="Y2611" s="11">
        <v>0.08586537875462505</v>
      </c>
      <c r="Z2611" s="11">
        <v>0.059381527372518825</v>
      </c>
    </row>
    <row r="2612" ht="22.5" customHeight="1">
      <c r="Q2612" s="9" t="s">
        <v>2650</v>
      </c>
      <c r="R2612" s="10">
        <v>0.39028957493781363</v>
      </c>
      <c r="S2612" s="10">
        <v>0.016898988298892602</v>
      </c>
      <c r="T2612" s="10">
        <v>20.728434669711458</v>
      </c>
      <c r="U2612" s="11">
        <v>0.08824118434428445</v>
      </c>
      <c r="V2612" s="11">
        <v>0.04249283825780907</v>
      </c>
      <c r="W2612" s="11">
        <v>0.11196498538236045</v>
      </c>
      <c r="X2612" s="11">
        <v>0.3622545391436707</v>
      </c>
      <c r="Y2612" s="11">
        <v>0.36827408425974023</v>
      </c>
      <c r="Z2612" s="11">
        <v>0.026772368612135142</v>
      </c>
    </row>
    <row r="2613" ht="22.5" customHeight="1">
      <c r="Q2613" s="9" t="s">
        <v>2651</v>
      </c>
      <c r="R2613" s="10">
        <v>0.4041711953967323</v>
      </c>
      <c r="S2613" s="10">
        <v>0.017568735811002996</v>
      </c>
      <c r="T2613" s="10">
        <v>20.72836653213592</v>
      </c>
      <c r="U2613" s="11">
        <v>0.15002632358329027</v>
      </c>
      <c r="V2613" s="11">
        <v>0.059518384157177286</v>
      </c>
      <c r="W2613" s="11">
        <v>0.1314132832062508</v>
      </c>
      <c r="X2613" s="11">
        <v>0.21763941355302321</v>
      </c>
      <c r="Y2613" s="11">
        <v>0.2163689520194698</v>
      </c>
      <c r="Z2613" s="11">
        <v>0.22503364348078866</v>
      </c>
    </row>
    <row r="2614" ht="22.5" customHeight="1">
      <c r="Q2614" s="9" t="s">
        <v>2652</v>
      </c>
      <c r="R2614" s="10">
        <v>0.4678002415005266</v>
      </c>
      <c r="S2614" s="10">
        <v>0.020639011971495497</v>
      </c>
      <c r="T2614" s="10">
        <v>20.72774811562495</v>
      </c>
      <c r="U2614" s="11">
        <v>0.1568848157450673</v>
      </c>
      <c r="V2614" s="11">
        <v>0.1426153879610659</v>
      </c>
      <c r="W2614" s="11">
        <v>0.11005355608008996</v>
      </c>
      <c r="X2614" s="11">
        <v>0.03148705038395379</v>
      </c>
      <c r="Y2614" s="11">
        <v>0.29156889514060536</v>
      </c>
      <c r="Z2614" s="11">
        <v>0.26739029468921766</v>
      </c>
    </row>
    <row r="2615" ht="22.5" customHeight="1">
      <c r="Q2615" s="9" t="s">
        <v>2653</v>
      </c>
      <c r="R2615" s="10">
        <v>0.5787726663014154</v>
      </c>
      <c r="S2615" s="10">
        <v>0.02599283642427717</v>
      </c>
      <c r="T2615" s="10">
        <v>20.727736577382707</v>
      </c>
      <c r="U2615" s="11">
        <v>0.20323672207666138</v>
      </c>
      <c r="V2615" s="11">
        <v>0.14354798999965915</v>
      </c>
      <c r="W2615" s="11">
        <v>0.18797404149511415</v>
      </c>
      <c r="X2615" s="11">
        <v>0.14322320152175946</v>
      </c>
      <c r="Y2615" s="11">
        <v>0.09170520814938936</v>
      </c>
      <c r="Z2615" s="11">
        <v>0.2303128367574165</v>
      </c>
    </row>
    <row r="2616" ht="22.5" customHeight="1">
      <c r="Q2616" s="9" t="s">
        <v>2654</v>
      </c>
      <c r="R2616" s="10">
        <v>0.322842174069863</v>
      </c>
      <c r="S2616" s="10">
        <v>0.013645856217108005</v>
      </c>
      <c r="T2616" s="10">
        <v>20.72733066872416</v>
      </c>
      <c r="U2616" s="11">
        <v>0.16909975796198914</v>
      </c>
      <c r="V2616" s="11">
        <v>0.07791396969449488</v>
      </c>
      <c r="W2616" s="11">
        <v>0.025197441063459364</v>
      </c>
      <c r="X2616" s="11">
        <v>0.3268068465726638</v>
      </c>
      <c r="Y2616" s="11">
        <v>0.3718464125331652</v>
      </c>
      <c r="Z2616" s="11">
        <v>0.029135572174227638</v>
      </c>
    </row>
    <row r="2617" ht="22.5" customHeight="1">
      <c r="Q2617" s="9" t="s">
        <v>2655</v>
      </c>
      <c r="R2617" s="10">
        <v>0.7158339066904283</v>
      </c>
      <c r="S2617" s="10">
        <v>0.03260596156591753</v>
      </c>
      <c r="T2617" s="10">
        <v>20.72731102636354</v>
      </c>
      <c r="U2617" s="11">
        <v>0.197529410966845</v>
      </c>
      <c r="V2617" s="11">
        <v>0.18883057037479017</v>
      </c>
      <c r="W2617" s="11">
        <v>0.23422825301241776</v>
      </c>
      <c r="X2617" s="11">
        <v>0.22069003920402763</v>
      </c>
      <c r="Y2617" s="11">
        <v>0.05213800185695981</v>
      </c>
      <c r="Z2617" s="11">
        <v>0.10658372458495964</v>
      </c>
    </row>
    <row r="2618" ht="22.5" customHeight="1">
      <c r="Q2618" s="9" t="s">
        <v>2656</v>
      </c>
      <c r="R2618" s="10">
        <v>0.6890781319599713</v>
      </c>
      <c r="S2618" s="10">
        <v>0.031315848660413814</v>
      </c>
      <c r="T2618" s="10">
        <v>20.726825544423683</v>
      </c>
      <c r="U2618" s="11">
        <v>0.05354879895820877</v>
      </c>
      <c r="V2618" s="11">
        <v>0.2524138773984346</v>
      </c>
      <c r="W2618" s="11">
        <v>0.15168988510092188</v>
      </c>
      <c r="X2618" s="11">
        <v>0.19404120923479803</v>
      </c>
      <c r="Y2618" s="11">
        <v>0.15431527254283403</v>
      </c>
      <c r="Z2618" s="11">
        <v>0.1939909567648027</v>
      </c>
    </row>
    <row r="2619" ht="22.5" customHeight="1">
      <c r="Q2619" s="9" t="s">
        <v>2657</v>
      </c>
      <c r="R2619" s="10">
        <v>0.6946257389379265</v>
      </c>
      <c r="S2619" s="10">
        <v>0.03158361475750294</v>
      </c>
      <c r="T2619" s="10">
        <v>20.72675163891476</v>
      </c>
      <c r="U2619" s="11">
        <v>0.16446841589728994</v>
      </c>
      <c r="V2619" s="11">
        <v>0.2503212767013232</v>
      </c>
      <c r="W2619" s="11">
        <v>0.16127075633809113</v>
      </c>
      <c r="X2619" s="11">
        <v>0.19584652836861496</v>
      </c>
      <c r="Y2619" s="11">
        <v>0.023626153326661712</v>
      </c>
      <c r="Z2619" s="11">
        <v>0.20446686936801897</v>
      </c>
    </row>
    <row r="2620" ht="22.5" customHeight="1">
      <c r="Q2620" s="9" t="s">
        <v>2658</v>
      </c>
      <c r="R2620" s="10">
        <v>0.667374407759821</v>
      </c>
      <c r="S2620" s="10">
        <v>0.030269290839633832</v>
      </c>
      <c r="T2620" s="10">
        <v>20.726432313318455</v>
      </c>
      <c r="U2620" s="11">
        <v>0.14490432516273127</v>
      </c>
      <c r="V2620" s="11">
        <v>0.22705367722267408</v>
      </c>
      <c r="W2620" s="11">
        <v>0.17079964240921103</v>
      </c>
      <c r="X2620" s="11">
        <v>0.12577440073146523</v>
      </c>
      <c r="Y2620" s="11">
        <v>0.09542266060723825</v>
      </c>
      <c r="Z2620" s="11">
        <v>0.23604529386668005</v>
      </c>
    </row>
    <row r="2621" ht="22.5" customHeight="1">
      <c r="Q2621" s="9" t="s">
        <v>2659</v>
      </c>
      <c r="R2621" s="10">
        <v>0.6777815698242757</v>
      </c>
      <c r="S2621" s="10">
        <v>0.03077156920742282</v>
      </c>
      <c r="T2621" s="10">
        <v>20.726325834251828</v>
      </c>
      <c r="U2621" s="11">
        <v>0.05862935463414855</v>
      </c>
      <c r="V2621" s="11">
        <v>0.20890251519947528</v>
      </c>
      <c r="W2621" s="11">
        <v>0.19795720776903528</v>
      </c>
      <c r="X2621" s="11">
        <v>0.15544994278258242</v>
      </c>
      <c r="Y2621" s="11">
        <v>0.09926105719234714</v>
      </c>
      <c r="Z2621" s="11">
        <v>0.2797999224224113</v>
      </c>
    </row>
    <row r="2622" ht="22.5" customHeight="1">
      <c r="Q2622" s="9" t="s">
        <v>2660</v>
      </c>
      <c r="R2622" s="10">
        <v>0.6274302961499754</v>
      </c>
      <c r="S2622" s="10">
        <v>0.028342350942573483</v>
      </c>
      <c r="T2622" s="10">
        <v>20.72623747198004</v>
      </c>
      <c r="U2622" s="11">
        <v>0.12029400634539175</v>
      </c>
      <c r="V2622" s="11">
        <v>0.15330012331926973</v>
      </c>
      <c r="W2622" s="11">
        <v>0.2085980096018354</v>
      </c>
      <c r="X2622" s="11">
        <v>0.19368744250160383</v>
      </c>
      <c r="Y2622" s="11">
        <v>0.12904136929685744</v>
      </c>
      <c r="Z2622" s="11">
        <v>0.19507904893504177</v>
      </c>
    </row>
    <row r="2623" ht="22.5" customHeight="1">
      <c r="Q2623" s="9" t="s">
        <v>2661</v>
      </c>
      <c r="R2623" s="10">
        <v>0.5881419841815391</v>
      </c>
      <c r="S2623" s="10">
        <v>0.02644681867852169</v>
      </c>
      <c r="T2623" s="10">
        <v>20.726197386708847</v>
      </c>
      <c r="U2623" s="11">
        <v>0.023652706258340844</v>
      </c>
      <c r="V2623" s="11">
        <v>0.21957336985978668</v>
      </c>
      <c r="W2623" s="11">
        <v>0.1058625027976256</v>
      </c>
      <c r="X2623" s="11">
        <v>0.19304036062313296</v>
      </c>
      <c r="Y2623" s="11">
        <v>0.25983911368029317</v>
      </c>
      <c r="Z2623" s="11">
        <v>0.1980319467808207</v>
      </c>
    </row>
    <row r="2624" ht="22.5" customHeight="1">
      <c r="Q2624" s="9" t="s">
        <v>2662</v>
      </c>
      <c r="R2624" s="10">
        <v>0.4944949683738144</v>
      </c>
      <c r="S2624" s="10">
        <v>0.021929635338015077</v>
      </c>
      <c r="T2624" s="10">
        <v>20.725149386590402</v>
      </c>
      <c r="U2624" s="11">
        <v>0.24221714442414946</v>
      </c>
      <c r="V2624" s="11">
        <v>0.1794739556383223</v>
      </c>
      <c r="W2624" s="11">
        <v>0.08955659868131613</v>
      </c>
      <c r="X2624" s="11">
        <v>0.12269319910954533</v>
      </c>
      <c r="Y2624" s="11">
        <v>0.08172312635070611</v>
      </c>
      <c r="Z2624" s="11">
        <v>0.2843359757959606</v>
      </c>
    </row>
    <row r="2625" ht="22.5" customHeight="1">
      <c r="Q2625" s="9" t="s">
        <v>2663</v>
      </c>
      <c r="R2625" s="10">
        <v>0.7021189285426759</v>
      </c>
      <c r="S2625" s="10">
        <v>0.03194775155438365</v>
      </c>
      <c r="T2625" s="10">
        <v>20.725055640162086</v>
      </c>
      <c r="U2625" s="11">
        <v>0.2233679846583374</v>
      </c>
      <c r="V2625" s="11">
        <v>0.21323414850425398</v>
      </c>
      <c r="W2625" s="11">
        <v>0.2045917917589966</v>
      </c>
      <c r="X2625" s="11">
        <v>0.10384773553626739</v>
      </c>
      <c r="Y2625" s="11">
        <v>0.16326482283265506</v>
      </c>
      <c r="Z2625" s="11">
        <v>0.09169351670948966</v>
      </c>
    </row>
    <row r="2626" ht="22.5" customHeight="1">
      <c r="Q2626" s="9" t="s">
        <v>2664</v>
      </c>
      <c r="R2626" s="10">
        <v>0.3560338675567944</v>
      </c>
      <c r="S2626" s="10">
        <v>0.015249021923246743</v>
      </c>
      <c r="T2626" s="10">
        <v>20.72486151226584</v>
      </c>
      <c r="U2626" s="11">
        <v>0.2596154427249746</v>
      </c>
      <c r="V2626" s="11">
        <v>0.0624386843095528</v>
      </c>
      <c r="W2626" s="11">
        <v>0.09490447141301565</v>
      </c>
      <c r="X2626" s="11">
        <v>0.11559758946529182</v>
      </c>
      <c r="Y2626" s="11">
        <v>0.29393789884184196</v>
      </c>
      <c r="Z2626" s="11">
        <v>0.1735059132453231</v>
      </c>
    </row>
    <row r="2627" ht="22.5" customHeight="1">
      <c r="Q2627" s="9" t="s">
        <v>2665</v>
      </c>
      <c r="R2627" s="10">
        <v>0.4166361342669891</v>
      </c>
      <c r="S2627" s="10">
        <v>0.018173234516482947</v>
      </c>
      <c r="T2627" s="10">
        <v>20.724771582372075</v>
      </c>
      <c r="U2627" s="11">
        <v>0.19381326690626793</v>
      </c>
      <c r="V2627" s="11">
        <v>0.15178079933612773</v>
      </c>
      <c r="W2627" s="11">
        <v>0.0423256590306703</v>
      </c>
      <c r="X2627" s="11">
        <v>0.22320334770659164</v>
      </c>
      <c r="Y2627" s="11">
        <v>0.1931292173128845</v>
      </c>
      <c r="Z2627" s="11">
        <v>0.1957477097074579</v>
      </c>
    </row>
    <row r="2628" ht="22.5" customHeight="1">
      <c r="Q2628" s="9" t="s">
        <v>2666</v>
      </c>
      <c r="R2628" s="10">
        <v>0.5662623781972653</v>
      </c>
      <c r="S2628" s="10">
        <v>0.02539306046070803</v>
      </c>
      <c r="T2628" s="10">
        <v>20.72465345449706</v>
      </c>
      <c r="U2628" s="11">
        <v>0.2551072890676886</v>
      </c>
      <c r="V2628" s="11">
        <v>0.12946467733034636</v>
      </c>
      <c r="W2628" s="11">
        <v>0.1884843303286211</v>
      </c>
      <c r="X2628" s="11">
        <v>0.165440683231541</v>
      </c>
      <c r="Y2628" s="11">
        <v>0.08174111662437525</v>
      </c>
      <c r="Z2628" s="11">
        <v>0.1797619034174276</v>
      </c>
    </row>
    <row r="2629" ht="22.5" customHeight="1">
      <c r="Q2629" s="9" t="s">
        <v>2667</v>
      </c>
      <c r="R2629" s="10">
        <v>0.7560532180450132</v>
      </c>
      <c r="S2629" s="10">
        <v>0.03455197500645443</v>
      </c>
      <c r="T2629" s="10">
        <v>20.723944663402076</v>
      </c>
      <c r="U2629" s="11">
        <v>0.21689710522155387</v>
      </c>
      <c r="V2629" s="11">
        <v>0.22842200012062816</v>
      </c>
      <c r="W2629" s="11">
        <v>0.22376840874509177</v>
      </c>
      <c r="X2629" s="11">
        <v>0.13285432738553637</v>
      </c>
      <c r="Y2629" s="11">
        <v>0.17792669194531946</v>
      </c>
      <c r="Z2629" s="11">
        <v>0.0201314665818704</v>
      </c>
    </row>
    <row r="2630" ht="22.5" customHeight="1">
      <c r="Q2630" s="9" t="s">
        <v>2668</v>
      </c>
      <c r="R2630" s="10">
        <v>0.7653627174679303</v>
      </c>
      <c r="S2630" s="10">
        <v>0.035003022924792536</v>
      </c>
      <c r="T2630" s="10">
        <v>20.72285925208357</v>
      </c>
      <c r="U2630" s="11">
        <v>0.18037131157326716</v>
      </c>
      <c r="V2630" s="11">
        <v>0.2717832086056976</v>
      </c>
      <c r="W2630" s="11">
        <v>0.1856297021007947</v>
      </c>
      <c r="X2630" s="11">
        <v>0.18480131954597617</v>
      </c>
      <c r="Y2630" s="11">
        <v>0.10308301179396408</v>
      </c>
      <c r="Z2630" s="11">
        <v>0.07433144638030037</v>
      </c>
    </row>
    <row r="2631" ht="22.5" customHeight="1">
      <c r="Q2631" s="9" t="s">
        <v>2669</v>
      </c>
      <c r="R2631" s="10">
        <v>0.729405053416905</v>
      </c>
      <c r="S2631" s="10">
        <v>0.03326827858381901</v>
      </c>
      <c r="T2631" s="10">
        <v>20.722594698729527</v>
      </c>
      <c r="U2631" s="11">
        <v>0.236025169302284</v>
      </c>
      <c r="V2631" s="11">
        <v>0.25562264203527324</v>
      </c>
      <c r="W2631" s="11">
        <v>0.1762472677281432</v>
      </c>
      <c r="X2631" s="11">
        <v>0.13392592061189218</v>
      </c>
      <c r="Y2631" s="11">
        <v>0.1528278630877019</v>
      </c>
      <c r="Z2631" s="11">
        <v>0.045351137234705435</v>
      </c>
    </row>
    <row r="2632" ht="22.5" customHeight="1">
      <c r="Q2632" s="9" t="s">
        <v>2670</v>
      </c>
      <c r="R2632" s="10">
        <v>0.6479544307316669</v>
      </c>
      <c r="S2632" s="10">
        <v>0.029338506452296763</v>
      </c>
      <c r="T2632" s="10">
        <v>20.722064762232407</v>
      </c>
      <c r="U2632" s="11">
        <v>0.22203996825164687</v>
      </c>
      <c r="V2632" s="11">
        <v>0.24341844029655266</v>
      </c>
      <c r="W2632" s="11">
        <v>0.12527547323775587</v>
      </c>
      <c r="X2632" s="11">
        <v>0.19047494461640632</v>
      </c>
      <c r="Y2632" s="11">
        <v>0.1118619414842296</v>
      </c>
      <c r="Z2632" s="11">
        <v>0.10692923211340853</v>
      </c>
    </row>
    <row r="2633" ht="22.5" customHeight="1">
      <c r="Q2633" s="9" t="s">
        <v>2671</v>
      </c>
      <c r="R2633" s="10">
        <v>0.7829644970047566</v>
      </c>
      <c r="S2633" s="10">
        <v>0.035855301513146504</v>
      </c>
      <c r="T2633" s="10">
        <v>20.721189493619104</v>
      </c>
      <c r="U2633" s="11">
        <v>0.12693251067337685</v>
      </c>
      <c r="V2633" s="11">
        <v>0.26704260968373883</v>
      </c>
      <c r="W2633" s="11">
        <v>0.2059270945858949</v>
      </c>
      <c r="X2633" s="11">
        <v>0.18238991091152354</v>
      </c>
      <c r="Y2633" s="11">
        <v>0.11493419822515812</v>
      </c>
      <c r="Z2633" s="11">
        <v>0.1027736759203078</v>
      </c>
    </row>
    <row r="2634" ht="22.5" customHeight="1">
      <c r="Q2634" s="9" t="s">
        <v>2672</v>
      </c>
      <c r="R2634" s="10">
        <v>0.35887936446741436</v>
      </c>
      <c r="S2634" s="10">
        <v>0.015389225329358651</v>
      </c>
      <c r="T2634" s="10">
        <v>20.720949732217857</v>
      </c>
      <c r="U2634" s="11">
        <v>0.012454729220799491</v>
      </c>
      <c r="V2634" s="11">
        <v>0.09233613266706168</v>
      </c>
      <c r="W2634" s="11">
        <v>0.07730499454877653</v>
      </c>
      <c r="X2634" s="11">
        <v>0.10064586671986243</v>
      </c>
      <c r="Y2634" s="11">
        <v>0.3450773282531849</v>
      </c>
      <c r="Z2634" s="11">
        <v>0.3721809485903149</v>
      </c>
    </row>
    <row r="2635" ht="22.5" customHeight="1">
      <c r="Q2635" s="9" t="s">
        <v>2673</v>
      </c>
      <c r="R2635" s="10">
        <v>0.6838977779697497</v>
      </c>
      <c r="S2635" s="10">
        <v>0.031075377741502732</v>
      </c>
      <c r="T2635" s="10">
        <v>20.72051330561275</v>
      </c>
      <c r="U2635" s="11">
        <v>0.18316541467889544</v>
      </c>
      <c r="V2635" s="11">
        <v>0.203788533815689</v>
      </c>
      <c r="W2635" s="11">
        <v>0.2005344824486372</v>
      </c>
      <c r="X2635" s="11">
        <v>0.09477827841626649</v>
      </c>
      <c r="Y2635" s="11">
        <v>0.21722830456808553</v>
      </c>
      <c r="Z2635" s="11">
        <v>0.10050498607242622</v>
      </c>
    </row>
    <row r="2636" ht="22.5" customHeight="1">
      <c r="Q2636" s="9" t="s">
        <v>2674</v>
      </c>
      <c r="R2636" s="10">
        <v>0.5158330334710814</v>
      </c>
      <c r="S2636" s="10">
        <v>0.022964355990984626</v>
      </c>
      <c r="T2636" s="10">
        <v>20.720504143808107</v>
      </c>
      <c r="U2636" s="11">
        <v>0.14759404614245056</v>
      </c>
      <c r="V2636" s="11">
        <v>0.11899875397747643</v>
      </c>
      <c r="W2636" s="11">
        <v>0.16603135896780918</v>
      </c>
      <c r="X2636" s="11">
        <v>0.11721549681632953</v>
      </c>
      <c r="Y2636" s="11">
        <v>0.19908602152595536</v>
      </c>
      <c r="Z2636" s="11">
        <v>0.25107432256997897</v>
      </c>
    </row>
    <row r="2637" ht="22.5" customHeight="1">
      <c r="Q2637" s="9" t="s">
        <v>2675</v>
      </c>
      <c r="R2637" s="10">
        <v>0.5971950349557081</v>
      </c>
      <c r="S2637" s="10">
        <v>0.02689111791441509</v>
      </c>
      <c r="T2637" s="10">
        <v>20.720411725874047</v>
      </c>
      <c r="U2637" s="11">
        <v>0.2830470842402049</v>
      </c>
      <c r="V2637" s="11">
        <v>0.20726998551957262</v>
      </c>
      <c r="W2637" s="11">
        <v>0.13498441920396648</v>
      </c>
      <c r="X2637" s="11">
        <v>0.07302898102588008</v>
      </c>
      <c r="Y2637" s="11">
        <v>0.1561085877327132</v>
      </c>
      <c r="Z2637" s="11">
        <v>0.14556094227766267</v>
      </c>
    </row>
    <row r="2638" ht="22.5" customHeight="1">
      <c r="Q2638" s="9" t="s">
        <v>2676</v>
      </c>
      <c r="R2638" s="10">
        <v>0.5039241153096056</v>
      </c>
      <c r="S2638" s="10">
        <v>0.02238997519898113</v>
      </c>
      <c r="T2638" s="10">
        <v>20.72017102237419</v>
      </c>
      <c r="U2638" s="11">
        <v>0.2111605422965712</v>
      </c>
      <c r="V2638" s="11">
        <v>0.07024142576141719</v>
      </c>
      <c r="W2638" s="11">
        <v>0.1754847966711577</v>
      </c>
      <c r="X2638" s="11">
        <v>0.3616053374361725</v>
      </c>
      <c r="Y2638" s="11">
        <v>0.15578924137837857</v>
      </c>
      <c r="Z2638" s="11">
        <v>0.025718656456302894</v>
      </c>
    </row>
    <row r="2639" ht="22.5" customHeight="1">
      <c r="Q2639" s="9" t="s">
        <v>2677</v>
      </c>
      <c r="R2639" s="10">
        <v>0.7169450357333417</v>
      </c>
      <c r="S2639" s="10">
        <v>0.032671460796458246</v>
      </c>
      <c r="T2639" s="10">
        <v>20.719766402570098</v>
      </c>
      <c r="U2639" s="11">
        <v>0.17880285866190113</v>
      </c>
      <c r="V2639" s="11">
        <v>0.2648792068124614</v>
      </c>
      <c r="W2639" s="11">
        <v>0.15575605719529995</v>
      </c>
      <c r="X2639" s="11">
        <v>0.20674177085733386</v>
      </c>
      <c r="Y2639" s="11">
        <v>0.08419279801080073</v>
      </c>
      <c r="Z2639" s="11">
        <v>0.10962730846220285</v>
      </c>
    </row>
    <row r="2640" ht="22.5" customHeight="1">
      <c r="Q2640" s="9" t="s">
        <v>2678</v>
      </c>
      <c r="R2640" s="10">
        <v>0.43050853708122416</v>
      </c>
      <c r="S2640" s="10">
        <v>0.018847363680673933</v>
      </c>
      <c r="T2640" s="10">
        <v>20.71953105471463</v>
      </c>
      <c r="U2640" s="11">
        <v>0.20562040252568942</v>
      </c>
      <c r="V2640" s="11">
        <v>0.08297472758446202</v>
      </c>
      <c r="W2640" s="11">
        <v>0.13995465645997635</v>
      </c>
      <c r="X2640" s="11">
        <v>0.16104096336516113</v>
      </c>
      <c r="Y2640" s="11">
        <v>0.09040661448862976</v>
      </c>
      <c r="Z2640" s="11">
        <v>0.3200026355760812</v>
      </c>
    </row>
    <row r="2641" ht="22.5" customHeight="1">
      <c r="Q2641" s="9" t="s">
        <v>2679</v>
      </c>
      <c r="R2641" s="10">
        <v>0.725836866663037</v>
      </c>
      <c r="S2641" s="10">
        <v>0.03310107607590646</v>
      </c>
      <c r="T2641" s="10">
        <v>20.71947344220155</v>
      </c>
      <c r="U2641" s="11">
        <v>0.2674556501840325</v>
      </c>
      <c r="V2641" s="11">
        <v>0.20507485293912792</v>
      </c>
      <c r="W2641" s="11">
        <v>0.22763265985468736</v>
      </c>
      <c r="X2641" s="11">
        <v>0.1738248647112767</v>
      </c>
      <c r="Y2641" s="11">
        <v>0.043609191808248945</v>
      </c>
      <c r="Z2641" s="11">
        <v>0.08240278050262653</v>
      </c>
    </row>
    <row r="2642" ht="22.5" customHeight="1">
      <c r="Q2642" s="9" t="s">
        <v>2680</v>
      </c>
      <c r="R2642" s="10">
        <v>0.5162785939927017</v>
      </c>
      <c r="S2642" s="10">
        <v>0.022987593451705427</v>
      </c>
      <c r="T2642" s="10">
        <v>20.718941066767783</v>
      </c>
      <c r="U2642" s="11">
        <v>0.24581821583595245</v>
      </c>
      <c r="V2642" s="11">
        <v>0.138711504398301</v>
      </c>
      <c r="W2642" s="11">
        <v>0.14820465939784386</v>
      </c>
      <c r="X2642" s="11">
        <v>0.03822956677345564</v>
      </c>
      <c r="Y2642" s="11">
        <v>0.23573991100552702</v>
      </c>
      <c r="Z2642" s="11">
        <v>0.1932961425889201</v>
      </c>
    </row>
    <row r="2643" ht="22.5" customHeight="1">
      <c r="Q2643" s="9" t="s">
        <v>2681</v>
      </c>
      <c r="R2643" s="10">
        <v>0.43348405863375167</v>
      </c>
      <c r="S2643" s="10">
        <v>0.018992443789448282</v>
      </c>
      <c r="T2643" s="10">
        <v>20.717926718433223</v>
      </c>
      <c r="U2643" s="11">
        <v>0.15635301534509158</v>
      </c>
      <c r="V2643" s="11">
        <v>0.15630851541334875</v>
      </c>
      <c r="W2643" s="11">
        <v>0.05750975976459374</v>
      </c>
      <c r="X2643" s="11">
        <v>0.15433430410650867</v>
      </c>
      <c r="Y2643" s="11">
        <v>0.24384229824719328</v>
      </c>
      <c r="Z2643" s="11">
        <v>0.23165210712326398</v>
      </c>
    </row>
    <row r="2644" ht="22.5" customHeight="1">
      <c r="Q2644" s="9" t="s">
        <v>2682</v>
      </c>
      <c r="R2644" s="10">
        <v>0.5906893794226608</v>
      </c>
      <c r="S2644" s="10">
        <v>0.02658043199341603</v>
      </c>
      <c r="T2644" s="10">
        <v>20.717849113929613</v>
      </c>
      <c r="U2644" s="11">
        <v>0.19334719397474892</v>
      </c>
      <c r="V2644" s="11">
        <v>0.13754792927770748</v>
      </c>
      <c r="W2644" s="11">
        <v>0.19686918812961263</v>
      </c>
      <c r="X2644" s="11">
        <v>0.16402984685924735</v>
      </c>
      <c r="Y2644" s="11">
        <v>0.1454444791863602</v>
      </c>
      <c r="Z2644" s="11">
        <v>0.1627613625723233</v>
      </c>
    </row>
    <row r="2645" ht="22.5" customHeight="1">
      <c r="Q2645" s="9" t="s">
        <v>2683</v>
      </c>
      <c r="R2645" s="10">
        <v>0.26288375647434103</v>
      </c>
      <c r="S2645" s="10">
        <v>0.010758291870181775</v>
      </c>
      <c r="T2645" s="10">
        <v>20.717392608774343</v>
      </c>
      <c r="U2645" s="11">
        <v>0.3047174527516628</v>
      </c>
      <c r="V2645" s="11">
        <v>0.04951461925530943</v>
      </c>
      <c r="W2645" s="11">
        <v>0.022799076106244633</v>
      </c>
      <c r="X2645" s="11">
        <v>0.27688687302687914</v>
      </c>
      <c r="Y2645" s="11">
        <v>0.19916030162778928</v>
      </c>
      <c r="Z2645" s="11">
        <v>0.14692167723211483</v>
      </c>
    </row>
    <row r="2646" ht="22.5" customHeight="1">
      <c r="Q2646" s="9" t="s">
        <v>2684</v>
      </c>
      <c r="R2646" s="10">
        <v>0.5037742819067326</v>
      </c>
      <c r="S2646" s="10">
        <v>0.022386331057050388</v>
      </c>
      <c r="T2646" s="10">
        <v>20.716850864254095</v>
      </c>
      <c r="U2646" s="11">
        <v>0.2975625164620142</v>
      </c>
      <c r="V2646" s="11">
        <v>0.09790589051877685</v>
      </c>
      <c r="W2646" s="11">
        <v>0.1697940687671082</v>
      </c>
      <c r="X2646" s="11">
        <v>0.18347649142444153</v>
      </c>
      <c r="Y2646" s="11">
        <v>0.09649848354963349</v>
      </c>
      <c r="Z2646" s="11">
        <v>0.1547625492780258</v>
      </c>
    </row>
    <row r="2647" ht="22.5" customHeight="1">
      <c r="Q2647" s="9" t="s">
        <v>2685</v>
      </c>
      <c r="R2647" s="10">
        <v>0.7660498350664275</v>
      </c>
      <c r="S2647" s="10">
        <v>0.03504713528271146</v>
      </c>
      <c r="T2647" s="10">
        <v>20.716381787260755</v>
      </c>
      <c r="U2647" s="11">
        <v>0.06208249810309252</v>
      </c>
      <c r="V2647" s="11">
        <v>0.25390718916524313</v>
      </c>
      <c r="W2647" s="11">
        <v>0.20588030185902573</v>
      </c>
      <c r="X2647" s="11">
        <v>0.1548779055270898</v>
      </c>
      <c r="Y2647" s="11">
        <v>0.23213046030433154</v>
      </c>
      <c r="Z2647" s="11">
        <v>0.09112164504121721</v>
      </c>
    </row>
    <row r="2648" ht="22.5" customHeight="1">
      <c r="Q2648" s="9" t="s">
        <v>2686</v>
      </c>
      <c r="R2648" s="10">
        <v>0.7375341281568801</v>
      </c>
      <c r="S2648" s="10">
        <v>0.03367124869150508</v>
      </c>
      <c r="T2648" s="10">
        <v>20.716016045251713</v>
      </c>
      <c r="U2648" s="11">
        <v>0.03542322273627911</v>
      </c>
      <c r="V2648" s="11">
        <v>0.2653879642523939</v>
      </c>
      <c r="W2648" s="11">
        <v>0.17575104486339682</v>
      </c>
      <c r="X2648" s="11">
        <v>0.26232674264820793</v>
      </c>
      <c r="Y2648" s="11">
        <v>0.015834082100635725</v>
      </c>
      <c r="Z2648" s="11">
        <v>0.24527694339908648</v>
      </c>
    </row>
    <row r="2649" ht="22.5" customHeight="1">
      <c r="Q2649" s="9" t="s">
        <v>2687</v>
      </c>
      <c r="R2649" s="10">
        <v>0.2723762935237305</v>
      </c>
      <c r="S2649" s="10">
        <v>0.011217297051045832</v>
      </c>
      <c r="T2649" s="10">
        <v>20.71589015306189</v>
      </c>
      <c r="U2649" s="11">
        <v>0.0702911836079579</v>
      </c>
      <c r="V2649" s="11">
        <v>0.0653240769931279</v>
      </c>
      <c r="W2649" s="11">
        <v>0.019316263399324848</v>
      </c>
      <c r="X2649" s="11">
        <v>0.2967771263814382</v>
      </c>
      <c r="Y2649" s="11">
        <v>0.2532523293134971</v>
      </c>
      <c r="Z2649" s="11">
        <v>0.295039020304654</v>
      </c>
    </row>
    <row r="2650" ht="22.5" customHeight="1">
      <c r="Q2650" s="9" t="s">
        <v>2688</v>
      </c>
      <c r="R2650" s="10">
        <v>0.5663566657841081</v>
      </c>
      <c r="S2650" s="10">
        <v>0.025409079202754356</v>
      </c>
      <c r="T2650" s="10">
        <v>20.715298716021586</v>
      </c>
      <c r="U2650" s="11">
        <v>0.2945132035633959</v>
      </c>
      <c r="V2650" s="11">
        <v>0.17185164385561907</v>
      </c>
      <c r="W2650" s="11">
        <v>0.15670777011872497</v>
      </c>
      <c r="X2650" s="11">
        <v>0.06670473876930527</v>
      </c>
      <c r="Y2650" s="11">
        <v>0.06004410135855463</v>
      </c>
      <c r="Z2650" s="11">
        <v>0.2501785423344004</v>
      </c>
    </row>
    <row r="2651" ht="22.5" customHeight="1">
      <c r="Q2651" s="9" t="s">
        <v>2689</v>
      </c>
      <c r="R2651" s="10">
        <v>0.5872392487427223</v>
      </c>
      <c r="S2651" s="10">
        <v>0.02641779406031835</v>
      </c>
      <c r="T2651" s="10">
        <v>20.714797287511587</v>
      </c>
      <c r="U2651" s="11">
        <v>0.10259319887268058</v>
      </c>
      <c r="V2651" s="11">
        <v>0.14415314317768665</v>
      </c>
      <c r="W2651" s="11">
        <v>0.19063687159068424</v>
      </c>
      <c r="X2651" s="11">
        <v>0.14223071517779567</v>
      </c>
      <c r="Y2651" s="11">
        <v>0.20833771750278277</v>
      </c>
      <c r="Z2651" s="11">
        <v>0.21204835367837002</v>
      </c>
    </row>
    <row r="2652" ht="22.5" customHeight="1">
      <c r="Q2652" s="9" t="s">
        <v>2690</v>
      </c>
      <c r="R2652" s="10">
        <v>0.7961890238841605</v>
      </c>
      <c r="S2652" s="10">
        <v>0.03650602389087167</v>
      </c>
      <c r="T2652" s="10">
        <v>20.714088889676248</v>
      </c>
      <c r="U2652" s="11">
        <v>0.07168350793777599</v>
      </c>
      <c r="V2652" s="11">
        <v>0.237895115207459</v>
      </c>
      <c r="W2652" s="11">
        <v>0.245055467588812</v>
      </c>
      <c r="X2652" s="11">
        <v>0.267033960989221</v>
      </c>
      <c r="Y2652" s="11">
        <v>0.01786508102861212</v>
      </c>
      <c r="Z2652" s="11">
        <v>0.16046686724811995</v>
      </c>
    </row>
    <row r="2653" ht="22.5" customHeight="1">
      <c r="Q2653" s="9" t="s">
        <v>2691</v>
      </c>
      <c r="R2653" s="10">
        <v>0.5782979602465154</v>
      </c>
      <c r="S2653" s="10">
        <v>0.02598729529158059</v>
      </c>
      <c r="T2653" s="10">
        <v>20.7138893912101</v>
      </c>
      <c r="U2653" s="11">
        <v>0.056345366421627574</v>
      </c>
      <c r="V2653" s="11">
        <v>0.18251736362462595</v>
      </c>
      <c r="W2653" s="11">
        <v>0.1582488110546702</v>
      </c>
      <c r="X2653" s="11">
        <v>0.10296693981714564</v>
      </c>
      <c r="Y2653" s="11">
        <v>0.11677725851617936</v>
      </c>
      <c r="Z2653" s="11">
        <v>0.3831442605657513</v>
      </c>
    </row>
    <row r="2654" ht="22.5" customHeight="1">
      <c r="Q2654" s="9" t="s">
        <v>2692</v>
      </c>
      <c r="R2654" s="10">
        <v>0.5414169541467678</v>
      </c>
      <c r="S2654" s="10">
        <v>0.02420751646711832</v>
      </c>
      <c r="T2654" s="10">
        <v>20.71327535097849</v>
      </c>
      <c r="U2654" s="11">
        <v>0.033467093294894626</v>
      </c>
      <c r="V2654" s="11">
        <v>0.20870002039129704</v>
      </c>
      <c r="W2654" s="11">
        <v>0.07999710602319238</v>
      </c>
      <c r="X2654" s="11">
        <v>0.28446603193800274</v>
      </c>
      <c r="Y2654" s="11">
        <v>0.12481575471353697</v>
      </c>
      <c r="Z2654" s="11">
        <v>0.26855399363907634</v>
      </c>
    </row>
    <row r="2655" ht="22.5" customHeight="1">
      <c r="Q2655" s="9" t="s">
        <v>2693</v>
      </c>
      <c r="R2655" s="10">
        <v>0.5728012001223142</v>
      </c>
      <c r="S2655" s="10">
        <v>0.025722873783651224</v>
      </c>
      <c r="T2655" s="10">
        <v>20.713128890790905</v>
      </c>
      <c r="U2655" s="11">
        <v>0.01065264859534734</v>
      </c>
      <c r="V2655" s="11">
        <v>0.13649210966120293</v>
      </c>
      <c r="W2655" s="11">
        <v>0.1857097797989557</v>
      </c>
      <c r="X2655" s="11">
        <v>0.1675423466526685</v>
      </c>
      <c r="Y2655" s="11">
        <v>0.2622771399338939</v>
      </c>
      <c r="Z2655" s="11">
        <v>0.23732597535793157</v>
      </c>
    </row>
    <row r="2656" ht="22.5" customHeight="1">
      <c r="Q2656" s="9" t="s">
        <v>2694</v>
      </c>
      <c r="R2656" s="10">
        <v>0.471256342709578</v>
      </c>
      <c r="S2656" s="10">
        <v>0.020820707372117303</v>
      </c>
      <c r="T2656" s="10">
        <v>20.712857397299977</v>
      </c>
      <c r="U2656" s="11">
        <v>0.19797343942559642</v>
      </c>
      <c r="V2656" s="11">
        <v>0.10019024484655749</v>
      </c>
      <c r="W2656" s="11">
        <v>0.14104610875215964</v>
      </c>
      <c r="X2656" s="11">
        <v>0.10168011145207059</v>
      </c>
      <c r="Y2656" s="11">
        <v>0.3525952423800249</v>
      </c>
      <c r="Z2656" s="11">
        <v>0.10651485314359088</v>
      </c>
    </row>
    <row r="2657" ht="22.5" customHeight="1">
      <c r="Q2657" s="9" t="s">
        <v>2695</v>
      </c>
      <c r="R2657" s="10">
        <v>0.6235650044870171</v>
      </c>
      <c r="S2657" s="10">
        <v>0.028174101726368538</v>
      </c>
      <c r="T2657" s="10">
        <v>20.712816690828173</v>
      </c>
      <c r="U2657" s="11">
        <v>0.16865699526207775</v>
      </c>
      <c r="V2657" s="11">
        <v>0.1656448959218059</v>
      </c>
      <c r="W2657" s="11">
        <v>0.19765441304929235</v>
      </c>
      <c r="X2657" s="11">
        <v>0.12129842754026192</v>
      </c>
      <c r="Y2657" s="11">
        <v>0.15892418925264998</v>
      </c>
      <c r="Z2657" s="11">
        <v>0.187821078973912</v>
      </c>
    </row>
    <row r="2658" ht="22.5" customHeight="1">
      <c r="Q2658" s="9" t="s">
        <v>2696</v>
      </c>
      <c r="R2658" s="10">
        <v>0.5805961217093351</v>
      </c>
      <c r="S2658" s="10">
        <v>0.0261000614938691</v>
      </c>
      <c r="T2658" s="10">
        <v>20.71244628432469</v>
      </c>
      <c r="U2658" s="11">
        <v>0.2525790022606381</v>
      </c>
      <c r="V2658" s="11">
        <v>0.13306295698748682</v>
      </c>
      <c r="W2658" s="11">
        <v>0.19127524683181352</v>
      </c>
      <c r="X2658" s="11">
        <v>0.13752557604848056</v>
      </c>
      <c r="Y2658" s="11">
        <v>0.1890515939192523</v>
      </c>
      <c r="Z2658" s="11">
        <v>0.09650562395232874</v>
      </c>
    </row>
    <row r="2659" ht="22.5" customHeight="1">
      <c r="Q2659" s="9" t="s">
        <v>2697</v>
      </c>
      <c r="R2659" s="10">
        <v>0.3515767877870869</v>
      </c>
      <c r="S2659" s="10">
        <v>0.015043481678327406</v>
      </c>
      <c r="T2659" s="10">
        <v>20.71174708418492</v>
      </c>
      <c r="U2659" s="11">
        <v>0.3016505072517229</v>
      </c>
      <c r="V2659" s="11">
        <v>0.08836933787767477</v>
      </c>
      <c r="W2659" s="11">
        <v>0.05979057020740082</v>
      </c>
      <c r="X2659" s="11">
        <v>0.104664058258829</v>
      </c>
      <c r="Y2659" s="11">
        <v>0.3457027258581079</v>
      </c>
      <c r="Z2659" s="11">
        <v>0.09982280054626472</v>
      </c>
    </row>
    <row r="2660" ht="22.5" customHeight="1">
      <c r="Q2660" s="9" t="s">
        <v>2698</v>
      </c>
      <c r="R2660" s="10">
        <v>0.7459090715549208</v>
      </c>
      <c r="S2660" s="10">
        <v>0.034082733156049046</v>
      </c>
      <c r="T2660" s="10">
        <v>20.711633316579693</v>
      </c>
      <c r="U2660" s="11">
        <v>0.14339325466622652</v>
      </c>
      <c r="V2660" s="11">
        <v>0.24366982642822985</v>
      </c>
      <c r="W2660" s="11">
        <v>0.20291293140854658</v>
      </c>
      <c r="X2660" s="11">
        <v>0.12258126376023709</v>
      </c>
      <c r="Y2660" s="11">
        <v>0.21546085641722096</v>
      </c>
      <c r="Z2660" s="11">
        <v>0.07198186731953904</v>
      </c>
    </row>
    <row r="2661" ht="22.5" customHeight="1">
      <c r="Q2661" s="9" t="s">
        <v>2699</v>
      </c>
      <c r="R2661" s="10">
        <v>0.2676489064208734</v>
      </c>
      <c r="S2661" s="10">
        <v>0.010991579512082161</v>
      </c>
      <c r="T2661" s="10">
        <v>20.711209537322386</v>
      </c>
      <c r="U2661" s="11">
        <v>0.33372035957547486</v>
      </c>
      <c r="V2661" s="11">
        <v>0.050368118918772395</v>
      </c>
      <c r="W2661" s="11">
        <v>0.018920009611378144</v>
      </c>
      <c r="X2661" s="11">
        <v>0.3380157400451076</v>
      </c>
      <c r="Y2661" s="11">
        <v>0.15469141314445803</v>
      </c>
      <c r="Z2661" s="11">
        <v>0.10428435870480889</v>
      </c>
    </row>
    <row r="2662" ht="22.5" customHeight="1">
      <c r="Q2662" s="9" t="s">
        <v>2700</v>
      </c>
      <c r="R2662" s="10">
        <v>0.7427150912346219</v>
      </c>
      <c r="S2662" s="10">
        <v>0.03392948932026073</v>
      </c>
      <c r="T2662" s="10">
        <v>20.711042379733108</v>
      </c>
      <c r="U2662" s="11">
        <v>0.23887567446613975</v>
      </c>
      <c r="V2662" s="11">
        <v>0.23548744819069994</v>
      </c>
      <c r="W2662" s="11">
        <v>0.2131269610919712</v>
      </c>
      <c r="X2662" s="11">
        <v>0.16941392922469492</v>
      </c>
      <c r="Y2662" s="11">
        <v>0.004751845182365329</v>
      </c>
      <c r="Z2662" s="11">
        <v>0.13834414184412877</v>
      </c>
    </row>
    <row r="2663" ht="22.5" customHeight="1">
      <c r="Q2663" s="9" t="s">
        <v>2701</v>
      </c>
      <c r="R2663" s="10">
        <v>0.5862588450145844</v>
      </c>
      <c r="S2663" s="10">
        <v>0.02637530917952989</v>
      </c>
      <c r="T2663" s="10">
        <v>20.710993046426186</v>
      </c>
      <c r="U2663" s="11">
        <v>0.04461272230803819</v>
      </c>
      <c r="V2663" s="11">
        <v>0.2252085993932983</v>
      </c>
      <c r="W2663" s="11">
        <v>0.09918671664580735</v>
      </c>
      <c r="X2663" s="11">
        <v>0.2983486876502616</v>
      </c>
      <c r="Y2663" s="11">
        <v>0.04345119650075742</v>
      </c>
      <c r="Z2663" s="11">
        <v>0.28919207750183706</v>
      </c>
    </row>
    <row r="2664" ht="22.5" customHeight="1">
      <c r="Q2664" s="9" t="s">
        <v>2702</v>
      </c>
      <c r="R2664" s="10">
        <v>0.6548478510893911</v>
      </c>
      <c r="S2664" s="10">
        <v>0.029687125408944817</v>
      </c>
      <c r="T2664" s="10">
        <v>20.71092578414937</v>
      </c>
      <c r="U2664" s="11">
        <v>0.1378918157777465</v>
      </c>
      <c r="V2664" s="11">
        <v>0.1925693355327839</v>
      </c>
      <c r="W2664" s="11">
        <v>0.19717919166110798</v>
      </c>
      <c r="X2664" s="11">
        <v>0.12079770102125484</v>
      </c>
      <c r="Y2664" s="11">
        <v>0.11781103129040955</v>
      </c>
      <c r="Z2664" s="11">
        <v>0.23375092471669728</v>
      </c>
    </row>
    <row r="2665" ht="22.5" customHeight="1">
      <c r="Q2665" s="9" t="s">
        <v>2703</v>
      </c>
      <c r="R2665" s="10">
        <v>0.8010244163673415</v>
      </c>
      <c r="S2665" s="10">
        <v>0.036746794765107525</v>
      </c>
      <c r="T2665" s="10">
        <v>20.70995364988848</v>
      </c>
      <c r="U2665" s="11">
        <v>0.12418856441707729</v>
      </c>
      <c r="V2665" s="11">
        <v>0.23682831347150235</v>
      </c>
      <c r="W2665" s="11">
        <v>0.2459952844617505</v>
      </c>
      <c r="X2665" s="11">
        <v>0.1949551080931009</v>
      </c>
      <c r="Y2665" s="11">
        <v>0.1615887483589399</v>
      </c>
      <c r="Z2665" s="11">
        <v>0.03644398119762903</v>
      </c>
    </row>
    <row r="2666" ht="22.5" customHeight="1">
      <c r="Q2666" s="9" t="s">
        <v>2704</v>
      </c>
      <c r="R2666" s="10">
        <v>0.7632297298447137</v>
      </c>
      <c r="S2666" s="10">
        <v>0.03492250280094234</v>
      </c>
      <c r="T2666" s="10">
        <v>20.709561796504406</v>
      </c>
      <c r="U2666" s="11">
        <v>0.08673843026443835</v>
      </c>
      <c r="V2666" s="11">
        <v>0.19028276262741292</v>
      </c>
      <c r="W2666" s="11">
        <v>0.258275832016434</v>
      </c>
      <c r="X2666" s="11">
        <v>0.3464250032618212</v>
      </c>
      <c r="Y2666" s="11">
        <v>0.03225280192209022</v>
      </c>
      <c r="Z2666" s="11">
        <v>0.08602516990780332</v>
      </c>
    </row>
    <row r="2667" ht="22.5" customHeight="1">
      <c r="Q2667" s="9" t="s">
        <v>2705</v>
      </c>
      <c r="R2667" s="10">
        <v>0.8058852773859189</v>
      </c>
      <c r="S2667" s="10">
        <v>0.0369822646493541</v>
      </c>
      <c r="T2667" s="10">
        <v>20.709528868705856</v>
      </c>
      <c r="U2667" s="11">
        <v>0.06642283314534814</v>
      </c>
      <c r="V2667" s="11">
        <v>0.2590463556684564</v>
      </c>
      <c r="W2667" s="11">
        <v>0.22425132030019915</v>
      </c>
      <c r="X2667" s="11">
        <v>0.1671447345412115</v>
      </c>
      <c r="Y2667" s="11">
        <v>0.282589415756293</v>
      </c>
      <c r="Z2667" s="11">
        <v>5.453405884917864E-4</v>
      </c>
    </row>
    <row r="2668" ht="22.5" customHeight="1">
      <c r="Q2668" s="9" t="s">
        <v>2706</v>
      </c>
      <c r="R2668" s="10">
        <v>0.6732646231344582</v>
      </c>
      <c r="S2668" s="10">
        <v>0.030578660674983427</v>
      </c>
      <c r="T2668" s="10">
        <v>20.709364280710158</v>
      </c>
      <c r="U2668" s="11">
        <v>0.2095879463657255</v>
      </c>
      <c r="V2668" s="11">
        <v>0.2311090909497718</v>
      </c>
      <c r="W2668" s="11">
        <v>0.17000220244390918</v>
      </c>
      <c r="X2668" s="11">
        <v>0.1276936793982631</v>
      </c>
      <c r="Y2668" s="11">
        <v>0.0558991816431336</v>
      </c>
      <c r="Z2668" s="11">
        <v>0.20570789919919683</v>
      </c>
    </row>
    <row r="2669" ht="22.5" customHeight="1">
      <c r="Q2669" s="9" t="s">
        <v>2707</v>
      </c>
      <c r="R2669" s="10">
        <v>0.2886221617913555</v>
      </c>
      <c r="S2669" s="10">
        <v>0.012005431214143897</v>
      </c>
      <c r="T2669" s="10">
        <v>20.709140501213113</v>
      </c>
      <c r="U2669" s="11">
        <v>0.11646464280884318</v>
      </c>
      <c r="V2669" s="11">
        <v>0.03461075603781067</v>
      </c>
      <c r="W2669" s="11">
        <v>0.07441582503539675</v>
      </c>
      <c r="X2669" s="11">
        <v>0.22878191672304496</v>
      </c>
      <c r="Y2669" s="11">
        <v>0.1942966997220336</v>
      </c>
      <c r="Z2669" s="11">
        <v>0.35143015967287083</v>
      </c>
    </row>
    <row r="2670" ht="22.5" customHeight="1">
      <c r="Q2670" s="9" t="s">
        <v>2708</v>
      </c>
      <c r="R2670" s="10">
        <v>0.6999785462944426</v>
      </c>
      <c r="S2670" s="10">
        <v>0.03186898867197089</v>
      </c>
      <c r="T2670" s="10">
        <v>20.709114841629745</v>
      </c>
      <c r="U2670" s="11">
        <v>0.20045471189314518</v>
      </c>
      <c r="V2670" s="11">
        <v>0.18556961542979017</v>
      </c>
      <c r="W2670" s="11">
        <v>0.22411821604998075</v>
      </c>
      <c r="X2670" s="11">
        <v>0.14855468468216407</v>
      </c>
      <c r="Y2670" s="11">
        <v>0.20703452580127224</v>
      </c>
      <c r="Z2670" s="11">
        <v>0.034268246143647624</v>
      </c>
    </row>
    <row r="2671" ht="22.5" customHeight="1">
      <c r="Q2671" s="9" t="s">
        <v>2709</v>
      </c>
      <c r="R2671" s="10">
        <v>0.7294543540266087</v>
      </c>
      <c r="S2671" s="10">
        <v>0.03329232447319965</v>
      </c>
      <c r="T2671" s="10">
        <v>20.709108328606494</v>
      </c>
      <c r="U2671" s="11">
        <v>0.2123748761796549</v>
      </c>
      <c r="V2671" s="11">
        <v>0.18978458178933288</v>
      </c>
      <c r="W2671" s="11">
        <v>0.2410789400644337</v>
      </c>
      <c r="X2671" s="11">
        <v>0.23483408483650525</v>
      </c>
      <c r="Y2671" s="11">
        <v>0.04504455868121634</v>
      </c>
      <c r="Z2671" s="11">
        <v>0.07688295844885684</v>
      </c>
    </row>
    <row r="2672" ht="22.5" customHeight="1">
      <c r="Q2672" s="9" t="s">
        <v>2710</v>
      </c>
      <c r="R2672" s="10">
        <v>0.7528027576436082</v>
      </c>
      <c r="S2672" s="10">
        <v>0.03442003032331946</v>
      </c>
      <c r="T2672" s="10">
        <v>20.708952053441003</v>
      </c>
      <c r="U2672" s="11">
        <v>0.07070952003841738</v>
      </c>
      <c r="V2672" s="11">
        <v>0.23349159342224446</v>
      </c>
      <c r="W2672" s="11">
        <v>0.22292187276918124</v>
      </c>
      <c r="X2672" s="11">
        <v>0.1980272999218038</v>
      </c>
      <c r="Y2672" s="11">
        <v>0.07363440113414409</v>
      </c>
      <c r="Z2672" s="11">
        <v>0.201215312714209</v>
      </c>
    </row>
    <row r="2673" ht="22.5" customHeight="1">
      <c r="Q2673" s="9" t="s">
        <v>2711</v>
      </c>
      <c r="R2673" s="10">
        <v>0.664997479988791</v>
      </c>
      <c r="S2673" s="10">
        <v>0.030180072188347697</v>
      </c>
      <c r="T2673" s="10">
        <v>20.70894582651455</v>
      </c>
      <c r="U2673" s="11">
        <v>0.19566684449567806</v>
      </c>
      <c r="V2673" s="11">
        <v>0.22517005896801276</v>
      </c>
      <c r="W2673" s="11">
        <v>0.16604691179401454</v>
      </c>
      <c r="X2673" s="11">
        <v>0.08284586269526233</v>
      </c>
      <c r="Y2673" s="11">
        <v>0.20413279358393818</v>
      </c>
      <c r="Z2673" s="11">
        <v>0.12613752846309417</v>
      </c>
    </row>
    <row r="2674" ht="22.5" customHeight="1">
      <c r="Q2674" s="9" t="s">
        <v>2712</v>
      </c>
      <c r="R2674" s="10">
        <v>0.6613770210179386</v>
      </c>
      <c r="S2674" s="10">
        <v>0.030005889005868</v>
      </c>
      <c r="T2674" s="10">
        <v>20.708502284215644</v>
      </c>
      <c r="U2674" s="11">
        <v>0.30443356624938295</v>
      </c>
      <c r="V2674" s="11">
        <v>0.2045376420476374</v>
      </c>
      <c r="W2674" s="11">
        <v>0.18675293589440936</v>
      </c>
      <c r="X2674" s="11">
        <v>0.08162413911887513</v>
      </c>
      <c r="Y2674" s="11">
        <v>0.10220252637164666</v>
      </c>
      <c r="Z2674" s="11">
        <v>0.12044919031804842</v>
      </c>
    </row>
    <row r="2675" ht="22.5" customHeight="1">
      <c r="Q2675" s="9" t="s">
        <v>2713</v>
      </c>
      <c r="R2675" s="10">
        <v>0.5197091107794086</v>
      </c>
      <c r="S2675" s="10">
        <v>0.02316496588869909</v>
      </c>
      <c r="T2675" s="10">
        <v>20.708388394969848</v>
      </c>
      <c r="U2675" s="11">
        <v>0.1774807873404607</v>
      </c>
      <c r="V2675" s="11">
        <v>0.12581001122812735</v>
      </c>
      <c r="W2675" s="11">
        <v>0.1604115205821096</v>
      </c>
      <c r="X2675" s="11">
        <v>0.07941605098537118</v>
      </c>
      <c r="Y2675" s="11">
        <v>0.2640100885474335</v>
      </c>
      <c r="Z2675" s="11">
        <v>0.1928715413164976</v>
      </c>
    </row>
    <row r="2676" ht="22.5" customHeight="1">
      <c r="Q2676" s="9" t="s">
        <v>2714</v>
      </c>
      <c r="R2676" s="10">
        <v>0.5276940702800356</v>
      </c>
      <c r="S2676" s="10">
        <v>0.023550923012858774</v>
      </c>
      <c r="T2676" s="10">
        <v>20.70806609209139</v>
      </c>
      <c r="U2676" s="11">
        <v>0.14840590272898807</v>
      </c>
      <c r="V2676" s="11">
        <v>0.10813065199660725</v>
      </c>
      <c r="W2676" s="11">
        <v>0.18055880947199007</v>
      </c>
      <c r="X2676" s="11">
        <v>0.2534394591334972</v>
      </c>
      <c r="Y2676" s="11">
        <v>0.02645054889885273</v>
      </c>
      <c r="Z2676" s="11">
        <v>0.28301462777006475</v>
      </c>
    </row>
    <row r="2677" ht="22.5" customHeight="1">
      <c r="Q2677" s="9" t="s">
        <v>2715</v>
      </c>
      <c r="R2677" s="10">
        <v>0.7684112851000949</v>
      </c>
      <c r="S2677" s="10">
        <v>0.03517563617895219</v>
      </c>
      <c r="T2677" s="10">
        <v>20.707835428885563</v>
      </c>
      <c r="U2677" s="11">
        <v>0.04960169301275452</v>
      </c>
      <c r="V2677" s="11">
        <v>0.24195055640580235</v>
      </c>
      <c r="W2677" s="11">
        <v>0.2250866232227904</v>
      </c>
      <c r="X2677" s="11">
        <v>0.21845971994855132</v>
      </c>
      <c r="Y2677" s="11">
        <v>0.058150262364523087</v>
      </c>
      <c r="Z2677" s="11">
        <v>0.2067511450455785</v>
      </c>
    </row>
    <row r="2678" ht="22.5" customHeight="1">
      <c r="Q2678" s="9" t="s">
        <v>2716</v>
      </c>
      <c r="R2678" s="10">
        <v>0.6972511412109528</v>
      </c>
      <c r="S2678" s="10">
        <v>0.03173925041800107</v>
      </c>
      <c r="T2678" s="10">
        <v>20.707834386605096</v>
      </c>
      <c r="U2678" s="11">
        <v>0.11081936732468224</v>
      </c>
      <c r="V2678" s="11">
        <v>0.23426775466546923</v>
      </c>
      <c r="W2678" s="11">
        <v>0.1717395637638</v>
      </c>
      <c r="X2678" s="11">
        <v>0.10619727667743725</v>
      </c>
      <c r="Y2678" s="11">
        <v>0.3407093626279028</v>
      </c>
      <c r="Z2678" s="11">
        <v>0.036266674940708524</v>
      </c>
    </row>
    <row r="2679" ht="22.5" customHeight="1">
      <c r="Q2679" s="9" t="s">
        <v>2717</v>
      </c>
      <c r="R2679" s="10">
        <v>0.6743621613462831</v>
      </c>
      <c r="S2679" s="10">
        <v>0.030634105112941148</v>
      </c>
      <c r="T2679" s="10">
        <v>20.707709887640934</v>
      </c>
      <c r="U2679" s="11">
        <v>0.04185557804143837</v>
      </c>
      <c r="V2679" s="11">
        <v>0.19117906384194164</v>
      </c>
      <c r="W2679" s="11">
        <v>0.20818443210835078</v>
      </c>
      <c r="X2679" s="11">
        <v>0.14686049864198109</v>
      </c>
      <c r="Y2679" s="11">
        <v>0.20740962946526822</v>
      </c>
      <c r="Z2679" s="11">
        <v>0.2045107979010199</v>
      </c>
    </row>
    <row r="2680" ht="22.5" customHeight="1">
      <c r="Q2680" s="9" t="s">
        <v>2718</v>
      </c>
      <c r="R2680" s="10">
        <v>0.3761637200416885</v>
      </c>
      <c r="S2680" s="10">
        <v>0.01623390940565654</v>
      </c>
      <c r="T2680" s="10">
        <v>20.707502527059546</v>
      </c>
      <c r="U2680" s="11">
        <v>0.11367018433254375</v>
      </c>
      <c r="V2680" s="11">
        <v>0.04504755937440429</v>
      </c>
      <c r="W2680" s="11">
        <v>0.11503796919103586</v>
      </c>
      <c r="X2680" s="11">
        <v>0.27099571059695177</v>
      </c>
      <c r="Y2680" s="11">
        <v>0.29534845311740865</v>
      </c>
      <c r="Z2680" s="11">
        <v>0.15990012338765555</v>
      </c>
    </row>
    <row r="2681" ht="22.5" customHeight="1">
      <c r="Q2681" s="9" t="s">
        <v>2719</v>
      </c>
      <c r="R2681" s="10">
        <v>0.7425587170327015</v>
      </c>
      <c r="S2681" s="10">
        <v>0.033927886736312494</v>
      </c>
      <c r="T2681" s="10">
        <v>20.707411649095246</v>
      </c>
      <c r="U2681" s="11">
        <v>0.08290209323657359</v>
      </c>
      <c r="V2681" s="11">
        <v>0.20842412381496228</v>
      </c>
      <c r="W2681" s="11">
        <v>0.23672849415494407</v>
      </c>
      <c r="X2681" s="11">
        <v>0.22203484425614062</v>
      </c>
      <c r="Y2681" s="11">
        <v>0.08852069830926582</v>
      </c>
      <c r="Z2681" s="11">
        <v>0.16138974622811342</v>
      </c>
    </row>
    <row r="2682" ht="22.5" customHeight="1">
      <c r="Q2682" s="9" t="s">
        <v>2720</v>
      </c>
      <c r="R2682" s="10">
        <v>0.546678902537715</v>
      </c>
      <c r="S2682" s="10">
        <v>0.024468800206046692</v>
      </c>
      <c r="T2682" s="10">
        <v>20.70714126851652</v>
      </c>
      <c r="U2682" s="11">
        <v>0.10718283793399214</v>
      </c>
      <c r="V2682" s="11">
        <v>0.2106795189456021</v>
      </c>
      <c r="W2682" s="11">
        <v>0.08426083525633925</v>
      </c>
      <c r="X2682" s="11">
        <v>0.2654247231570761</v>
      </c>
      <c r="Y2682" s="11">
        <v>0.07117518128789671</v>
      </c>
      <c r="Z2682" s="11">
        <v>0.26127690341909376</v>
      </c>
    </row>
    <row r="2683" ht="22.5" customHeight="1">
      <c r="Q2683" s="9" t="s">
        <v>2721</v>
      </c>
      <c r="R2683" s="10">
        <v>0.5380209450284043</v>
      </c>
      <c r="S2683" s="10">
        <v>0.024050727442905612</v>
      </c>
      <c r="T2683" s="10">
        <v>20.7071052719991</v>
      </c>
      <c r="U2683" s="11">
        <v>0.19370193531308622</v>
      </c>
      <c r="V2683" s="11">
        <v>0.15195370604164737</v>
      </c>
      <c r="W2683" s="11">
        <v>0.15426205939214047</v>
      </c>
      <c r="X2683" s="11">
        <v>0.043699272094944834</v>
      </c>
      <c r="Y2683" s="11">
        <v>0.21054712359341635</v>
      </c>
      <c r="Z2683" s="11">
        <v>0.2458359035647647</v>
      </c>
    </row>
    <row r="2684" ht="22.5" customHeight="1">
      <c r="Q2684" s="9" t="s">
        <v>2722</v>
      </c>
      <c r="R2684" s="10">
        <v>0.35984780089187557</v>
      </c>
      <c r="S2684" s="10">
        <v>0.015446554346259727</v>
      </c>
      <c r="T2684" s="10">
        <v>20.706741045411494</v>
      </c>
      <c r="U2684" s="11">
        <v>0.26452115381877106</v>
      </c>
      <c r="V2684" s="11">
        <v>0.11340226091427157</v>
      </c>
      <c r="W2684" s="11">
        <v>0.015984770100043594</v>
      </c>
      <c r="X2684" s="11">
        <v>0.37239811052838034</v>
      </c>
      <c r="Y2684" s="11">
        <v>0.207029114660056</v>
      </c>
      <c r="Z2684" s="11">
        <v>0.02666458997847742</v>
      </c>
    </row>
    <row r="2685" ht="22.5" customHeight="1">
      <c r="Q2685" s="9" t="s">
        <v>2723</v>
      </c>
      <c r="R2685" s="10">
        <v>0.6407102805850156</v>
      </c>
      <c r="S2685" s="10">
        <v>0.02901066705777004</v>
      </c>
      <c r="T2685" s="10">
        <v>20.706531131766063</v>
      </c>
      <c r="U2685" s="11">
        <v>0.10207355979971801</v>
      </c>
      <c r="V2685" s="11">
        <v>0.12311349357028403</v>
      </c>
      <c r="W2685" s="11">
        <v>0.22630339992061738</v>
      </c>
      <c r="X2685" s="11">
        <v>0.37022790782507936</v>
      </c>
      <c r="Y2685" s="11">
        <v>0.144747196760218</v>
      </c>
      <c r="Z2685" s="11">
        <v>0.03353444212408303</v>
      </c>
    </row>
    <row r="2686" ht="22.5" customHeight="1">
      <c r="Q2686" s="9" t="s">
        <v>2724</v>
      </c>
      <c r="R2686" s="10">
        <v>0.8085122979118449</v>
      </c>
      <c r="S2686" s="10">
        <v>0.037114584024185694</v>
      </c>
      <c r="T2686" s="10">
        <v>20.706477470178417</v>
      </c>
      <c r="U2686" s="11">
        <v>0.2471220091654852</v>
      </c>
      <c r="V2686" s="11">
        <v>0.2428234995821883</v>
      </c>
      <c r="W2686" s="11">
        <v>0.24653431979607668</v>
      </c>
      <c r="X2686" s="11">
        <v>0.21270136242518414</v>
      </c>
      <c r="Y2686" s="11">
        <v>0.01993511058045669</v>
      </c>
      <c r="Z2686" s="11">
        <v>0.030883698450608878</v>
      </c>
    </row>
    <row r="2687" ht="22.5" customHeight="1">
      <c r="Q2687" s="9" t="s">
        <v>2725</v>
      </c>
      <c r="R2687" s="10">
        <v>0.7048156612068576</v>
      </c>
      <c r="S2687" s="10">
        <v>0.03210696148067487</v>
      </c>
      <c r="T2687" s="10">
        <v>20.70627772132872</v>
      </c>
      <c r="U2687" s="11">
        <v>0.2174110862006034</v>
      </c>
      <c r="V2687" s="11">
        <v>0.25525150912396044</v>
      </c>
      <c r="W2687" s="11">
        <v>0.15765386746789745</v>
      </c>
      <c r="X2687" s="11">
        <v>0.14802583765520125</v>
      </c>
      <c r="Y2687" s="11">
        <v>0.15284893812497688</v>
      </c>
      <c r="Z2687" s="11">
        <v>0.06880876142736062</v>
      </c>
    </row>
    <row r="2688" ht="22.5" customHeight="1">
      <c r="Q2688" s="9" t="s">
        <v>2726</v>
      </c>
      <c r="R2688" s="10">
        <v>0.5929197718632776</v>
      </c>
      <c r="S2688" s="10">
        <v>0.026703092739022563</v>
      </c>
      <c r="T2688" s="10">
        <v>20.70620722727253</v>
      </c>
      <c r="U2688" s="11">
        <v>0.2629026064915252</v>
      </c>
      <c r="V2688" s="11">
        <v>0.21474709337781092</v>
      </c>
      <c r="W2688" s="11">
        <v>0.10910053815962667</v>
      </c>
      <c r="X2688" s="11">
        <v>0.12462597110532926</v>
      </c>
      <c r="Y2688" s="11">
        <v>0.28018008730797045</v>
      </c>
      <c r="Z2688" s="11">
        <v>0.008443703557737542</v>
      </c>
    </row>
    <row r="2689" ht="22.5" customHeight="1">
      <c r="Q2689" s="9" t="s">
        <v>2727</v>
      </c>
      <c r="R2689" s="10">
        <v>0.4504471233865979</v>
      </c>
      <c r="S2689" s="10">
        <v>0.01982256880657935</v>
      </c>
      <c r="T2689" s="10">
        <v>20.706051137548105</v>
      </c>
      <c r="U2689" s="11">
        <v>0.16250709376411693</v>
      </c>
      <c r="V2689" s="11">
        <v>0.08154628809891751</v>
      </c>
      <c r="W2689" s="11">
        <v>0.14820187000886026</v>
      </c>
      <c r="X2689" s="11">
        <v>0.16685600849613627</v>
      </c>
      <c r="Y2689" s="11">
        <v>0.22017370910514814</v>
      </c>
      <c r="Z2689" s="11">
        <v>0.22071503052682095</v>
      </c>
    </row>
    <row r="2690" ht="22.5" customHeight="1">
      <c r="Q2690" s="9" t="s">
        <v>2728</v>
      </c>
      <c r="R2690" s="10">
        <v>0.2725163155674688</v>
      </c>
      <c r="S2690" s="10">
        <v>0.01122963359949609</v>
      </c>
      <c r="T2690" s="10">
        <v>20.705601256473994</v>
      </c>
      <c r="U2690" s="11">
        <v>0.1968984672178141</v>
      </c>
      <c r="V2690" s="11">
        <v>0.04501248459229784</v>
      </c>
      <c r="W2690" s="11">
        <v>0.04575554509676836</v>
      </c>
      <c r="X2690" s="11">
        <v>0.18954909374188939</v>
      </c>
      <c r="Y2690" s="11">
        <v>0.28654980512057887</v>
      </c>
      <c r="Z2690" s="11">
        <v>0.23623460423065146</v>
      </c>
    </row>
    <row r="2691" ht="22.5" customHeight="1">
      <c r="Q2691" s="9" t="s">
        <v>2729</v>
      </c>
      <c r="R2691" s="10">
        <v>0.5112835904968015</v>
      </c>
      <c r="S2691" s="10">
        <v>0.022761522167518596</v>
      </c>
      <c r="T2691" s="10">
        <v>20.705275641421643</v>
      </c>
      <c r="U2691" s="11">
        <v>0.11611248245639996</v>
      </c>
      <c r="V2691" s="11">
        <v>0.10223672180011338</v>
      </c>
      <c r="W2691" s="11">
        <v>0.1729907704772753</v>
      </c>
      <c r="X2691" s="11">
        <v>0.1929911107433017</v>
      </c>
      <c r="Y2691" s="11">
        <v>0.18359648980511295</v>
      </c>
      <c r="Z2691" s="11">
        <v>0.23207242471779677</v>
      </c>
    </row>
    <row r="2692" ht="22.5" customHeight="1">
      <c r="Q2692" s="9" t="s">
        <v>2730</v>
      </c>
      <c r="R2692" s="10">
        <v>0.5242765837754775</v>
      </c>
      <c r="S2692" s="10">
        <v>0.023389248627020767</v>
      </c>
      <c r="T2692" s="10">
        <v>20.70509367350989</v>
      </c>
      <c r="U2692" s="11">
        <v>0.2172224960374176</v>
      </c>
      <c r="V2692" s="11">
        <v>0.12689719983649275</v>
      </c>
      <c r="W2692" s="11">
        <v>0.162668165820248</v>
      </c>
      <c r="X2692" s="11">
        <v>0.07650338779813924</v>
      </c>
      <c r="Y2692" s="11">
        <v>0.23936012623973804</v>
      </c>
      <c r="Z2692" s="11">
        <v>0.17734862426796433</v>
      </c>
    </row>
    <row r="2693" ht="22.5" customHeight="1">
      <c r="Q2693" s="9" t="s">
        <v>2731</v>
      </c>
      <c r="R2693" s="10">
        <v>0.3911921718177556</v>
      </c>
      <c r="S2693" s="10">
        <v>0.01696164085515167</v>
      </c>
      <c r="T2693" s="10">
        <v>20.705082416073555</v>
      </c>
      <c r="U2693" s="11">
        <v>0.28039524548420414</v>
      </c>
      <c r="V2693" s="11">
        <v>0.08472439628461843</v>
      </c>
      <c r="W2693" s="11">
        <v>0.11234003482909065</v>
      </c>
      <c r="X2693" s="11">
        <v>0.07239220488010899</v>
      </c>
      <c r="Y2693" s="11">
        <v>0.1533917931124135</v>
      </c>
      <c r="Z2693" s="11">
        <v>0.2967563254095643</v>
      </c>
    </row>
    <row r="2694" ht="22.5" customHeight="1">
      <c r="Q2694" s="9" t="s">
        <v>2732</v>
      </c>
      <c r="R2694" s="10">
        <v>0.6866000935771318</v>
      </c>
      <c r="S2694" s="10">
        <v>0.031229378261806613</v>
      </c>
      <c r="T2694" s="10">
        <v>20.70486604492926</v>
      </c>
      <c r="U2694" s="11">
        <v>0.12648805418663542</v>
      </c>
      <c r="V2694" s="11">
        <v>0.19498617059301027</v>
      </c>
      <c r="W2694" s="11">
        <v>0.21383936500946746</v>
      </c>
      <c r="X2694" s="11">
        <v>0.1470237543297229</v>
      </c>
      <c r="Y2694" s="11">
        <v>0.1355632464716652</v>
      </c>
      <c r="Z2694" s="11">
        <v>0.18209940940949867</v>
      </c>
    </row>
    <row r="2695" ht="22.5" customHeight="1">
      <c r="Q2695" s="9" t="s">
        <v>2733</v>
      </c>
      <c r="R2695" s="10">
        <v>0.6794671955815299</v>
      </c>
      <c r="S2695" s="10">
        <v>0.030885005436060698</v>
      </c>
      <c r="T2695" s="10">
        <v>20.704778469454343</v>
      </c>
      <c r="U2695" s="11">
        <v>0.2001508707024574</v>
      </c>
      <c r="V2695" s="11">
        <v>0.15773900514480796</v>
      </c>
      <c r="W2695" s="11">
        <v>0.23184607644851998</v>
      </c>
      <c r="X2695" s="11">
        <v>0.23743576600269053</v>
      </c>
      <c r="Y2695" s="11">
        <v>0.1321154376998784</v>
      </c>
      <c r="Z2695" s="11">
        <v>0.040712844001645654</v>
      </c>
    </row>
    <row r="2696" ht="22.5" customHeight="1">
      <c r="Q2696" s="9" t="s">
        <v>2734</v>
      </c>
      <c r="R2696" s="10">
        <v>0.7319842051329016</v>
      </c>
      <c r="S2696" s="10">
        <v>0.03342225726047248</v>
      </c>
      <c r="T2696" s="10">
        <v>20.704292942873458</v>
      </c>
      <c r="U2696" s="11">
        <v>0.023177683411141112</v>
      </c>
      <c r="V2696" s="11">
        <v>0.25582898851505403</v>
      </c>
      <c r="W2696" s="11">
        <v>0.18097864458292115</v>
      </c>
      <c r="X2696" s="11">
        <v>0.16741422121944335</v>
      </c>
      <c r="Y2696" s="11">
        <v>0.20804162364612122</v>
      </c>
      <c r="Z2696" s="11">
        <v>0.16455883862531917</v>
      </c>
    </row>
    <row r="2697" ht="22.5" customHeight="1">
      <c r="Q2697" s="9" t="s">
        <v>2735</v>
      </c>
      <c r="R2697" s="10">
        <v>0.7330399243845286</v>
      </c>
      <c r="S2697" s="10">
        <v>0.03347440810566073</v>
      </c>
      <c r="T2697" s="10">
        <v>20.703575166944663</v>
      </c>
      <c r="U2697" s="11">
        <v>0.03423011825552887</v>
      </c>
      <c r="V2697" s="11">
        <v>0.2825242274992218</v>
      </c>
      <c r="W2697" s="11">
        <v>0.13302986639613107</v>
      </c>
      <c r="X2697" s="11">
        <v>0.3539855140913314</v>
      </c>
      <c r="Y2697" s="11">
        <v>0.1419754393743113</v>
      </c>
      <c r="Z2697" s="11">
        <v>0.054254834383475586</v>
      </c>
    </row>
    <row r="2698" ht="22.5" customHeight="1">
      <c r="Q2698" s="9" t="s">
        <v>2736</v>
      </c>
      <c r="R2698" s="10">
        <v>0.8436445965848045</v>
      </c>
      <c r="S2698" s="10">
        <v>0.0388172429774914</v>
      </c>
      <c r="T2698" s="10">
        <v>20.703288923708634</v>
      </c>
      <c r="U2698" s="11">
        <v>0.09265441797293088</v>
      </c>
      <c r="V2698" s="11">
        <v>0.27030826931645446</v>
      </c>
      <c r="W2698" s="11">
        <v>0.24466386014786487</v>
      </c>
      <c r="X2698" s="11">
        <v>0.2399002125317639</v>
      </c>
      <c r="Y2698" s="11">
        <v>0.06981197361704235</v>
      </c>
      <c r="Z2698" s="11">
        <v>0.08266126641394371</v>
      </c>
    </row>
    <row r="2699" ht="22.5" customHeight="1">
      <c r="Q2699" s="9" t="s">
        <v>2737</v>
      </c>
      <c r="R2699" s="10">
        <v>0.6591546273364504</v>
      </c>
      <c r="S2699" s="10">
        <v>0.029906172524229058</v>
      </c>
      <c r="T2699" s="10">
        <v>20.703238665356803</v>
      </c>
      <c r="U2699" s="11">
        <v>0.21684811045822772</v>
      </c>
      <c r="V2699" s="11">
        <v>0.24954645317484797</v>
      </c>
      <c r="W2699" s="11">
        <v>0.12630701733432226</v>
      </c>
      <c r="X2699" s="11">
        <v>0.2117224569326704</v>
      </c>
      <c r="Y2699" s="11">
        <v>0.08763068893876474</v>
      </c>
      <c r="Z2699" s="11">
        <v>0.10794527316116688</v>
      </c>
    </row>
    <row r="2700" ht="22.5" customHeight="1">
      <c r="Q2700" s="9" t="s">
        <v>2738</v>
      </c>
      <c r="R2700" s="10">
        <v>0.6332653062619399</v>
      </c>
      <c r="S2700" s="10">
        <v>0.0286559789944266</v>
      </c>
      <c r="T2700" s="10">
        <v>20.70302000072397</v>
      </c>
      <c r="U2700" s="11">
        <v>0.20923711797868252</v>
      </c>
      <c r="V2700" s="11">
        <v>0.23088952567100776</v>
      </c>
      <c r="W2700" s="11">
        <v>0.13780758639069648</v>
      </c>
      <c r="X2700" s="11">
        <v>0.15768502818850683</v>
      </c>
      <c r="Y2700" s="11">
        <v>0.041946830691992086</v>
      </c>
      <c r="Z2700" s="11">
        <v>0.22243391107911434</v>
      </c>
    </row>
    <row r="2701" ht="22.5" customHeight="1">
      <c r="Q2701" s="9" t="s">
        <v>2739</v>
      </c>
      <c r="R2701" s="10">
        <v>0.6671091759583138</v>
      </c>
      <c r="S2701" s="10">
        <v>0.03029092596978857</v>
      </c>
      <c r="T2701" s="10">
        <v>20.702872424031444</v>
      </c>
      <c r="U2701" s="11">
        <v>0.2461266286144278</v>
      </c>
      <c r="V2701" s="11">
        <v>0.18292698060293106</v>
      </c>
      <c r="W2701" s="11">
        <v>0.21136911595733146</v>
      </c>
      <c r="X2701" s="11">
        <v>0.15311844606166933</v>
      </c>
      <c r="Y2701" s="11">
        <v>0.046210851395339085</v>
      </c>
      <c r="Z2701" s="11">
        <v>0.1602479773683015</v>
      </c>
    </row>
    <row r="2702" ht="22.5" customHeight="1">
      <c r="Q2702" s="9" t="s">
        <v>2740</v>
      </c>
      <c r="R2702" s="10">
        <v>0.522331348251574</v>
      </c>
      <c r="S2702" s="10">
        <v>0.035354543743901554</v>
      </c>
      <c r="T2702" s="10">
        <v>20.702623831158323</v>
      </c>
      <c r="U2702" s="11">
        <v>0.050616009985854464</v>
      </c>
      <c r="V2702" s="11">
        <v>0.265224844886945</v>
      </c>
      <c r="W2702" s="11">
        <v>0.20039617593759446</v>
      </c>
      <c r="X2702" s="11">
        <v>0.1823009512853948</v>
      </c>
      <c r="Y2702" s="11">
        <v>0.16238070348087003</v>
      </c>
      <c r="Z2702" s="11">
        <v>0.13908131442334132</v>
      </c>
    </row>
    <row r="2703" ht="22.5" customHeight="1">
      <c r="Q2703" s="9" t="s">
        <v>2741</v>
      </c>
      <c r="R2703" s="10">
        <v>0.5850127509722223</v>
      </c>
      <c r="S2703" s="10">
        <v>0.026326509098246027</v>
      </c>
      <c r="T2703" s="10">
        <v>20.702051644535473</v>
      </c>
      <c r="U2703" s="11">
        <v>0.23141615911403401</v>
      </c>
      <c r="V2703" s="11">
        <v>0.17179361583787453</v>
      </c>
      <c r="W2703" s="11">
        <v>0.17000494620795992</v>
      </c>
      <c r="X2703" s="11">
        <v>0.06929166626272021</v>
      </c>
      <c r="Y2703" s="11">
        <v>0.10902049188588796</v>
      </c>
      <c r="Z2703" s="11">
        <v>0.24847312069152344</v>
      </c>
    </row>
    <row r="2704" ht="22.5" customHeight="1">
      <c r="Q2704" s="9" t="s">
        <v>2742</v>
      </c>
      <c r="R2704" s="10">
        <v>0.5028044592839768</v>
      </c>
      <c r="S2704" s="10">
        <v>0.022356715202981204</v>
      </c>
      <c r="T2704" s="10">
        <v>20.700914918944047</v>
      </c>
      <c r="U2704" s="11">
        <v>0.24233528538091959</v>
      </c>
      <c r="V2704" s="11">
        <v>0.18925713495513635</v>
      </c>
      <c r="W2704" s="11">
        <v>0.06484110479179946</v>
      </c>
      <c r="X2704" s="11">
        <v>0.2135744764866016</v>
      </c>
      <c r="Y2704" s="11">
        <v>0.19658582203517333</v>
      </c>
      <c r="Z2704" s="11">
        <v>0.0934061763503696</v>
      </c>
    </row>
    <row r="2705" ht="22.5" customHeight="1">
      <c r="Q2705" s="9" t="s">
        <v>2743</v>
      </c>
      <c r="R2705" s="10">
        <v>0.31602838807677297</v>
      </c>
      <c r="S2705" s="10">
        <v>0.01333430078076424</v>
      </c>
      <c r="T2705" s="10">
        <v>20.700627098120158</v>
      </c>
      <c r="U2705" s="11">
        <v>0.2922437805099302</v>
      </c>
      <c r="V2705" s="11">
        <v>0.05064087673692718</v>
      </c>
      <c r="W2705" s="11">
        <v>0.07673740614053251</v>
      </c>
      <c r="X2705" s="11">
        <v>0.13347077700530488</v>
      </c>
      <c r="Y2705" s="11">
        <v>0.25197092262131215</v>
      </c>
      <c r="Z2705" s="11">
        <v>0.19493623698599302</v>
      </c>
    </row>
    <row r="2706" ht="22.5" customHeight="1">
      <c r="Q2706" s="9" t="s">
        <v>2744</v>
      </c>
      <c r="R2706" s="10">
        <v>0.7445926067922738</v>
      </c>
      <c r="S2706" s="10">
        <v>0.03403817537784301</v>
      </c>
      <c r="T2706" s="10">
        <v>20.700069817811826</v>
      </c>
      <c r="U2706" s="11">
        <v>0.2156328161222062</v>
      </c>
      <c r="V2706" s="11">
        <v>0.25156675249719346</v>
      </c>
      <c r="W2706" s="11">
        <v>0.1950022372128066</v>
      </c>
      <c r="X2706" s="11">
        <v>0.1261389023891269</v>
      </c>
      <c r="Y2706" s="11">
        <v>0.13693149147732073</v>
      </c>
      <c r="Z2706" s="11">
        <v>0.07472780030134608</v>
      </c>
    </row>
    <row r="2707" ht="22.5" customHeight="1">
      <c r="Q2707" s="9" t="s">
        <v>2745</v>
      </c>
      <c r="R2707" s="10">
        <v>0.5711143184997571</v>
      </c>
      <c r="S2707" s="10">
        <v>0.025658042494612447</v>
      </c>
      <c r="T2707" s="10">
        <v>20.699720900816107</v>
      </c>
      <c r="U2707" s="11">
        <v>0.15856539691589483</v>
      </c>
      <c r="V2707" s="11">
        <v>0.21743788298659422</v>
      </c>
      <c r="W2707" s="11">
        <v>0.0916650607571942</v>
      </c>
      <c r="X2707" s="11">
        <v>0.19955186849287007</v>
      </c>
      <c r="Y2707" s="11">
        <v>0.2010632196406307</v>
      </c>
      <c r="Z2707" s="11">
        <v>0.13171657120681596</v>
      </c>
    </row>
    <row r="2708" ht="22.5" customHeight="1">
      <c r="Q2708" s="9" t="s">
        <v>2746</v>
      </c>
      <c r="R2708" s="10">
        <v>0.7946472083401495</v>
      </c>
      <c r="S2708" s="10">
        <v>0.03645709523503916</v>
      </c>
      <c r="T2708" s="10">
        <v>20.69959780050861</v>
      </c>
      <c r="U2708" s="11">
        <v>0.23693636370958018</v>
      </c>
      <c r="V2708" s="11">
        <v>0.27259411964775193</v>
      </c>
      <c r="W2708" s="11">
        <v>0.20673332712559958</v>
      </c>
      <c r="X2708" s="11">
        <v>0.17113007596995058</v>
      </c>
      <c r="Y2708" s="11">
        <v>0.08074225654935752</v>
      </c>
      <c r="Z2708" s="11">
        <v>0.03186385699776001</v>
      </c>
    </row>
    <row r="2709" ht="22.5" customHeight="1">
      <c r="Q2709" s="9" t="s">
        <v>2747</v>
      </c>
      <c r="R2709" s="10">
        <v>0.6897508424058946</v>
      </c>
      <c r="S2709" s="10">
        <v>0.03138959779623366</v>
      </c>
      <c r="T2709" s="10">
        <v>20.69955934522538</v>
      </c>
      <c r="U2709" s="11">
        <v>0.06293392156835273</v>
      </c>
      <c r="V2709" s="11">
        <v>0.16309620807258168</v>
      </c>
      <c r="W2709" s="11">
        <v>0.232843286215908</v>
      </c>
      <c r="X2709" s="11">
        <v>0.24820584896970482</v>
      </c>
      <c r="Y2709" s="11">
        <v>0.22731758500996097</v>
      </c>
      <c r="Z2709" s="11">
        <v>0.06560315016349177</v>
      </c>
    </row>
    <row r="2710" ht="22.5" customHeight="1">
      <c r="Q2710" s="9" t="s">
        <v>2748</v>
      </c>
      <c r="R2710" s="10">
        <v>0.35099057703168846</v>
      </c>
      <c r="S2710" s="10">
        <v>0.01502404236839842</v>
      </c>
      <c r="T2710" s="10">
        <v>20.699527424511675</v>
      </c>
      <c r="U2710" s="11">
        <v>0.17107338683642742</v>
      </c>
      <c r="V2710" s="11">
        <v>0.10771427439448403</v>
      </c>
      <c r="W2710" s="11">
        <v>0.02076264696719219</v>
      </c>
      <c r="X2710" s="11">
        <v>0.3149913137890011</v>
      </c>
      <c r="Y2710" s="11">
        <v>0.30841436092907676</v>
      </c>
      <c r="Z2710" s="11">
        <v>0.07704401708381854</v>
      </c>
    </row>
    <row r="2711" ht="22.5" customHeight="1">
      <c r="Q2711" s="9" t="s">
        <v>2749</v>
      </c>
      <c r="R2711" s="10">
        <v>0.4590804724921447</v>
      </c>
      <c r="S2711" s="10">
        <v>0.020245995932186487</v>
      </c>
      <c r="T2711" s="10">
        <v>20.6994249083051</v>
      </c>
      <c r="U2711" s="11">
        <v>0.28113858791274443</v>
      </c>
      <c r="V2711" s="11">
        <v>0.12335597818816285</v>
      </c>
      <c r="W2711" s="11">
        <v>0.12942624411821296</v>
      </c>
      <c r="X2711" s="11">
        <v>0.056123956364345334</v>
      </c>
      <c r="Y2711" s="11">
        <v>0.07816610004472334</v>
      </c>
      <c r="Z2711" s="11">
        <v>0.33178913337181104</v>
      </c>
    </row>
    <row r="2712" ht="22.5" customHeight="1">
      <c r="Q2712" s="9" t="s">
        <v>2750</v>
      </c>
      <c r="R2712" s="10">
        <v>0.4929713591315736</v>
      </c>
      <c r="S2712" s="10">
        <v>0.02188362322624754</v>
      </c>
      <c r="T2712" s="10">
        <v>20.699102449738447</v>
      </c>
      <c r="U2712" s="11">
        <v>0.24835053846753785</v>
      </c>
      <c r="V2712" s="11">
        <v>0.12313443168258399</v>
      </c>
      <c r="W2712" s="11">
        <v>0.13057866892129627</v>
      </c>
      <c r="X2712" s="11">
        <v>0.06528579358377576</v>
      </c>
      <c r="Y2712" s="11">
        <v>0.41408924177885215</v>
      </c>
      <c r="Z2712" s="11">
        <v>0.018561325565954016</v>
      </c>
    </row>
    <row r="2713" ht="22.5" customHeight="1">
      <c r="Q2713" s="9" t="s">
        <v>2751</v>
      </c>
      <c r="R2713" s="10">
        <v>0.6280060387389635</v>
      </c>
      <c r="S2713" s="10">
        <v>0.02840742895063124</v>
      </c>
      <c r="T2713" s="10">
        <v>20.699023475895995</v>
      </c>
      <c r="U2713" s="11">
        <v>0.25125937922383795</v>
      </c>
      <c r="V2713" s="11">
        <v>0.23335565756901955</v>
      </c>
      <c r="W2713" s="11">
        <v>0.12180709304464357</v>
      </c>
      <c r="X2713" s="11">
        <v>0.1489438407730412</v>
      </c>
      <c r="Y2713" s="11">
        <v>0.15699537625270846</v>
      </c>
      <c r="Z2713" s="11">
        <v>0.0876386531367492</v>
      </c>
    </row>
    <row r="2714" ht="22.5" customHeight="1">
      <c r="Q2714" s="9" t="s">
        <v>2752</v>
      </c>
      <c r="R2714" s="10">
        <v>0.7580171073700047</v>
      </c>
      <c r="S2714" s="10">
        <v>0.03468858042172791</v>
      </c>
      <c r="T2714" s="10">
        <v>20.698947568354793</v>
      </c>
      <c r="U2714" s="11">
        <v>0.14170865839566127</v>
      </c>
      <c r="V2714" s="11">
        <v>0.19804772761448255</v>
      </c>
      <c r="W2714" s="11">
        <v>0.2518390416988558</v>
      </c>
      <c r="X2714" s="11">
        <v>0.2756237802992362</v>
      </c>
      <c r="Y2714" s="11">
        <v>0.04488438838143241</v>
      </c>
      <c r="Z2714" s="11">
        <v>0.08789640361033181</v>
      </c>
    </row>
    <row r="2715" ht="22.5" customHeight="1">
      <c r="Q2715" s="9" t="s">
        <v>2753</v>
      </c>
      <c r="R2715" s="10">
        <v>0.5981530436180014</v>
      </c>
      <c r="S2715" s="10">
        <v>0.026965322794740815</v>
      </c>
      <c r="T2715" s="10">
        <v>20.698919418344985</v>
      </c>
      <c r="U2715" s="11">
        <v>0.154997882517682</v>
      </c>
      <c r="V2715" s="11">
        <v>0.201254799268473</v>
      </c>
      <c r="W2715" s="11">
        <v>0.15062219894505405</v>
      </c>
      <c r="X2715" s="11">
        <v>0.08446625379297251</v>
      </c>
      <c r="Y2715" s="11">
        <v>0.11256752949216305</v>
      </c>
      <c r="Z2715" s="11">
        <v>0.2960913359836553</v>
      </c>
    </row>
    <row r="2716" ht="22.5" customHeight="1">
      <c r="Q2716" s="9" t="s">
        <v>2754</v>
      </c>
      <c r="R2716" s="10">
        <v>0.6007017019810598</v>
      </c>
      <c r="S2716" s="10">
        <v>0.027088536660735903</v>
      </c>
      <c r="T2716" s="10">
        <v>20.69885534990089</v>
      </c>
      <c r="U2716" s="11">
        <v>0.2602578771832438</v>
      </c>
      <c r="V2716" s="11">
        <v>0.20832712451829583</v>
      </c>
      <c r="W2716" s="11">
        <v>0.14096952809090782</v>
      </c>
      <c r="X2716" s="11">
        <v>0.08619824282266632</v>
      </c>
      <c r="Y2716" s="11">
        <v>0.08734983230144584</v>
      </c>
      <c r="Z2716" s="11">
        <v>0.21689739508344044</v>
      </c>
    </row>
    <row r="2717" ht="22.5" customHeight="1">
      <c r="Q2717" s="9" t="s">
        <v>2755</v>
      </c>
      <c r="R2717" s="10">
        <v>0.5886203923823895</v>
      </c>
      <c r="S2717" s="10">
        <v>0.026505124649740718</v>
      </c>
      <c r="T2717" s="10">
        <v>20.69865354840941</v>
      </c>
      <c r="U2717" s="11">
        <v>0.21801264150220553</v>
      </c>
      <c r="V2717" s="11">
        <v>0.226882555832028</v>
      </c>
      <c r="W2717" s="11">
        <v>0.0943881207726205</v>
      </c>
      <c r="X2717" s="11">
        <v>0.27629954930004325</v>
      </c>
      <c r="Y2717" s="11">
        <v>0.02028825745692027</v>
      </c>
      <c r="Z2717" s="11">
        <v>0.1641288751361824</v>
      </c>
    </row>
    <row r="2718" ht="22.5" customHeight="1">
      <c r="Q2718" s="9" t="s">
        <v>2756</v>
      </c>
      <c r="R2718" s="10">
        <v>0.7716823325117983</v>
      </c>
      <c r="S2718" s="10">
        <v>0.03534931117916833</v>
      </c>
      <c r="T2718" s="10">
        <v>20.69863055614462</v>
      </c>
      <c r="U2718" s="11">
        <v>0.031187746298205327</v>
      </c>
      <c r="V2718" s="11">
        <v>0.2625337743330012</v>
      </c>
      <c r="W2718" s="11">
        <v>0.20091946581803224</v>
      </c>
      <c r="X2718" s="11">
        <v>0.1692985312605214</v>
      </c>
      <c r="Y2718" s="11">
        <v>0.22946664352997062</v>
      </c>
      <c r="Z2718" s="11">
        <v>0.10659383876026912</v>
      </c>
    </row>
    <row r="2719" ht="22.5" customHeight="1">
      <c r="Q2719" s="9" t="s">
        <v>2757</v>
      </c>
      <c r="R2719" s="10">
        <v>0.7953412837715678</v>
      </c>
      <c r="S2719" s="10">
        <v>0.03649316798388736</v>
      </c>
      <c r="T2719" s="10">
        <v>20.698155997447788</v>
      </c>
      <c r="U2719" s="11">
        <v>0.2046619539492854</v>
      </c>
      <c r="V2719" s="11">
        <v>0.2780600892844826</v>
      </c>
      <c r="W2719" s="11">
        <v>0.20015287551306676</v>
      </c>
      <c r="X2719" s="11">
        <v>0.17599221036933943</v>
      </c>
      <c r="Y2719" s="11">
        <v>0.11431664389113842</v>
      </c>
      <c r="Z2719" s="11">
        <v>0.02681622699268741</v>
      </c>
    </row>
    <row r="2720" ht="22.5" customHeight="1">
      <c r="Q2720" s="9" t="s">
        <v>2758</v>
      </c>
      <c r="R2720" s="10">
        <v>0.6437915564389112</v>
      </c>
      <c r="S2720" s="10">
        <v>0.02917131798125581</v>
      </c>
      <c r="T2720" s="10">
        <v>20.698123986954606</v>
      </c>
      <c r="U2720" s="11">
        <v>0.12399704431818555</v>
      </c>
      <c r="V2720" s="11">
        <v>0.133180378726526</v>
      </c>
      <c r="W2720" s="11">
        <v>0.22535254687180126</v>
      </c>
      <c r="X2720" s="11">
        <v>0.30575518772880556</v>
      </c>
      <c r="Y2720" s="11">
        <v>0.1458466761726146</v>
      </c>
      <c r="Z2720" s="11">
        <v>0.06586816618206699</v>
      </c>
    </row>
    <row r="2721" ht="22.5" customHeight="1">
      <c r="Q2721" s="9" t="s">
        <v>2759</v>
      </c>
      <c r="R2721" s="10">
        <v>0.367840681800527</v>
      </c>
      <c r="S2721" s="10">
        <v>0.01583928873128073</v>
      </c>
      <c r="T2721" s="10">
        <v>20.697942146422285</v>
      </c>
      <c r="U2721" s="11">
        <v>0.28652121746428766</v>
      </c>
      <c r="V2721" s="11">
        <v>0.03330838942433301</v>
      </c>
      <c r="W2721" s="11">
        <v>0.11374240032122478</v>
      </c>
      <c r="X2721" s="11">
        <v>0.3256571475300009</v>
      </c>
      <c r="Y2721" s="11">
        <v>0.16951603982162644</v>
      </c>
      <c r="Z2721" s="11">
        <v>0.07125480543852723</v>
      </c>
    </row>
    <row r="2722" ht="22.5" customHeight="1">
      <c r="Q2722" s="9" t="s">
        <v>2760</v>
      </c>
      <c r="R2722" s="10">
        <v>0.3561008621246684</v>
      </c>
      <c r="S2722" s="10">
        <v>0.01527294130068058</v>
      </c>
      <c r="T2722" s="10">
        <v>20.69679021882855</v>
      </c>
      <c r="U2722" s="11">
        <v>0.3476622261528664</v>
      </c>
      <c r="V2722" s="11">
        <v>0.04188904495948542</v>
      </c>
      <c r="W2722" s="11">
        <v>0.10911806138073023</v>
      </c>
      <c r="X2722" s="11">
        <v>0.2582473773016182</v>
      </c>
      <c r="Y2722" s="11">
        <v>0.0692752883868547</v>
      </c>
      <c r="Z2722" s="11">
        <v>0.17380800181844494</v>
      </c>
    </row>
    <row r="2723" ht="22.5" customHeight="1">
      <c r="Q2723" s="9" t="s">
        <v>2761</v>
      </c>
      <c r="R2723" s="10">
        <v>0.4748111588556712</v>
      </c>
      <c r="S2723" s="10">
        <v>0.021008642355890172</v>
      </c>
      <c r="T2723" s="10">
        <v>20.6967757121042</v>
      </c>
      <c r="U2723" s="11">
        <v>0.21793191779299315</v>
      </c>
      <c r="V2723" s="11">
        <v>0.08304693646545815</v>
      </c>
      <c r="W2723" s="11">
        <v>0.15620625417618178</v>
      </c>
      <c r="X2723" s="11">
        <v>0.17910149435899264</v>
      </c>
      <c r="Y2723" s="11">
        <v>0.2708902657553145</v>
      </c>
      <c r="Z2723" s="11">
        <v>0.09282313145105978</v>
      </c>
    </row>
    <row r="2724" ht="22.5" customHeight="1">
      <c r="Q2724" s="9" t="s">
        <v>2762</v>
      </c>
      <c r="R2724" s="10">
        <v>0.6664334943940479</v>
      </c>
      <c r="S2724" s="10">
        <v>0.030267757923050802</v>
      </c>
      <c r="T2724" s="10">
        <v>20.696395682383177</v>
      </c>
      <c r="U2724" s="11">
        <v>0.10859946373368491</v>
      </c>
      <c r="V2724" s="11">
        <v>0.24814579228576014</v>
      </c>
      <c r="W2724" s="11">
        <v>0.13681421367650973</v>
      </c>
      <c r="X2724" s="11">
        <v>0.1782423424051286</v>
      </c>
      <c r="Y2724" s="11">
        <v>0.17889772149716415</v>
      </c>
      <c r="Z2724" s="11">
        <v>0.14930046640175257</v>
      </c>
    </row>
    <row r="2725" ht="22.5" customHeight="1">
      <c r="Q2725" s="9" t="s">
        <v>2763</v>
      </c>
      <c r="R2725" s="10">
        <v>0.7095046801509937</v>
      </c>
      <c r="S2725" s="10">
        <v>0.03234923292759675</v>
      </c>
      <c r="T2725" s="10">
        <v>20.696153186984755</v>
      </c>
      <c r="U2725" s="11">
        <v>0.1546287104085859</v>
      </c>
      <c r="V2725" s="11">
        <v>0.24359713338741634</v>
      </c>
      <c r="W2725" s="11">
        <v>0.17801758664548364</v>
      </c>
      <c r="X2725" s="11">
        <v>0.11172688896605125</v>
      </c>
      <c r="Y2725" s="11">
        <v>0.20184510923862575</v>
      </c>
      <c r="Z2725" s="11">
        <v>0.11018457135383714</v>
      </c>
    </row>
    <row r="2726" ht="22.5" customHeight="1">
      <c r="Q2726" s="9" t="s">
        <v>2764</v>
      </c>
      <c r="R2726" s="10">
        <v>0.754697225064877</v>
      </c>
      <c r="S2726" s="10">
        <v>0.03453312279711658</v>
      </c>
      <c r="T2726" s="10">
        <v>20.69599176604301</v>
      </c>
      <c r="U2726" s="11">
        <v>0.10269827775253425</v>
      </c>
      <c r="V2726" s="11">
        <v>0.22871367128322298</v>
      </c>
      <c r="W2726" s="11">
        <v>0.22799898758127618</v>
      </c>
      <c r="X2726" s="11">
        <v>0.1825741006723434</v>
      </c>
      <c r="Y2726" s="11">
        <v>0.09631397461335019</v>
      </c>
      <c r="Z2726" s="11">
        <v>0.161700988097273</v>
      </c>
    </row>
    <row r="2727" ht="22.5" customHeight="1">
      <c r="Q2727" s="9" t="s">
        <v>2765</v>
      </c>
      <c r="R2727" s="10">
        <v>0.5311715904189281</v>
      </c>
      <c r="S2727" s="10">
        <v>0.02373288901504299</v>
      </c>
      <c r="T2727" s="10">
        <v>20.695819632729968</v>
      </c>
      <c r="U2727" s="11">
        <v>0.30344065332736536</v>
      </c>
      <c r="V2727" s="11">
        <v>0.14777017411678106</v>
      </c>
      <c r="W2727" s="11">
        <v>0.15223351270870267</v>
      </c>
      <c r="X2727" s="11">
        <v>0.0376558004961067</v>
      </c>
      <c r="Y2727" s="11">
        <v>0.15891407039608138</v>
      </c>
      <c r="Z2727" s="11">
        <v>0.1999857889549629</v>
      </c>
    </row>
    <row r="2728" ht="22.5" customHeight="1">
      <c r="Q2728" s="9" t="s">
        <v>2766</v>
      </c>
      <c r="R2728" s="10">
        <v>0.8108713251197104</v>
      </c>
      <c r="S2728" s="10">
        <v>0.0372478643688859</v>
      </c>
      <c r="T2728" s="10">
        <v>20.695718752767984</v>
      </c>
      <c r="U2728" s="11">
        <v>0.02735682787136905</v>
      </c>
      <c r="V2728" s="11">
        <v>0.27810790402537683</v>
      </c>
      <c r="W2728" s="11">
        <v>0.21173321748571203</v>
      </c>
      <c r="X2728" s="11">
        <v>0.20275405573036176</v>
      </c>
      <c r="Y2728" s="11">
        <v>0.19441907847963905</v>
      </c>
      <c r="Z2728" s="11">
        <v>0.08562891640754129</v>
      </c>
    </row>
    <row r="2729" ht="22.5" customHeight="1">
      <c r="Q2729" s="9" t="s">
        <v>2767</v>
      </c>
      <c r="R2729" s="10">
        <v>0.5748049396633659</v>
      </c>
      <c r="S2729" s="10">
        <v>0.025841937662620895</v>
      </c>
      <c r="T2729" s="10">
        <v>20.69523371836529</v>
      </c>
      <c r="U2729" s="11">
        <v>0.24317525690115202</v>
      </c>
      <c r="V2729" s="11">
        <v>0.130779876289546</v>
      </c>
      <c r="W2729" s="11">
        <v>0.1935473658678267</v>
      </c>
      <c r="X2729" s="11">
        <v>0.19539038540473402</v>
      </c>
      <c r="Y2729" s="11">
        <v>0.033829782975132366</v>
      </c>
      <c r="Z2729" s="11">
        <v>0.203277332561609</v>
      </c>
    </row>
    <row r="2730" ht="22.5" customHeight="1">
      <c r="Q2730" s="9" t="s">
        <v>2768</v>
      </c>
      <c r="R2730" s="10">
        <v>0.7060894611493461</v>
      </c>
      <c r="S2730" s="10">
        <v>0.03218565807909943</v>
      </c>
      <c r="T2730" s="10">
        <v>20.6952257900822</v>
      </c>
      <c r="U2730" s="11">
        <v>0.17995880250724242</v>
      </c>
      <c r="V2730" s="11">
        <v>0.1999967570009869</v>
      </c>
      <c r="W2730" s="11">
        <v>0.22110095973303492</v>
      </c>
      <c r="X2730" s="11">
        <v>0.14889920884652022</v>
      </c>
      <c r="Y2730" s="11">
        <v>0.11745995134624392</v>
      </c>
      <c r="Z2730" s="11">
        <v>0.13258432056597177</v>
      </c>
    </row>
    <row r="2731" ht="22.5" customHeight="1">
      <c r="Q2731" s="9" t="s">
        <v>2769</v>
      </c>
      <c r="R2731" s="10">
        <v>0.7594351714804023</v>
      </c>
      <c r="S2731" s="10">
        <v>0.03476383867847637</v>
      </c>
      <c r="T2731" s="10">
        <v>20.69492895000207</v>
      </c>
      <c r="U2731" s="11">
        <v>0.023339245929676806</v>
      </c>
      <c r="V2731" s="11">
        <v>0.2142548454817062</v>
      </c>
      <c r="W2731" s="11">
        <v>0.2417686738676492</v>
      </c>
      <c r="X2731" s="11">
        <v>0.2368508078805678</v>
      </c>
      <c r="Y2731" s="11">
        <v>0.12299630609789432</v>
      </c>
      <c r="Z2731" s="11">
        <v>0.16079012074250584</v>
      </c>
    </row>
    <row r="2732" ht="22.5" customHeight="1">
      <c r="Q2732" s="9" t="s">
        <v>2770</v>
      </c>
      <c r="R2732" s="10">
        <v>0.35247422007095863</v>
      </c>
      <c r="S2732" s="10">
        <v>0.015099470060494525</v>
      </c>
      <c r="T2732" s="10">
        <v>20.6943832345812</v>
      </c>
      <c r="U2732" s="11">
        <v>0.22237233377849827</v>
      </c>
      <c r="V2732" s="11">
        <v>0.060534125931884494</v>
      </c>
      <c r="W2732" s="11">
        <v>0.10601104221368719</v>
      </c>
      <c r="X2732" s="11">
        <v>0.16469029251720016</v>
      </c>
      <c r="Y2732" s="11">
        <v>0.07175500169550414</v>
      </c>
      <c r="Z2732" s="11">
        <v>0.3746372038632258</v>
      </c>
    </row>
    <row r="2733" ht="22.5" customHeight="1">
      <c r="Q2733" s="9" t="s">
        <v>2771</v>
      </c>
      <c r="R2733" s="10">
        <v>0.8028100951609266</v>
      </c>
      <c r="S2733" s="10">
        <v>0.036861406931768606</v>
      </c>
      <c r="T2733" s="10">
        <v>20.694003801127486</v>
      </c>
      <c r="U2733" s="11">
        <v>0.20301249577232686</v>
      </c>
      <c r="V2733" s="11">
        <v>0.2978210778007228</v>
      </c>
      <c r="W2733" s="11">
        <v>0.17789602670936164</v>
      </c>
      <c r="X2733" s="11">
        <v>0.2795592338568528</v>
      </c>
      <c r="Y2733" s="11">
        <v>0.022247406172161626</v>
      </c>
      <c r="Z2733" s="11">
        <v>0.019463759688574202</v>
      </c>
    </row>
    <row r="2734" ht="22.5" customHeight="1">
      <c r="Q2734" s="9" t="s">
        <v>2772</v>
      </c>
      <c r="R2734" s="10">
        <v>0.7162073275367501</v>
      </c>
      <c r="S2734" s="10">
        <v>0.03267685347839481</v>
      </c>
      <c r="T2734" s="10">
        <v>20.693771142433985</v>
      </c>
      <c r="U2734" s="11">
        <v>0.23606534579440655</v>
      </c>
      <c r="V2734" s="11">
        <v>0.2270455695380098</v>
      </c>
      <c r="W2734" s="11">
        <v>0.20451092974169355</v>
      </c>
      <c r="X2734" s="11">
        <v>0.13906281722241662</v>
      </c>
      <c r="Y2734" s="11">
        <v>0.03434218403397214</v>
      </c>
      <c r="Z2734" s="11">
        <v>0.1589731536695013</v>
      </c>
    </row>
    <row r="2735" ht="22.5" customHeight="1">
      <c r="Q2735" s="9" t="s">
        <v>2773</v>
      </c>
      <c r="R2735" s="10">
        <v>0.7994108605585716</v>
      </c>
      <c r="S2735" s="10">
        <v>0.036698560658604364</v>
      </c>
      <c r="T2735" s="10">
        <v>20.693205589808866</v>
      </c>
      <c r="U2735" s="11">
        <v>0.03939137181771413</v>
      </c>
      <c r="V2735" s="11">
        <v>0.25325590556632244</v>
      </c>
      <c r="W2735" s="11">
        <v>0.23407837187700598</v>
      </c>
      <c r="X2735" s="11">
        <v>0.2308623633264658</v>
      </c>
      <c r="Y2735" s="11">
        <v>0.06999191649473108</v>
      </c>
      <c r="Z2735" s="11">
        <v>0.17242007091776057</v>
      </c>
    </row>
    <row r="2736" ht="22.5" customHeight="1">
      <c r="Q2736" s="9" t="s">
        <v>2774</v>
      </c>
      <c r="R2736" s="10">
        <v>0.621840038347954</v>
      </c>
      <c r="S2736" s="10">
        <v>0.028117724888096315</v>
      </c>
      <c r="T2736" s="10">
        <v>20.692998479200458</v>
      </c>
      <c r="U2736" s="11">
        <v>0.1603292985374486</v>
      </c>
      <c r="V2736" s="11">
        <v>0.21528238808246383</v>
      </c>
      <c r="W2736" s="11">
        <v>0.14416908687866198</v>
      </c>
      <c r="X2736" s="11">
        <v>0.07657302830364306</v>
      </c>
      <c r="Y2736" s="11">
        <v>0.24829855484309998</v>
      </c>
      <c r="Z2736" s="11">
        <v>0.15534764335468268</v>
      </c>
    </row>
    <row r="2737" ht="22.5" customHeight="1">
      <c r="Q2737" s="9" t="s">
        <v>2775</v>
      </c>
      <c r="R2737" s="10">
        <v>0.7534248300224192</v>
      </c>
      <c r="S2737" s="10">
        <v>0.03447679772628346</v>
      </c>
      <c r="T2737" s="10">
        <v>20.692897167724432</v>
      </c>
      <c r="U2737" s="11">
        <v>0.12771241254333912</v>
      </c>
      <c r="V2737" s="11">
        <v>0.2716904095135093</v>
      </c>
      <c r="W2737" s="11">
        <v>0.17337814567108373</v>
      </c>
      <c r="X2737" s="11">
        <v>0.1718039165971922</v>
      </c>
      <c r="Y2737" s="11">
        <v>0.21449353616641204</v>
      </c>
      <c r="Z2737" s="11">
        <v>0.04092157950846359</v>
      </c>
    </row>
    <row r="2738" ht="22.5" customHeight="1">
      <c r="Q2738" s="9" t="s">
        <v>2776</v>
      </c>
      <c r="R2738" s="10">
        <v>0.4679625844813786</v>
      </c>
      <c r="S2738" s="10">
        <v>0.02068208982090385</v>
      </c>
      <c r="T2738" s="10">
        <v>20.692424614113577</v>
      </c>
      <c r="U2738" s="11">
        <v>0.0919189485380656</v>
      </c>
      <c r="V2738" s="11">
        <v>0.1755092224203397</v>
      </c>
      <c r="W2738" s="11">
        <v>0.062057598674298456</v>
      </c>
      <c r="X2738" s="11">
        <v>0.20126288501593503</v>
      </c>
      <c r="Y2738" s="11">
        <v>0.2153903720406271</v>
      </c>
      <c r="Z2738" s="11">
        <v>0.2538609733107341</v>
      </c>
    </row>
    <row r="2739" ht="22.5" customHeight="1">
      <c r="Q2739" s="9" t="s">
        <v>2777</v>
      </c>
      <c r="R2739" s="10">
        <v>0.7290665567238073</v>
      </c>
      <c r="S2739" s="10">
        <v>0.03330171145207966</v>
      </c>
      <c r="T2739" s="10">
        <v>20.69162594587239</v>
      </c>
      <c r="U2739" s="11">
        <v>0.1593359690767994</v>
      </c>
      <c r="V2739" s="11">
        <v>0.19702453714638007</v>
      </c>
      <c r="W2739" s="11">
        <v>0.23571357509975738</v>
      </c>
      <c r="X2739" s="11">
        <v>0.18449468261625035</v>
      </c>
      <c r="Y2739" s="11">
        <v>0.14191261899366295</v>
      </c>
      <c r="Z2739" s="11">
        <v>0.08151861706714997</v>
      </c>
    </row>
    <row r="2740" ht="22.5" customHeight="1">
      <c r="Q2740" s="9" t="s">
        <v>2778</v>
      </c>
      <c r="R2740" s="10">
        <v>0.49221888563640603</v>
      </c>
      <c r="S2740" s="10">
        <v>0.021855336068002496</v>
      </c>
      <c r="T2740" s="10">
        <v>20.691463367542596</v>
      </c>
      <c r="U2740" s="11">
        <v>0.16328128999075892</v>
      </c>
      <c r="V2740" s="11">
        <v>0.11416762284886806</v>
      </c>
      <c r="W2740" s="11">
        <v>0.15924812931014826</v>
      </c>
      <c r="X2740" s="11">
        <v>0.15391878626218833</v>
      </c>
      <c r="Y2740" s="11">
        <v>0.04482062436759382</v>
      </c>
      <c r="Z2740" s="11">
        <v>0.36456354722044254</v>
      </c>
    </row>
    <row r="2741" ht="22.5" customHeight="1">
      <c r="Q2741" s="9" t="s">
        <v>2779</v>
      </c>
      <c r="R2741" s="10">
        <v>0.7695684254769223</v>
      </c>
      <c r="S2741" s="10">
        <v>0.03526016864002015</v>
      </c>
      <c r="T2741" s="10">
        <v>20.691007831677386</v>
      </c>
      <c r="U2741" s="11">
        <v>0.12014276596902591</v>
      </c>
      <c r="V2741" s="11">
        <v>0.2662075267940961</v>
      </c>
      <c r="W2741" s="11">
        <v>0.1923799545612148</v>
      </c>
      <c r="X2741" s="11">
        <v>0.14654864942194995</v>
      </c>
      <c r="Y2741" s="11">
        <v>0.2476758767705389</v>
      </c>
      <c r="Z2741" s="11">
        <v>0.027045226483174405</v>
      </c>
    </row>
    <row r="2742" ht="22.5" customHeight="1">
      <c r="Q2742" s="9" t="s">
        <v>2780</v>
      </c>
      <c r="R2742" s="10">
        <v>0.7643426024677817</v>
      </c>
      <c r="S2742" s="10">
        <v>0.03500898019913833</v>
      </c>
      <c r="T2742" s="10">
        <v>20.690194297222337</v>
      </c>
      <c r="U2742" s="11">
        <v>7.114810454561546E-4</v>
      </c>
      <c r="V2742" s="11">
        <v>0.24875711262489558</v>
      </c>
      <c r="W2742" s="11">
        <v>0.21644173721769264</v>
      </c>
      <c r="X2742" s="11">
        <v>0.2270209977530922</v>
      </c>
      <c r="Y2742" s="11">
        <v>0.058377278132075744</v>
      </c>
      <c r="Z2742" s="11">
        <v>0.24869139322678757</v>
      </c>
    </row>
    <row r="2743" ht="22.5" customHeight="1">
      <c r="Q2743" s="9" t="s">
        <v>2781</v>
      </c>
      <c r="R2743" s="10">
        <v>0.6057914372709367</v>
      </c>
      <c r="S2743" s="10">
        <v>0.027345980749745053</v>
      </c>
      <c r="T2743" s="10">
        <v>20.690113199769275</v>
      </c>
      <c r="U2743" s="11">
        <v>0.005846329388751992</v>
      </c>
      <c r="V2743" s="11">
        <v>0.23268728299518734</v>
      </c>
      <c r="W2743" s="11">
        <v>0.10538775524361119</v>
      </c>
      <c r="X2743" s="11">
        <v>0.26531222937103144</v>
      </c>
      <c r="Y2743" s="11">
        <v>0.13709584330635274</v>
      </c>
      <c r="Z2743" s="11">
        <v>0.2536705596950652</v>
      </c>
    </row>
    <row r="2744" ht="22.5" customHeight="1">
      <c r="Q2744" s="9" t="s">
        <v>2782</v>
      </c>
      <c r="R2744" s="10">
        <v>0.6801650538315384</v>
      </c>
      <c r="S2744" s="10">
        <v>0.03094107180315231</v>
      </c>
      <c r="T2744" s="10">
        <v>20.689815075065294</v>
      </c>
      <c r="U2744" s="11">
        <v>0.1933995053970759</v>
      </c>
      <c r="V2744" s="11">
        <v>0.23940451699012436</v>
      </c>
      <c r="W2744" s="11">
        <v>0.16444759356074043</v>
      </c>
      <c r="X2744" s="11">
        <v>0.12626090565902673</v>
      </c>
      <c r="Y2744" s="11">
        <v>0.09687519473763787</v>
      </c>
      <c r="Z2744" s="11">
        <v>0.17961228365539458</v>
      </c>
    </row>
    <row r="2745" ht="22.5" customHeight="1">
      <c r="Q2745" s="9" t="s">
        <v>2783</v>
      </c>
      <c r="R2745" s="10">
        <v>0.7208398587022338</v>
      </c>
      <c r="S2745" s="10">
        <v>0.032907451111550405</v>
      </c>
      <c r="T2745" s="10">
        <v>20.689534913971542</v>
      </c>
      <c r="U2745" s="11">
        <v>0.08264606767770048</v>
      </c>
      <c r="V2745" s="11">
        <v>0.26767706895171606</v>
      </c>
      <c r="W2745" s="11">
        <v>0.1582780255925827</v>
      </c>
      <c r="X2745" s="11">
        <v>0.25638181378092156</v>
      </c>
      <c r="Y2745" s="11">
        <v>0.029552511668043333</v>
      </c>
      <c r="Z2745" s="11">
        <v>0.20546451232903573</v>
      </c>
    </row>
    <row r="2746" ht="22.5" customHeight="1">
      <c r="Q2746" s="9" t="s">
        <v>2784</v>
      </c>
      <c r="R2746" s="10">
        <v>0.522331348251574</v>
      </c>
      <c r="S2746" s="10">
        <v>0.028617047119326125</v>
      </c>
      <c r="T2746" s="10">
        <v>20.6886175122927</v>
      </c>
      <c r="U2746" s="11">
        <v>0.20369985074267571</v>
      </c>
      <c r="V2746" s="11">
        <v>0.1862519253971577</v>
      </c>
      <c r="W2746" s="11">
        <v>0.18481558251864627</v>
      </c>
      <c r="X2746" s="11">
        <v>0.06734605424153522</v>
      </c>
      <c r="Y2746" s="11">
        <v>0.1966571535528928</v>
      </c>
      <c r="Z2746" s="11">
        <v>0.16122943354709238</v>
      </c>
    </row>
    <row r="2747" ht="22.5" customHeight="1">
      <c r="Q2747" s="9" t="s">
        <v>2785</v>
      </c>
      <c r="R2747" s="10">
        <v>0.7147422367208045</v>
      </c>
      <c r="S2747" s="10">
        <v>0.03261418941827832</v>
      </c>
      <c r="T2747" s="10">
        <v>20.688609735695326</v>
      </c>
      <c r="U2747" s="11">
        <v>0.11791303185027877</v>
      </c>
      <c r="V2747" s="11">
        <v>0.21322322877875688</v>
      </c>
      <c r="W2747" s="11">
        <v>0.2169060595781162</v>
      </c>
      <c r="X2747" s="11">
        <v>0.15204225107188854</v>
      </c>
      <c r="Y2747" s="11">
        <v>0.11248190523605785</v>
      </c>
      <c r="Z2747" s="11">
        <v>0.1874335234849019</v>
      </c>
    </row>
    <row r="2748" ht="22.5" customHeight="1">
      <c r="Q2748" s="9" t="s">
        <v>2786</v>
      </c>
      <c r="R2748" s="10">
        <v>0.7101754639292098</v>
      </c>
      <c r="S2748" s="10">
        <v>0.032394326002205466</v>
      </c>
      <c r="T2748" s="10">
        <v>20.68805086062241</v>
      </c>
      <c r="U2748" s="11">
        <v>0.08165496683941587</v>
      </c>
      <c r="V2748" s="11">
        <v>0.20370561624002226</v>
      </c>
      <c r="W2748" s="11">
        <v>0.22101540063290748</v>
      </c>
      <c r="X2748" s="11">
        <v>0.1601909124497521</v>
      </c>
      <c r="Y2748" s="11">
        <v>0.15890802728423994</v>
      </c>
      <c r="Z2748" s="11">
        <v>0.17452507655366237</v>
      </c>
    </row>
    <row r="2749" ht="22.5" customHeight="1">
      <c r="Q2749" s="9" t="s">
        <v>2787</v>
      </c>
      <c r="R2749" s="10">
        <v>0.6295570871805019</v>
      </c>
      <c r="S2749" s="10">
        <v>0.028497493750372523</v>
      </c>
      <c r="T2749" s="10">
        <v>20.688032861584364</v>
      </c>
      <c r="U2749" s="11">
        <v>0.23339575746219368</v>
      </c>
      <c r="V2749" s="11">
        <v>0.1781263508680766</v>
      </c>
      <c r="W2749" s="11">
        <v>0.19409057708485863</v>
      </c>
      <c r="X2749" s="11">
        <v>0.1377731692695035</v>
      </c>
      <c r="Y2749" s="11">
        <v>0.010792582411495286</v>
      </c>
      <c r="Z2749" s="11">
        <v>0.24582156290387233</v>
      </c>
    </row>
    <row r="2750" ht="22.5" customHeight="1">
      <c r="Q2750" s="9" t="s">
        <v>2788</v>
      </c>
      <c r="R2750" s="10">
        <v>0.3142642496648328</v>
      </c>
      <c r="S2750" s="10">
        <v>0.013257264369548308</v>
      </c>
      <c r="T2750" s="10">
        <v>20.687846453059556</v>
      </c>
      <c r="U2750" s="11">
        <v>0.3364064400241782</v>
      </c>
      <c r="V2750" s="11">
        <v>0.03970212094840868</v>
      </c>
      <c r="W2750" s="11">
        <v>0.08604532452822629</v>
      </c>
      <c r="X2750" s="11">
        <v>0.25031711781576765</v>
      </c>
      <c r="Y2750" s="11">
        <v>0.01779546636497189</v>
      </c>
      <c r="Z2750" s="11">
        <v>0.2697335303184475</v>
      </c>
    </row>
    <row r="2751" ht="22.5" customHeight="1">
      <c r="Q2751" s="9" t="s">
        <v>2789</v>
      </c>
      <c r="R2751" s="10">
        <v>0.4379067793948291</v>
      </c>
      <c r="S2751" s="10">
        <v>0.01923391793973015</v>
      </c>
      <c r="T2751" s="10">
        <v>20.68776526143439</v>
      </c>
      <c r="U2751" s="11">
        <v>0.2033408454115489</v>
      </c>
      <c r="V2751" s="11">
        <v>0.08279163397747157</v>
      </c>
      <c r="W2751" s="11">
        <v>0.1446308794572957</v>
      </c>
      <c r="X2751" s="11">
        <v>0.1800687677587785</v>
      </c>
      <c r="Y2751" s="11">
        <v>0.070525630776922</v>
      </c>
      <c r="Z2751" s="11">
        <v>0.31864224261798335</v>
      </c>
    </row>
    <row r="2752" ht="22.5" customHeight="1">
      <c r="Q2752" s="9" t="s">
        <v>2790</v>
      </c>
      <c r="R2752" s="10">
        <v>0.6128500727171867</v>
      </c>
      <c r="S2752" s="10">
        <v>0.027690362548354556</v>
      </c>
      <c r="T2752" s="10">
        <v>20.687705757439684</v>
      </c>
      <c r="U2752" s="11">
        <v>0.062446135014783986</v>
      </c>
      <c r="V2752" s="11">
        <v>0.23231168257351464</v>
      </c>
      <c r="W2752" s="11">
        <v>0.1125485623478944</v>
      </c>
      <c r="X2752" s="11">
        <v>0.2003678360619772</v>
      </c>
      <c r="Y2752" s="11">
        <v>0.19223926363539265</v>
      </c>
      <c r="Z2752" s="11">
        <v>0.200086520366437</v>
      </c>
    </row>
    <row r="2753" ht="22.5" customHeight="1">
      <c r="Q2753" s="9" t="s">
        <v>2791</v>
      </c>
      <c r="R2753" s="10">
        <v>0.38465458151241644</v>
      </c>
      <c r="S2753" s="10">
        <v>0.016660710681646294</v>
      </c>
      <c r="T2753" s="10">
        <v>20.68666745963565</v>
      </c>
      <c r="U2753" s="11">
        <v>0.3085283076505594</v>
      </c>
      <c r="V2753" s="11">
        <v>0.1146000299453494</v>
      </c>
      <c r="W2753" s="11">
        <v>0.06167557064019942</v>
      </c>
      <c r="X2753" s="11">
        <v>0.08200086229481375</v>
      </c>
      <c r="Y2753" s="11">
        <v>0.31287618169712345</v>
      </c>
      <c r="Z2753" s="11">
        <v>0.12031904777195473</v>
      </c>
    </row>
    <row r="2754" ht="22.5" customHeight="1">
      <c r="Q2754" s="9" t="s">
        <v>2792</v>
      </c>
      <c r="R2754" s="10">
        <v>0.6276750086502195</v>
      </c>
      <c r="S2754" s="10">
        <v>0.028408504698116427</v>
      </c>
      <c r="T2754" s="10">
        <v>20.686587164483324</v>
      </c>
      <c r="U2754" s="11">
        <v>0.1699510676956552</v>
      </c>
      <c r="V2754" s="11">
        <v>0.2243665508515398</v>
      </c>
      <c r="W2754" s="11">
        <v>0.1338320039741122</v>
      </c>
      <c r="X2754" s="11">
        <v>0.10097212293177779</v>
      </c>
      <c r="Y2754" s="11">
        <v>0.2662454186352749</v>
      </c>
      <c r="Z2754" s="11">
        <v>0.10463283591164005</v>
      </c>
    </row>
    <row r="2755" ht="22.5" customHeight="1">
      <c r="Q2755" s="9" t="s">
        <v>2793</v>
      </c>
      <c r="R2755" s="10">
        <v>0.5814802690383732</v>
      </c>
      <c r="S2755" s="10">
        <v>0.026175509454540568</v>
      </c>
      <c r="T2755" s="10">
        <v>20.686522643571497</v>
      </c>
      <c r="U2755" s="11">
        <v>0.023744992979942592</v>
      </c>
      <c r="V2755" s="11">
        <v>0.2247434910565392</v>
      </c>
      <c r="W2755" s="11">
        <v>0.09112287535837715</v>
      </c>
      <c r="X2755" s="11">
        <v>0.27589667867877443</v>
      </c>
      <c r="Y2755" s="11">
        <v>0.16867629649817187</v>
      </c>
      <c r="Z2755" s="11">
        <v>0.21581566542819466</v>
      </c>
    </row>
    <row r="2756" ht="22.5" customHeight="1">
      <c r="Q2756" s="9" t="s">
        <v>2794</v>
      </c>
      <c r="R2756" s="10">
        <v>0.7088522485768902</v>
      </c>
      <c r="S2756" s="10">
        <v>0.03233289852442238</v>
      </c>
      <c r="T2756" s="10">
        <v>20.68643020271376</v>
      </c>
      <c r="U2756" s="11">
        <v>0.18186885772390088</v>
      </c>
      <c r="V2756" s="11">
        <v>0.2067059955941657</v>
      </c>
      <c r="W2756" s="11">
        <v>0.21588708232294915</v>
      </c>
      <c r="X2756" s="11">
        <v>0.11907722849743353</v>
      </c>
      <c r="Y2756" s="11">
        <v>0.17330585999632</v>
      </c>
      <c r="Z2756" s="11">
        <v>0.10315497586523086</v>
      </c>
    </row>
    <row r="2757" ht="22.5" customHeight="1">
      <c r="Q2757" s="9" t="s">
        <v>2795</v>
      </c>
      <c r="R2757" s="10">
        <v>0.5043098004141918</v>
      </c>
      <c r="S2757" s="10">
        <v>0.02244519399018773</v>
      </c>
      <c r="T2757" s="10">
        <v>20.686379481379053</v>
      </c>
      <c r="U2757" s="11">
        <v>0.10009456043116972</v>
      </c>
      <c r="V2757" s="11">
        <v>0.08906531266813404</v>
      </c>
      <c r="W2757" s="11">
        <v>0.1738175240507454</v>
      </c>
      <c r="X2757" s="11">
        <v>0.25012868688214746</v>
      </c>
      <c r="Y2757" s="11">
        <v>0.19855774738323112</v>
      </c>
      <c r="Z2757" s="11">
        <v>0.18833616858457222</v>
      </c>
    </row>
    <row r="2758" ht="22.5" customHeight="1">
      <c r="Q2758" s="9" t="s">
        <v>2796</v>
      </c>
      <c r="R2758" s="10">
        <v>0.6035404003263078</v>
      </c>
      <c r="S2758" s="10">
        <v>0.027242626945437415</v>
      </c>
      <c r="T2758" s="10">
        <v>20.685978685351756</v>
      </c>
      <c r="U2758" s="11">
        <v>0.21048747147145583</v>
      </c>
      <c r="V2758" s="11">
        <v>0.190214286773615</v>
      </c>
      <c r="W2758" s="11">
        <v>0.15446471521634067</v>
      </c>
      <c r="X2758" s="11">
        <v>0.039938215268241144</v>
      </c>
      <c r="Y2758" s="11">
        <v>0.3126656995569117</v>
      </c>
      <c r="Z2758" s="11">
        <v>0.09222961171343574</v>
      </c>
    </row>
    <row r="2759" ht="22.5" customHeight="1">
      <c r="Q2759" s="9" t="s">
        <v>2797</v>
      </c>
      <c r="R2759" s="10">
        <v>0.7821314601251588</v>
      </c>
      <c r="S2759" s="10">
        <v>0.0358773250661992</v>
      </c>
      <c r="T2759" s="10">
        <v>20.68525060761391</v>
      </c>
      <c r="U2759" s="11">
        <v>0.19479526833594413</v>
      </c>
      <c r="V2759" s="11">
        <v>0.24424787127121936</v>
      </c>
      <c r="W2759" s="11">
        <v>0.22723872705147852</v>
      </c>
      <c r="X2759" s="11">
        <v>0.13696197848224612</v>
      </c>
      <c r="Y2759" s="11">
        <v>0.17484559715457332</v>
      </c>
      <c r="Z2759" s="11">
        <v>0.021910557704538577</v>
      </c>
    </row>
    <row r="2760" ht="22.5" customHeight="1">
      <c r="Q2760" s="9" t="s">
        <v>2798</v>
      </c>
      <c r="R2760" s="10">
        <v>0.6752127304790607</v>
      </c>
      <c r="S2760" s="10">
        <v>0.030709122662696462</v>
      </c>
      <c r="T2760" s="10">
        <v>20.684821818458452</v>
      </c>
      <c r="U2760" s="11">
        <v>0.041153871723103023</v>
      </c>
      <c r="V2760" s="11">
        <v>0.26236641935469984</v>
      </c>
      <c r="W2760" s="11">
        <v>0.11544449725879008</v>
      </c>
      <c r="X2760" s="11">
        <v>0.34750810637886115</v>
      </c>
      <c r="Y2760" s="11">
        <v>0.0962053522323633</v>
      </c>
      <c r="Z2760" s="11">
        <v>0.1373217530521825</v>
      </c>
    </row>
    <row r="2761" ht="22.5" customHeight="1">
      <c r="Q2761" s="9" t="s">
        <v>2799</v>
      </c>
      <c r="R2761" s="10">
        <v>0.6673733946064342</v>
      </c>
      <c r="S2761" s="10">
        <v>0.03033031847187707</v>
      </c>
      <c r="T2761" s="10">
        <v>20.68469525594162</v>
      </c>
      <c r="U2761" s="11">
        <v>0.02776044930142616</v>
      </c>
      <c r="V2761" s="11">
        <v>0.18881467650579428</v>
      </c>
      <c r="W2761" s="11">
        <v>0.20720480732363933</v>
      </c>
      <c r="X2761" s="11">
        <v>0.15012322916029372</v>
      </c>
      <c r="Y2761" s="11">
        <v>0.18889831685658107</v>
      </c>
      <c r="Z2761" s="11">
        <v>0.23719852085226542</v>
      </c>
    </row>
    <row r="2762" ht="22.5" customHeight="1">
      <c r="Q2762" s="9" t="s">
        <v>2800</v>
      </c>
      <c r="R2762" s="10">
        <v>0.5128755086394048</v>
      </c>
      <c r="S2762" s="10">
        <v>0.022861450857790924</v>
      </c>
      <c r="T2762" s="10">
        <v>20.684405009153398</v>
      </c>
      <c r="U2762" s="11">
        <v>0.18730064565754811</v>
      </c>
      <c r="V2762" s="11">
        <v>0.19525128819400273</v>
      </c>
      <c r="W2762" s="11">
        <v>0.07182757895204647</v>
      </c>
      <c r="X2762" s="11">
        <v>0.20428892776574625</v>
      </c>
      <c r="Y2762" s="11">
        <v>0.17433130765415614</v>
      </c>
      <c r="Z2762" s="11">
        <v>0.16700025177650027</v>
      </c>
    </row>
    <row r="2763" ht="22.5" customHeight="1">
      <c r="Q2763" s="9" t="s">
        <v>2801</v>
      </c>
      <c r="R2763" s="10">
        <v>0.7287888097836961</v>
      </c>
      <c r="S2763" s="10">
        <v>0.03330014070535492</v>
      </c>
      <c r="T2763" s="10">
        <v>20.684261243164464</v>
      </c>
      <c r="U2763" s="11">
        <v>0.1070635333865503</v>
      </c>
      <c r="V2763" s="11">
        <v>0.1982913689923425</v>
      </c>
      <c r="W2763" s="11">
        <v>0.2339842712986679</v>
      </c>
      <c r="X2763" s="11">
        <v>0.17909127540773215</v>
      </c>
      <c r="Y2763" s="11">
        <v>0.1932437555364239</v>
      </c>
      <c r="Z2763" s="11">
        <v>0.08832579537828333</v>
      </c>
    </row>
    <row r="2764" ht="22.5" customHeight="1">
      <c r="Q2764" s="9" t="s">
        <v>2802</v>
      </c>
      <c r="R2764" s="10">
        <v>0.7123266616463787</v>
      </c>
      <c r="S2764" s="10">
        <v>0.03250470721994656</v>
      </c>
      <c r="T2764" s="10">
        <v>20.683978388022656</v>
      </c>
      <c r="U2764" s="11">
        <v>0.11285231515707862</v>
      </c>
      <c r="V2764" s="11">
        <v>0.17567450657288491</v>
      </c>
      <c r="W2764" s="11">
        <v>0.2416081707497843</v>
      </c>
      <c r="X2764" s="11">
        <v>0.30120522548422607</v>
      </c>
      <c r="Y2764" s="11">
        <v>0.020524353921962765</v>
      </c>
      <c r="Z2764" s="11">
        <v>0.14813542811406336</v>
      </c>
    </row>
    <row r="2765" ht="22.5" customHeight="1">
      <c r="Q2765" s="9" t="s">
        <v>2803</v>
      </c>
      <c r="R2765" s="10">
        <v>0.8129322411641446</v>
      </c>
      <c r="S2765" s="10">
        <v>0.03737024583037428</v>
      </c>
      <c r="T2765" s="10">
        <v>20.683092229912777</v>
      </c>
      <c r="U2765" s="11">
        <v>0.02021062138035425</v>
      </c>
      <c r="V2765" s="11">
        <v>0.2946118300069489</v>
      </c>
      <c r="W2765" s="11">
        <v>0.19455716434787781</v>
      </c>
      <c r="X2765" s="11">
        <v>0.2798550018742415</v>
      </c>
      <c r="Y2765" s="11">
        <v>0.07766133482692714</v>
      </c>
      <c r="Z2765" s="11">
        <v>0.1331040475636504</v>
      </c>
    </row>
    <row r="2766" ht="22.5" customHeight="1">
      <c r="Q2766" s="9" t="s">
        <v>2804</v>
      </c>
      <c r="R2766" s="10">
        <v>0.7336100475590331</v>
      </c>
      <c r="S2766" s="10">
        <v>0.03353603758649398</v>
      </c>
      <c r="T2766" s="10">
        <v>20.682528332994583</v>
      </c>
      <c r="U2766" s="11">
        <v>0.031109788992328267</v>
      </c>
      <c r="V2766" s="11">
        <v>0.24554758329592055</v>
      </c>
      <c r="W2766" s="11">
        <v>0.19886669762255393</v>
      </c>
      <c r="X2766" s="11">
        <v>0.17590864122760297</v>
      </c>
      <c r="Y2766" s="11">
        <v>0.10607988383900227</v>
      </c>
      <c r="Z2766" s="11">
        <v>0.24248740502259208</v>
      </c>
    </row>
    <row r="2767" ht="22.5" customHeight="1">
      <c r="Q2767" s="9" t="s">
        <v>2805</v>
      </c>
      <c r="R2767" s="10">
        <v>0.7028419773476403</v>
      </c>
      <c r="S2767" s="10">
        <v>0.03204869862528642</v>
      </c>
      <c r="T2767" s="10">
        <v>20.68233674938233</v>
      </c>
      <c r="U2767" s="11">
        <v>0.12944898770109983</v>
      </c>
      <c r="V2767" s="11">
        <v>0.19792879507272226</v>
      </c>
      <c r="W2767" s="11">
        <v>0.21851722215604197</v>
      </c>
      <c r="X2767" s="11">
        <v>0.13146930092651388</v>
      </c>
      <c r="Y2767" s="11">
        <v>0.2190503695991258</v>
      </c>
      <c r="Z2767" s="11">
        <v>0.10358532454449625</v>
      </c>
    </row>
    <row r="2768" ht="22.5" customHeight="1">
      <c r="Q2768" s="9" t="s">
        <v>2806</v>
      </c>
      <c r="R2768" s="10">
        <v>0.5995602823208137</v>
      </c>
      <c r="S2768" s="10">
        <v>0.027056020695900813</v>
      </c>
      <c r="T2768" s="10">
        <v>20.681543993850923</v>
      </c>
      <c r="U2768" s="11">
        <v>0.15812608433720607</v>
      </c>
      <c r="V2768" s="11">
        <v>0.139029744896373</v>
      </c>
      <c r="W2768" s="11">
        <v>0.20055098606550567</v>
      </c>
      <c r="X2768" s="11">
        <v>0.16402984343946786</v>
      </c>
      <c r="Y2768" s="11">
        <v>0.1892831925620152</v>
      </c>
      <c r="Z2768" s="11">
        <v>0.14898014869943232</v>
      </c>
    </row>
    <row r="2769" ht="22.5" customHeight="1">
      <c r="Q2769" s="9" t="s">
        <v>2807</v>
      </c>
      <c r="R2769" s="10">
        <v>0.7639657882677844</v>
      </c>
      <c r="S2769" s="10">
        <v>0.035005524506066824</v>
      </c>
      <c r="T2769" s="10">
        <v>20.681472381375503</v>
      </c>
      <c r="U2769" s="11">
        <v>0.06208957038753483</v>
      </c>
      <c r="V2769" s="11">
        <v>0.27101372757694575</v>
      </c>
      <c r="W2769" s="11">
        <v>0.1862981518797701</v>
      </c>
      <c r="X2769" s="11">
        <v>0.17933934057162942</v>
      </c>
      <c r="Y2769" s="11">
        <v>0.18870786503853587</v>
      </c>
      <c r="Z2769" s="11">
        <v>0.11255134454558388</v>
      </c>
    </row>
    <row r="2770" ht="22.5" customHeight="1">
      <c r="Q2770" s="9" t="s">
        <v>2808</v>
      </c>
      <c r="R2770" s="10">
        <v>0.6843742389094415</v>
      </c>
      <c r="S2770" s="10">
        <v>0.031157233663193902</v>
      </c>
      <c r="T2770" s="10">
        <v>20.68136875934021</v>
      </c>
      <c r="U2770" s="11">
        <v>0.10317118608042161</v>
      </c>
      <c r="V2770" s="11">
        <v>0.21495647514712204</v>
      </c>
      <c r="W2770" s="11">
        <v>0.19297997777484066</v>
      </c>
      <c r="X2770" s="11">
        <v>0.09595645749733583</v>
      </c>
      <c r="Y2770" s="11">
        <v>0.22232059189589268</v>
      </c>
      <c r="Z2770" s="11">
        <v>0.17061531160438723</v>
      </c>
    </row>
    <row r="2771" ht="22.5" customHeight="1">
      <c r="Q2771" s="9" t="s">
        <v>2809</v>
      </c>
      <c r="R2771" s="10">
        <v>0.6465864617254939</v>
      </c>
      <c r="S2771" s="10">
        <v>0.029330997890230418</v>
      </c>
      <c r="T2771" s="10">
        <v>20.68073046800552</v>
      </c>
      <c r="U2771" s="11">
        <v>0.06529608044539163</v>
      </c>
      <c r="V2771" s="11">
        <v>0.24212464265185987</v>
      </c>
      <c r="W2771" s="11">
        <v>0.1305752852251066</v>
      </c>
      <c r="X2771" s="11">
        <v>0.18598513639774136</v>
      </c>
      <c r="Y2771" s="11">
        <v>0.16881509015885235</v>
      </c>
      <c r="Z2771" s="11">
        <v>0.2072037651210482</v>
      </c>
    </row>
    <row r="2772" ht="22.5" customHeight="1">
      <c r="Q2772" s="9" t="s">
        <v>2810</v>
      </c>
      <c r="R2772" s="10">
        <v>0.7088816614975261</v>
      </c>
      <c r="S2772" s="10">
        <v>0.032343232486626634</v>
      </c>
      <c r="T2772" s="10">
        <v>20.680730096291303</v>
      </c>
      <c r="U2772" s="11">
        <v>0.13981795923150409</v>
      </c>
      <c r="V2772" s="11">
        <v>0.20228524991642152</v>
      </c>
      <c r="W2772" s="11">
        <v>0.22111909592892676</v>
      </c>
      <c r="X2772" s="11">
        <v>0.1453198372123436</v>
      </c>
      <c r="Y2772" s="11">
        <v>0.1488195694452944</v>
      </c>
      <c r="Z2772" s="11">
        <v>0.14263828826550964</v>
      </c>
    </row>
    <row r="2773" ht="22.5" customHeight="1">
      <c r="Q2773" s="9" t="s">
        <v>2811</v>
      </c>
      <c r="R2773" s="10">
        <v>0.48717646302847856</v>
      </c>
      <c r="S2773" s="10">
        <v>0.021622891773578085</v>
      </c>
      <c r="T2773" s="10">
        <v>20.68069653731062</v>
      </c>
      <c r="U2773" s="11">
        <v>0.29495054639128965</v>
      </c>
      <c r="V2773" s="11">
        <v>0.13419209885296313</v>
      </c>
      <c r="W2773" s="11">
        <v>0.1296888274861575</v>
      </c>
      <c r="X2773" s="11">
        <v>0.01760171998666937</v>
      </c>
      <c r="Y2773" s="11">
        <v>0.2619031360858173</v>
      </c>
      <c r="Z2773" s="11">
        <v>0.16166367119710304</v>
      </c>
    </row>
    <row r="2774" ht="22.5" customHeight="1">
      <c r="Q2774" s="9" t="s">
        <v>2812</v>
      </c>
      <c r="R2774" s="10">
        <v>0.7127294359315183</v>
      </c>
      <c r="S2774" s="10">
        <v>0.03253034921955529</v>
      </c>
      <c r="T2774" s="10">
        <v>20.68005576549771</v>
      </c>
      <c r="U2774" s="11">
        <v>0.013877709614946823</v>
      </c>
      <c r="V2774" s="11">
        <v>0.23709841662023157</v>
      </c>
      <c r="W2774" s="11">
        <v>0.19471240016025473</v>
      </c>
      <c r="X2774" s="11">
        <v>0.21472407258936618</v>
      </c>
      <c r="Y2774" s="11">
        <v>0.015851716139985907</v>
      </c>
      <c r="Z2774" s="11">
        <v>0.32373568487521487</v>
      </c>
    </row>
    <row r="2775" ht="22.5" customHeight="1">
      <c r="Q2775" s="9" t="s">
        <v>2813</v>
      </c>
      <c r="R2775" s="10">
        <v>0.8700955058660712</v>
      </c>
      <c r="S2775" s="10">
        <v>0.040140037385996905</v>
      </c>
      <c r="T2775" s="10">
        <v>20.6799883588463</v>
      </c>
      <c r="U2775" s="11">
        <v>0.013743546784000802</v>
      </c>
      <c r="V2775" s="11">
        <v>0.23840305999948364</v>
      </c>
      <c r="W2775" s="11">
        <v>0.2848820550176714</v>
      </c>
      <c r="X2775" s="11">
        <v>0.37041824907780757</v>
      </c>
      <c r="Y2775" s="11">
        <v>0.06423043835083134</v>
      </c>
      <c r="Z2775" s="11">
        <v>0.028322650770205283</v>
      </c>
    </row>
    <row r="2776" ht="22.5" customHeight="1">
      <c r="Q2776" s="9" t="s">
        <v>2814</v>
      </c>
      <c r="R2776" s="10">
        <v>0.754507616610726</v>
      </c>
      <c r="S2776" s="10">
        <v>0.03455106539846911</v>
      </c>
      <c r="T2776" s="10">
        <v>20.679756423441123</v>
      </c>
      <c r="U2776" s="11">
        <v>0.07006955890259</v>
      </c>
      <c r="V2776" s="11">
        <v>0.20864413133283927</v>
      </c>
      <c r="W2776" s="11">
        <v>0.24294315377539766</v>
      </c>
      <c r="X2776" s="11">
        <v>0.21759926523328568</v>
      </c>
      <c r="Y2776" s="11">
        <v>0.1382936593799701</v>
      </c>
      <c r="Z2776" s="11">
        <v>0.12245023137591739</v>
      </c>
    </row>
    <row r="2777" ht="22.5" customHeight="1">
      <c r="Q2777" s="9" t="s">
        <v>2815</v>
      </c>
      <c r="R2777" s="10">
        <v>0.7511641236621159</v>
      </c>
      <c r="S2777" s="10">
        <v>0.03438945446448997</v>
      </c>
      <c r="T2777" s="10">
        <v>20.679715184096718</v>
      </c>
      <c r="U2777" s="11">
        <v>0.06384035376832152</v>
      </c>
      <c r="V2777" s="11">
        <v>0.25907372543885554</v>
      </c>
      <c r="W2777" s="11">
        <v>0.19386461942905217</v>
      </c>
      <c r="X2777" s="11">
        <v>0.16392658079351552</v>
      </c>
      <c r="Y2777" s="11">
        <v>0.15462359218203264</v>
      </c>
      <c r="Z2777" s="11">
        <v>0.1646711283882225</v>
      </c>
    </row>
    <row r="2778" ht="22.5" customHeight="1">
      <c r="Q2778" s="9" t="s">
        <v>2816</v>
      </c>
      <c r="R2778" s="10">
        <v>0.522331348251574</v>
      </c>
      <c r="S2778" s="10">
        <v>0.03252290567933723</v>
      </c>
      <c r="T2778" s="10">
        <v>20.67960496231866</v>
      </c>
      <c r="U2778" s="11">
        <v>0.20575738784081235</v>
      </c>
      <c r="V2778" s="11">
        <v>0.21877634778455146</v>
      </c>
      <c r="W2778" s="11">
        <v>0.2105003541834014</v>
      </c>
      <c r="X2778" s="11">
        <v>0.13391123454961693</v>
      </c>
      <c r="Y2778" s="11">
        <v>0.06631650084621557</v>
      </c>
      <c r="Z2778" s="11">
        <v>0.1647381747954024</v>
      </c>
    </row>
    <row r="2779" ht="22.5" customHeight="1">
      <c r="Q2779" s="9" t="s">
        <v>2817</v>
      </c>
      <c r="R2779" s="10">
        <v>0.5931639841502997</v>
      </c>
      <c r="S2779" s="10">
        <v>0.02674989614000178</v>
      </c>
      <c r="T2779" s="10">
        <v>20.6791077339212</v>
      </c>
      <c r="U2779" s="11">
        <v>0.3320511027192469</v>
      </c>
      <c r="V2779" s="11">
        <v>0.19744848432644485</v>
      </c>
      <c r="W2779" s="11">
        <v>0.14649590071480212</v>
      </c>
      <c r="X2779" s="11">
        <v>0.06052486776682293</v>
      </c>
      <c r="Y2779" s="11">
        <v>0.08560002523987385</v>
      </c>
      <c r="Z2779" s="11">
        <v>0.17787961923280932</v>
      </c>
    </row>
    <row r="2780" ht="22.5" customHeight="1">
      <c r="Q2780" s="9" t="s">
        <v>2818</v>
      </c>
      <c r="R2780" s="10">
        <v>0.6859598852283986</v>
      </c>
      <c r="S2780" s="10">
        <v>0.031237449754795723</v>
      </c>
      <c r="T2780" s="10">
        <v>20.67902118447514</v>
      </c>
      <c r="U2780" s="11">
        <v>0.032429347148880565</v>
      </c>
      <c r="V2780" s="11">
        <v>0.2133052527675395</v>
      </c>
      <c r="W2780" s="11">
        <v>0.1962583048709288</v>
      </c>
      <c r="X2780" s="11">
        <v>0.11721175127348211</v>
      </c>
      <c r="Y2780" s="11">
        <v>0.2308688716678821</v>
      </c>
      <c r="Z2780" s="11">
        <v>0.2099264722712869</v>
      </c>
    </row>
    <row r="2781" ht="22.5" customHeight="1">
      <c r="Q2781" s="9" t="s">
        <v>2819</v>
      </c>
      <c r="R2781" s="10">
        <v>0.3868263167084378</v>
      </c>
      <c r="S2781" s="10">
        <v>0.016772059415542242</v>
      </c>
      <c r="T2781" s="10">
        <v>20.678815172038007</v>
      </c>
      <c r="U2781" s="11">
        <v>0.4082555131875903</v>
      </c>
      <c r="V2781" s="11">
        <v>0.05432016433702809</v>
      </c>
      <c r="W2781" s="11">
        <v>0.12102703565366324</v>
      </c>
      <c r="X2781" s="11">
        <v>0.23095768261443925</v>
      </c>
      <c r="Y2781" s="11">
        <v>0.04229169182066507</v>
      </c>
      <c r="Z2781" s="11">
        <v>0.14314791238661392</v>
      </c>
    </row>
    <row r="2782" ht="22.5" customHeight="1">
      <c r="Q2782" s="9" t="s">
        <v>2820</v>
      </c>
      <c r="R2782" s="10">
        <v>0.6833192138837364</v>
      </c>
      <c r="S2782" s="10">
        <v>0.03111028376274836</v>
      </c>
      <c r="T2782" s="10">
        <v>20.67866750396056</v>
      </c>
      <c r="U2782" s="11">
        <v>0.20561626718999385</v>
      </c>
      <c r="V2782" s="11">
        <v>0.20628901959969706</v>
      </c>
      <c r="W2782" s="11">
        <v>0.20362628989182313</v>
      </c>
      <c r="X2782" s="11">
        <v>0.1263793068243881</v>
      </c>
      <c r="Y2782" s="11">
        <v>0.05896899999609494</v>
      </c>
      <c r="Z2782" s="11">
        <v>0.19912011649800285</v>
      </c>
    </row>
    <row r="2783" ht="22.5" customHeight="1">
      <c r="Q2783" s="9" t="s">
        <v>2821</v>
      </c>
      <c r="R2783" s="10">
        <v>0.6784335241812651</v>
      </c>
      <c r="S2783" s="10">
        <v>0.030874409649803623</v>
      </c>
      <c r="T2783" s="10">
        <v>20.67840426498085</v>
      </c>
      <c r="U2783" s="11">
        <v>0.08201450591921725</v>
      </c>
      <c r="V2783" s="11">
        <v>0.20996009792966944</v>
      </c>
      <c r="W2783" s="11">
        <v>0.18982694359975227</v>
      </c>
      <c r="X2783" s="11">
        <v>0.08989115938045779</v>
      </c>
      <c r="Y2783" s="11">
        <v>0.3040417836487074</v>
      </c>
      <c r="Z2783" s="11">
        <v>0.12426550952219591</v>
      </c>
    </row>
    <row r="2784" ht="22.5" customHeight="1">
      <c r="Q2784" s="9" t="s">
        <v>2822</v>
      </c>
      <c r="R2784" s="10">
        <v>0.6511395190134426</v>
      </c>
      <c r="S2784" s="10">
        <v>0.029554761487681408</v>
      </c>
      <c r="T2784" s="10">
        <v>20.67820845951232</v>
      </c>
      <c r="U2784" s="11">
        <v>0.09997656267627852</v>
      </c>
      <c r="V2784" s="11">
        <v>0.23616312608196507</v>
      </c>
      <c r="W2784" s="11">
        <v>0.14701571121347404</v>
      </c>
      <c r="X2784" s="11">
        <v>0.148538511649637</v>
      </c>
      <c r="Y2784" s="11">
        <v>0.11816181731149099</v>
      </c>
      <c r="Z2784" s="11">
        <v>0.2501442710671543</v>
      </c>
    </row>
    <row r="2785" ht="22.5" customHeight="1">
      <c r="Q2785" s="9" t="s">
        <v>2823</v>
      </c>
      <c r="R2785" s="10">
        <v>0.7159650756898962</v>
      </c>
      <c r="S2785" s="10">
        <v>0.032690163646433554</v>
      </c>
      <c r="T2785" s="10">
        <v>20.677934898121652</v>
      </c>
      <c r="U2785" s="11">
        <v>0.047462578213870434</v>
      </c>
      <c r="V2785" s="11">
        <v>0.25324690047169773</v>
      </c>
      <c r="W2785" s="11">
        <v>0.1772567267101367</v>
      </c>
      <c r="X2785" s="11">
        <v>0.19781758874159389</v>
      </c>
      <c r="Y2785" s="11">
        <v>0.061233405206997465</v>
      </c>
      <c r="Z2785" s="11">
        <v>0.2629828006557039</v>
      </c>
    </row>
    <row r="2786" ht="22.5" customHeight="1">
      <c r="Q2786" s="9" t="s">
        <v>2824</v>
      </c>
      <c r="R2786" s="10">
        <v>0.6845482814577534</v>
      </c>
      <c r="S2786" s="10">
        <v>0.031171600539495314</v>
      </c>
      <c r="T2786" s="10">
        <v>20.67742016137709</v>
      </c>
      <c r="U2786" s="11">
        <v>0.05709130008663607</v>
      </c>
      <c r="V2786" s="11">
        <v>0.18766785651023976</v>
      </c>
      <c r="W2786" s="11">
        <v>0.21739859732244782</v>
      </c>
      <c r="X2786" s="11">
        <v>0.1599375880268372</v>
      </c>
      <c r="Y2786" s="11">
        <v>0.19916669876770196</v>
      </c>
      <c r="Z2786" s="11">
        <v>0.17873795928613728</v>
      </c>
    </row>
    <row r="2787" ht="22.5" customHeight="1">
      <c r="Q2787" s="9" t="s">
        <v>2825</v>
      </c>
      <c r="R2787" s="10">
        <v>0.6429754166038867</v>
      </c>
      <c r="S2787" s="10">
        <v>0.02916152161808678</v>
      </c>
      <c r="T2787" s="10">
        <v>20.67709032816397</v>
      </c>
      <c r="U2787" s="11">
        <v>0.08938267958138567</v>
      </c>
      <c r="V2787" s="11">
        <v>0.22249430055061944</v>
      </c>
      <c r="W2787" s="11">
        <v>0.159830115195865</v>
      </c>
      <c r="X2787" s="11">
        <v>0.11834776604194215</v>
      </c>
      <c r="Y2787" s="11">
        <v>0.11997700044394974</v>
      </c>
      <c r="Z2787" s="11">
        <v>0.28996813818623807</v>
      </c>
    </row>
    <row r="2788" ht="22.5" customHeight="1">
      <c r="Q2788" s="9" t="s">
        <v>2826</v>
      </c>
      <c r="R2788" s="10">
        <v>0.7067205242163168</v>
      </c>
      <c r="S2788" s="10">
        <v>0.03224539053985973</v>
      </c>
      <c r="T2788" s="10">
        <v>20.67645989252816</v>
      </c>
      <c r="U2788" s="11">
        <v>0.05636370849072529</v>
      </c>
      <c r="V2788" s="11">
        <v>0.2521337638450286</v>
      </c>
      <c r="W2788" s="11">
        <v>0.17143031835388706</v>
      </c>
      <c r="X2788" s="11">
        <v>0.1934181409601902</v>
      </c>
      <c r="Y2788" s="11">
        <v>0.06521219528714242</v>
      </c>
      <c r="Z2788" s="11">
        <v>0.2614418730630264</v>
      </c>
    </row>
    <row r="2789" ht="22.5" customHeight="1">
      <c r="Q2789" s="9" t="s">
        <v>2827</v>
      </c>
      <c r="R2789" s="10">
        <v>0.7130003127637788</v>
      </c>
      <c r="S2789" s="10">
        <v>0.03254982565768635</v>
      </c>
      <c r="T2789" s="10">
        <v>20.676003608789095</v>
      </c>
      <c r="U2789" s="11">
        <v>0.2190991255540559</v>
      </c>
      <c r="V2789" s="11">
        <v>0.2617607504210044</v>
      </c>
      <c r="W2789" s="11">
        <v>0.15173127707117645</v>
      </c>
      <c r="X2789" s="11">
        <v>0.1562769651166488</v>
      </c>
      <c r="Y2789" s="11">
        <v>0.20642396556460219</v>
      </c>
      <c r="Z2789" s="11">
        <v>0.004707916272512211</v>
      </c>
    </row>
    <row r="2790" ht="22.5" customHeight="1">
      <c r="Q2790" s="9" t="s">
        <v>2828</v>
      </c>
      <c r="R2790" s="10">
        <v>0.6977034054942238</v>
      </c>
      <c r="S2790" s="10">
        <v>0.03181014767936669</v>
      </c>
      <c r="T2790" s="10">
        <v>20.6758991540563</v>
      </c>
      <c r="U2790" s="11">
        <v>0.169719928667452</v>
      </c>
      <c r="V2790" s="11">
        <v>0.20065395423048854</v>
      </c>
      <c r="W2790" s="11">
        <v>0.21712942172498412</v>
      </c>
      <c r="X2790" s="11">
        <v>0.14909328799082283</v>
      </c>
      <c r="Y2790" s="11">
        <v>0.0851799919587957</v>
      </c>
      <c r="Z2790" s="11">
        <v>0.1782234154274569</v>
      </c>
    </row>
    <row r="2791" ht="22.5" customHeight="1">
      <c r="Q2791" s="9" t="s">
        <v>2829</v>
      </c>
      <c r="R2791" s="10">
        <v>0.7114598934960374</v>
      </c>
      <c r="S2791" s="10">
        <v>0.03247688766136305</v>
      </c>
      <c r="T2791" s="10">
        <v>20.675007423659522</v>
      </c>
      <c r="U2791" s="11">
        <v>0.012922909451724316</v>
      </c>
      <c r="V2791" s="11">
        <v>0.22042175484795837</v>
      </c>
      <c r="W2791" s="11">
        <v>0.210020216193644</v>
      </c>
      <c r="X2791" s="11">
        <v>0.18017200073890924</v>
      </c>
      <c r="Y2791" s="11">
        <v>0.09688729886391892</v>
      </c>
      <c r="Z2791" s="11">
        <v>0.2795758199038453</v>
      </c>
    </row>
    <row r="2792" ht="22.5" customHeight="1">
      <c r="Q2792" s="9" t="s">
        <v>2830</v>
      </c>
      <c r="R2792" s="10">
        <v>0.569053651536484</v>
      </c>
      <c r="S2792" s="10">
        <v>0.025589287749516926</v>
      </c>
      <c r="T2792" s="10">
        <v>20.67480958107056</v>
      </c>
      <c r="U2792" s="11">
        <v>0.07518891560853236</v>
      </c>
      <c r="V2792" s="11">
        <v>0.20161462508339306</v>
      </c>
      <c r="W2792" s="11">
        <v>0.12200306763967812</v>
      </c>
      <c r="X2792" s="11">
        <v>0.09132132831199535</v>
      </c>
      <c r="Y2792" s="11">
        <v>0.2523320734903515</v>
      </c>
      <c r="Z2792" s="11">
        <v>0.2575399898660495</v>
      </c>
    </row>
    <row r="2793" ht="22.5" customHeight="1">
      <c r="Q2793" s="9" t="s">
        <v>2831</v>
      </c>
      <c r="R2793" s="10">
        <v>0.5709471907178197</v>
      </c>
      <c r="S2793" s="10">
        <v>0.025681013676272277</v>
      </c>
      <c r="T2793" s="10">
        <v>20.67469755714445</v>
      </c>
      <c r="U2793" s="11">
        <v>0.00761386273098812</v>
      </c>
      <c r="V2793" s="11">
        <v>0.21258008135361045</v>
      </c>
      <c r="W2793" s="11">
        <v>0.10402442262663748</v>
      </c>
      <c r="X2793" s="11">
        <v>0.17242635822182967</v>
      </c>
      <c r="Y2793" s="11">
        <v>0.26179986403526734</v>
      </c>
      <c r="Z2793" s="11">
        <v>0.24155541103166694</v>
      </c>
    </row>
    <row r="2794" ht="22.5" customHeight="1">
      <c r="Q2794" s="9" t="s">
        <v>2832</v>
      </c>
      <c r="R2794" s="10">
        <v>0.7231397800274275</v>
      </c>
      <c r="S2794" s="10">
        <v>0.0330431041974872</v>
      </c>
      <c r="T2794" s="10">
        <v>20.674201066114655</v>
      </c>
      <c r="U2794" s="11">
        <v>0.3271523894027964</v>
      </c>
      <c r="V2794" s="11">
        <v>0.25121820550890744</v>
      </c>
      <c r="W2794" s="11">
        <v>0.17915402164546518</v>
      </c>
      <c r="X2794" s="11">
        <v>0.13170345237794698</v>
      </c>
      <c r="Y2794" s="11">
        <v>0.04966881457117684</v>
      </c>
      <c r="Z2794" s="11">
        <v>0.06110311649370722</v>
      </c>
    </row>
    <row r="2795" ht="22.5" customHeight="1">
      <c r="Q2795" s="9" t="s">
        <v>2833</v>
      </c>
      <c r="R2795" s="10">
        <v>0.5701517911223313</v>
      </c>
      <c r="S2795" s="10">
        <v>0.025643523750257614</v>
      </c>
      <c r="T2795" s="10">
        <v>20.673905672460688</v>
      </c>
      <c r="U2795" s="11">
        <v>0.1630947545415301</v>
      </c>
      <c r="V2795" s="11">
        <v>0.16005376675893848</v>
      </c>
      <c r="W2795" s="11">
        <v>0.17388175220912286</v>
      </c>
      <c r="X2795" s="11">
        <v>0.13416540424618903</v>
      </c>
      <c r="Y2795" s="11">
        <v>0.007170863067920592</v>
      </c>
      <c r="Z2795" s="11">
        <v>0.36163345917629897</v>
      </c>
    </row>
    <row r="2796" ht="22.5" customHeight="1">
      <c r="Q2796" s="9" t="s">
        <v>2834</v>
      </c>
      <c r="R2796" s="10">
        <v>0.6787239999781162</v>
      </c>
      <c r="S2796" s="10">
        <v>0.030895237436616135</v>
      </c>
      <c r="T2796" s="10">
        <v>20.673866038042455</v>
      </c>
      <c r="U2796" s="11">
        <v>0.11859462725426073</v>
      </c>
      <c r="V2796" s="11">
        <v>0.20845234854384292</v>
      </c>
      <c r="W2796" s="11">
        <v>0.19568294014266818</v>
      </c>
      <c r="X2796" s="11">
        <v>0.09231950448151045</v>
      </c>
      <c r="Y2796" s="11">
        <v>0.21701056592967546</v>
      </c>
      <c r="Z2796" s="11">
        <v>0.16794001364804226</v>
      </c>
    </row>
    <row r="2797" ht="22.5" customHeight="1">
      <c r="Q2797" s="9" t="s">
        <v>2835</v>
      </c>
      <c r="R2797" s="10">
        <v>0.5419513205443973</v>
      </c>
      <c r="S2797" s="10">
        <v>0.024279816351170432</v>
      </c>
      <c r="T2797" s="10">
        <v>20.673604498668304</v>
      </c>
      <c r="U2797" s="11">
        <v>0.04793372718623516</v>
      </c>
      <c r="V2797" s="11">
        <v>0.1148895678156847</v>
      </c>
      <c r="W2797" s="11">
        <v>0.18510642399694122</v>
      </c>
      <c r="X2797" s="11">
        <v>0.23302483728724915</v>
      </c>
      <c r="Y2797" s="11">
        <v>0.12269547917061678</v>
      </c>
      <c r="Z2797" s="11">
        <v>0.29634996454327284</v>
      </c>
    </row>
    <row r="2798" ht="22.5" customHeight="1">
      <c r="Q2798" s="9" t="s">
        <v>2836</v>
      </c>
      <c r="R2798" s="10">
        <v>0.5891577146364386</v>
      </c>
      <c r="S2798" s="10">
        <v>0.026563548594746487</v>
      </c>
      <c r="T2798" s="10">
        <v>20.67335667438071</v>
      </c>
      <c r="U2798" s="11">
        <v>0.2660843702739388</v>
      </c>
      <c r="V2798" s="11">
        <v>0.14485192057267568</v>
      </c>
      <c r="W2798" s="11">
        <v>0.19147515984368396</v>
      </c>
      <c r="X2798" s="11">
        <v>0.11714463988732547</v>
      </c>
      <c r="Y2798" s="11">
        <v>0.13061041148295838</v>
      </c>
      <c r="Z2798" s="11">
        <v>0.14983349793941766</v>
      </c>
    </row>
    <row r="2799" ht="22.5" customHeight="1">
      <c r="Q2799" s="9" t="s">
        <v>2837</v>
      </c>
      <c r="R2799" s="10">
        <v>0.5520010797370124</v>
      </c>
      <c r="S2799" s="10">
        <v>0.024766993504543852</v>
      </c>
      <c r="T2799" s="10">
        <v>20.672718295140612</v>
      </c>
      <c r="U2799" s="11">
        <v>0.2324595447289253</v>
      </c>
      <c r="V2799" s="11">
        <v>0.15610065685174154</v>
      </c>
      <c r="W2799" s="11">
        <v>0.15542175571799483</v>
      </c>
      <c r="X2799" s="11">
        <v>0.030383883379933512</v>
      </c>
      <c r="Y2799" s="11">
        <v>0.27141075415666166</v>
      </c>
      <c r="Z2799" s="11">
        <v>0.15422340516474312</v>
      </c>
    </row>
    <row r="2800" ht="22.5" customHeight="1">
      <c r="Q2800" s="9" t="s">
        <v>2838</v>
      </c>
      <c r="R2800" s="10">
        <v>0.7902171452851646</v>
      </c>
      <c r="S2800" s="10">
        <v>0.03629052645020235</v>
      </c>
      <c r="T2800" s="10">
        <v>20.67253409273652</v>
      </c>
      <c r="U2800" s="11">
        <v>0.1944417832064296</v>
      </c>
      <c r="V2800" s="11">
        <v>0.23935690924048245</v>
      </c>
      <c r="W2800" s="11">
        <v>0.23703758390775273</v>
      </c>
      <c r="X2800" s="11">
        <v>0.14757640939461447</v>
      </c>
      <c r="Y2800" s="11">
        <v>0.17333969490752899</v>
      </c>
      <c r="Z2800" s="11">
        <v>0.008247619343191676</v>
      </c>
    </row>
    <row r="2801" ht="22.5" customHeight="1">
      <c r="Q2801" s="9" t="s">
        <v>2839</v>
      </c>
      <c r="R2801" s="10">
        <v>0.26171731923126684</v>
      </c>
      <c r="S2801" s="10">
        <v>0.01072550635938158</v>
      </c>
      <c r="T2801" s="10">
        <v>20.671967532547416</v>
      </c>
      <c r="U2801" s="11">
        <v>0.07114704783492305</v>
      </c>
      <c r="V2801" s="11">
        <v>0.03027555100653792</v>
      </c>
      <c r="W2801" s="11">
        <v>0.037039401078528204</v>
      </c>
      <c r="X2801" s="11">
        <v>0.4458538944541189</v>
      </c>
      <c r="Y2801" s="11">
        <v>0.13362285661708598</v>
      </c>
      <c r="Z2801" s="11">
        <v>0.282061249008806</v>
      </c>
    </row>
    <row r="2802" ht="22.5" customHeight="1">
      <c r="Q2802" s="9" t="s">
        <v>2840</v>
      </c>
      <c r="R2802" s="10">
        <v>0.7312368279020917</v>
      </c>
      <c r="S2802" s="10">
        <v>0.03343849647626538</v>
      </c>
      <c r="T2802" s="10">
        <v>20.671887218156805</v>
      </c>
      <c r="U2802" s="11">
        <v>0.14323922919649823</v>
      </c>
      <c r="V2802" s="11">
        <v>0.20191438484576302</v>
      </c>
      <c r="W2802" s="11">
        <v>0.23513583503524876</v>
      </c>
      <c r="X2802" s="11">
        <v>0.18756917614688814</v>
      </c>
      <c r="Y2802" s="11">
        <v>0.10786432591773984</v>
      </c>
      <c r="Z2802" s="11">
        <v>0.12427704885786213</v>
      </c>
    </row>
    <row r="2803" ht="22.5" customHeight="1">
      <c r="Q2803" s="9" t="s">
        <v>2841</v>
      </c>
      <c r="R2803" s="10">
        <v>0.522331348251574</v>
      </c>
      <c r="S2803" s="10">
        <v>0.02921629047479588</v>
      </c>
      <c r="T2803" s="10">
        <v>20.67176173597777</v>
      </c>
      <c r="U2803" s="11">
        <v>0.2859591188855717</v>
      </c>
      <c r="V2803" s="11">
        <v>0.22709977869847334</v>
      </c>
      <c r="W2803" s="11">
        <v>0.15140465805181585</v>
      </c>
      <c r="X2803" s="11">
        <v>0.12298348778488512</v>
      </c>
      <c r="Y2803" s="11">
        <v>0.024467639306645847</v>
      </c>
      <c r="Z2803" s="11">
        <v>0.18808531727260816</v>
      </c>
    </row>
    <row r="2804" ht="22.5" customHeight="1">
      <c r="Q2804" s="9" t="s">
        <v>2842</v>
      </c>
      <c r="R2804" s="10">
        <v>0.43907997425931256</v>
      </c>
      <c r="S2804" s="10">
        <v>0.019305662448277635</v>
      </c>
      <c r="T2804" s="10">
        <v>20.671653994184318</v>
      </c>
      <c r="U2804" s="11">
        <v>0.20034236376294112</v>
      </c>
      <c r="V2804" s="11">
        <v>0.07445903169767075</v>
      </c>
      <c r="W2804" s="11">
        <v>0.14803166343929924</v>
      </c>
      <c r="X2804" s="11">
        <v>0.26110891244548395</v>
      </c>
      <c r="Y2804" s="11">
        <v>0.009595538365138942</v>
      </c>
      <c r="Z2804" s="11">
        <v>0.3064624902894661</v>
      </c>
    </row>
    <row r="2805" ht="22.5" customHeight="1">
      <c r="Q2805" s="9" t="s">
        <v>2843</v>
      </c>
      <c r="R2805" s="10">
        <v>0.7666901811502648</v>
      </c>
      <c r="S2805" s="10">
        <v>0.035155213294905834</v>
      </c>
      <c r="T2805" s="10">
        <v>20.67090804013315</v>
      </c>
      <c r="U2805" s="11">
        <v>0.15781768964818735</v>
      </c>
      <c r="V2805" s="11">
        <v>0.2553969712495354</v>
      </c>
      <c r="W2805" s="11">
        <v>0.20915637183254412</v>
      </c>
      <c r="X2805" s="11">
        <v>0.1466727827198715</v>
      </c>
      <c r="Y2805" s="11">
        <v>0.11638545693248552</v>
      </c>
      <c r="Z2805" s="11">
        <v>0.11457072761737594</v>
      </c>
    </row>
    <row r="2806" ht="22.5" customHeight="1">
      <c r="Q2806" s="9" t="s">
        <v>2844</v>
      </c>
      <c r="R2806" s="10">
        <v>0.5776154943275702</v>
      </c>
      <c r="S2806" s="10">
        <v>0.026008860642734728</v>
      </c>
      <c r="T2806" s="10">
        <v>20.670474639870346</v>
      </c>
      <c r="U2806" s="11">
        <v>0.16168231714194492</v>
      </c>
      <c r="V2806" s="11">
        <v>0.19946819753878572</v>
      </c>
      <c r="W2806" s="11">
        <v>0.13074736260941044</v>
      </c>
      <c r="X2806" s="11">
        <v>0.06010307213846254</v>
      </c>
      <c r="Y2806" s="11">
        <v>0.24258578345369153</v>
      </c>
      <c r="Z2806" s="11">
        <v>0.20541326711770494</v>
      </c>
    </row>
    <row r="2807" ht="22.5" customHeight="1">
      <c r="Q2807" s="9" t="s">
        <v>2845</v>
      </c>
      <c r="R2807" s="10">
        <v>0.6689331949594894</v>
      </c>
      <c r="S2807" s="10">
        <v>0.030426755643250637</v>
      </c>
      <c r="T2807" s="10">
        <v>20.670399510668876</v>
      </c>
      <c r="U2807" s="11">
        <v>0.2924626029895032</v>
      </c>
      <c r="V2807" s="11">
        <v>0.16109569393092998</v>
      </c>
      <c r="W2807" s="11">
        <v>0.22388500267988265</v>
      </c>
      <c r="X2807" s="11">
        <v>0.17683601067764027</v>
      </c>
      <c r="Y2807" s="11">
        <v>0.12889681463954017</v>
      </c>
      <c r="Z2807" s="11">
        <v>0.01682387508250374</v>
      </c>
    </row>
    <row r="2808" ht="22.5" customHeight="1">
      <c r="Q2808" s="9" t="s">
        <v>2846</v>
      </c>
      <c r="R2808" s="10">
        <v>0.6479415853632973</v>
      </c>
      <c r="S2808" s="10">
        <v>0.029411594694909515</v>
      </c>
      <c r="T2808" s="10">
        <v>20.670133383434603</v>
      </c>
      <c r="U2808" s="11">
        <v>0.2150487579000669</v>
      </c>
      <c r="V2808" s="11">
        <v>0.15722323388882817</v>
      </c>
      <c r="W2808" s="11">
        <v>0.21836316254267613</v>
      </c>
      <c r="X2808" s="11">
        <v>0.2107375755318611</v>
      </c>
      <c r="Y2808" s="11">
        <v>0.04426158752493506</v>
      </c>
      <c r="Z2808" s="11">
        <v>0.15436568261163255</v>
      </c>
    </row>
    <row r="2809" ht="22.5" customHeight="1">
      <c r="Q2809" s="9" t="s">
        <v>2847</v>
      </c>
      <c r="R2809" s="10">
        <v>0.5948001590554836</v>
      </c>
      <c r="S2809" s="10">
        <v>0.026840701877901055</v>
      </c>
      <c r="T2809" s="10">
        <v>20.670106228193347</v>
      </c>
      <c r="U2809" s="11">
        <v>0.2040986118143885</v>
      </c>
      <c r="V2809" s="11">
        <v>0.2136374385970399</v>
      </c>
      <c r="W2809" s="11">
        <v>0.12695472081115808</v>
      </c>
      <c r="X2809" s="11">
        <v>0.08910609705237639</v>
      </c>
      <c r="Y2809" s="11">
        <v>0.179653191128852</v>
      </c>
      <c r="Z2809" s="11">
        <v>0.1865499405961852</v>
      </c>
    </row>
    <row r="2810" ht="22.5" customHeight="1">
      <c r="Q2810" s="9" t="s">
        <v>2848</v>
      </c>
      <c r="R2810" s="10">
        <v>0.5543167040905326</v>
      </c>
      <c r="S2810" s="10">
        <v>0.0248824259859696</v>
      </c>
      <c r="T2810" s="10">
        <v>20.669877783642928</v>
      </c>
      <c r="U2810" s="11">
        <v>0.060451702843454955</v>
      </c>
      <c r="V2810" s="11">
        <v>0.2067367678920054</v>
      </c>
      <c r="W2810" s="11">
        <v>0.09732022950299206</v>
      </c>
      <c r="X2810" s="11">
        <v>0.15819950033744973</v>
      </c>
      <c r="Y2810" s="11">
        <v>0.2566222122867961</v>
      </c>
      <c r="Z2810" s="11">
        <v>0.22066958713730178</v>
      </c>
    </row>
    <row r="2811" ht="22.5" customHeight="1">
      <c r="Q2811" s="9" t="s">
        <v>2849</v>
      </c>
      <c r="R2811" s="10">
        <v>0.5955399822893681</v>
      </c>
      <c r="S2811" s="10">
        <v>0.026876808441571802</v>
      </c>
      <c r="T2811" s="10">
        <v>20.66986426223452</v>
      </c>
      <c r="U2811" s="11">
        <v>0.19028137023537778</v>
      </c>
      <c r="V2811" s="11">
        <v>0.23119346825692905</v>
      </c>
      <c r="W2811" s="11">
        <v>0.09414876620833866</v>
      </c>
      <c r="X2811" s="11">
        <v>0.2746722023738266</v>
      </c>
      <c r="Y2811" s="11">
        <v>0.054908238784864206</v>
      </c>
      <c r="Z2811" s="11">
        <v>0.1547959541406637</v>
      </c>
    </row>
    <row r="2812" ht="22.5" customHeight="1">
      <c r="Q2812" s="9" t="s">
        <v>2850</v>
      </c>
      <c r="R2812" s="10">
        <v>0.5663636497516692</v>
      </c>
      <c r="S2812" s="10">
        <v>0.025465842020536866</v>
      </c>
      <c r="T2812" s="10">
        <v>20.669399006213283</v>
      </c>
      <c r="U2812" s="11">
        <v>0.09215499583400918</v>
      </c>
      <c r="V2812" s="11">
        <v>0.13875564347882446</v>
      </c>
      <c r="W2812" s="11">
        <v>0.18478537492725625</v>
      </c>
      <c r="X2812" s="11">
        <v>0.13981557913001416</v>
      </c>
      <c r="Y2812" s="11">
        <v>0.16782832942285006</v>
      </c>
      <c r="Z2812" s="11">
        <v>0.27666007720704583</v>
      </c>
    </row>
    <row r="2813" ht="22.5" customHeight="1">
      <c r="Q2813" s="9" t="s">
        <v>2851</v>
      </c>
      <c r="R2813" s="10">
        <v>0.648097911984847</v>
      </c>
      <c r="S2813" s="10">
        <v>0.02942044957688539</v>
      </c>
      <c r="T2813" s="10">
        <v>20.669225682486104</v>
      </c>
      <c r="U2813" s="11">
        <v>0.16105500857375185</v>
      </c>
      <c r="V2813" s="11">
        <v>0.23236427075214416</v>
      </c>
      <c r="W2813" s="11">
        <v>0.1453803285675905</v>
      </c>
      <c r="X2813" s="11">
        <v>0.10638939114352114</v>
      </c>
      <c r="Y2813" s="11">
        <v>0.1959867682801309</v>
      </c>
      <c r="Z2813" s="11">
        <v>0.15882423268286136</v>
      </c>
    </row>
    <row r="2814" ht="22.5" customHeight="1">
      <c r="Q2814" s="9" t="s">
        <v>2852</v>
      </c>
      <c r="R2814" s="10">
        <v>0.7574411408564553</v>
      </c>
      <c r="S2814" s="10">
        <v>0.03471069195342752</v>
      </c>
      <c r="T2814" s="10">
        <v>20.669168503441814</v>
      </c>
      <c r="U2814" s="11">
        <v>0.046983996348176495</v>
      </c>
      <c r="V2814" s="11">
        <v>0.205913512884007</v>
      </c>
      <c r="W2814" s="11">
        <v>0.246186693390795</v>
      </c>
      <c r="X2814" s="11">
        <v>0.22898154864729411</v>
      </c>
      <c r="Y2814" s="11">
        <v>0.15900016163967837</v>
      </c>
      <c r="Z2814" s="11">
        <v>0.11293408709004892</v>
      </c>
    </row>
    <row r="2815" ht="22.5" customHeight="1">
      <c r="Q2815" s="9" t="s">
        <v>2853</v>
      </c>
      <c r="R2815" s="10">
        <v>0.45306213759758207</v>
      </c>
      <c r="S2815" s="10">
        <v>0.019984940548301404</v>
      </c>
      <c r="T2815" s="10">
        <v>20.66866982162175</v>
      </c>
      <c r="U2815" s="11">
        <v>0.20208871104291523</v>
      </c>
      <c r="V2815" s="11">
        <v>0.16895085104737456</v>
      </c>
      <c r="W2815" s="11">
        <v>0.051384828722867835</v>
      </c>
      <c r="X2815" s="11">
        <v>0.21400253111678302</v>
      </c>
      <c r="Y2815" s="11">
        <v>0.20027339083321966</v>
      </c>
      <c r="Z2815" s="11">
        <v>0.16329968723683966</v>
      </c>
    </row>
    <row r="2816" ht="22.5" customHeight="1">
      <c r="Q2816" s="9" t="s">
        <v>2854</v>
      </c>
      <c r="R2816" s="10">
        <v>0.7144406301638855</v>
      </c>
      <c r="S2816" s="10">
        <v>0.03263111539071927</v>
      </c>
      <c r="T2816" s="10">
        <v>20.66863550596574</v>
      </c>
      <c r="U2816" s="11">
        <v>0.09690554980079596</v>
      </c>
      <c r="V2816" s="11">
        <v>0.20798001058907817</v>
      </c>
      <c r="W2816" s="11">
        <v>0.22017933268251175</v>
      </c>
      <c r="X2816" s="11">
        <v>0.14465452275939278</v>
      </c>
      <c r="Y2816" s="11">
        <v>0.16899356944100116</v>
      </c>
      <c r="Z2816" s="11">
        <v>0.16128701472722026</v>
      </c>
    </row>
    <row r="2817" ht="22.5" customHeight="1">
      <c r="Q2817" s="9" t="s">
        <v>2855</v>
      </c>
      <c r="R2817" s="10">
        <v>0.4442326892519566</v>
      </c>
      <c r="S2817" s="10">
        <v>0.01955781580414919</v>
      </c>
      <c r="T2817" s="10">
        <v>20.668600895924104</v>
      </c>
      <c r="U2817" s="11">
        <v>0.2083047749429759</v>
      </c>
      <c r="V2817" s="11">
        <v>0.15916704179677155</v>
      </c>
      <c r="W2817" s="11">
        <v>0.06624629294015932</v>
      </c>
      <c r="X2817" s="11">
        <v>0.11329122411942348</v>
      </c>
      <c r="Y2817" s="11">
        <v>0.22802278898504844</v>
      </c>
      <c r="Z2817" s="11">
        <v>0.22496787721562134</v>
      </c>
    </row>
    <row r="2818" ht="22.5" customHeight="1">
      <c r="Q2818" s="9" t="s">
        <v>2856</v>
      </c>
      <c r="R2818" s="10">
        <v>0.7124612459123428</v>
      </c>
      <c r="S2818" s="10">
        <v>0.03253633560416435</v>
      </c>
      <c r="T2818" s="10">
        <v>20.66800804163927</v>
      </c>
      <c r="U2818" s="11">
        <v>0.0999465837673938</v>
      </c>
      <c r="V2818" s="11">
        <v>0.1710430201520632</v>
      </c>
      <c r="W2818" s="11">
        <v>0.23949875653639832</v>
      </c>
      <c r="X2818" s="11">
        <v>0.23119007100952538</v>
      </c>
      <c r="Y2818" s="11">
        <v>0.2545046726742097</v>
      </c>
      <c r="Z2818" s="11">
        <v>0.0038168958604095156</v>
      </c>
    </row>
    <row r="2819" ht="22.5" customHeight="1">
      <c r="Q2819" s="9" t="s">
        <v>2857</v>
      </c>
      <c r="R2819" s="10">
        <v>0.4599897187178996</v>
      </c>
      <c r="S2819" s="10">
        <v>0.02032085392405309</v>
      </c>
      <c r="T2819" s="10">
        <v>20.667916825127726</v>
      </c>
      <c r="U2819" s="11">
        <v>0.12362512606266651</v>
      </c>
      <c r="V2819" s="11">
        <v>0.17468541190569178</v>
      </c>
      <c r="W2819" s="11">
        <v>0.05053811690463523</v>
      </c>
      <c r="X2819" s="11">
        <v>0.26354560879639083</v>
      </c>
      <c r="Y2819" s="11">
        <v>0.16708792281829818</v>
      </c>
      <c r="Z2819" s="11">
        <v>0.22051781351231753</v>
      </c>
    </row>
    <row r="2820" ht="22.5" customHeight="1">
      <c r="Q2820" s="9" t="s">
        <v>2858</v>
      </c>
      <c r="R2820" s="10">
        <v>0.39227813665891426</v>
      </c>
      <c r="S2820" s="10">
        <v>0.017044899797570623</v>
      </c>
      <c r="T2820" s="10">
        <v>20.66765665053213</v>
      </c>
      <c r="U2820" s="11">
        <v>0.14269008071657907</v>
      </c>
      <c r="V2820" s="11">
        <v>0.06997003505312531</v>
      </c>
      <c r="W2820" s="11">
        <v>0.12069905481748024</v>
      </c>
      <c r="X2820" s="11">
        <v>0.13314759962751443</v>
      </c>
      <c r="Y2820" s="11">
        <v>0.2529593943140182</v>
      </c>
      <c r="Z2820" s="11">
        <v>0.2805338354712828</v>
      </c>
    </row>
    <row r="2821" ht="22.5" customHeight="1">
      <c r="Q2821" s="9" t="s">
        <v>2859</v>
      </c>
      <c r="R2821" s="10">
        <v>0.3394123021084098</v>
      </c>
      <c r="S2821" s="10">
        <v>0.014487540128779184</v>
      </c>
      <c r="T2821" s="10">
        <v>20.666883366461487</v>
      </c>
      <c r="U2821" s="11">
        <v>0.3521258167813203</v>
      </c>
      <c r="V2821" s="11">
        <v>0.03966872691942026</v>
      </c>
      <c r="W2821" s="11">
        <v>0.09782964250589966</v>
      </c>
      <c r="X2821" s="11">
        <v>0.21298520241469956</v>
      </c>
      <c r="Y2821" s="11">
        <v>0.16675843335639798</v>
      </c>
      <c r="Z2821" s="11">
        <v>0.130632178022262</v>
      </c>
    </row>
    <row r="2822" ht="22.5" customHeight="1">
      <c r="Q2822" s="9" t="s">
        <v>2860</v>
      </c>
      <c r="R2822" s="10">
        <v>0.7903469212424258</v>
      </c>
      <c r="S2822" s="10">
        <v>0.036307005525233985</v>
      </c>
      <c r="T2822" s="10">
        <v>20.666725619134905</v>
      </c>
      <c r="U2822" s="11">
        <v>0.11937047187929727</v>
      </c>
      <c r="V2822" s="11">
        <v>0.24153445922067115</v>
      </c>
      <c r="W2822" s="11">
        <v>0.23603661612441812</v>
      </c>
      <c r="X2822" s="11">
        <v>0.15775482257067241</v>
      </c>
      <c r="Y2822" s="11">
        <v>0.1942391519602008</v>
      </c>
      <c r="Z2822" s="11">
        <v>0.0510644782447402</v>
      </c>
    </row>
    <row r="2823" ht="22.5" customHeight="1">
      <c r="Q2823" s="9" t="s">
        <v>2861</v>
      </c>
      <c r="R2823" s="10">
        <v>0.8206098110965998</v>
      </c>
      <c r="S2823" s="10">
        <v>0.037771430088910554</v>
      </c>
      <c r="T2823" s="10">
        <v>20.666673442311144</v>
      </c>
      <c r="U2823" s="11">
        <v>0.1791685031291583</v>
      </c>
      <c r="V2823" s="11">
        <v>0.26979941635561977</v>
      </c>
      <c r="W2823" s="11">
        <v>0.2282583552509742</v>
      </c>
      <c r="X2823" s="11">
        <v>0.15945524792310756</v>
      </c>
      <c r="Y2823" s="11">
        <v>0.1521499683823893</v>
      </c>
      <c r="Z2823" s="11">
        <v>0.011168508958750803</v>
      </c>
    </row>
    <row r="2824" ht="22.5" customHeight="1">
      <c r="Q2824" s="9" t="s">
        <v>2862</v>
      </c>
      <c r="R2824" s="10">
        <v>0.5821184907162769</v>
      </c>
      <c r="S2824" s="10">
        <v>0.026232515205991937</v>
      </c>
      <c r="T2824" s="10">
        <v>20.665898273927162</v>
      </c>
      <c r="U2824" s="11">
        <v>0.14281563453432256</v>
      </c>
      <c r="V2824" s="11">
        <v>0.22238486258041515</v>
      </c>
      <c r="W2824" s="11">
        <v>0.08727922118406177</v>
      </c>
      <c r="X2824" s="11">
        <v>0.23065939164012522</v>
      </c>
      <c r="Y2824" s="11">
        <v>0.25561702184346163</v>
      </c>
      <c r="Z2824" s="11">
        <v>0.061243868217613594</v>
      </c>
    </row>
    <row r="2825" ht="22.5" customHeight="1">
      <c r="Q2825" s="9" t="s">
        <v>2863</v>
      </c>
      <c r="R2825" s="10">
        <v>0.6374781417227381</v>
      </c>
      <c r="S2825" s="10">
        <v>0.028911915247609443</v>
      </c>
      <c r="T2825" s="10">
        <v>20.665463930900945</v>
      </c>
      <c r="U2825" s="11">
        <v>0.09952106072923116</v>
      </c>
      <c r="V2825" s="11">
        <v>0.22670381780951032</v>
      </c>
      <c r="W2825" s="11">
        <v>0.1448834025976294</v>
      </c>
      <c r="X2825" s="11">
        <v>0.10431872357257711</v>
      </c>
      <c r="Y2825" s="11">
        <v>0.22656749395037548</v>
      </c>
      <c r="Z2825" s="11">
        <v>0.19800550134067646</v>
      </c>
    </row>
    <row r="2826" ht="22.5" customHeight="1">
      <c r="Q2826" s="9" t="s">
        <v>2864</v>
      </c>
      <c r="R2826" s="10">
        <v>0.6519975148643937</v>
      </c>
      <c r="S2826" s="10">
        <v>0.02961555997374749</v>
      </c>
      <c r="T2826" s="10">
        <v>20.664728791449317</v>
      </c>
      <c r="U2826" s="11">
        <v>0.24699457517777354</v>
      </c>
      <c r="V2826" s="11">
        <v>0.21966626719836313</v>
      </c>
      <c r="W2826" s="11">
        <v>0.16371487530129855</v>
      </c>
      <c r="X2826" s="11">
        <v>0.06395323061144587</v>
      </c>
      <c r="Y2826" s="11">
        <v>0.1805285962778973</v>
      </c>
      <c r="Z2826" s="11">
        <v>0.12514245543322156</v>
      </c>
    </row>
    <row r="2827" ht="22.5" customHeight="1">
      <c r="Q2827" s="9" t="s">
        <v>2865</v>
      </c>
      <c r="R2827" s="10">
        <v>0.5070268237623283</v>
      </c>
      <c r="S2827" s="10">
        <v>0.022600645249048302</v>
      </c>
      <c r="T2827" s="10">
        <v>20.664313722724113</v>
      </c>
      <c r="U2827" s="11">
        <v>0.1576051013237429</v>
      </c>
      <c r="V2827" s="11">
        <v>0.19470549331953474</v>
      </c>
      <c r="W2827" s="11">
        <v>0.06530144198505396</v>
      </c>
      <c r="X2827" s="11">
        <v>0.24042189768643843</v>
      </c>
      <c r="Y2827" s="11">
        <v>0.16853321271636215</v>
      </c>
      <c r="Z2827" s="11">
        <v>0.17343285296886776</v>
      </c>
    </row>
    <row r="2828" ht="22.5" customHeight="1">
      <c r="Q2828" s="9" t="s">
        <v>2866</v>
      </c>
      <c r="R2828" s="10">
        <v>0.7143749828924442</v>
      </c>
      <c r="S2828" s="10">
        <v>0.03263497466245855</v>
      </c>
      <c r="T2828" s="10">
        <v>20.664179760133457</v>
      </c>
      <c r="U2828" s="11">
        <v>0.09009475712278164</v>
      </c>
      <c r="V2828" s="11">
        <v>0.2484670056053515</v>
      </c>
      <c r="W2828" s="11">
        <v>0.18183872365946704</v>
      </c>
      <c r="X2828" s="11">
        <v>0.15545777239285138</v>
      </c>
      <c r="Y2828" s="11">
        <v>0.0968826372285888</v>
      </c>
      <c r="Z2828" s="11">
        <v>0.22725910399095955</v>
      </c>
    </row>
    <row r="2829" ht="22.5" customHeight="1">
      <c r="Q2829" s="9" t="s">
        <v>2867</v>
      </c>
      <c r="R2829" s="10">
        <v>0.4953905032741153</v>
      </c>
      <c r="S2829" s="10">
        <v>0.02203806936317534</v>
      </c>
      <c r="T2829" s="10">
        <v>20.66381114286958</v>
      </c>
      <c r="U2829" s="11">
        <v>0.20462385556752383</v>
      </c>
      <c r="V2829" s="11">
        <v>0.1847548728808473</v>
      </c>
      <c r="W2829" s="11">
        <v>0.05559507940242436</v>
      </c>
      <c r="X2829" s="11">
        <v>0.253781354121689</v>
      </c>
      <c r="Y2829" s="11">
        <v>0.26742576246505334</v>
      </c>
      <c r="Z2829" s="11">
        <v>0.03381907556246225</v>
      </c>
    </row>
    <row r="2830" ht="22.5" customHeight="1">
      <c r="Q2830" s="9" t="s">
        <v>2868</v>
      </c>
      <c r="R2830" s="10">
        <v>0.4474992763467775</v>
      </c>
      <c r="S2830" s="10">
        <v>0.0197204761047596</v>
      </c>
      <c r="T2830" s="10">
        <v>20.66376461613045</v>
      </c>
      <c r="U2830" s="11">
        <v>0.23296157695838463</v>
      </c>
      <c r="V2830" s="11">
        <v>0.06336998517532627</v>
      </c>
      <c r="W2830" s="11">
        <v>0.1536667704239644</v>
      </c>
      <c r="X2830" s="11">
        <v>0.27656876461310226</v>
      </c>
      <c r="Y2830" s="11">
        <v>0.12384929172823467</v>
      </c>
      <c r="Z2830" s="11">
        <v>0.14958361110098786</v>
      </c>
    </row>
    <row r="2831" ht="22.5" customHeight="1">
      <c r="Q2831" s="9" t="s">
        <v>2869</v>
      </c>
      <c r="R2831" s="10">
        <v>0.6458450572745599</v>
      </c>
      <c r="S2831" s="10">
        <v>0.02932096826678886</v>
      </c>
      <c r="T2831" s="10">
        <v>20.662518773664974</v>
      </c>
      <c r="U2831" s="11">
        <v>0.18712177389415055</v>
      </c>
      <c r="V2831" s="11">
        <v>0.19988773558947345</v>
      </c>
      <c r="W2831" s="11">
        <v>0.18343810571121788</v>
      </c>
      <c r="X2831" s="11">
        <v>0.06956706622374928</v>
      </c>
      <c r="Y2831" s="11">
        <v>0.16701315632111116</v>
      </c>
      <c r="Z2831" s="11">
        <v>0.1929721622602976</v>
      </c>
    </row>
    <row r="2832" ht="22.5" customHeight="1">
      <c r="Q2832" s="9" t="s">
        <v>2870</v>
      </c>
      <c r="R2832" s="10">
        <v>0.5642497893301645</v>
      </c>
      <c r="S2832" s="10">
        <v>0.025372107043470014</v>
      </c>
      <c r="T2832" s="10">
        <v>20.662445906915323</v>
      </c>
      <c r="U2832" s="11">
        <v>0.18637419357020946</v>
      </c>
      <c r="V2832" s="11">
        <v>0.1981884175800779</v>
      </c>
      <c r="W2832" s="11">
        <v>0.12207519846438411</v>
      </c>
      <c r="X2832" s="11">
        <v>0.06418789038278495</v>
      </c>
      <c r="Y2832" s="11">
        <v>0.21915772215782642</v>
      </c>
      <c r="Z2832" s="11">
        <v>0.21001657784471722</v>
      </c>
    </row>
    <row r="2833" ht="22.5" customHeight="1">
      <c r="Q2833" s="9" t="s">
        <v>2871</v>
      </c>
      <c r="R2833" s="10">
        <v>0.3832379510784067</v>
      </c>
      <c r="S2833" s="10">
        <v>0.016611810905792845</v>
      </c>
      <c r="T2833" s="10">
        <v>20.66228378260153</v>
      </c>
      <c r="U2833" s="11">
        <v>0.22454279318851578</v>
      </c>
      <c r="V2833" s="11">
        <v>0.13438524699293253</v>
      </c>
      <c r="W2833" s="11">
        <v>0.03526705939636636</v>
      </c>
      <c r="X2833" s="11">
        <v>0.20411039702775005</v>
      </c>
      <c r="Y2833" s="11">
        <v>0.2150549664037447</v>
      </c>
      <c r="Z2833" s="11">
        <v>0.18663953699069066</v>
      </c>
    </row>
    <row r="2834" ht="22.5" customHeight="1">
      <c r="Q2834" s="9" t="s">
        <v>2872</v>
      </c>
      <c r="R2834" s="10">
        <v>0.6745028780129563</v>
      </c>
      <c r="S2834" s="10">
        <v>0.030708708825417708</v>
      </c>
      <c r="T2834" s="10">
        <v>20.661984898817234</v>
      </c>
      <c r="U2834" s="11">
        <v>0.03110784603651561</v>
      </c>
      <c r="V2834" s="11">
        <v>0.2422907708051815</v>
      </c>
      <c r="W2834" s="11">
        <v>0.16004728180947292</v>
      </c>
      <c r="X2834" s="11">
        <v>0.20956738051032267</v>
      </c>
      <c r="Y2834" s="11">
        <v>0.02700942668425025</v>
      </c>
      <c r="Z2834" s="11">
        <v>0.32997729415425714</v>
      </c>
    </row>
    <row r="2835" ht="22.5" customHeight="1">
      <c r="Q2835" s="9" t="s">
        <v>2873</v>
      </c>
      <c r="R2835" s="10">
        <v>0.522331348251574</v>
      </c>
      <c r="S2835" s="10">
        <v>0.023675201316383954</v>
      </c>
      <c r="T2835" s="10">
        <v>20.66185913059311</v>
      </c>
      <c r="U2835" s="11">
        <v>0.2798426258293023</v>
      </c>
      <c r="V2835" s="11">
        <v>0.13446736942384732</v>
      </c>
      <c r="W2835" s="11">
        <v>0.15619373928477734</v>
      </c>
      <c r="X2835" s="11">
        <v>0.04416178789165921</v>
      </c>
      <c r="Y2835" s="11">
        <v>0.2810822729495263</v>
      </c>
      <c r="Z2835" s="11">
        <v>0.10425220462088744</v>
      </c>
    </row>
    <row r="2836" ht="22.5" customHeight="1">
      <c r="Q2836" s="9" t="s">
        <v>2874</v>
      </c>
      <c r="R2836" s="10">
        <v>0.7030119022874828</v>
      </c>
      <c r="S2836" s="10">
        <v>0.03209130204787279</v>
      </c>
      <c r="T2836" s="10">
        <v>20.66017456376256</v>
      </c>
      <c r="U2836" s="11">
        <v>0.20838384846279623</v>
      </c>
      <c r="V2836" s="11">
        <v>0.22482272493380293</v>
      </c>
      <c r="W2836" s="11">
        <v>0.19027430492162142</v>
      </c>
      <c r="X2836" s="11">
        <v>0.07107907197993776</v>
      </c>
      <c r="Y2836" s="11">
        <v>0.27260992449462274</v>
      </c>
      <c r="Z2836" s="11">
        <v>0.0328301252072188</v>
      </c>
    </row>
    <row r="2837" ht="22.5" customHeight="1">
      <c r="Q2837" s="9" t="s">
        <v>2875</v>
      </c>
      <c r="R2837" s="10">
        <v>0.49056233609704425</v>
      </c>
      <c r="S2837" s="10">
        <v>0.021808561402173427</v>
      </c>
      <c r="T2837" s="10">
        <v>20.65988341863492</v>
      </c>
      <c r="U2837" s="11">
        <v>0.23887592722339082</v>
      </c>
      <c r="V2837" s="11">
        <v>0.1341370407913557</v>
      </c>
      <c r="W2837" s="11">
        <v>0.14363406980347806</v>
      </c>
      <c r="X2837" s="11">
        <v>0.08877065335418201</v>
      </c>
      <c r="Y2837" s="11">
        <v>0.017963519646346238</v>
      </c>
      <c r="Z2837" s="11">
        <v>0.3766187891812471</v>
      </c>
    </row>
    <row r="2838" ht="22.5" customHeight="1">
      <c r="Q2838" s="9" t="s">
        <v>2876</v>
      </c>
      <c r="R2838" s="10">
        <v>0.5381688161912564</v>
      </c>
      <c r="S2838" s="10">
        <v>0.024113024559360634</v>
      </c>
      <c r="T2838" s="10">
        <v>20.65973992457401</v>
      </c>
      <c r="U2838" s="11">
        <v>0.20620082318210534</v>
      </c>
      <c r="V2838" s="11">
        <v>0.20340271053161427</v>
      </c>
      <c r="W2838" s="11">
        <v>0.07993480197514813</v>
      </c>
      <c r="X2838" s="11">
        <v>0.18253235793670827</v>
      </c>
      <c r="Y2838" s="11">
        <v>0.22683684659931186</v>
      </c>
      <c r="Z2838" s="11">
        <v>0.10109245977511204</v>
      </c>
    </row>
    <row r="2839" ht="22.5" customHeight="1">
      <c r="Q2839" s="9" t="s">
        <v>2877</v>
      </c>
      <c r="R2839" s="10">
        <v>0.47972355117507326</v>
      </c>
      <c r="S2839" s="10">
        <v>0.02128434712603269</v>
      </c>
      <c r="T2839" s="10">
        <v>20.659480348225078</v>
      </c>
      <c r="U2839" s="11">
        <v>0.0420774775243904</v>
      </c>
      <c r="V2839" s="11">
        <v>0.08086172642322684</v>
      </c>
      <c r="W2839" s="11">
        <v>0.16272242171011223</v>
      </c>
      <c r="X2839" s="11">
        <v>0.2561213117569475</v>
      </c>
      <c r="Y2839" s="11">
        <v>0.25253934674839174</v>
      </c>
      <c r="Z2839" s="11">
        <v>0.2056777158369314</v>
      </c>
    </row>
    <row r="2840" ht="22.5" customHeight="1">
      <c r="Q2840" s="9" t="s">
        <v>2878</v>
      </c>
      <c r="R2840" s="10">
        <v>0.7443707363733206</v>
      </c>
      <c r="S2840" s="10">
        <v>0.03409435222893308</v>
      </c>
      <c r="T2840" s="10">
        <v>20.65945502186661</v>
      </c>
      <c r="U2840" s="11">
        <v>0.13770671654467004</v>
      </c>
      <c r="V2840" s="11">
        <v>0.24782787159985906</v>
      </c>
      <c r="W2840" s="11">
        <v>0.19892531504603309</v>
      </c>
      <c r="X2840" s="11">
        <v>0.11252277953018774</v>
      </c>
      <c r="Y2840" s="11">
        <v>0.2174261675184535</v>
      </c>
      <c r="Z2840" s="11">
        <v>0.08559114976079646</v>
      </c>
    </row>
    <row r="2841" ht="22.5" customHeight="1">
      <c r="Q2841" s="9" t="s">
        <v>2879</v>
      </c>
      <c r="R2841" s="10">
        <v>0.7308267588038856</v>
      </c>
      <c r="S2841" s="10">
        <v>0.03343885718497125</v>
      </c>
      <c r="T2841" s="10">
        <v>20.659400977207156</v>
      </c>
      <c r="U2841" s="11">
        <v>0.2290850326079123</v>
      </c>
      <c r="V2841" s="11">
        <v>0.20719162741555625</v>
      </c>
      <c r="W2841" s="11">
        <v>0.22611575796027172</v>
      </c>
      <c r="X2841" s="11">
        <v>0.11778855086003626</v>
      </c>
      <c r="Y2841" s="11">
        <v>0.21496540819376891</v>
      </c>
      <c r="Z2841" s="11">
        <v>0.0048536229624545095</v>
      </c>
    </row>
    <row r="2842" ht="22.5" customHeight="1">
      <c r="Q2842" s="9" t="s">
        <v>2880</v>
      </c>
      <c r="R2842" s="10">
        <v>0.522331348251574</v>
      </c>
      <c r="S2842" s="10">
        <v>0.03450631216597857</v>
      </c>
      <c r="T2842" s="10">
        <v>20.65935638503249</v>
      </c>
      <c r="U2842" s="11">
        <v>0.15477577512891036</v>
      </c>
      <c r="V2842" s="11">
        <v>0.2049510968735741</v>
      </c>
      <c r="W2842" s="11">
        <v>0.2435225612282145</v>
      </c>
      <c r="X2842" s="11">
        <v>0.1846021960364215</v>
      </c>
      <c r="Y2842" s="11">
        <v>0.16430656003601335</v>
      </c>
      <c r="Z2842" s="11">
        <v>0.04784181069686601</v>
      </c>
    </row>
    <row r="2843" ht="22.5" customHeight="1">
      <c r="Q2843" s="9" t="s">
        <v>2881</v>
      </c>
      <c r="R2843" s="10">
        <v>0.7876391382091955</v>
      </c>
      <c r="S2843" s="10">
        <v>0.03619058274833585</v>
      </c>
      <c r="T2843" s="10">
        <v>20.658389045796014</v>
      </c>
      <c r="U2843" s="11">
        <v>0.049031501622258424</v>
      </c>
      <c r="V2843" s="11">
        <v>0.2626647830925769</v>
      </c>
      <c r="W2843" s="11">
        <v>0.21801560950727925</v>
      </c>
      <c r="X2843" s="11">
        <v>0.20259819633872336</v>
      </c>
      <c r="Y2843" s="11">
        <v>0.08053769635443153</v>
      </c>
      <c r="Z2843" s="11">
        <v>0.18715221308473057</v>
      </c>
    </row>
    <row r="2844" ht="22.5" customHeight="1">
      <c r="Q2844" s="9" t="s">
        <v>2882</v>
      </c>
      <c r="R2844" s="10">
        <v>0.6597542906375179</v>
      </c>
      <c r="S2844" s="10">
        <v>0.03000173339504976</v>
      </c>
      <c r="T2844" s="10">
        <v>20.657282780193505</v>
      </c>
      <c r="U2844" s="11">
        <v>0.16134761481561924</v>
      </c>
      <c r="V2844" s="11">
        <v>0.14475991277000053</v>
      </c>
      <c r="W2844" s="11">
        <v>0.2275021215836592</v>
      </c>
      <c r="X2844" s="11">
        <v>0.23926260790129034</v>
      </c>
      <c r="Y2844" s="11">
        <v>0.20471337247718582</v>
      </c>
      <c r="Z2844" s="11">
        <v>0.02241437045224493</v>
      </c>
    </row>
    <row r="2845" ht="22.5" customHeight="1">
      <c r="Q2845" s="9" t="s">
        <v>2883</v>
      </c>
      <c r="R2845" s="10">
        <v>0.6015755101575763</v>
      </c>
      <c r="S2845" s="10">
        <v>0.02718538432664639</v>
      </c>
      <c r="T2845" s="10">
        <v>20.657258452187296</v>
      </c>
      <c r="U2845" s="11">
        <v>0.12466999434262747</v>
      </c>
      <c r="V2845" s="11">
        <v>0.22679459732887897</v>
      </c>
      <c r="W2845" s="11">
        <v>0.09544674781344283</v>
      </c>
      <c r="X2845" s="11">
        <v>0.21716073295062285</v>
      </c>
      <c r="Y2845" s="11">
        <v>0.31466094395287986</v>
      </c>
      <c r="Z2845" s="11">
        <v>0.021266983611548013</v>
      </c>
    </row>
    <row r="2846" ht="22.5" customHeight="1">
      <c r="Q2846" s="9" t="s">
        <v>2884</v>
      </c>
      <c r="R2846" s="10">
        <v>0.44941756624208473</v>
      </c>
      <c r="S2846" s="10">
        <v>0.019819635584956797</v>
      </c>
      <c r="T2846" s="10">
        <v>20.657169224283557</v>
      </c>
      <c r="U2846" s="11">
        <v>0.2960401202604867</v>
      </c>
      <c r="V2846" s="11">
        <v>0.06226855972114218</v>
      </c>
      <c r="W2846" s="11">
        <v>0.15407951725826796</v>
      </c>
      <c r="X2846" s="11">
        <v>0.3100531855267328</v>
      </c>
      <c r="Y2846" s="11">
        <v>0.045335835189885994</v>
      </c>
      <c r="Z2846" s="11">
        <v>0.13222278204348434</v>
      </c>
    </row>
    <row r="2847" ht="22.5" customHeight="1">
      <c r="Q2847" s="9" t="s">
        <v>2885</v>
      </c>
      <c r="R2847" s="10">
        <v>0.6944222707431077</v>
      </c>
      <c r="S2847" s="10">
        <v>0.03168018320990446</v>
      </c>
      <c r="T2847" s="10">
        <v>20.657149183989244</v>
      </c>
      <c r="U2847" s="11">
        <v>0.06279289976022817</v>
      </c>
      <c r="V2847" s="11">
        <v>0.2644196699514508</v>
      </c>
      <c r="W2847" s="11">
        <v>0.1391803384027967</v>
      </c>
      <c r="X2847" s="11">
        <v>0.26553999563609304</v>
      </c>
      <c r="Y2847" s="11">
        <v>0.06939438468791448</v>
      </c>
      <c r="Z2847" s="11">
        <v>0.19867271156151678</v>
      </c>
    </row>
    <row r="2848" ht="22.5" customHeight="1">
      <c r="Q2848" s="9" t="s">
        <v>2886</v>
      </c>
      <c r="R2848" s="10">
        <v>0.5968578622087082</v>
      </c>
      <c r="S2848" s="10">
        <v>0.02695743083370366</v>
      </c>
      <c r="T2848" s="10">
        <v>20.656933727990648</v>
      </c>
      <c r="U2848" s="11">
        <v>0.1358785054191139</v>
      </c>
      <c r="V2848" s="11">
        <v>0.12764473000653231</v>
      </c>
      <c r="W2848" s="11">
        <v>0.2070888205751415</v>
      </c>
      <c r="X2848" s="11">
        <v>0.24148020091955305</v>
      </c>
      <c r="Y2848" s="11">
        <v>0.11112971591990786</v>
      </c>
      <c r="Z2848" s="11">
        <v>0.17677802715975138</v>
      </c>
    </row>
    <row r="2849" ht="22.5" customHeight="1">
      <c r="Q2849" s="9" t="s">
        <v>2887</v>
      </c>
      <c r="R2849" s="10">
        <v>0.4696994316388006</v>
      </c>
      <c r="S2849" s="10">
        <v>0.020801785524047225</v>
      </c>
      <c r="T2849" s="10">
        <v>20.656853285121155</v>
      </c>
      <c r="U2849" s="11">
        <v>0.11024867347351462</v>
      </c>
      <c r="V2849" s="11">
        <v>0.05412624972331575</v>
      </c>
      <c r="W2849" s="11">
        <v>0.15758544992001378</v>
      </c>
      <c r="X2849" s="11">
        <v>0.4204592382515814</v>
      </c>
      <c r="Y2849" s="11">
        <v>0.2545069810272222</v>
      </c>
      <c r="Z2849" s="11">
        <v>0.0030734076043521623</v>
      </c>
    </row>
    <row r="2850" ht="22.5" customHeight="1">
      <c r="Q2850" s="9" t="s">
        <v>2888</v>
      </c>
      <c r="R2850" s="10">
        <v>0.6692695841956388</v>
      </c>
      <c r="S2850" s="10">
        <v>0.030465612272917268</v>
      </c>
      <c r="T2850" s="10">
        <v>20.655077552964023</v>
      </c>
      <c r="U2850" s="11">
        <v>0.19336179187304647</v>
      </c>
      <c r="V2850" s="11">
        <v>0.19636322873297776</v>
      </c>
      <c r="W2850" s="11">
        <v>0.20479532564312505</v>
      </c>
      <c r="X2850" s="11">
        <v>0.15292035917145227</v>
      </c>
      <c r="Y2850" s="11">
        <v>0.004626876612259766</v>
      </c>
      <c r="Z2850" s="11">
        <v>0.2479324179671386</v>
      </c>
    </row>
    <row r="2851" ht="22.5" customHeight="1">
      <c r="Q2851" s="9" t="s">
        <v>2889</v>
      </c>
      <c r="R2851" s="10">
        <v>0.6584477440881272</v>
      </c>
      <c r="S2851" s="10">
        <v>0.02994204892897504</v>
      </c>
      <c r="T2851" s="10">
        <v>20.65482377492386</v>
      </c>
      <c r="U2851" s="11">
        <v>0.16160456298794715</v>
      </c>
      <c r="V2851" s="11">
        <v>0.21450148135019267</v>
      </c>
      <c r="W2851" s="11">
        <v>0.176994839282003</v>
      </c>
      <c r="X2851" s="11">
        <v>0.07147306698104332</v>
      </c>
      <c r="Y2851" s="11">
        <v>0.1877267373095183</v>
      </c>
      <c r="Z2851" s="11">
        <v>0.18769931208929555</v>
      </c>
    </row>
    <row r="2852" ht="22.5" customHeight="1">
      <c r="Q2852" s="9" t="s">
        <v>2890</v>
      </c>
      <c r="R2852" s="10">
        <v>0.522331348251574</v>
      </c>
      <c r="S2852" s="10">
        <v>0.03197956101951898</v>
      </c>
      <c r="T2852" s="10">
        <v>20.654654619634876</v>
      </c>
      <c r="U2852" s="11">
        <v>0.15294137913818345</v>
      </c>
      <c r="V2852" s="11">
        <v>0.2466873302783895</v>
      </c>
      <c r="W2852" s="11">
        <v>0.16284603704590048</v>
      </c>
      <c r="X2852" s="11">
        <v>0.10831245975485723</v>
      </c>
      <c r="Y2852" s="11">
        <v>0.2819427079617256</v>
      </c>
      <c r="Z2852" s="11">
        <v>0.04727008582094372</v>
      </c>
    </row>
    <row r="2853" ht="22.5" customHeight="1">
      <c r="Q2853" s="9" t="s">
        <v>2891</v>
      </c>
      <c r="R2853" s="10">
        <v>0.6984865646637236</v>
      </c>
      <c r="S2853" s="10">
        <v>0.031881019987741004</v>
      </c>
      <c r="T2853" s="10">
        <v>20.654501170819724</v>
      </c>
      <c r="U2853" s="11">
        <v>0.10031475975350508</v>
      </c>
      <c r="V2853" s="11">
        <v>0.20974648470430965</v>
      </c>
      <c r="W2853" s="11">
        <v>0.2119256458237468</v>
      </c>
      <c r="X2853" s="11">
        <v>0.15900375214433105</v>
      </c>
      <c r="Y2853" s="11">
        <v>0.06720055511711494</v>
      </c>
      <c r="Z2853" s="11">
        <v>0.2518088024569924</v>
      </c>
    </row>
    <row r="2854" ht="22.5" customHeight="1">
      <c r="Q2854" s="9" t="s">
        <v>2892</v>
      </c>
      <c r="R2854" s="10">
        <v>0.629224823637013</v>
      </c>
      <c r="S2854" s="10">
        <v>0.028527852817459634</v>
      </c>
      <c r="T2854" s="10">
        <v>20.65436986818704</v>
      </c>
      <c r="U2854" s="11">
        <v>0.22230441883840324</v>
      </c>
      <c r="V2854" s="11">
        <v>0.21882061617129708</v>
      </c>
      <c r="W2854" s="11">
        <v>0.1469117978898772</v>
      </c>
      <c r="X2854" s="11">
        <v>0.06756507967863953</v>
      </c>
      <c r="Y2854" s="11">
        <v>0.2048327270321275</v>
      </c>
      <c r="Z2854" s="11">
        <v>0.1395653603896554</v>
      </c>
    </row>
    <row r="2855" ht="22.5" customHeight="1">
      <c r="Q2855" s="9" t="s">
        <v>2893</v>
      </c>
      <c r="R2855" s="10">
        <v>0.9049130254961968</v>
      </c>
      <c r="S2855" s="10">
        <v>0.04187556504821278</v>
      </c>
      <c r="T2855" s="10">
        <v>20.65436071132157</v>
      </c>
      <c r="U2855" s="11">
        <v>0.027017560016096277</v>
      </c>
      <c r="V2855" s="11">
        <v>0.30423314774217275</v>
      </c>
      <c r="W2855" s="11">
        <v>0.2503787558329076</v>
      </c>
      <c r="X2855" s="11">
        <v>0.27197458729342805</v>
      </c>
      <c r="Y2855" s="11">
        <v>0.11179749239566236</v>
      </c>
      <c r="Z2855" s="11">
        <v>0.03459845671973301</v>
      </c>
    </row>
    <row r="2856" ht="22.5" customHeight="1">
      <c r="Q2856" s="9" t="s">
        <v>2894</v>
      </c>
      <c r="R2856" s="10">
        <v>0.5968579611644552</v>
      </c>
      <c r="S2856" s="10">
        <v>0.026961339316545003</v>
      </c>
      <c r="T2856" s="10">
        <v>20.6539428411383</v>
      </c>
      <c r="U2856" s="11">
        <v>0.20472508219048927</v>
      </c>
      <c r="V2856" s="11">
        <v>0.130335996198661</v>
      </c>
      <c r="W2856" s="11">
        <v>0.2035715473529449</v>
      </c>
      <c r="X2856" s="11">
        <v>0.18300418369159005</v>
      </c>
      <c r="Y2856" s="11">
        <v>0.1762504639574186</v>
      </c>
      <c r="Z2856" s="11">
        <v>0.10211272660889623</v>
      </c>
    </row>
    <row r="2857" ht="22.5" customHeight="1">
      <c r="Q2857" s="9" t="s">
        <v>2895</v>
      </c>
      <c r="R2857" s="10">
        <v>0.8209430498762607</v>
      </c>
      <c r="S2857" s="10">
        <v>0.03781231462032173</v>
      </c>
      <c r="T2857" s="10">
        <v>20.653140589720817</v>
      </c>
      <c r="U2857" s="11">
        <v>0.1557043982453951</v>
      </c>
      <c r="V2857" s="11">
        <v>0.2653101682822203</v>
      </c>
      <c r="W2857" s="11">
        <v>0.23606069538490812</v>
      </c>
      <c r="X2857" s="11">
        <v>0.1855673620256302</v>
      </c>
      <c r="Y2857" s="11">
        <v>0.0830373707767274</v>
      </c>
      <c r="Z2857" s="11">
        <v>0.07432000528511881</v>
      </c>
    </row>
    <row r="2858" ht="22.5" customHeight="1">
      <c r="Q2858" s="9" t="s">
        <v>2896</v>
      </c>
      <c r="R2858" s="10">
        <v>0.26061649545025595</v>
      </c>
      <c r="S2858" s="10">
        <v>0.010682112578506845</v>
      </c>
      <c r="T2858" s="10">
        <v>20.652889943713166</v>
      </c>
      <c r="U2858" s="11">
        <v>0.2708794569615784</v>
      </c>
      <c r="V2858" s="11">
        <v>0.02297201084167055</v>
      </c>
      <c r="W2858" s="11">
        <v>0.04540274629704148</v>
      </c>
      <c r="X2858" s="11">
        <v>0.3839706988976062</v>
      </c>
      <c r="Y2858" s="11">
        <v>0.0777587503785399</v>
      </c>
      <c r="Z2858" s="11">
        <v>0.1990163366235634</v>
      </c>
    </row>
    <row r="2859" ht="22.5" customHeight="1">
      <c r="Q2859" s="9" t="s">
        <v>2897</v>
      </c>
      <c r="R2859" s="10">
        <v>0.6891433658452305</v>
      </c>
      <c r="S2859" s="10">
        <v>0.03143179480378154</v>
      </c>
      <c r="T2859" s="10">
        <v>20.65244348589131</v>
      </c>
      <c r="U2859" s="11">
        <v>0.19282438004564645</v>
      </c>
      <c r="V2859" s="11">
        <v>0.1935339974744691</v>
      </c>
      <c r="W2859" s="11">
        <v>0.2173796771542351</v>
      </c>
      <c r="X2859" s="11">
        <v>0.137303338991488</v>
      </c>
      <c r="Y2859" s="11">
        <v>0.10211549810637328</v>
      </c>
      <c r="Z2859" s="11">
        <v>0.15684310822778813</v>
      </c>
    </row>
    <row r="2860" ht="22.5" customHeight="1">
      <c r="Q2860" s="9" t="s">
        <v>2898</v>
      </c>
      <c r="R2860" s="10">
        <v>0.47711413724898816</v>
      </c>
      <c r="S2860" s="10">
        <v>0.021166110743128966</v>
      </c>
      <c r="T2860" s="10">
        <v>20.651603998192538</v>
      </c>
      <c r="U2860" s="11">
        <v>0.2066370248297544</v>
      </c>
      <c r="V2860" s="11">
        <v>0.10024522923795409</v>
      </c>
      <c r="W2860" s="11">
        <v>0.15670738835497403</v>
      </c>
      <c r="X2860" s="11">
        <v>0.1270602116150405</v>
      </c>
      <c r="Y2860" s="11">
        <v>0.14405161475480582</v>
      </c>
      <c r="Z2860" s="11">
        <v>0.26529853120747104</v>
      </c>
    </row>
    <row r="2861" ht="22.5" customHeight="1">
      <c r="Q2861" s="9" t="s">
        <v>2899</v>
      </c>
      <c r="R2861" s="10">
        <v>0.6922227006057181</v>
      </c>
      <c r="S2861" s="10">
        <v>0.03158252043274045</v>
      </c>
      <c r="T2861" s="10">
        <v>20.651382209811935</v>
      </c>
      <c r="U2861" s="11">
        <v>0.011761662607180342</v>
      </c>
      <c r="V2861" s="11">
        <v>0.2614161043024645</v>
      </c>
      <c r="W2861" s="11">
        <v>0.13386623235705536</v>
      </c>
      <c r="X2861" s="11">
        <v>0.23232909587853667</v>
      </c>
      <c r="Y2861" s="11">
        <v>0.26143022909764335</v>
      </c>
      <c r="Z2861" s="11">
        <v>0.09919667575711975</v>
      </c>
    </row>
    <row r="2862" ht="22.5" customHeight="1">
      <c r="Q2862" s="9" t="s">
        <v>2900</v>
      </c>
      <c r="R2862" s="10">
        <v>0.639780786713762</v>
      </c>
      <c r="S2862" s="10">
        <v>0.029044115282175396</v>
      </c>
      <c r="T2862" s="10">
        <v>20.650681932868245</v>
      </c>
      <c r="U2862" s="11">
        <v>0.17949486622374447</v>
      </c>
      <c r="V2862" s="11">
        <v>0.14460538186741648</v>
      </c>
      <c r="W2862" s="11">
        <v>0.21783412725031073</v>
      </c>
      <c r="X2862" s="11">
        <v>0.1956565160365353</v>
      </c>
      <c r="Y2862" s="11">
        <v>0.20422747871974845</v>
      </c>
      <c r="Z2862" s="11">
        <v>0.05818162990224436</v>
      </c>
    </row>
    <row r="2863" ht="22.5" customHeight="1">
      <c r="Q2863" s="9" t="s">
        <v>2901</v>
      </c>
      <c r="R2863" s="10">
        <v>0.6791952925831112</v>
      </c>
      <c r="S2863" s="10">
        <v>0.030953225785213177</v>
      </c>
      <c r="T2863" s="10">
        <v>20.650361193968493</v>
      </c>
      <c r="U2863" s="11">
        <v>0.2550098123295626</v>
      </c>
      <c r="V2863" s="11">
        <v>0.19171928679497574</v>
      </c>
      <c r="W2863" s="11">
        <v>0.2132253221432179</v>
      </c>
      <c r="X2863" s="11">
        <v>0.15258673170750162</v>
      </c>
      <c r="Y2863" s="11">
        <v>0.01074838878094663</v>
      </c>
      <c r="Z2863" s="11">
        <v>0.17671045824379567</v>
      </c>
    </row>
    <row r="2864" ht="22.5" customHeight="1">
      <c r="Q2864" s="9" t="s">
        <v>2902</v>
      </c>
      <c r="R2864" s="10">
        <v>0.6588473163791413</v>
      </c>
      <c r="S2864" s="10">
        <v>0.029967943636323997</v>
      </c>
      <c r="T2864" s="10">
        <v>20.650309673868964</v>
      </c>
      <c r="U2864" s="11">
        <v>0.09398039509582735</v>
      </c>
      <c r="V2864" s="11">
        <v>0.2582139417666334</v>
      </c>
      <c r="W2864" s="11">
        <v>0.09658585024741044</v>
      </c>
      <c r="X2864" s="11">
        <v>0.3751966879300791</v>
      </c>
      <c r="Y2864" s="11">
        <v>0.15893596537431484</v>
      </c>
      <c r="Z2864" s="11">
        <v>0.01708715958573487</v>
      </c>
    </row>
    <row r="2865" ht="22.5" customHeight="1">
      <c r="Q2865" s="9" t="s">
        <v>2903</v>
      </c>
      <c r="R2865" s="10">
        <v>0.5524233709105824</v>
      </c>
      <c r="S2865" s="10">
        <v>0.024814393553324876</v>
      </c>
      <c r="T2865" s="10">
        <v>20.650247599620375</v>
      </c>
      <c r="U2865" s="11">
        <v>0.006304190630890625</v>
      </c>
      <c r="V2865" s="11">
        <v>0.14663553669216</v>
      </c>
      <c r="W2865" s="11">
        <v>0.16946356790318431</v>
      </c>
      <c r="X2865" s="11">
        <v>0.10464039632372563</v>
      </c>
      <c r="Y2865" s="11">
        <v>0.25186426205279855</v>
      </c>
      <c r="Z2865" s="11">
        <v>0.3210920463972408</v>
      </c>
    </row>
    <row r="2866" ht="22.5" customHeight="1">
      <c r="Q2866" s="9" t="s">
        <v>2904</v>
      </c>
      <c r="R2866" s="10">
        <v>0.6403635701784249</v>
      </c>
      <c r="S2866" s="10">
        <v>0.029073228911608757</v>
      </c>
      <c r="T2866" s="10">
        <v>20.650047918781514</v>
      </c>
      <c r="U2866" s="11">
        <v>0.22522523885022633</v>
      </c>
      <c r="V2866" s="11">
        <v>0.21417192306384794</v>
      </c>
      <c r="W2866" s="11">
        <v>0.16402924928370008</v>
      </c>
      <c r="X2866" s="11">
        <v>0.06250327326961322</v>
      </c>
      <c r="Y2866" s="11">
        <v>0.15679593815097354</v>
      </c>
      <c r="Z2866" s="11">
        <v>0.17727437738163881</v>
      </c>
    </row>
    <row r="2867" ht="22.5" customHeight="1">
      <c r="Q2867" s="9" t="s">
        <v>2905</v>
      </c>
      <c r="R2867" s="10">
        <v>0.7097420981162373</v>
      </c>
      <c r="S2867" s="10">
        <v>0.03243303902649836</v>
      </c>
      <c r="T2867" s="10">
        <v>20.649995135178244</v>
      </c>
      <c r="U2867" s="11">
        <v>0.11728282421989138</v>
      </c>
      <c r="V2867" s="11">
        <v>0.22348971207106094</v>
      </c>
      <c r="W2867" s="11">
        <v>0.20701254418095336</v>
      </c>
      <c r="X2867" s="11">
        <v>0.16307887458506706</v>
      </c>
      <c r="Y2867" s="11">
        <v>0.030448144580253737</v>
      </c>
      <c r="Z2867" s="11">
        <v>0.25868790036277345</v>
      </c>
    </row>
    <row r="2868" ht="22.5" customHeight="1">
      <c r="Q2868" s="9" t="s">
        <v>2906</v>
      </c>
      <c r="R2868" s="10">
        <v>0.6874316448955028</v>
      </c>
      <c r="S2868" s="10">
        <v>0.031352685193388685</v>
      </c>
      <c r="T2868" s="10">
        <v>20.649958397567367</v>
      </c>
      <c r="U2868" s="11">
        <v>0.013153522656064278</v>
      </c>
      <c r="V2868" s="11">
        <v>0.17428515416640458</v>
      </c>
      <c r="W2868" s="11">
        <v>0.23005471789897242</v>
      </c>
      <c r="X2868" s="11">
        <v>0.2522001276714864</v>
      </c>
      <c r="Y2868" s="11">
        <v>0.11132709070478448</v>
      </c>
      <c r="Z2868" s="11">
        <v>0.21897938690228783</v>
      </c>
    </row>
    <row r="2869" ht="22.5" customHeight="1">
      <c r="Q2869" s="9" t="s">
        <v>2907</v>
      </c>
      <c r="R2869" s="10">
        <v>0.5413357685073605</v>
      </c>
      <c r="S2869" s="10">
        <v>0.024278392011865286</v>
      </c>
      <c r="T2869" s="10">
        <v>20.64946345138297</v>
      </c>
      <c r="U2869" s="11">
        <v>0.08951617493758993</v>
      </c>
      <c r="V2869" s="11">
        <v>0.11772554625506941</v>
      </c>
      <c r="W2869" s="11">
        <v>0.18215966845238432</v>
      </c>
      <c r="X2869" s="11">
        <v>0.171679993414623</v>
      </c>
      <c r="Y2869" s="11">
        <v>0.19723341400009162</v>
      </c>
      <c r="Z2869" s="11">
        <v>0.24168520294024168</v>
      </c>
    </row>
    <row r="2870" ht="22.5" customHeight="1">
      <c r="Q2870" s="9" t="s">
        <v>2908</v>
      </c>
      <c r="R2870" s="10">
        <v>0.6511095141581109</v>
      </c>
      <c r="S2870" s="10">
        <v>0.02959568971481972</v>
      </c>
      <c r="T2870" s="10">
        <v>20.648598496831262</v>
      </c>
      <c r="U2870" s="11">
        <v>0.23966593962065402</v>
      </c>
      <c r="V2870" s="11">
        <v>0.15418932319437778</v>
      </c>
      <c r="W2870" s="11">
        <v>0.2194063662730601</v>
      </c>
      <c r="X2870" s="11">
        <v>0.1739714056543011</v>
      </c>
      <c r="Y2870" s="11">
        <v>0.1542283841050461</v>
      </c>
      <c r="Z2870" s="11">
        <v>0.058538581152560915</v>
      </c>
    </row>
    <row r="2871" ht="22.5" customHeight="1">
      <c r="Q2871" s="9" t="s">
        <v>2909</v>
      </c>
      <c r="R2871" s="10">
        <v>0.5902751334520865</v>
      </c>
      <c r="S2871" s="10">
        <v>0.026649587115709885</v>
      </c>
      <c r="T2871" s="10">
        <v>20.6485425482521</v>
      </c>
      <c r="U2871" s="11">
        <v>0.21003277027012937</v>
      </c>
      <c r="V2871" s="11">
        <v>0.13742854513883918</v>
      </c>
      <c r="W2871" s="11">
        <v>0.19519423123258978</v>
      </c>
      <c r="X2871" s="11">
        <v>0.1309777834971349</v>
      </c>
      <c r="Y2871" s="11">
        <v>0.2138286413209561</v>
      </c>
      <c r="Z2871" s="11">
        <v>0.11253802854035068</v>
      </c>
    </row>
    <row r="2872" ht="22.5" customHeight="1">
      <c r="Q2872" s="9" t="s">
        <v>2910</v>
      </c>
      <c r="R2872" s="10">
        <v>0.7326664082062879</v>
      </c>
      <c r="S2872" s="10">
        <v>0.033545667167436524</v>
      </c>
      <c r="T2872" s="10">
        <v>20.648461237899408</v>
      </c>
      <c r="U2872" s="11">
        <v>0.2038334247650027</v>
      </c>
      <c r="V2872" s="11">
        <v>0.22195144106659997</v>
      </c>
      <c r="W2872" s="11">
        <v>0.2195721637303553</v>
      </c>
      <c r="X2872" s="11">
        <v>0.12206338492961452</v>
      </c>
      <c r="Y2872" s="11">
        <v>0.12217765694292204</v>
      </c>
      <c r="Z2872" s="11">
        <v>0.1104019285655055</v>
      </c>
    </row>
    <row r="2873" ht="22.5" customHeight="1">
      <c r="Q2873" s="9" t="s">
        <v>2911</v>
      </c>
      <c r="R2873" s="10">
        <v>0.7964528577227377</v>
      </c>
      <c r="S2873" s="10">
        <v>0.03663516964522836</v>
      </c>
      <c r="T2873" s="10">
        <v>20.648269546672175</v>
      </c>
      <c r="U2873" s="11">
        <v>0.04671685608579482</v>
      </c>
      <c r="V2873" s="11">
        <v>0.29477526067240933</v>
      </c>
      <c r="W2873" s="11">
        <v>0.17912631092186093</v>
      </c>
      <c r="X2873" s="11">
        <v>0.2455800565664295</v>
      </c>
      <c r="Y2873" s="11">
        <v>0.16322810920796202</v>
      </c>
      <c r="Z2873" s="11">
        <v>0.07057340654554327</v>
      </c>
    </row>
    <row r="2874" ht="22.5" customHeight="1">
      <c r="Q2874" s="9" t="s">
        <v>2912</v>
      </c>
      <c r="R2874" s="10">
        <v>0.309140324265283</v>
      </c>
      <c r="S2874" s="10">
        <v>0.013034641113480312</v>
      </c>
      <c r="T2874" s="10">
        <v>20.64808090396447</v>
      </c>
      <c r="U2874" s="11">
        <v>0.27308328410674937</v>
      </c>
      <c r="V2874" s="11">
        <v>0.033339473640469415</v>
      </c>
      <c r="W2874" s="11">
        <v>0.07494401985383572</v>
      </c>
      <c r="X2874" s="11">
        <v>0.23466082158023469</v>
      </c>
      <c r="Y2874" s="11">
        <v>0.28468893381463317</v>
      </c>
      <c r="Z2874" s="11">
        <v>0.09928346700407772</v>
      </c>
    </row>
    <row r="2875" ht="22.5" customHeight="1">
      <c r="Q2875" s="9" t="s">
        <v>2913</v>
      </c>
      <c r="R2875" s="10">
        <v>0.5352698151261363</v>
      </c>
      <c r="S2875" s="10">
        <v>0.0239864409553636</v>
      </c>
      <c r="T2875" s="10">
        <v>20.647907542756535</v>
      </c>
      <c r="U2875" s="11">
        <v>0.30482605490967696</v>
      </c>
      <c r="V2875" s="11">
        <v>0.20496727899633096</v>
      </c>
      <c r="W2875" s="11">
        <v>0.07339265330154894</v>
      </c>
      <c r="X2875" s="11">
        <v>0.23586306358066048</v>
      </c>
      <c r="Y2875" s="11">
        <v>0.0940173912765002</v>
      </c>
      <c r="Z2875" s="11">
        <v>0.08693355793528248</v>
      </c>
    </row>
    <row r="2876" ht="22.5" customHeight="1">
      <c r="Q2876" s="9" t="s">
        <v>2914</v>
      </c>
      <c r="R2876" s="10">
        <v>0.42454221891854066</v>
      </c>
      <c r="S2876" s="10">
        <v>0.018623836105840827</v>
      </c>
      <c r="T2876" s="10">
        <v>20.647852393736443</v>
      </c>
      <c r="U2876" s="11">
        <v>0.15199739887046723</v>
      </c>
      <c r="V2876" s="11">
        <v>0.05752210642175939</v>
      </c>
      <c r="W2876" s="11">
        <v>0.14094443424487293</v>
      </c>
      <c r="X2876" s="11">
        <v>0.25704303677018964</v>
      </c>
      <c r="Y2876" s="11">
        <v>0.24629623946567997</v>
      </c>
      <c r="Z2876" s="11">
        <v>0.146196784227031</v>
      </c>
    </row>
    <row r="2877" ht="22.5" customHeight="1">
      <c r="Q2877" s="9" t="s">
        <v>2915</v>
      </c>
      <c r="R2877" s="10">
        <v>0.6446660106383006</v>
      </c>
      <c r="S2877" s="10">
        <v>0.029284926423806895</v>
      </c>
      <c r="T2877" s="10">
        <v>20.64768754709055</v>
      </c>
      <c r="U2877" s="11">
        <v>0.16794171545729153</v>
      </c>
      <c r="V2877" s="11">
        <v>0.1722853146970823</v>
      </c>
      <c r="W2877" s="11">
        <v>0.2074633944977563</v>
      </c>
      <c r="X2877" s="11">
        <v>0.13516771512852926</v>
      </c>
      <c r="Y2877" s="11">
        <v>0.11719597590065667</v>
      </c>
      <c r="Z2877" s="11">
        <v>0.1999458843186838</v>
      </c>
    </row>
    <row r="2878" ht="22.5" customHeight="1">
      <c r="Q2878" s="9" t="s">
        <v>2916</v>
      </c>
      <c r="R2878" s="10">
        <v>0.5570258718516321</v>
      </c>
      <c r="S2878" s="10">
        <v>0.025040582702768995</v>
      </c>
      <c r="T2878" s="10">
        <v>20.64751759129228</v>
      </c>
      <c r="U2878" s="11">
        <v>0.045644302050480916</v>
      </c>
      <c r="V2878" s="11">
        <v>0.11152906112348977</v>
      </c>
      <c r="W2878" s="11">
        <v>0.19329980720480644</v>
      </c>
      <c r="X2878" s="11">
        <v>0.2582548122663222</v>
      </c>
      <c r="Y2878" s="11">
        <v>0.1662215353991083</v>
      </c>
      <c r="Z2878" s="11">
        <v>0.22505048195579247</v>
      </c>
    </row>
    <row r="2879" ht="22.5" customHeight="1">
      <c r="Q2879" s="9" t="s">
        <v>2917</v>
      </c>
      <c r="R2879" s="10">
        <v>0.6163292600992389</v>
      </c>
      <c r="S2879" s="10">
        <v>0.027913278053724674</v>
      </c>
      <c r="T2879" s="10">
        <v>20.647136426971358</v>
      </c>
      <c r="U2879" s="11">
        <v>0.06232528315162151</v>
      </c>
      <c r="V2879" s="11">
        <v>0.13291148805570066</v>
      </c>
      <c r="W2879" s="11">
        <v>0.2148195589709303</v>
      </c>
      <c r="X2879" s="11">
        <v>0.3019483238972715</v>
      </c>
      <c r="Y2879" s="11">
        <v>0.0700737902683233</v>
      </c>
      <c r="Z2879" s="11">
        <v>0.21792155565615265</v>
      </c>
    </row>
    <row r="2880" ht="22.5" customHeight="1">
      <c r="Q2880" s="9" t="s">
        <v>2918</v>
      </c>
      <c r="R2880" s="10">
        <v>0.522331348251574</v>
      </c>
      <c r="S2880" s="10">
        <v>0.027417908100342135</v>
      </c>
      <c r="T2880" s="10">
        <v>20.647020377015682</v>
      </c>
      <c r="U2880" s="11">
        <v>0.11719228132305894</v>
      </c>
      <c r="V2880" s="11">
        <v>0.23499902054628233</v>
      </c>
      <c r="W2880" s="11">
        <v>0.10142947240999468</v>
      </c>
      <c r="X2880" s="11">
        <v>0.30756377451848405</v>
      </c>
      <c r="Y2880" s="11">
        <v>0.0013033413797822792</v>
      </c>
      <c r="Z2880" s="11">
        <v>0.2375121098223977</v>
      </c>
    </row>
    <row r="2881" ht="22.5" customHeight="1">
      <c r="Q2881" s="9" t="s">
        <v>2919</v>
      </c>
      <c r="R2881" s="10">
        <v>0.538755665195219</v>
      </c>
      <c r="S2881" s="10">
        <v>0.024156468030670373</v>
      </c>
      <c r="T2881" s="10">
        <v>20.646878697745528</v>
      </c>
      <c r="U2881" s="11">
        <v>0.0889745884954798</v>
      </c>
      <c r="V2881" s="11">
        <v>0.14007920416126549</v>
      </c>
      <c r="W2881" s="11">
        <v>0.1646213538672323</v>
      </c>
      <c r="X2881" s="11">
        <v>0.07658345102991942</v>
      </c>
      <c r="Y2881" s="11">
        <v>0.26438461613022035</v>
      </c>
      <c r="Z2881" s="11">
        <v>0.2653567863158825</v>
      </c>
    </row>
    <row r="2882" ht="22.5" customHeight="1">
      <c r="Q2882" s="9" t="s">
        <v>2920</v>
      </c>
      <c r="R2882" s="10">
        <v>0.857925756917643</v>
      </c>
      <c r="S2882" s="10">
        <v>0.039615360275769014</v>
      </c>
      <c r="T2882" s="10">
        <v>20.646682277377455</v>
      </c>
      <c r="U2882" s="11">
        <v>0.058503542986598794</v>
      </c>
      <c r="V2882" s="11">
        <v>0.3050238316706165</v>
      </c>
      <c r="W2882" s="11">
        <v>0.21645854242510024</v>
      </c>
      <c r="X2882" s="11">
        <v>0.2554423531676585</v>
      </c>
      <c r="Y2882" s="11">
        <v>0.09795764561332367</v>
      </c>
      <c r="Z2882" s="11">
        <v>0.06661408413670244</v>
      </c>
    </row>
    <row r="2883" ht="22.5" customHeight="1">
      <c r="Q2883" s="9" t="s">
        <v>2921</v>
      </c>
      <c r="R2883" s="10">
        <v>0.6611878619350144</v>
      </c>
      <c r="S2883" s="10">
        <v>0.030086603319057305</v>
      </c>
      <c r="T2883" s="10">
        <v>20.646659755757298</v>
      </c>
      <c r="U2883" s="11">
        <v>0.04274085118224168</v>
      </c>
      <c r="V2883" s="11">
        <v>0.17027543457124852</v>
      </c>
      <c r="W2883" s="11">
        <v>0.2192158303855476</v>
      </c>
      <c r="X2883" s="11">
        <v>0.2239514703915081</v>
      </c>
      <c r="Y2883" s="11">
        <v>0.08250358864254205</v>
      </c>
      <c r="Z2883" s="11">
        <v>0.2613128248269119</v>
      </c>
    </row>
    <row r="2884" ht="22.5" customHeight="1">
      <c r="Q2884" s="9" t="s">
        <v>2922</v>
      </c>
      <c r="R2884" s="10">
        <v>0.685964698922299</v>
      </c>
      <c r="S2884" s="10">
        <v>0.03128671744393219</v>
      </c>
      <c r="T2884" s="10">
        <v>20.64661145995611</v>
      </c>
      <c r="U2884" s="11">
        <v>0.06648999953875204</v>
      </c>
      <c r="V2884" s="11">
        <v>0.16838894604252808</v>
      </c>
      <c r="W2884" s="11">
        <v>0.2305008965294449</v>
      </c>
      <c r="X2884" s="11">
        <v>0.21615437267519697</v>
      </c>
      <c r="Y2884" s="11">
        <v>0.2012315725222513</v>
      </c>
      <c r="Z2884" s="11">
        <v>0.1172342126918266</v>
      </c>
    </row>
    <row r="2885" ht="22.5" customHeight="1">
      <c r="Q2885" s="9" t="s">
        <v>2923</v>
      </c>
      <c r="R2885" s="10">
        <v>0.8032112034772896</v>
      </c>
      <c r="S2885" s="10">
        <v>0.036965537279915854</v>
      </c>
      <c r="T2885" s="10">
        <v>20.64656054362175</v>
      </c>
      <c r="U2885" s="11">
        <v>0.06786381950114047</v>
      </c>
      <c r="V2885" s="11">
        <v>0.2501775384605052</v>
      </c>
      <c r="W2885" s="11">
        <v>0.2393366585866221</v>
      </c>
      <c r="X2885" s="11">
        <v>0.18893028234443304</v>
      </c>
      <c r="Y2885" s="11">
        <v>0.1359576749998667</v>
      </c>
      <c r="Z2885" s="11">
        <v>0.11773402610743251</v>
      </c>
    </row>
    <row r="2886" ht="22.5" customHeight="1">
      <c r="Q2886" s="9" t="s">
        <v>2924</v>
      </c>
      <c r="R2886" s="10">
        <v>0.6404187083199072</v>
      </c>
      <c r="S2886" s="10">
        <v>0.029081064667972317</v>
      </c>
      <c r="T2886" s="10">
        <v>20.646379875533338</v>
      </c>
      <c r="U2886" s="11">
        <v>0.06510732487615178</v>
      </c>
      <c r="V2886" s="11">
        <v>0.13608392846419132</v>
      </c>
      <c r="W2886" s="11">
        <v>0.21981222804098677</v>
      </c>
      <c r="X2886" s="11">
        <v>0.25721535509257526</v>
      </c>
      <c r="Y2886" s="11">
        <v>0.2783062158984579</v>
      </c>
      <c r="Z2886" s="11">
        <v>0.04347494762763694</v>
      </c>
    </row>
    <row r="2887" ht="22.5" customHeight="1">
      <c r="Q2887" s="9" t="s">
        <v>2925</v>
      </c>
      <c r="R2887" s="10">
        <v>0.46054681358641175</v>
      </c>
      <c r="S2887" s="10">
        <v>0.020369148997432394</v>
      </c>
      <c r="T2887" s="10">
        <v>20.646263309253776</v>
      </c>
      <c r="U2887" s="11">
        <v>0.21272097126754627</v>
      </c>
      <c r="V2887" s="11">
        <v>0.1391720785309646</v>
      </c>
      <c r="W2887" s="11">
        <v>0.09737236252993595</v>
      </c>
      <c r="X2887" s="11">
        <v>0.041902220655578075</v>
      </c>
      <c r="Y2887" s="11">
        <v>0.3807143629347417</v>
      </c>
      <c r="Z2887" s="11">
        <v>0.1281180040812334</v>
      </c>
    </row>
    <row r="2888" ht="22.5" customHeight="1">
      <c r="Q2888" s="9" t="s">
        <v>2926</v>
      </c>
      <c r="R2888" s="10">
        <v>0.5797044729374345</v>
      </c>
      <c r="S2888" s="10">
        <v>0.026140567433084523</v>
      </c>
      <c r="T2888" s="10">
        <v>20.6462416823578</v>
      </c>
      <c r="U2888" s="11">
        <v>0.15548282267101773</v>
      </c>
      <c r="V2888" s="11">
        <v>0.10852659450008637</v>
      </c>
      <c r="W2888" s="11">
        <v>0.20016251204997731</v>
      </c>
      <c r="X2888" s="11">
        <v>0.2517774877789088</v>
      </c>
      <c r="Y2888" s="11">
        <v>0.2739312602984619</v>
      </c>
      <c r="Z2888" s="11">
        <v>0.010119322701547955</v>
      </c>
    </row>
    <row r="2889" ht="22.5" customHeight="1">
      <c r="Q2889" s="9" t="s">
        <v>2927</v>
      </c>
      <c r="R2889" s="10">
        <v>0.6759004519867257</v>
      </c>
      <c r="S2889" s="10">
        <v>0.03080020930205165</v>
      </c>
      <c r="T2889" s="10">
        <v>20.64597827081543</v>
      </c>
      <c r="U2889" s="11">
        <v>0.19687128860382408</v>
      </c>
      <c r="V2889" s="11">
        <v>0.2509716082472909</v>
      </c>
      <c r="W2889" s="11">
        <v>0.1357641546465193</v>
      </c>
      <c r="X2889" s="11">
        <v>0.15093021384365618</v>
      </c>
      <c r="Y2889" s="11">
        <v>0.2322903536630677</v>
      </c>
      <c r="Z2889" s="11">
        <v>0.03317238099564176</v>
      </c>
    </row>
    <row r="2890" ht="22.5" customHeight="1">
      <c r="Q2890" s="9" t="s">
        <v>2928</v>
      </c>
      <c r="R2890" s="10">
        <v>0.6183520307173709</v>
      </c>
      <c r="S2890" s="10">
        <v>0.028013425575275596</v>
      </c>
      <c r="T2890" s="10">
        <v>20.645530449793306</v>
      </c>
      <c r="U2890" s="11">
        <v>0.20907163216791366</v>
      </c>
      <c r="V2890" s="11">
        <v>0.14888096546796456</v>
      </c>
      <c r="W2890" s="11">
        <v>0.20753499710047402</v>
      </c>
      <c r="X2890" s="11">
        <v>0.17163905213746114</v>
      </c>
      <c r="Y2890" s="11">
        <v>0.08996262926434505</v>
      </c>
      <c r="Z2890" s="11">
        <v>0.1729107238618416</v>
      </c>
    </row>
    <row r="2891" ht="22.5" customHeight="1">
      <c r="Q2891" s="9" t="s">
        <v>2929</v>
      </c>
      <c r="R2891" s="10">
        <v>0.43920659010613944</v>
      </c>
      <c r="S2891" s="10">
        <v>0.019336263451139615</v>
      </c>
      <c r="T2891" s="10">
        <v>20.645487744562747</v>
      </c>
      <c r="U2891" s="11">
        <v>0.03894650892836849</v>
      </c>
      <c r="V2891" s="11">
        <v>0.06733825148974881</v>
      </c>
      <c r="W2891" s="11">
        <v>0.1426160331361781</v>
      </c>
      <c r="X2891" s="11">
        <v>0.2534598748704437</v>
      </c>
      <c r="Y2891" s="11">
        <v>0.3206924083837657</v>
      </c>
      <c r="Z2891" s="11">
        <v>0.17694692319149513</v>
      </c>
    </row>
    <row r="2892" ht="22.5" customHeight="1">
      <c r="Q2892" s="9" t="s">
        <v>2930</v>
      </c>
      <c r="R2892" s="10">
        <v>0.6767384671682284</v>
      </c>
      <c r="S2892" s="10">
        <v>0.03084177645656845</v>
      </c>
      <c r="T2892" s="10">
        <v>20.645323983360257</v>
      </c>
      <c r="U2892" s="11">
        <v>0.20971025197754584</v>
      </c>
      <c r="V2892" s="11">
        <v>0.2180229901898177</v>
      </c>
      <c r="W2892" s="11">
        <v>0.18419527366752922</v>
      </c>
      <c r="X2892" s="11">
        <v>0.06534409711190989</v>
      </c>
      <c r="Y2892" s="11">
        <v>0.19834815111020582</v>
      </c>
      <c r="Z2892" s="11">
        <v>0.12437923594299156</v>
      </c>
    </row>
    <row r="2893" ht="22.5" customHeight="1">
      <c r="Q2893" s="9" t="s">
        <v>2931</v>
      </c>
      <c r="R2893" s="10">
        <v>0.5127357309904708</v>
      </c>
      <c r="S2893" s="10">
        <v>0.02289807106300152</v>
      </c>
      <c r="T2893" s="10">
        <v>20.645220712687568</v>
      </c>
      <c r="U2893" s="11">
        <v>0.2110020365746</v>
      </c>
      <c r="V2893" s="11">
        <v>0.1971085683608561</v>
      </c>
      <c r="W2893" s="11">
        <v>0.06850806748061081</v>
      </c>
      <c r="X2893" s="11">
        <v>0.22731222624360134</v>
      </c>
      <c r="Y2893" s="11">
        <v>0.13200590738120707</v>
      </c>
      <c r="Z2893" s="11">
        <v>0.16406319395912464</v>
      </c>
    </row>
    <row r="2894" ht="22.5" customHeight="1">
      <c r="Q2894" s="9" t="s">
        <v>2932</v>
      </c>
      <c r="R2894" s="10">
        <v>0.5413809725697541</v>
      </c>
      <c r="S2894" s="10">
        <v>0.024285575415840616</v>
      </c>
      <c r="T2894" s="10">
        <v>20.645216923405535</v>
      </c>
      <c r="U2894" s="11">
        <v>0.3429380863750839</v>
      </c>
      <c r="V2894" s="11">
        <v>0.16080340543975014</v>
      </c>
      <c r="W2894" s="11">
        <v>0.13676841261624162</v>
      </c>
      <c r="X2894" s="11">
        <v>0.01497005851275433</v>
      </c>
      <c r="Y2894" s="11">
        <v>0.2980754555123953</v>
      </c>
      <c r="Z2894" s="11">
        <v>0.04644458154377477</v>
      </c>
    </row>
    <row r="2895" ht="22.5" customHeight="1">
      <c r="Q2895" s="9" t="s">
        <v>2933</v>
      </c>
      <c r="R2895" s="10">
        <v>0.7615932003144811</v>
      </c>
      <c r="S2895" s="10">
        <v>0.03495246133208511</v>
      </c>
      <c r="T2895" s="10">
        <v>20.644989589104682</v>
      </c>
      <c r="U2895" s="11">
        <v>0.10789410117105319</v>
      </c>
      <c r="V2895" s="11">
        <v>0.18098758163465042</v>
      </c>
      <c r="W2895" s="11">
        <v>0.26336910860149876</v>
      </c>
      <c r="X2895" s="11">
        <v>0.33709565814467346</v>
      </c>
      <c r="Y2895" s="11">
        <v>0.08081805318238994</v>
      </c>
      <c r="Z2895" s="11">
        <v>0.029835497265734284</v>
      </c>
    </row>
    <row r="2896" ht="22.5" customHeight="1">
      <c r="Q2896" s="9" t="s">
        <v>2934</v>
      </c>
      <c r="R2896" s="10">
        <v>0.5722570338210035</v>
      </c>
      <c r="S2896" s="10">
        <v>0.02578254525022324</v>
      </c>
      <c r="T2896" s="10">
        <v>20.644084152878385</v>
      </c>
      <c r="U2896" s="11">
        <v>0.2352052735782885</v>
      </c>
      <c r="V2896" s="11">
        <v>0.12955087542479965</v>
      </c>
      <c r="W2896" s="11">
        <v>0.19203530673673366</v>
      </c>
      <c r="X2896" s="11">
        <v>0.14680781311778204</v>
      </c>
      <c r="Y2896" s="11">
        <v>0.1410948037914377</v>
      </c>
      <c r="Z2896" s="11">
        <v>0.15530592735095847</v>
      </c>
    </row>
    <row r="2897" ht="22.5" customHeight="1">
      <c r="Q2897" s="9" t="s">
        <v>2935</v>
      </c>
      <c r="R2897" s="10">
        <v>0.5814616525690941</v>
      </c>
      <c r="S2897" s="10">
        <v>0.026228572122609303</v>
      </c>
      <c r="T2897" s="10">
        <v>20.64396224231926</v>
      </c>
      <c r="U2897" s="11">
        <v>0.17856801962521598</v>
      </c>
      <c r="V2897" s="11">
        <v>0.14063350258637866</v>
      </c>
      <c r="W2897" s="11">
        <v>0.1905449722708713</v>
      </c>
      <c r="X2897" s="11">
        <v>0.12056168125301941</v>
      </c>
      <c r="Y2897" s="11">
        <v>0.1851088458255192</v>
      </c>
      <c r="Z2897" s="11">
        <v>0.18458297843899535</v>
      </c>
    </row>
    <row r="2898" ht="22.5" customHeight="1">
      <c r="Q2898" s="9" t="s">
        <v>2936</v>
      </c>
      <c r="R2898" s="10">
        <v>0.715491333698629</v>
      </c>
      <c r="S2898" s="10">
        <v>0.032721428902820475</v>
      </c>
      <c r="T2898" s="10">
        <v>20.643699139935908</v>
      </c>
      <c r="U2898" s="11">
        <v>0.14882116116188185</v>
      </c>
      <c r="V2898" s="11">
        <v>0.21584635567371524</v>
      </c>
      <c r="W2898" s="11">
        <v>0.21092765075034473</v>
      </c>
      <c r="X2898" s="11">
        <v>0.09674856240095528</v>
      </c>
      <c r="Y2898" s="11">
        <v>0.2420784744822136</v>
      </c>
      <c r="Z2898" s="11">
        <v>0.08557779553088939</v>
      </c>
    </row>
    <row r="2899" ht="22.5" customHeight="1">
      <c r="Q2899" s="9" t="s">
        <v>2937</v>
      </c>
      <c r="R2899" s="10">
        <v>0.5419393014629972</v>
      </c>
      <c r="S2899" s="10">
        <v>0.024314780966509856</v>
      </c>
      <c r="T2899" s="10">
        <v>20.643381577417742</v>
      </c>
      <c r="U2899" s="11">
        <v>0.10913661780064593</v>
      </c>
      <c r="V2899" s="11">
        <v>0.1455219257628998</v>
      </c>
      <c r="W2899" s="11">
        <v>0.16599082534764326</v>
      </c>
      <c r="X2899" s="11">
        <v>0.07816740306282387</v>
      </c>
      <c r="Y2899" s="11">
        <v>0.1818141493651832</v>
      </c>
      <c r="Z2899" s="11">
        <v>0.31936907866080394</v>
      </c>
    </row>
    <row r="2900" ht="22.5" customHeight="1">
      <c r="Q2900" s="9" t="s">
        <v>2938</v>
      </c>
      <c r="R2900" s="10">
        <v>0.5119223265016264</v>
      </c>
      <c r="S2900" s="10">
        <v>0.022862121891975756</v>
      </c>
      <c r="T2900" s="10">
        <v>20.64210525739799</v>
      </c>
      <c r="U2900" s="11">
        <v>0.04568441981282643</v>
      </c>
      <c r="V2900" s="11">
        <v>0.09963871943641454</v>
      </c>
      <c r="W2900" s="11">
        <v>0.17487953974954518</v>
      </c>
      <c r="X2900" s="11">
        <v>0.2206736805028123</v>
      </c>
      <c r="Y2900" s="11">
        <v>0.20320453068445407</v>
      </c>
      <c r="Z2900" s="11">
        <v>0.2559191098139475</v>
      </c>
    </row>
    <row r="2901" ht="22.5" customHeight="1">
      <c r="Q2901" s="9" t="s">
        <v>2939</v>
      </c>
      <c r="R2901" s="10">
        <v>0.6205827980814623</v>
      </c>
      <c r="S2901" s="10">
        <v>0.028126192580251928</v>
      </c>
      <c r="T2901" s="10">
        <v>20.642068649174483</v>
      </c>
      <c r="U2901" s="11">
        <v>0.01904524714831639</v>
      </c>
      <c r="V2901" s="11">
        <v>0.15618521254928117</v>
      </c>
      <c r="W2901" s="11">
        <v>0.20163113999350388</v>
      </c>
      <c r="X2901" s="11">
        <v>0.15817035818288408</v>
      </c>
      <c r="Y2901" s="11">
        <v>0.25396668946126194</v>
      </c>
      <c r="Z2901" s="11">
        <v>0.21100135266475256</v>
      </c>
    </row>
    <row r="2902" ht="22.5" customHeight="1">
      <c r="Q2902" s="9" t="s">
        <v>2940</v>
      </c>
      <c r="R2902" s="10">
        <v>0.2867604891533422</v>
      </c>
      <c r="S2902" s="10">
        <v>0.011954353204791806</v>
      </c>
      <c r="T2902" s="10">
        <v>20.64189378764802</v>
      </c>
      <c r="U2902" s="11">
        <v>0.34441722501072813</v>
      </c>
      <c r="V2902" s="11">
        <v>0.032406632242436624</v>
      </c>
      <c r="W2902" s="11">
        <v>0.06307088644315705</v>
      </c>
      <c r="X2902" s="11">
        <v>0.22174629913316773</v>
      </c>
      <c r="Y2902" s="11">
        <v>0.20575719752043803</v>
      </c>
      <c r="Z2902" s="11">
        <v>0.13260175965007248</v>
      </c>
    </row>
    <row r="2903" ht="22.5" customHeight="1">
      <c r="Q2903" s="9" t="s">
        <v>2941</v>
      </c>
      <c r="R2903" s="10">
        <v>0.7705221825026958</v>
      </c>
      <c r="S2903" s="10">
        <v>0.035390693338591</v>
      </c>
      <c r="T2903" s="10">
        <v>20.641646534404398</v>
      </c>
      <c r="U2903" s="11">
        <v>0.2694965248266149</v>
      </c>
      <c r="V2903" s="11">
        <v>0.2275896495453979</v>
      </c>
      <c r="W2903" s="11">
        <v>0.23827108264217525</v>
      </c>
      <c r="X2903" s="11">
        <v>0.17568296849889178</v>
      </c>
      <c r="Y2903" s="11">
        <v>0.020068054128905003</v>
      </c>
      <c r="Z2903" s="11">
        <v>0.06889172035801523</v>
      </c>
    </row>
    <row r="2904" ht="22.5" customHeight="1">
      <c r="Q2904" s="9" t="s">
        <v>2942</v>
      </c>
      <c r="R2904" s="10">
        <v>0.5935271022287959</v>
      </c>
      <c r="S2904" s="10">
        <v>0.02681607110452985</v>
      </c>
      <c r="T2904" s="10">
        <v>20.641618232258207</v>
      </c>
      <c r="U2904" s="11">
        <v>0.1649120409734167</v>
      </c>
      <c r="V2904" s="11">
        <v>0.1815536033291215</v>
      </c>
      <c r="W2904" s="11">
        <v>0.15978929545424178</v>
      </c>
      <c r="X2904" s="11">
        <v>0.035661780457586056</v>
      </c>
      <c r="Y2904" s="11">
        <v>0.3050300321488986</v>
      </c>
      <c r="Z2904" s="11">
        <v>0.15305324763673522</v>
      </c>
    </row>
    <row r="2905" ht="22.5" customHeight="1">
      <c r="Q2905" s="9" t="s">
        <v>2943</v>
      </c>
      <c r="R2905" s="10">
        <v>0.5930088910727668</v>
      </c>
      <c r="S2905" s="10">
        <v>0.026791304490571887</v>
      </c>
      <c r="T2905" s="10">
        <v>20.64135739517185</v>
      </c>
      <c r="U2905" s="11">
        <v>0.1784069407347639</v>
      </c>
      <c r="V2905" s="11">
        <v>0.16863245247357297</v>
      </c>
      <c r="W2905" s="11">
        <v>0.17043562466774714</v>
      </c>
      <c r="X2905" s="11">
        <v>0.04483993162504989</v>
      </c>
      <c r="Y2905" s="11">
        <v>0.31287766706440323</v>
      </c>
      <c r="Z2905" s="11">
        <v>0.12480738343446279</v>
      </c>
    </row>
    <row r="2906" ht="22.5" customHeight="1">
      <c r="Q2906" s="9" t="s">
        <v>2944</v>
      </c>
      <c r="R2906" s="10">
        <v>0.6236639576325949</v>
      </c>
      <c r="S2906" s="10">
        <v>0.02827736307231672</v>
      </c>
      <c r="T2906" s="10">
        <v>20.64067841615672</v>
      </c>
      <c r="U2906" s="11">
        <v>0.26715953042287405</v>
      </c>
      <c r="V2906" s="11">
        <v>0.1785194048807757</v>
      </c>
      <c r="W2906" s="11">
        <v>0.1904313996289626</v>
      </c>
      <c r="X2906" s="11">
        <v>0.11479475959658339</v>
      </c>
      <c r="Y2906" s="11">
        <v>0.012753656746803621</v>
      </c>
      <c r="Z2906" s="11">
        <v>0.2363412487240007</v>
      </c>
    </row>
    <row r="2907" ht="22.5" customHeight="1">
      <c r="Q2907" s="9" t="s">
        <v>2945</v>
      </c>
      <c r="R2907" s="10">
        <v>0.590396406112881</v>
      </c>
      <c r="S2907" s="10">
        <v>0.026665790173819655</v>
      </c>
      <c r="T2907" s="10">
        <v>20.640543652565658</v>
      </c>
      <c r="U2907" s="11">
        <v>0.1823661701346151</v>
      </c>
      <c r="V2907" s="11">
        <v>0.14471165691913546</v>
      </c>
      <c r="W2907" s="11">
        <v>0.19258376016474735</v>
      </c>
      <c r="X2907" s="11">
        <v>0.11543238178125785</v>
      </c>
      <c r="Y2907" s="11">
        <v>0.1952092138118064</v>
      </c>
      <c r="Z2907" s="11">
        <v>0.16969681718843788</v>
      </c>
    </row>
    <row r="2908" ht="22.5" customHeight="1">
      <c r="Q2908" s="9" t="s">
        <v>2946</v>
      </c>
      <c r="R2908" s="10">
        <v>0.6263436935551757</v>
      </c>
      <c r="S2908" s="10">
        <v>0.02840755307067065</v>
      </c>
      <c r="T2908" s="10">
        <v>20.640415318295954</v>
      </c>
      <c r="U2908" s="11">
        <v>0.04971369724180438</v>
      </c>
      <c r="V2908" s="11">
        <v>0.23460579634671005</v>
      </c>
      <c r="W2908" s="11">
        <v>0.12556676127660157</v>
      </c>
      <c r="X2908" s="11">
        <v>0.16847543195360756</v>
      </c>
      <c r="Y2908" s="11">
        <v>0.1849488997731158</v>
      </c>
      <c r="Z2908" s="11">
        <v>0.2366894134081607</v>
      </c>
    </row>
    <row r="2909" ht="22.5" customHeight="1">
      <c r="Q2909" s="9" t="s">
        <v>2947</v>
      </c>
      <c r="R2909" s="10">
        <v>0.6837482136692079</v>
      </c>
      <c r="S2909" s="10">
        <v>0.03118977836230426</v>
      </c>
      <c r="T2909" s="10">
        <v>20.639717480238247</v>
      </c>
      <c r="U2909" s="11">
        <v>0.07533857002416865</v>
      </c>
      <c r="V2909" s="11">
        <v>0.18784175748412038</v>
      </c>
      <c r="W2909" s="11">
        <v>0.21596279743019503</v>
      </c>
      <c r="X2909" s="11">
        <v>0.13568825983064267</v>
      </c>
      <c r="Y2909" s="11">
        <v>0.23896742293233228</v>
      </c>
      <c r="Z2909" s="11">
        <v>0.14620119229854103</v>
      </c>
    </row>
    <row r="2910" ht="22.5" customHeight="1">
      <c r="Q2910" s="9" t="s">
        <v>2948</v>
      </c>
      <c r="R2910" s="10">
        <v>0.8353368385875555</v>
      </c>
      <c r="S2910" s="10">
        <v>0.03853430004132623</v>
      </c>
      <c r="T2910" s="10">
        <v>20.639711574742346</v>
      </c>
      <c r="U2910" s="11">
        <v>0.03942840240937407</v>
      </c>
      <c r="V2910" s="11">
        <v>0.30147936748260973</v>
      </c>
      <c r="W2910" s="11">
        <v>0.20500925910955742</v>
      </c>
      <c r="X2910" s="11">
        <v>0.28277792225794385</v>
      </c>
      <c r="Y2910" s="11">
        <v>0.04219515028688895</v>
      </c>
      <c r="Z2910" s="11">
        <v>0.12910989845362603</v>
      </c>
    </row>
    <row r="2911" ht="22.5" customHeight="1">
      <c r="Q2911" s="9" t="s">
        <v>2949</v>
      </c>
      <c r="R2911" s="10">
        <v>0.6318983748135063</v>
      </c>
      <c r="S2911" s="10">
        <v>0.028678814160092676</v>
      </c>
      <c r="T2911" s="10">
        <v>20.63887200877184</v>
      </c>
      <c r="U2911" s="11">
        <v>0.14564905522648336</v>
      </c>
      <c r="V2911" s="11">
        <v>0.22416591703152777</v>
      </c>
      <c r="W2911" s="11">
        <v>0.14386865349086045</v>
      </c>
      <c r="X2911" s="11">
        <v>0.08631656516856705</v>
      </c>
      <c r="Y2911" s="11">
        <v>0.219318210058121</v>
      </c>
      <c r="Z2911" s="11">
        <v>0.18068159902444023</v>
      </c>
    </row>
    <row r="2912" ht="22.5" customHeight="1">
      <c r="Q2912" s="9" t="s">
        <v>2950</v>
      </c>
      <c r="R2912" s="10">
        <v>0.522331348251574</v>
      </c>
      <c r="S2912" s="10">
        <v>0.03416687517745214</v>
      </c>
      <c r="T2912" s="10">
        <v>20.638760968183444</v>
      </c>
      <c r="U2912" s="11">
        <v>0.17623214101034432</v>
      </c>
      <c r="V2912" s="11">
        <v>0.24308979707435938</v>
      </c>
      <c r="W2912" s="11">
        <v>0.20492305430821242</v>
      </c>
      <c r="X2912" s="11">
        <v>0.1000099917418256</v>
      </c>
      <c r="Y2912" s="11">
        <v>0.20564324463611333</v>
      </c>
      <c r="Z2912" s="11">
        <v>0.07010177122914504</v>
      </c>
    </row>
    <row r="2913" ht="22.5" customHeight="1">
      <c r="Q2913" s="9" t="s">
        <v>2951</v>
      </c>
      <c r="R2913" s="10">
        <v>0.522331348251574</v>
      </c>
      <c r="S2913" s="10">
        <v>0.027474127720439293</v>
      </c>
      <c r="T2913" s="10">
        <v>20.638334356238076</v>
      </c>
      <c r="U2913" s="11">
        <v>0.1932446379096092</v>
      </c>
      <c r="V2913" s="11">
        <v>0.23452236334402185</v>
      </c>
      <c r="W2913" s="11">
        <v>0.10192146660079289</v>
      </c>
      <c r="X2913" s="11">
        <v>0.2204852454500101</v>
      </c>
      <c r="Y2913" s="11">
        <v>0.11323104227068286</v>
      </c>
      <c r="Z2913" s="11">
        <v>0.13659524442488302</v>
      </c>
    </row>
    <row r="2914" ht="22.5" customHeight="1">
      <c r="Q2914" s="9" t="s">
        <v>2952</v>
      </c>
      <c r="R2914" s="10">
        <v>0.7109324159882265</v>
      </c>
      <c r="S2914" s="10">
        <v>0.032509091451947386</v>
      </c>
      <c r="T2914" s="10">
        <v>20.638301042031607</v>
      </c>
      <c r="U2914" s="11">
        <v>0.1319539711089019</v>
      </c>
      <c r="V2914" s="11">
        <v>0.2597125194316448</v>
      </c>
      <c r="W2914" s="11">
        <v>0.16018768206793507</v>
      </c>
      <c r="X2914" s="11">
        <v>0.15034154245610218</v>
      </c>
      <c r="Y2914" s="11">
        <v>0.17501657974156662</v>
      </c>
      <c r="Z2914" s="11">
        <v>0.12278770519384942</v>
      </c>
    </row>
    <row r="2915" ht="22.5" customHeight="1">
      <c r="Q2915" s="9" t="s">
        <v>2953</v>
      </c>
      <c r="R2915" s="10">
        <v>0.6746422003057744</v>
      </c>
      <c r="S2915" s="10">
        <v>0.030750767434463328</v>
      </c>
      <c r="T2915" s="10">
        <v>20.638255668198752</v>
      </c>
      <c r="U2915" s="11">
        <v>0.22892325322426282</v>
      </c>
      <c r="V2915" s="11">
        <v>0.18423791250819585</v>
      </c>
      <c r="W2915" s="11">
        <v>0.21374425626725177</v>
      </c>
      <c r="X2915" s="11">
        <v>0.11150575899073277</v>
      </c>
      <c r="Y2915" s="11">
        <v>0.15949344441543323</v>
      </c>
      <c r="Z2915" s="11">
        <v>0.10209537459412361</v>
      </c>
    </row>
    <row r="2916" ht="22.5" customHeight="1">
      <c r="Q2916" s="9" t="s">
        <v>2954</v>
      </c>
      <c r="R2916" s="10">
        <v>0.6621018653354508</v>
      </c>
      <c r="S2916" s="10">
        <v>0.03014325991220969</v>
      </c>
      <c r="T2916" s="10">
        <v>20.638174741128946</v>
      </c>
      <c r="U2916" s="11">
        <v>0.11602063178604992</v>
      </c>
      <c r="V2916" s="11">
        <v>0.248736503386277</v>
      </c>
      <c r="W2916" s="11">
        <v>0.1245768107498125</v>
      </c>
      <c r="X2916" s="11">
        <v>0.1831835644598729</v>
      </c>
      <c r="Y2916" s="11">
        <v>0.27946925630794445</v>
      </c>
      <c r="Z2916" s="11">
        <v>0.04801323331004313</v>
      </c>
    </row>
    <row r="2917" ht="22.5" customHeight="1">
      <c r="Q2917" s="9" t="s">
        <v>2955</v>
      </c>
      <c r="R2917" s="10">
        <v>0.6306363512108583</v>
      </c>
      <c r="S2917" s="10">
        <v>0.028618905319190768</v>
      </c>
      <c r="T2917" s="10">
        <v>20.637978448980004</v>
      </c>
      <c r="U2917" s="11">
        <v>0.02167435205469045</v>
      </c>
      <c r="V2917" s="11">
        <v>0.13584195481075978</v>
      </c>
      <c r="W2917" s="11">
        <v>0.21909401520675414</v>
      </c>
      <c r="X2917" s="11">
        <v>0.2843360038849797</v>
      </c>
      <c r="Y2917" s="11">
        <v>0.17591508304795014</v>
      </c>
      <c r="Z2917" s="11">
        <v>0.16313859099486588</v>
      </c>
    </row>
    <row r="2918" ht="22.5" customHeight="1">
      <c r="Q2918" s="9" t="s">
        <v>2956</v>
      </c>
      <c r="R2918" s="10">
        <v>0.5748781914962425</v>
      </c>
      <c r="S2918" s="10">
        <v>0.025917492033544258</v>
      </c>
      <c r="T2918" s="10">
        <v>20.63772956133121</v>
      </c>
      <c r="U2918" s="11">
        <v>0.30336774055554855</v>
      </c>
      <c r="V2918" s="11">
        <v>0.22242448511871876</v>
      </c>
      <c r="W2918" s="11">
        <v>0.07993621631120168</v>
      </c>
      <c r="X2918" s="11">
        <v>0.2748533544739915</v>
      </c>
      <c r="Y2918" s="11">
        <v>0.08264691805332343</v>
      </c>
      <c r="Z2918" s="11">
        <v>0.03677128548721605</v>
      </c>
    </row>
    <row r="2919" ht="22.5" customHeight="1">
      <c r="Q2919" s="9" t="s">
        <v>2957</v>
      </c>
      <c r="R2919" s="10">
        <v>0.4138802181932812</v>
      </c>
      <c r="S2919" s="10">
        <v>0.018117462548296267</v>
      </c>
      <c r="T2919" s="10">
        <v>20.636455971503594</v>
      </c>
      <c r="U2919" s="11">
        <v>0.06467014957732224</v>
      </c>
      <c r="V2919" s="11">
        <v>0.15413599097587974</v>
      </c>
      <c r="W2919" s="11">
        <v>0.03850469108621559</v>
      </c>
      <c r="X2919" s="11">
        <v>0.3028904513106724</v>
      </c>
      <c r="Y2919" s="11">
        <v>0.13419787340076514</v>
      </c>
      <c r="Z2919" s="11">
        <v>0.305600843649145</v>
      </c>
    </row>
    <row r="2920" ht="22.5" customHeight="1">
      <c r="Q2920" s="9" t="s">
        <v>2958</v>
      </c>
      <c r="R2920" s="10">
        <v>0.7665241919934496</v>
      </c>
      <c r="S2920" s="10">
        <v>0.035206465803925946</v>
      </c>
      <c r="T2920" s="10">
        <v>20.63610122185094</v>
      </c>
      <c r="U2920" s="11">
        <v>0.2507557717953725</v>
      </c>
      <c r="V2920" s="11">
        <v>0.26524124790866066</v>
      </c>
      <c r="W2920" s="11">
        <v>0.19660161397283024</v>
      </c>
      <c r="X2920" s="11">
        <v>0.13362761059133904</v>
      </c>
      <c r="Y2920" s="11">
        <v>0.09988813257370284</v>
      </c>
      <c r="Z2920" s="11">
        <v>0.05388562315809468</v>
      </c>
    </row>
    <row r="2921" ht="22.5" customHeight="1">
      <c r="Q2921" s="9" t="s">
        <v>2959</v>
      </c>
      <c r="R2921" s="10">
        <v>0.5478145846620361</v>
      </c>
      <c r="S2921" s="10">
        <v>0.024609247512235016</v>
      </c>
      <c r="T2921" s="10">
        <v>20.6351122442718</v>
      </c>
      <c r="U2921" s="11">
        <v>0.24641663493887606</v>
      </c>
      <c r="V2921" s="11">
        <v>0.20613474770797216</v>
      </c>
      <c r="W2921" s="11">
        <v>0.09783487586487223</v>
      </c>
      <c r="X2921" s="11">
        <v>0.16534348656632739</v>
      </c>
      <c r="Y2921" s="11">
        <v>0.041739584477164714</v>
      </c>
      <c r="Z2921" s="11">
        <v>0.24253067044478754</v>
      </c>
    </row>
    <row r="2922" ht="22.5" customHeight="1">
      <c r="Q2922" s="9" t="s">
        <v>2960</v>
      </c>
      <c r="R2922" s="10">
        <v>0.7813226547970915</v>
      </c>
      <c r="S2922" s="10">
        <v>0.03592535685604521</v>
      </c>
      <c r="T2922" s="10">
        <v>20.635081170316838</v>
      </c>
      <c r="U2922" s="11">
        <v>0.15877803840232343</v>
      </c>
      <c r="V2922" s="11">
        <v>0.20090288077378643</v>
      </c>
      <c r="W2922" s="11">
        <v>0.26294474160750386</v>
      </c>
      <c r="X2922" s="11">
        <v>0.2618305260123823</v>
      </c>
      <c r="Y2922" s="11">
        <v>0.09919226984715311</v>
      </c>
      <c r="Z2922" s="11">
        <v>0.01635154335685071</v>
      </c>
    </row>
    <row r="2923" ht="22.5" customHeight="1">
      <c r="Q2923" s="9" t="s">
        <v>2961</v>
      </c>
      <c r="R2923" s="10">
        <v>0.7759617314562033</v>
      </c>
      <c r="S2923" s="10">
        <v>0.03566614400387136</v>
      </c>
      <c r="T2923" s="10">
        <v>20.63474345239897</v>
      </c>
      <c r="U2923" s="11">
        <v>0.15981789809732583</v>
      </c>
      <c r="V2923" s="11">
        <v>0.28059583084839096</v>
      </c>
      <c r="W2923" s="11">
        <v>0.1871041742169561</v>
      </c>
      <c r="X2923" s="11">
        <v>0.2176411143502949</v>
      </c>
      <c r="Y2923" s="11">
        <v>0.018504943830658597</v>
      </c>
      <c r="Z2923" s="11">
        <v>0.13633603865637353</v>
      </c>
    </row>
    <row r="2924" ht="22.5" customHeight="1">
      <c r="Q2924" s="9" t="s">
        <v>2962</v>
      </c>
      <c r="R2924" s="10">
        <v>0.6733703150409671</v>
      </c>
      <c r="S2924" s="10">
        <v>0.03069444808711598</v>
      </c>
      <c r="T2924" s="10">
        <v>20.634686547982753</v>
      </c>
      <c r="U2924" s="11">
        <v>0.1652141414360765</v>
      </c>
      <c r="V2924" s="11">
        <v>0.25912056972819536</v>
      </c>
      <c r="W2924" s="11">
        <v>0.12302274805913505</v>
      </c>
      <c r="X2924" s="11">
        <v>0.22855840276825792</v>
      </c>
      <c r="Y2924" s="11">
        <v>0.14579900847455585</v>
      </c>
      <c r="Z2924" s="11">
        <v>0.07828512953377934</v>
      </c>
    </row>
    <row r="2925" ht="22.5" customHeight="1">
      <c r="Q2925" s="9" t="s">
        <v>2963</v>
      </c>
      <c r="R2925" s="10">
        <v>0.2809257532047857</v>
      </c>
      <c r="S2925" s="10">
        <v>0.011675883025875163</v>
      </c>
      <c r="T2925" s="10">
        <v>20.634478152176175</v>
      </c>
      <c r="U2925" s="11">
        <v>0.22461405641882395</v>
      </c>
      <c r="V2925" s="11">
        <v>0.04771166325922558</v>
      </c>
      <c r="W2925" s="11">
        <v>0.05415438764644874</v>
      </c>
      <c r="X2925" s="11">
        <v>0.14988835965828876</v>
      </c>
      <c r="Y2925" s="11">
        <v>0.2695657766548795</v>
      </c>
      <c r="Z2925" s="11">
        <v>0.2540657563623335</v>
      </c>
    </row>
    <row r="2926" ht="22.5" customHeight="1">
      <c r="Q2926" s="9" t="s">
        <v>2964</v>
      </c>
      <c r="R2926" s="10">
        <v>0.6295765698417033</v>
      </c>
      <c r="S2926" s="10">
        <v>0.028572404752751766</v>
      </c>
      <c r="T2926" s="10">
        <v>20.634474939842857</v>
      </c>
      <c r="U2926" s="11">
        <v>0.2215538932766143</v>
      </c>
      <c r="V2926" s="11">
        <v>0.19835916367128567</v>
      </c>
      <c r="W2926" s="11">
        <v>0.1705292227821764</v>
      </c>
      <c r="X2926" s="11">
        <v>0.03963480260251574</v>
      </c>
      <c r="Y2926" s="11">
        <v>0.23070075684056449</v>
      </c>
      <c r="Z2926" s="11">
        <v>0.1392221608268434</v>
      </c>
    </row>
    <row r="2927" ht="22.5" customHeight="1">
      <c r="Q2927" s="9" t="s">
        <v>2965</v>
      </c>
      <c r="R2927" s="10">
        <v>0.6687270626061949</v>
      </c>
      <c r="S2927" s="10">
        <v>0.03046997887322323</v>
      </c>
      <c r="T2927" s="10">
        <v>20.634312390636904</v>
      </c>
      <c r="U2927" s="11">
        <v>0.045342888155794604</v>
      </c>
      <c r="V2927" s="11">
        <v>0.15700745035783015</v>
      </c>
      <c r="W2927" s="11">
        <v>0.22888003000912702</v>
      </c>
      <c r="X2927" s="11">
        <v>0.250247163897004</v>
      </c>
      <c r="Y2927" s="11">
        <v>0.16661103708348046</v>
      </c>
      <c r="Z2927" s="11">
        <v>0.1519114304967637</v>
      </c>
    </row>
    <row r="2928" ht="22.5" customHeight="1">
      <c r="Q2928" s="9" t="s">
        <v>2966</v>
      </c>
      <c r="R2928" s="10">
        <v>0.8690521654554259</v>
      </c>
      <c r="S2928" s="10">
        <v>0.04017928711025946</v>
      </c>
      <c r="T2928" s="10">
        <v>20.633819688745398</v>
      </c>
      <c r="U2928" s="11">
        <v>0.1608955280345672</v>
      </c>
      <c r="V2928" s="11">
        <v>0.25958972106281153</v>
      </c>
      <c r="W2928" s="11">
        <v>0.270903994158611</v>
      </c>
      <c r="X2928" s="11">
        <v>0.24197618883070837</v>
      </c>
      <c r="Y2928" s="11">
        <v>0.06619408840480186</v>
      </c>
      <c r="Z2928" s="11">
        <v>4.404795084999519E-4</v>
      </c>
    </row>
    <row r="2929" ht="22.5" customHeight="1">
      <c r="Q2929" s="9" t="s">
        <v>2967</v>
      </c>
      <c r="R2929" s="10">
        <v>0.35391545523409645</v>
      </c>
      <c r="S2929" s="10">
        <v>0.015213805684966521</v>
      </c>
      <c r="T2929" s="10">
        <v>20.633591734663153</v>
      </c>
      <c r="U2929" s="11">
        <v>0.10846785349953121</v>
      </c>
      <c r="V2929" s="11">
        <v>0.03548483807624306</v>
      </c>
      <c r="W2929" s="11">
        <v>0.10959563270062378</v>
      </c>
      <c r="X2929" s="11">
        <v>0.310141675136418</v>
      </c>
      <c r="Y2929" s="11">
        <v>0.2153875882904785</v>
      </c>
      <c r="Z2929" s="11">
        <v>0.22092241229670537</v>
      </c>
    </row>
    <row r="2930" ht="22.5" customHeight="1">
      <c r="Q2930" s="9" t="s">
        <v>2968</v>
      </c>
      <c r="R2930" s="10">
        <v>0.26573109510243625</v>
      </c>
      <c r="S2930" s="10">
        <v>0.010940232615022725</v>
      </c>
      <c r="T2930" s="10">
        <v>20.633116593194792</v>
      </c>
      <c r="U2930" s="11">
        <v>0.22810772748074085</v>
      </c>
      <c r="V2930" s="11">
        <v>0.032497808460457356</v>
      </c>
      <c r="W2930" s="11">
        <v>0.05297232317657933</v>
      </c>
      <c r="X2930" s="11">
        <v>0.2149618267412108</v>
      </c>
      <c r="Y2930" s="11">
        <v>0.2295856425103259</v>
      </c>
      <c r="Z2930" s="11">
        <v>0.24187467163068588</v>
      </c>
    </row>
    <row r="2931" ht="22.5" customHeight="1">
      <c r="Q2931" s="9" t="s">
        <v>2969</v>
      </c>
      <c r="R2931" s="10">
        <v>0.6226884014287702</v>
      </c>
      <c r="S2931" s="10">
        <v>0.028240961647643805</v>
      </c>
      <c r="T2931" s="10">
        <v>20.632739376896712</v>
      </c>
      <c r="U2931" s="11">
        <v>0.2712305291289408</v>
      </c>
      <c r="V2931" s="11">
        <v>0.13926685863185564</v>
      </c>
      <c r="W2931" s="11">
        <v>0.2143888370630423</v>
      </c>
      <c r="X2931" s="11">
        <v>0.2240811183140433</v>
      </c>
      <c r="Y2931" s="11">
        <v>0.03590778062934719</v>
      </c>
      <c r="Z2931" s="11">
        <v>0.1151248762327707</v>
      </c>
    </row>
    <row r="2932" ht="22.5" customHeight="1">
      <c r="Q2932" s="9" t="s">
        <v>2970</v>
      </c>
      <c r="R2932" s="10">
        <v>0.609453725018236</v>
      </c>
      <c r="S2932" s="10">
        <v>0.027600928245574852</v>
      </c>
      <c r="T2932" s="10">
        <v>20.6316874545527</v>
      </c>
      <c r="U2932" s="11">
        <v>0.22505019387652592</v>
      </c>
      <c r="V2932" s="11">
        <v>0.223075009263479</v>
      </c>
      <c r="W2932" s="11">
        <v>0.12648496498332792</v>
      </c>
      <c r="X2932" s="11">
        <v>0.10363251170515558</v>
      </c>
      <c r="Y2932" s="11">
        <v>0.15607920754035828</v>
      </c>
      <c r="Z2932" s="11">
        <v>0.16567811263115345</v>
      </c>
    </row>
    <row r="2933" ht="22.5" customHeight="1">
      <c r="Q2933" s="9" t="s">
        <v>2971</v>
      </c>
      <c r="R2933" s="10">
        <v>0.750397325971561</v>
      </c>
      <c r="S2933" s="10">
        <v>0.03443249142887652</v>
      </c>
      <c r="T2933" s="10">
        <v>20.63159813570133</v>
      </c>
      <c r="U2933" s="11">
        <v>0.21005023170208623</v>
      </c>
      <c r="V2933" s="11">
        <v>0.23463480533464454</v>
      </c>
      <c r="W2933" s="11">
        <v>0.21497101814734426</v>
      </c>
      <c r="X2933" s="11">
        <v>0.09344269981785931</v>
      </c>
      <c r="Y2933" s="11">
        <v>0.2291673813922924</v>
      </c>
      <c r="Z2933" s="11">
        <v>0.017733863605773233</v>
      </c>
    </row>
    <row r="2934" ht="22.5" customHeight="1">
      <c r="Q2934" s="9" t="s">
        <v>2972</v>
      </c>
      <c r="R2934" s="10">
        <v>0.7077322274337422</v>
      </c>
      <c r="S2934" s="10">
        <v>0.032364798709640694</v>
      </c>
      <c r="T2934" s="10">
        <v>20.631434584972123</v>
      </c>
      <c r="U2934" s="11">
        <v>0.17530211949486035</v>
      </c>
      <c r="V2934" s="11">
        <v>0.20035035493656767</v>
      </c>
      <c r="W2934" s="11">
        <v>0.21706457576717614</v>
      </c>
      <c r="X2934" s="11">
        <v>0.10148555534608912</v>
      </c>
      <c r="Y2934" s="11">
        <v>0.2740697422920511</v>
      </c>
      <c r="Z2934" s="11">
        <v>0.03172765216325559</v>
      </c>
    </row>
    <row r="2935" ht="22.5" customHeight="1">
      <c r="Q2935" s="9" t="s">
        <v>2973</v>
      </c>
      <c r="R2935" s="10">
        <v>0.7569836479716873</v>
      </c>
      <c r="S2935" s="10">
        <v>0.03475233460403249</v>
      </c>
      <c r="T2935" s="10">
        <v>20.63123689792317</v>
      </c>
      <c r="U2935" s="11">
        <v>0.11148893108140347</v>
      </c>
      <c r="V2935" s="11">
        <v>0.22299743873078628</v>
      </c>
      <c r="W2935" s="11">
        <v>0.23646112006863484</v>
      </c>
      <c r="X2935" s="11">
        <v>0.20045134739611248</v>
      </c>
      <c r="Y2935" s="11">
        <v>0.04651864776030584</v>
      </c>
      <c r="Z2935" s="11">
        <v>0.18208251496275693</v>
      </c>
    </row>
    <row r="2936" ht="22.5" customHeight="1">
      <c r="Q2936" s="9" t="s">
        <v>2974</v>
      </c>
      <c r="R2936" s="10">
        <v>0.5286435059741273</v>
      </c>
      <c r="S2936" s="10">
        <v>0.02368487290074487</v>
      </c>
      <c r="T2936" s="10">
        <v>20.631037710097228</v>
      </c>
      <c r="U2936" s="11">
        <v>0.1801826073524589</v>
      </c>
      <c r="V2936" s="11">
        <v>0.20169135222902654</v>
      </c>
      <c r="W2936" s="11">
        <v>0.08011006153050376</v>
      </c>
      <c r="X2936" s="11">
        <v>0.17867319748879104</v>
      </c>
      <c r="Y2936" s="11">
        <v>0.17953137037093722</v>
      </c>
      <c r="Z2936" s="11">
        <v>0.17981141102828269</v>
      </c>
    </row>
    <row r="2937" ht="22.5" customHeight="1">
      <c r="Q2937" s="9" t="s">
        <v>2975</v>
      </c>
      <c r="R2937" s="10">
        <v>0.462957125994972</v>
      </c>
      <c r="S2937" s="10">
        <v>0.020501066536885836</v>
      </c>
      <c r="T2937" s="10">
        <v>20.630981575225906</v>
      </c>
      <c r="U2937" s="11">
        <v>0.3271565350429585</v>
      </c>
      <c r="V2937" s="11">
        <v>0.1105388714881399</v>
      </c>
      <c r="W2937" s="11">
        <v>0.12274813239133797</v>
      </c>
      <c r="X2937" s="11">
        <v>0.05149164724465434</v>
      </c>
      <c r="Y2937" s="11">
        <v>0.366417433039619</v>
      </c>
      <c r="Z2937" s="11">
        <v>0.021647380793290347</v>
      </c>
    </row>
    <row r="2938" ht="22.5" customHeight="1">
      <c r="Q2938" s="9" t="s">
        <v>2976</v>
      </c>
      <c r="R2938" s="10">
        <v>0.48866905370116137</v>
      </c>
      <c r="S2938" s="10">
        <v>0.021747404093344684</v>
      </c>
      <c r="T2938" s="10">
        <v>20.63092458186615</v>
      </c>
      <c r="U2938" s="11">
        <v>0.31929586166642016</v>
      </c>
      <c r="V2938" s="11">
        <v>0.09518057480880839</v>
      </c>
      <c r="W2938" s="11">
        <v>0.1575431416568843</v>
      </c>
      <c r="X2938" s="11">
        <v>0.12131005148333875</v>
      </c>
      <c r="Y2938" s="11">
        <v>0.24833805013673685</v>
      </c>
      <c r="Z2938" s="11">
        <v>0.058332320247811584</v>
      </c>
    </row>
    <row r="2939" ht="22.5" customHeight="1">
      <c r="Q2939" s="9" t="s">
        <v>2977</v>
      </c>
      <c r="R2939" s="10">
        <v>0.6274450832013133</v>
      </c>
      <c r="S2939" s="10">
        <v>0.02847490297053424</v>
      </c>
      <c r="T2939" s="10">
        <v>20.630275151743273</v>
      </c>
      <c r="U2939" s="11">
        <v>0.31436641472064536</v>
      </c>
      <c r="V2939" s="11">
        <v>0.18494574983240894</v>
      </c>
      <c r="W2939" s="11">
        <v>0.1829810220585972</v>
      </c>
      <c r="X2939" s="11">
        <v>0.0512036802162887</v>
      </c>
      <c r="Y2939" s="11">
        <v>0.1414775028202645</v>
      </c>
      <c r="Z2939" s="11">
        <v>0.12502563035179542</v>
      </c>
    </row>
    <row r="2940" ht="22.5" customHeight="1">
      <c r="Q2940" s="9" t="s">
        <v>2978</v>
      </c>
      <c r="R2940" s="10">
        <v>0.830277348972396</v>
      </c>
      <c r="S2940" s="10">
        <v>0.0383068237043243</v>
      </c>
      <c r="T2940" s="10">
        <v>20.63019777030443</v>
      </c>
      <c r="U2940" s="11">
        <v>0.03434891299287167</v>
      </c>
      <c r="V2940" s="11">
        <v>0.2471568238496759</v>
      </c>
      <c r="W2940" s="11">
        <v>0.25447660032342734</v>
      </c>
      <c r="X2940" s="11">
        <v>0.19798534020868502</v>
      </c>
      <c r="Y2940" s="11">
        <v>0.2530599609181739</v>
      </c>
      <c r="Z2940" s="11">
        <v>0.012972361707166138</v>
      </c>
    </row>
    <row r="2941" ht="22.5" customHeight="1">
      <c r="Q2941" s="9" t="s">
        <v>2979</v>
      </c>
      <c r="R2941" s="10">
        <v>0.4735654642166588</v>
      </c>
      <c r="S2941" s="10">
        <v>0.02101649848055667</v>
      </c>
      <c r="T2941" s="10">
        <v>20.62976687661697</v>
      </c>
      <c r="U2941" s="11">
        <v>0.14152362871512675</v>
      </c>
      <c r="V2941" s="11">
        <v>0.17783686537221216</v>
      </c>
      <c r="W2941" s="11">
        <v>0.051843943835575716</v>
      </c>
      <c r="X2941" s="11">
        <v>0.24849921244201725</v>
      </c>
      <c r="Y2941" s="11">
        <v>0.25480446966669357</v>
      </c>
      <c r="Z2941" s="11">
        <v>0.12549187996837452</v>
      </c>
    </row>
    <row r="2942" ht="22.5" customHeight="1">
      <c r="Q2942" s="9" t="s">
        <v>2980</v>
      </c>
      <c r="R2942" s="10">
        <v>0.6450257696488496</v>
      </c>
      <c r="S2942" s="10">
        <v>0.029327928760780577</v>
      </c>
      <c r="T2942" s="10">
        <v>20.629679463008436</v>
      </c>
      <c r="U2942" s="11">
        <v>0.08962452977961101</v>
      </c>
      <c r="V2942" s="11">
        <v>0.16582294770858608</v>
      </c>
      <c r="W2942" s="11">
        <v>0.20191747928064324</v>
      </c>
      <c r="X2942" s="11">
        <v>0.12413285802590915</v>
      </c>
      <c r="Y2942" s="11">
        <v>0.3674906593258014</v>
      </c>
      <c r="Z2942" s="11">
        <v>0.05101152587944902</v>
      </c>
    </row>
    <row r="2943" ht="22.5" customHeight="1">
      <c r="Q2943" s="9" t="s">
        <v>2981</v>
      </c>
      <c r="R2943" s="10">
        <v>0.6020508895336718</v>
      </c>
      <c r="S2943" s="10">
        <v>0.027245153829686276</v>
      </c>
      <c r="T2943" s="10">
        <v>20.629389470404167</v>
      </c>
      <c r="U2943" s="11">
        <v>0.29026010488558557</v>
      </c>
      <c r="V2943" s="11">
        <v>0.2190737141064355</v>
      </c>
      <c r="W2943" s="11">
        <v>0.125093571228359</v>
      </c>
      <c r="X2943" s="11">
        <v>0.09917616002696039</v>
      </c>
      <c r="Y2943" s="11">
        <v>0.11772024669428363</v>
      </c>
      <c r="Z2943" s="11">
        <v>0.1486762030583759</v>
      </c>
    </row>
    <row r="2944" ht="22.5" customHeight="1">
      <c r="Q2944" s="9" t="s">
        <v>2982</v>
      </c>
      <c r="R2944" s="10">
        <v>0.522331348251574</v>
      </c>
      <c r="S2944" s="10">
        <v>0.028357793678590797</v>
      </c>
      <c r="T2944" s="10">
        <v>20.629302200291395</v>
      </c>
      <c r="U2944" s="11">
        <v>0.1519906889307181</v>
      </c>
      <c r="V2944" s="11">
        <v>0.16521008555160954</v>
      </c>
      <c r="W2944" s="11">
        <v>0.19840490658351745</v>
      </c>
      <c r="X2944" s="11">
        <v>0.10032882921243984</v>
      </c>
      <c r="Y2944" s="11">
        <v>0.22001469314080158</v>
      </c>
      <c r="Z2944" s="11">
        <v>0.16405079658091354</v>
      </c>
    </row>
    <row r="2945" ht="22.5" customHeight="1">
      <c r="Q2945" s="9" t="s">
        <v>2983</v>
      </c>
      <c r="R2945" s="10">
        <v>0.7338053247709871</v>
      </c>
      <c r="S2945" s="10">
        <v>0.033633172706893644</v>
      </c>
      <c r="T2945" s="10">
        <v>20.628601732502652</v>
      </c>
      <c r="U2945" s="11">
        <v>0.08294074247005967</v>
      </c>
      <c r="V2945" s="11">
        <v>0.2766227994259024</v>
      </c>
      <c r="W2945" s="11">
        <v>0.1567884578538406</v>
      </c>
      <c r="X2945" s="11">
        <v>0.2501283599459876</v>
      </c>
      <c r="Y2945" s="11">
        <v>0.06325399426131247</v>
      </c>
      <c r="Z2945" s="11">
        <v>0.1702656460428975</v>
      </c>
    </row>
    <row r="2946" ht="22.5" customHeight="1">
      <c r="Q2946" s="9" t="s">
        <v>2984</v>
      </c>
      <c r="R2946" s="10">
        <v>0.5909576655566148</v>
      </c>
      <c r="S2946" s="10">
        <v>0.02670850539814946</v>
      </c>
      <c r="T2946" s="10">
        <v>20.628547249026848</v>
      </c>
      <c r="U2946" s="11">
        <v>0.10557470119609264</v>
      </c>
      <c r="V2946" s="11">
        <v>0.2262192331094951</v>
      </c>
      <c r="W2946" s="11">
        <v>0.10000488498225832</v>
      </c>
      <c r="X2946" s="11">
        <v>0.19260559079583506</v>
      </c>
      <c r="Y2946" s="11">
        <v>0.21286817134054203</v>
      </c>
      <c r="Z2946" s="11">
        <v>0.1627274185757769</v>
      </c>
    </row>
    <row r="2947" ht="22.5" customHeight="1">
      <c r="Q2947" s="9" t="s">
        <v>2985</v>
      </c>
      <c r="R2947" s="10">
        <v>0.784925699582616</v>
      </c>
      <c r="S2947" s="10">
        <v>0.036111491798915075</v>
      </c>
      <c r="T2947" s="10">
        <v>20.628494212609528</v>
      </c>
      <c r="U2947" s="11">
        <v>0.07711238995714953</v>
      </c>
      <c r="V2947" s="11">
        <v>0.2833800224486888</v>
      </c>
      <c r="W2947" s="11">
        <v>0.18279683515881073</v>
      </c>
      <c r="X2947" s="11">
        <v>0.17889010604362493</v>
      </c>
      <c r="Y2947" s="11">
        <v>0.2597254676249333</v>
      </c>
      <c r="Z2947" s="11">
        <v>0.01809517876679275</v>
      </c>
    </row>
    <row r="2948" ht="22.5" customHeight="1">
      <c r="Q2948" s="9" t="s">
        <v>2986</v>
      </c>
      <c r="R2948" s="10">
        <v>0.6541780149973156</v>
      </c>
      <c r="S2948" s="10">
        <v>0.0297740695737183</v>
      </c>
      <c r="T2948" s="10">
        <v>20.627949883594457</v>
      </c>
      <c r="U2948" s="11">
        <v>0.02563737079498272</v>
      </c>
      <c r="V2948" s="11">
        <v>0.23413627944603108</v>
      </c>
      <c r="W2948" s="11">
        <v>0.1516558379686509</v>
      </c>
      <c r="X2948" s="11">
        <v>0.12797641220507602</v>
      </c>
      <c r="Y2948" s="11">
        <v>0.20713133849114845</v>
      </c>
      <c r="Z2948" s="11">
        <v>0.25346276109411087</v>
      </c>
    </row>
    <row r="2949" ht="22.5" customHeight="1">
      <c r="Q2949" s="9" t="s">
        <v>2987</v>
      </c>
      <c r="R2949" s="10">
        <v>0.5879552429002718</v>
      </c>
      <c r="S2949" s="10">
        <v>0.026563885228417274</v>
      </c>
      <c r="T2949" s="10">
        <v>20.627827525549055</v>
      </c>
      <c r="U2949" s="11">
        <v>0.0666755623234243</v>
      </c>
      <c r="V2949" s="11">
        <v>0.21288137324241926</v>
      </c>
      <c r="W2949" s="11">
        <v>0.1181160458042002</v>
      </c>
      <c r="X2949" s="11">
        <v>0.11206869870333035</v>
      </c>
      <c r="Y2949" s="11">
        <v>0.3024474887327581</v>
      </c>
      <c r="Z2949" s="11">
        <v>0.1878108311938678</v>
      </c>
    </row>
    <row r="2950" ht="22.5" customHeight="1">
      <c r="Q2950" s="9" t="s">
        <v>2988</v>
      </c>
      <c r="R2950" s="10">
        <v>0.559123265659675</v>
      </c>
      <c r="S2950" s="10">
        <v>0.025166361568608228</v>
      </c>
      <c r="T2950" s="10">
        <v>20.627664600798468</v>
      </c>
      <c r="U2950" s="11">
        <v>0.159034267186514</v>
      </c>
      <c r="V2950" s="11">
        <v>0.18187999996070137</v>
      </c>
      <c r="W2950" s="11">
        <v>0.13570894560432398</v>
      </c>
      <c r="X2950" s="11">
        <v>0.03068378216492368</v>
      </c>
      <c r="Y2950" s="11">
        <v>0.2966569999285196</v>
      </c>
      <c r="Z2950" s="11">
        <v>0.1960360051550173</v>
      </c>
    </row>
    <row r="2951" ht="22.5" customHeight="1">
      <c r="Q2951" s="9" t="s">
        <v>2989</v>
      </c>
      <c r="R2951" s="10">
        <v>0.6382493866502406</v>
      </c>
      <c r="S2951" s="10">
        <v>0.029002553120489216</v>
      </c>
      <c r="T2951" s="10">
        <v>20.627473180200806</v>
      </c>
      <c r="U2951" s="11">
        <v>0.024355229736862345</v>
      </c>
      <c r="V2951" s="11">
        <v>0.15247150290318098</v>
      </c>
      <c r="W2951" s="11">
        <v>0.21736986598320257</v>
      </c>
      <c r="X2951" s="11">
        <v>0.2692051373366299</v>
      </c>
      <c r="Y2951" s="11">
        <v>0.06326472799080414</v>
      </c>
      <c r="Z2951" s="11">
        <v>0.27333353604932004</v>
      </c>
    </row>
    <row r="2952" ht="22.5" customHeight="1">
      <c r="Q2952" s="9" t="s">
        <v>2990</v>
      </c>
      <c r="R2952" s="10">
        <v>0.5744398579906608</v>
      </c>
      <c r="S2952" s="10">
        <v>0.025909566506388166</v>
      </c>
      <c r="T2952" s="10">
        <v>20.62712465138663</v>
      </c>
      <c r="U2952" s="11">
        <v>0.012234560043188649</v>
      </c>
      <c r="V2952" s="11">
        <v>0.1274038713446452</v>
      </c>
      <c r="W2952" s="11">
        <v>0.1939557780247584</v>
      </c>
      <c r="X2952" s="11">
        <v>0.2025124325577985</v>
      </c>
      <c r="Y2952" s="11">
        <v>0.23140296986309078</v>
      </c>
      <c r="Z2952" s="11">
        <v>0.23249038816651854</v>
      </c>
    </row>
    <row r="2953" ht="22.5" customHeight="1">
      <c r="Q2953" s="9" t="s">
        <v>2991</v>
      </c>
      <c r="R2953" s="10">
        <v>0.4910202316672058</v>
      </c>
      <c r="S2953" s="10">
        <v>0.02186603456533449</v>
      </c>
      <c r="T2953" s="10">
        <v>20.626521481047813</v>
      </c>
      <c r="U2953" s="11">
        <v>0.3582863519377161</v>
      </c>
      <c r="V2953" s="11">
        <v>0.13637369681865022</v>
      </c>
      <c r="W2953" s="11">
        <v>0.13822829437200118</v>
      </c>
      <c r="X2953" s="11">
        <v>0.052870474024003876</v>
      </c>
      <c r="Y2953" s="11">
        <v>0.04124572935979546</v>
      </c>
      <c r="Z2953" s="11">
        <v>0.27299545348783316</v>
      </c>
    </row>
    <row r="2954" ht="22.5" customHeight="1">
      <c r="Q2954" s="9" t="s">
        <v>2992</v>
      </c>
      <c r="R2954" s="10">
        <v>0.42134804005836046</v>
      </c>
      <c r="S2954" s="10">
        <v>0.018488370747575845</v>
      </c>
      <c r="T2954" s="10">
        <v>20.62637347903476</v>
      </c>
      <c r="U2954" s="11">
        <v>0.2754405844278995</v>
      </c>
      <c r="V2954" s="11">
        <v>0.14603405478151474</v>
      </c>
      <c r="W2954" s="11">
        <v>0.053555316286731096</v>
      </c>
      <c r="X2954" s="11">
        <v>0.1331490052803663</v>
      </c>
      <c r="Y2954" s="11">
        <v>0.2733687357088368</v>
      </c>
      <c r="Z2954" s="11">
        <v>0.11845230351465151</v>
      </c>
    </row>
    <row r="2955" ht="22.5" customHeight="1">
      <c r="Q2955" s="9" t="s">
        <v>2993</v>
      </c>
      <c r="R2955" s="10">
        <v>0.6392194034640318</v>
      </c>
      <c r="S2955" s="10">
        <v>0.02905120972890712</v>
      </c>
      <c r="T2955" s="10">
        <v>20.626315015990002</v>
      </c>
      <c r="U2955" s="11">
        <v>0.17139843618609105</v>
      </c>
      <c r="V2955" s="11">
        <v>0.19734618933549292</v>
      </c>
      <c r="W2955" s="11">
        <v>0.18360773012463863</v>
      </c>
      <c r="X2955" s="11">
        <v>0.07132011226840995</v>
      </c>
      <c r="Y2955" s="11">
        <v>0.142962493821456</v>
      </c>
      <c r="Z2955" s="11">
        <v>0.23336503826391156</v>
      </c>
    </row>
    <row r="2956" ht="22.5" customHeight="1">
      <c r="Q2956" s="9" t="s">
        <v>2994</v>
      </c>
      <c r="R2956" s="10">
        <v>0.6743573919203363</v>
      </c>
      <c r="S2956" s="10">
        <v>0.030754836911734</v>
      </c>
      <c r="T2956" s="10">
        <v>20.626264211412796</v>
      </c>
      <c r="U2956" s="11">
        <v>0.07989463766952183</v>
      </c>
      <c r="V2956" s="11">
        <v>0.25196225838354247</v>
      </c>
      <c r="W2956" s="11">
        <v>0.14532340794201426</v>
      </c>
      <c r="X2956" s="11">
        <v>0.2184322261234099</v>
      </c>
      <c r="Y2956" s="11">
        <v>0.03559033817424263</v>
      </c>
      <c r="Z2956" s="11">
        <v>0.26879713170726904</v>
      </c>
    </row>
    <row r="2957" ht="22.5" customHeight="1">
      <c r="Q2957" s="9" t="s">
        <v>2995</v>
      </c>
      <c r="R2957" s="10">
        <v>0.33321832471158586</v>
      </c>
      <c r="S2957" s="10">
        <v>0.014216249763131178</v>
      </c>
      <c r="T2957" s="10">
        <v>20.625574929896526</v>
      </c>
      <c r="U2957" s="11">
        <v>0.24403374398674527</v>
      </c>
      <c r="V2957" s="11">
        <v>0.06630492724409098</v>
      </c>
      <c r="W2957" s="11">
        <v>0.08178025493860207</v>
      </c>
      <c r="X2957" s="11">
        <v>0.08056286598306799</v>
      </c>
      <c r="Y2957" s="11">
        <v>0.2638152738570715</v>
      </c>
      <c r="Z2957" s="11">
        <v>0.26350293399042224</v>
      </c>
    </row>
    <row r="2958" ht="22.5" customHeight="1">
      <c r="Q2958" s="9" t="s">
        <v>2996</v>
      </c>
      <c r="R2958" s="10">
        <v>0.7496298822696297</v>
      </c>
      <c r="S2958" s="10">
        <v>0.03440657141126544</v>
      </c>
      <c r="T2958" s="10">
        <v>20.624835697441267</v>
      </c>
      <c r="U2958" s="11">
        <v>0.16782518170541372</v>
      </c>
      <c r="V2958" s="11">
        <v>0.219058281414824</v>
      </c>
      <c r="W2958" s="11">
        <v>0.22968237698094465</v>
      </c>
      <c r="X2958" s="11">
        <v>0.12100336110310841</v>
      </c>
      <c r="Y2958" s="11">
        <v>0.22485362603934791</v>
      </c>
      <c r="Z2958" s="11">
        <v>0.03757717275636131</v>
      </c>
    </row>
    <row r="2959" ht="22.5" customHeight="1">
      <c r="Q2959" s="9" t="s">
        <v>2997</v>
      </c>
      <c r="R2959" s="10">
        <v>0.5741948897821177</v>
      </c>
      <c r="S2959" s="10">
        <v>0.025902003658246946</v>
      </c>
      <c r="T2959" s="10">
        <v>20.623689843856354</v>
      </c>
      <c r="U2959" s="11">
        <v>0.16465374117306192</v>
      </c>
      <c r="V2959" s="11">
        <v>0.2221744907795899</v>
      </c>
      <c r="W2959" s="11">
        <v>0.09452467857971049</v>
      </c>
      <c r="X2959" s="11">
        <v>0.22444271203293856</v>
      </c>
      <c r="Y2959" s="11">
        <v>0.07511872061290668</v>
      </c>
      <c r="Z2959" s="11">
        <v>0.2190856568217926</v>
      </c>
    </row>
    <row r="2960" ht="22.5" customHeight="1">
      <c r="Q2960" s="9" t="s">
        <v>2998</v>
      </c>
      <c r="R2960" s="10">
        <v>0.7250924840022516</v>
      </c>
      <c r="S2960" s="10">
        <v>0.033219226815290215</v>
      </c>
      <c r="T2960" s="10">
        <v>20.62337235636429</v>
      </c>
      <c r="U2960" s="11">
        <v>0.271280907964291</v>
      </c>
      <c r="V2960" s="11">
        <v>0.24855048170895222</v>
      </c>
      <c r="W2960" s="11">
        <v>0.18746755424978725</v>
      </c>
      <c r="X2960" s="11">
        <v>0.11562460227271931</v>
      </c>
      <c r="Y2960" s="11">
        <v>0.06483946587700844</v>
      </c>
      <c r="Z2960" s="11">
        <v>0.11223698792724188</v>
      </c>
    </row>
    <row r="2961" ht="22.5" customHeight="1">
      <c r="Q2961" s="9" t="s">
        <v>2999</v>
      </c>
      <c r="R2961" s="10">
        <v>0.7039017462805949</v>
      </c>
      <c r="S2961" s="10">
        <v>0.03219174863798877</v>
      </c>
      <c r="T2961" s="10">
        <v>20.62335146022913</v>
      </c>
      <c r="U2961" s="11">
        <v>0.10475915222665216</v>
      </c>
      <c r="V2961" s="11">
        <v>0.2611928797112262</v>
      </c>
      <c r="W2961" s="11">
        <v>0.1466377856003317</v>
      </c>
      <c r="X2961" s="11">
        <v>0.16657843976906125</v>
      </c>
      <c r="Y2961" s="11">
        <v>0.2586839079459889</v>
      </c>
      <c r="Z2961" s="11">
        <v>0.0621478347467398</v>
      </c>
    </row>
    <row r="2962" ht="22.5" customHeight="1">
      <c r="Q2962" s="9" t="s">
        <v>3000</v>
      </c>
      <c r="R2962" s="10">
        <v>0.6823655309645653</v>
      </c>
      <c r="S2962" s="10">
        <v>0.031149029570097155</v>
      </c>
      <c r="T2962" s="10">
        <v>20.622328843953188</v>
      </c>
      <c r="U2962" s="11">
        <v>0.22188443853483533</v>
      </c>
      <c r="V2962" s="11">
        <v>0.17991892271470045</v>
      </c>
      <c r="W2962" s="11">
        <v>0.2194622723563933</v>
      </c>
      <c r="X2962" s="11">
        <v>0.11867230501545868</v>
      </c>
      <c r="Y2962" s="11">
        <v>0.21313698682327867</v>
      </c>
      <c r="Z2962" s="11">
        <v>0.046925074555333554</v>
      </c>
    </row>
    <row r="2963" ht="22.5" customHeight="1">
      <c r="Q2963" s="9" t="s">
        <v>3001</v>
      </c>
      <c r="R2963" s="10">
        <v>0.7648146008794483</v>
      </c>
      <c r="S2963" s="10">
        <v>0.035147796278465274</v>
      </c>
      <c r="T2963" s="10">
        <v>20.621907420225245</v>
      </c>
      <c r="U2963" s="11">
        <v>0.2329222146677095</v>
      </c>
      <c r="V2963" s="11">
        <v>0.19824237365929953</v>
      </c>
      <c r="W2963" s="11">
        <v>0.2561039945876827</v>
      </c>
      <c r="X2963" s="11">
        <v>0.23364036225072563</v>
      </c>
      <c r="Y2963" s="11">
        <v>0.06116037899017064</v>
      </c>
      <c r="Z2963" s="11">
        <v>0.017930675844412016</v>
      </c>
    </row>
    <row r="2964" ht="22.5" customHeight="1">
      <c r="Q2964" s="9" t="s">
        <v>3002</v>
      </c>
      <c r="R2964" s="10">
        <v>0.6695928543165097</v>
      </c>
      <c r="S2964" s="10">
        <v>0.030530442527640235</v>
      </c>
      <c r="T2964" s="10">
        <v>20.62180571888266</v>
      </c>
      <c r="U2964" s="11">
        <v>0.19406253024950448</v>
      </c>
      <c r="V2964" s="11">
        <v>0.17758874325133492</v>
      </c>
      <c r="W2964" s="11">
        <v>0.21902557230565034</v>
      </c>
      <c r="X2964" s="11">
        <v>0.16831500684696846</v>
      </c>
      <c r="Y2964" s="11">
        <v>0.05405142203167857</v>
      </c>
      <c r="Z2964" s="11">
        <v>0.18695672531486318</v>
      </c>
    </row>
    <row r="2965" ht="22.5" customHeight="1">
      <c r="Q2965" s="9" t="s">
        <v>3003</v>
      </c>
      <c r="R2965" s="10">
        <v>0.6203746041524143</v>
      </c>
      <c r="S2965" s="10">
        <v>0.02814374426829177</v>
      </c>
      <c r="T2965" s="10">
        <v>20.621797818362605</v>
      </c>
      <c r="U2965" s="11">
        <v>0.17491396226839875</v>
      </c>
      <c r="V2965" s="11">
        <v>0.18429521650118083</v>
      </c>
      <c r="W2965" s="11">
        <v>0.17512885794964922</v>
      </c>
      <c r="X2965" s="11">
        <v>0.04292805347512823</v>
      </c>
      <c r="Y2965" s="11">
        <v>0.30555922355904597</v>
      </c>
      <c r="Z2965" s="11">
        <v>0.11717468624659712</v>
      </c>
    </row>
    <row r="2966" ht="22.5" customHeight="1">
      <c r="Q2966" s="9" t="s">
        <v>3004</v>
      </c>
      <c r="R2966" s="10">
        <v>0.7287240311994195</v>
      </c>
      <c r="S2966" s="10">
        <v>0.03339994035182221</v>
      </c>
      <c r="T2966" s="10">
        <v>20.620516801666817</v>
      </c>
      <c r="U2966" s="11">
        <v>0.027201704160360798</v>
      </c>
      <c r="V2966" s="11">
        <v>0.2526758357826828</v>
      </c>
      <c r="W2966" s="11">
        <v>0.18803830997134577</v>
      </c>
      <c r="X2966" s="11">
        <v>0.1551050695332167</v>
      </c>
      <c r="Y2966" s="11">
        <v>0.14352213561692148</v>
      </c>
      <c r="Z2966" s="11">
        <v>0.2334569449354724</v>
      </c>
    </row>
    <row r="2967" ht="22.5" customHeight="1">
      <c r="Q2967" s="9" t="s">
        <v>3005</v>
      </c>
      <c r="R2967" s="10">
        <v>0.401069140532725</v>
      </c>
      <c r="S2967" s="10">
        <v>0.017510209963038335</v>
      </c>
      <c r="T2967" s="10">
        <v>20.620491775649334</v>
      </c>
      <c r="U2967" s="11">
        <v>0.18551480928393266</v>
      </c>
      <c r="V2967" s="11">
        <v>0.14032305157591607</v>
      </c>
      <c r="W2967" s="11">
        <v>0.03003647591571715</v>
      </c>
      <c r="X2967" s="11">
        <v>0.2779576771859303</v>
      </c>
      <c r="Y2967" s="11">
        <v>0.27485080804068</v>
      </c>
      <c r="Z2967" s="11">
        <v>0.09131717799782386</v>
      </c>
    </row>
    <row r="2968" ht="22.5" customHeight="1">
      <c r="Q2968" s="9" t="s">
        <v>3006</v>
      </c>
      <c r="R2968" s="10">
        <v>0.7850241994815421</v>
      </c>
      <c r="S2968" s="10">
        <v>0.03613077812856142</v>
      </c>
      <c r="T2968" s="10">
        <v>20.620209086850515</v>
      </c>
      <c r="U2968" s="11">
        <v>0.011360816150654597</v>
      </c>
      <c r="V2968" s="11">
        <v>0.26356453776357225</v>
      </c>
      <c r="W2968" s="11">
        <v>0.21490908249615448</v>
      </c>
      <c r="X2968" s="11">
        <v>0.1769671566625266</v>
      </c>
      <c r="Y2968" s="11">
        <v>0.15852775843932254</v>
      </c>
      <c r="Z2968" s="11">
        <v>0.17467064848776953</v>
      </c>
    </row>
    <row r="2969" ht="22.5" customHeight="1">
      <c r="Q2969" s="9" t="s">
        <v>3007</v>
      </c>
      <c r="R2969" s="10">
        <v>0.5668657991196744</v>
      </c>
      <c r="S2969" s="10">
        <v>0.025551537352862103</v>
      </c>
      <c r="T2969" s="10">
        <v>20.619729914633044</v>
      </c>
      <c r="U2969" s="11">
        <v>0.17405072768979238</v>
      </c>
      <c r="V2969" s="11">
        <v>0.1209207445811903</v>
      </c>
      <c r="W2969" s="11">
        <v>0.19606730855585705</v>
      </c>
      <c r="X2969" s="11">
        <v>0.21816736004828455</v>
      </c>
      <c r="Y2969" s="11">
        <v>0.07062824977465106</v>
      </c>
      <c r="Z2969" s="11">
        <v>0.2201656093502247</v>
      </c>
    </row>
    <row r="2970" ht="22.5" customHeight="1">
      <c r="Q2970" s="9" t="s">
        <v>3008</v>
      </c>
      <c r="R2970" s="10">
        <v>0.8052652987156659</v>
      </c>
      <c r="S2970" s="10">
        <v>0.037113495936649775</v>
      </c>
      <c r="T2970" s="10">
        <v>20.61959617121281</v>
      </c>
      <c r="U2970" s="11">
        <v>0.01699430078884435</v>
      </c>
      <c r="V2970" s="11">
        <v>0.27348704282976805</v>
      </c>
      <c r="W2970" s="11">
        <v>0.21796338454861255</v>
      </c>
      <c r="X2970" s="11">
        <v>0.19108099422742622</v>
      </c>
      <c r="Y2970" s="11">
        <v>0.14819356915625026</v>
      </c>
      <c r="Z2970" s="11">
        <v>0.15228070844909855</v>
      </c>
    </row>
    <row r="2971" ht="22.5" customHeight="1">
      <c r="Q2971" s="9" t="s">
        <v>3009</v>
      </c>
      <c r="R2971" s="10">
        <v>0.5734042038600972</v>
      </c>
      <c r="S2971" s="10">
        <v>0.025868879354331593</v>
      </c>
      <c r="T2971" s="10">
        <v>20.619532703908245</v>
      </c>
      <c r="U2971" s="11">
        <v>0.43122591108895786</v>
      </c>
      <c r="V2971" s="11">
        <v>0.13786349480957574</v>
      </c>
      <c r="W2971" s="11">
        <v>0.18480399139472806</v>
      </c>
      <c r="X2971" s="11">
        <v>0.12727469305275582</v>
      </c>
      <c r="Y2971" s="11">
        <v>0.022383925544452062</v>
      </c>
      <c r="Z2971" s="11">
        <v>0.0964479841095305</v>
      </c>
    </row>
    <row r="2972" ht="22.5" customHeight="1">
      <c r="Q2972" s="9" t="s">
        <v>3010</v>
      </c>
      <c r="R2972" s="10">
        <v>0.7412293342632442</v>
      </c>
      <c r="S2972" s="10">
        <v>0.0340080662780927</v>
      </c>
      <c r="T2972" s="10">
        <v>20.619500342333836</v>
      </c>
      <c r="U2972" s="11">
        <v>0.22624165982756908</v>
      </c>
      <c r="V2972" s="11">
        <v>0.23100693209383505</v>
      </c>
      <c r="W2972" s="11">
        <v>0.21731995430360693</v>
      </c>
      <c r="X2972" s="11">
        <v>0.11225479823420897</v>
      </c>
      <c r="Y2972" s="11">
        <v>0.11051700343801309</v>
      </c>
      <c r="Z2972" s="11">
        <v>0.1026596521027668</v>
      </c>
    </row>
    <row r="2973" ht="22.5" customHeight="1">
      <c r="Q2973" s="9" t="s">
        <v>3011</v>
      </c>
      <c r="R2973" s="10">
        <v>0.50159007717087</v>
      </c>
      <c r="S2973" s="10">
        <v>0.02238610232919033</v>
      </c>
      <c r="T2973" s="10">
        <v>20.61949286138035</v>
      </c>
      <c r="U2973" s="11">
        <v>0.35683766366815023</v>
      </c>
      <c r="V2973" s="11">
        <v>0.0850827682869335</v>
      </c>
      <c r="W2973" s="11">
        <v>0.17074553859042887</v>
      </c>
      <c r="X2973" s="11">
        <v>0.2046926831103932</v>
      </c>
      <c r="Y2973" s="11">
        <v>0.16263423907875166</v>
      </c>
      <c r="Z2973" s="11">
        <v>0.020007107265342525</v>
      </c>
    </row>
    <row r="2974" ht="22.5" customHeight="1">
      <c r="Q2974" s="9" t="s">
        <v>3012</v>
      </c>
      <c r="R2974" s="10">
        <v>0.6318447020583786</v>
      </c>
      <c r="S2974" s="10">
        <v>0.02870414984424273</v>
      </c>
      <c r="T2974" s="10">
        <v>20.618785272161144</v>
      </c>
      <c r="U2974" s="11">
        <v>0.21871985477874908</v>
      </c>
      <c r="V2974" s="11">
        <v>0.23583493090642013</v>
      </c>
      <c r="W2974" s="11">
        <v>0.12430589163037627</v>
      </c>
      <c r="X2974" s="11">
        <v>0.13195898477241647</v>
      </c>
      <c r="Y2974" s="11">
        <v>0.18109834206738898</v>
      </c>
      <c r="Z2974" s="11">
        <v>0.10808199584464899</v>
      </c>
    </row>
    <row r="2975" ht="22.5" customHeight="1">
      <c r="Q2975" s="9" t="s">
        <v>3013</v>
      </c>
      <c r="R2975" s="10">
        <v>0.6529913027750742</v>
      </c>
      <c r="S2975" s="10">
        <v>0.029730169466686777</v>
      </c>
      <c r="T2975" s="10">
        <v>20.618493394796914</v>
      </c>
      <c r="U2975" s="11">
        <v>0.23016473473819984</v>
      </c>
      <c r="V2975" s="11">
        <v>0.18825440493600115</v>
      </c>
      <c r="W2975" s="11">
        <v>0.20157787725394183</v>
      </c>
      <c r="X2975" s="11">
        <v>0.1265481557977036</v>
      </c>
      <c r="Y2975" s="11">
        <v>0.021927312505113258</v>
      </c>
      <c r="Z2975" s="11">
        <v>0.2315275147690404</v>
      </c>
    </row>
    <row r="2976" ht="22.5" customHeight="1">
      <c r="Q2976" s="9" t="s">
        <v>3014</v>
      </c>
      <c r="R2976" s="10">
        <v>0.6058988205002855</v>
      </c>
      <c r="S2976" s="10">
        <v>0.027446544811625114</v>
      </c>
      <c r="T2976" s="10">
        <v>20.618217133859282</v>
      </c>
      <c r="U2976" s="11">
        <v>0.1723015373692398</v>
      </c>
      <c r="V2976" s="11">
        <v>0.19858683817631936</v>
      </c>
      <c r="W2976" s="11">
        <v>0.14073193652319416</v>
      </c>
      <c r="X2976" s="11">
        <v>0.05663190667606891</v>
      </c>
      <c r="Y2976" s="11">
        <v>0.4017822655144261</v>
      </c>
      <c r="Z2976" s="11">
        <v>0.029965515740751705</v>
      </c>
    </row>
    <row r="2977" ht="22.5" customHeight="1">
      <c r="Q2977" s="9" t="s">
        <v>3015</v>
      </c>
      <c r="R2977" s="10">
        <v>0.522331348251574</v>
      </c>
      <c r="S2977" s="10">
        <v>0.031870734300573425</v>
      </c>
      <c r="T2977" s="10">
        <v>20.617768078374805</v>
      </c>
      <c r="U2977" s="11">
        <v>0.267687794166209</v>
      </c>
      <c r="V2977" s="11">
        <v>0.2339684850162288</v>
      </c>
      <c r="W2977" s="11">
        <v>0.18418183073131333</v>
      </c>
      <c r="X2977" s="11">
        <v>0.09081049416213784</v>
      </c>
      <c r="Y2977" s="11">
        <v>0.08522775159553662</v>
      </c>
      <c r="Z2977" s="11">
        <v>0.1381236443285744</v>
      </c>
    </row>
    <row r="2978" ht="22.5" customHeight="1">
      <c r="Q2978" s="9" t="s">
        <v>3016</v>
      </c>
      <c r="R2978" s="10">
        <v>0.5031368776942535</v>
      </c>
      <c r="S2978" s="10">
        <v>0.022463505385270324</v>
      </c>
      <c r="T2978" s="10">
        <v>20.617302141897216</v>
      </c>
      <c r="U2978" s="11">
        <v>0.2429230427463122</v>
      </c>
      <c r="V2978" s="11">
        <v>0.10943352090284937</v>
      </c>
      <c r="W2978" s="11">
        <v>0.16667782603723258</v>
      </c>
      <c r="X2978" s="11">
        <v>0.12760235971338013</v>
      </c>
      <c r="Y2978" s="11">
        <v>0.10996131275318827</v>
      </c>
      <c r="Z2978" s="11">
        <v>0.24340193784703737</v>
      </c>
    </row>
    <row r="2979" ht="22.5" customHeight="1">
      <c r="Q2979" s="9" t="s">
        <v>3017</v>
      </c>
      <c r="R2979" s="10">
        <v>0.6050836254684894</v>
      </c>
      <c r="S2979" s="10">
        <v>0.027410519765715832</v>
      </c>
      <c r="T2979" s="10">
        <v>20.615574979912537</v>
      </c>
      <c r="U2979" s="11">
        <v>0.21310321301806193</v>
      </c>
      <c r="V2979" s="11">
        <v>0.1989468140376954</v>
      </c>
      <c r="W2979" s="11">
        <v>0.1535813001161517</v>
      </c>
      <c r="X2979" s="11">
        <v>0.03413574743776686</v>
      </c>
      <c r="Y2979" s="11">
        <v>0.22371301613151864</v>
      </c>
      <c r="Z2979" s="11">
        <v>0.17651990925880537</v>
      </c>
    </row>
    <row r="2980" ht="22.5" customHeight="1">
      <c r="Q2980" s="9" t="s">
        <v>3018</v>
      </c>
      <c r="R2980" s="10">
        <v>0.45381482751349367</v>
      </c>
      <c r="S2980" s="10">
        <v>0.020073098589296578</v>
      </c>
      <c r="T2980" s="10">
        <v>20.61539356630017</v>
      </c>
      <c r="U2980" s="11">
        <v>0.06620885418158227</v>
      </c>
      <c r="V2980" s="11">
        <v>0.07232702197732986</v>
      </c>
      <c r="W2980" s="11">
        <v>0.15431028412943743</v>
      </c>
      <c r="X2980" s="11">
        <v>0.24922426599519362</v>
      </c>
      <c r="Y2980" s="11">
        <v>0.22387832280144765</v>
      </c>
      <c r="Z2980" s="11">
        <v>0.23405125091500917</v>
      </c>
    </row>
    <row r="2981" ht="22.5" customHeight="1">
      <c r="Q2981" s="9" t="s">
        <v>3019</v>
      </c>
      <c r="R2981" s="10">
        <v>0.5195432372106803</v>
      </c>
      <c r="S2981" s="10">
        <v>0.02326167276797039</v>
      </c>
      <c r="T2981" s="10">
        <v>20.615165641525834</v>
      </c>
      <c r="U2981" s="11">
        <v>0.19786128419588778</v>
      </c>
      <c r="V2981" s="11">
        <v>0.08294934543458385</v>
      </c>
      <c r="W2981" s="11">
        <v>0.18265358441707397</v>
      </c>
      <c r="X2981" s="11">
        <v>0.28378005757680325</v>
      </c>
      <c r="Y2981" s="11">
        <v>0.18475962307572188</v>
      </c>
      <c r="Z2981" s="11">
        <v>0.06799610529992921</v>
      </c>
    </row>
    <row r="2982" ht="22.5" customHeight="1">
      <c r="Q2982" s="9" t="s">
        <v>3020</v>
      </c>
      <c r="R2982" s="10">
        <v>0.522331348251574</v>
      </c>
      <c r="S2982" s="10">
        <v>0.028457638500713162</v>
      </c>
      <c r="T2982" s="10">
        <v>20.615160259128334</v>
      </c>
      <c r="U2982" s="11">
        <v>0.20694614599011518</v>
      </c>
      <c r="V2982" s="11">
        <v>0.16522513778891337</v>
      </c>
      <c r="W2982" s="11">
        <v>0.20241147816405594</v>
      </c>
      <c r="X2982" s="11">
        <v>0.12119592329862743</v>
      </c>
      <c r="Y2982" s="11">
        <v>0.1028523900784637</v>
      </c>
      <c r="Z2982" s="11">
        <v>0.2013689246798244</v>
      </c>
    </row>
    <row r="2983" ht="22.5" customHeight="1">
      <c r="Q2983" s="9" t="s">
        <v>3021</v>
      </c>
      <c r="R2983" s="10">
        <v>0.7528548721508534</v>
      </c>
      <c r="S2983" s="10">
        <v>0.03457953573491617</v>
      </c>
      <c r="T2983" s="10">
        <v>20.614934729475237</v>
      </c>
      <c r="U2983" s="11">
        <v>0.20094763410609112</v>
      </c>
      <c r="V2983" s="11">
        <v>0.1772487976394713</v>
      </c>
      <c r="W2983" s="11">
        <v>0.2616698504326727</v>
      </c>
      <c r="X2983" s="11">
        <v>0.32462087492475633</v>
      </c>
      <c r="Y2983" s="11">
        <v>0.02344014323941257</v>
      </c>
      <c r="Z2983" s="11">
        <v>0.012072699657596088</v>
      </c>
    </row>
    <row r="2984" ht="22.5" customHeight="1">
      <c r="Q2984" s="9" t="s">
        <v>3022</v>
      </c>
      <c r="R2984" s="10">
        <v>0.6165340608767281</v>
      </c>
      <c r="S2984" s="10">
        <v>0.02796687735982116</v>
      </c>
      <c r="T2984" s="10">
        <v>20.61488858620342</v>
      </c>
      <c r="U2984" s="11">
        <v>0.3232280700357524</v>
      </c>
      <c r="V2984" s="11">
        <v>0.1930292397560102</v>
      </c>
      <c r="W2984" s="11">
        <v>0.17161949096607806</v>
      </c>
      <c r="X2984" s="11">
        <v>0.07805877119021357</v>
      </c>
      <c r="Y2984" s="11">
        <v>0.015410173102663582</v>
      </c>
      <c r="Z2984" s="11">
        <v>0.218654254949282</v>
      </c>
    </row>
    <row r="2985" ht="22.5" customHeight="1">
      <c r="Q2985" s="9" t="s">
        <v>3023</v>
      </c>
      <c r="R2985" s="10">
        <v>0.6712745652486454</v>
      </c>
      <c r="S2985" s="10">
        <v>0.030622525012823507</v>
      </c>
      <c r="T2985" s="10">
        <v>20.614713025274447</v>
      </c>
      <c r="U2985" s="11">
        <v>0.023823338354237313</v>
      </c>
      <c r="V2985" s="11">
        <v>0.19145663232675272</v>
      </c>
      <c r="W2985" s="11">
        <v>0.19135422486822773</v>
      </c>
      <c r="X2985" s="11">
        <v>0.11847555976870469</v>
      </c>
      <c r="Y2985" s="11">
        <v>0.4674544397028162</v>
      </c>
      <c r="Z2985" s="11">
        <v>0.00743580497926148</v>
      </c>
    </row>
    <row r="2986" ht="22.5" customHeight="1">
      <c r="Q2986" s="9" t="s">
        <v>3024</v>
      </c>
      <c r="R2986" s="10">
        <v>0.6860889288298543</v>
      </c>
      <c r="S2986" s="10">
        <v>0.03134118814922911</v>
      </c>
      <c r="T2986" s="10">
        <v>20.614691624119107</v>
      </c>
      <c r="U2986" s="11">
        <v>0.2567679327639748</v>
      </c>
      <c r="V2986" s="11">
        <v>0.2632263264055005</v>
      </c>
      <c r="W2986" s="11">
        <v>0.1295601788111036</v>
      </c>
      <c r="X2986" s="11">
        <v>0.2350645174081466</v>
      </c>
      <c r="Y2986" s="11">
        <v>0.04573378042022792</v>
      </c>
      <c r="Z2986" s="11">
        <v>0.06964726419104643</v>
      </c>
    </row>
    <row r="2987" ht="22.5" customHeight="1">
      <c r="Q2987" s="9" t="s">
        <v>3025</v>
      </c>
      <c r="R2987" s="10">
        <v>0.6091673628104327</v>
      </c>
      <c r="S2987" s="10">
        <v>0.02761020225233884</v>
      </c>
      <c r="T2987" s="10">
        <v>20.61438585667075</v>
      </c>
      <c r="U2987" s="11">
        <v>0.18423476160798868</v>
      </c>
      <c r="V2987" s="11">
        <v>0.2293902707064671</v>
      </c>
      <c r="W2987" s="11">
        <v>0.1157892995476628</v>
      </c>
      <c r="X2987" s="11">
        <v>0.14167826264571795</v>
      </c>
      <c r="Y2987" s="11">
        <v>0.16957372661582676</v>
      </c>
      <c r="Z2987" s="11">
        <v>0.15933367887633682</v>
      </c>
    </row>
    <row r="2988" ht="22.5" customHeight="1">
      <c r="Q2988" s="9" t="s">
        <v>3026</v>
      </c>
      <c r="R2988" s="10">
        <v>0.49621031277807565</v>
      </c>
      <c r="S2988" s="10">
        <v>0.02213107687462864</v>
      </c>
      <c r="T2988" s="10">
        <v>20.61401328830416</v>
      </c>
      <c r="U2988" s="11">
        <v>0.15856358177700208</v>
      </c>
      <c r="V2988" s="11">
        <v>0.18975247797417885</v>
      </c>
      <c r="W2988" s="11">
        <v>0.07407005705189186</v>
      </c>
      <c r="X2988" s="11">
        <v>0.23682757716932112</v>
      </c>
      <c r="Y2988" s="11">
        <v>0.01683790152535324</v>
      </c>
      <c r="Z2988" s="11">
        <v>0.32394840450225293</v>
      </c>
    </row>
    <row r="2989" ht="22.5" customHeight="1">
      <c r="Q2989" s="9" t="s">
        <v>3027</v>
      </c>
      <c r="R2989" s="10">
        <v>0.6908225284533837</v>
      </c>
      <c r="S2989" s="10">
        <v>0.03157194744226229</v>
      </c>
      <c r="T2989" s="10">
        <v>20.613949444949057</v>
      </c>
      <c r="U2989" s="11">
        <v>0.21718022076253438</v>
      </c>
      <c r="V2989" s="11">
        <v>0.2406206419954508</v>
      </c>
      <c r="W2989" s="11">
        <v>0.16282541934738348</v>
      </c>
      <c r="X2989" s="11">
        <v>0.07915258215495238</v>
      </c>
      <c r="Y2989" s="11">
        <v>0.2771499866592416</v>
      </c>
      <c r="Z2989" s="11">
        <v>0.023071149080437246</v>
      </c>
    </row>
    <row r="2990" ht="22.5" customHeight="1">
      <c r="Q2990" s="9" t="s">
        <v>3028</v>
      </c>
      <c r="R2990" s="10">
        <v>0.6196897634436132</v>
      </c>
      <c r="S2990" s="10">
        <v>0.028121849382057352</v>
      </c>
      <c r="T2990" s="10">
        <v>20.61350075409599</v>
      </c>
      <c r="U2990" s="11">
        <v>0.09389049232399142</v>
      </c>
      <c r="V2990" s="11">
        <v>0.1262524540592823</v>
      </c>
      <c r="W2990" s="11">
        <v>0.21642163867181</v>
      </c>
      <c r="X2990" s="11">
        <v>0.26283556096782157</v>
      </c>
      <c r="Y2990" s="11">
        <v>0.22544261301888582</v>
      </c>
      <c r="Z2990" s="11">
        <v>0.07515724095820879</v>
      </c>
    </row>
    <row r="2991" ht="22.5" customHeight="1">
      <c r="Q2991" s="9" t="s">
        <v>3029</v>
      </c>
      <c r="R2991" s="10">
        <v>0.44826830305181065</v>
      </c>
      <c r="S2991" s="10">
        <v>0.019806194464352982</v>
      </c>
      <c r="T2991" s="10">
        <v>20.613162401621796</v>
      </c>
      <c r="U2991" s="11">
        <v>0.1400577579670209</v>
      </c>
      <c r="V2991" s="11">
        <v>0.16378220830882642</v>
      </c>
      <c r="W2991" s="11">
        <v>0.05600640761456181</v>
      </c>
      <c r="X2991" s="11">
        <v>0.1727300440873284</v>
      </c>
      <c r="Y2991" s="11">
        <v>0.2844380196932959</v>
      </c>
      <c r="Z2991" s="11">
        <v>0.18298556232896662</v>
      </c>
    </row>
    <row r="2992" ht="22.5" customHeight="1">
      <c r="Q2992" s="9" t="s">
        <v>3030</v>
      </c>
      <c r="R2992" s="10">
        <v>0.889719993363146</v>
      </c>
      <c r="S2992" s="10">
        <v>0.041222602011673326</v>
      </c>
      <c r="T2992" s="10">
        <v>20.612963566019538</v>
      </c>
      <c r="U2992" s="11">
        <v>0.07349418749778559</v>
      </c>
      <c r="V2992" s="11">
        <v>0.3274218904203086</v>
      </c>
      <c r="W2992" s="11">
        <v>0.21038160801108016</v>
      </c>
      <c r="X2992" s="11">
        <v>0.309737278410891</v>
      </c>
      <c r="Y2992" s="11">
        <v>0.06937494312478759</v>
      </c>
      <c r="Z2992" s="11">
        <v>0.00959009253514687</v>
      </c>
    </row>
    <row r="2993" ht="22.5" customHeight="1">
      <c r="Q2993" s="9" t="s">
        <v>3031</v>
      </c>
      <c r="R2993" s="10">
        <v>0.3723822814071353</v>
      </c>
      <c r="S2993" s="10">
        <v>0.016125147174369622</v>
      </c>
      <c r="T2993" s="10">
        <v>20.612666527189642</v>
      </c>
      <c r="U2993" s="11">
        <v>0.1468915735905023</v>
      </c>
      <c r="V2993" s="11">
        <v>0.052683234732140045</v>
      </c>
      <c r="W2993" s="11">
        <v>0.12102284348766086</v>
      </c>
      <c r="X2993" s="11">
        <v>0.2316447120673517</v>
      </c>
      <c r="Y2993" s="11">
        <v>0.11329385142786652</v>
      </c>
      <c r="Z2993" s="11">
        <v>0.3344637846944786</v>
      </c>
    </row>
    <row r="2994" ht="22.5" customHeight="1">
      <c r="Q2994" s="9" t="s">
        <v>3032</v>
      </c>
      <c r="R2994" s="10">
        <v>0.7762009444123473</v>
      </c>
      <c r="S2994" s="10">
        <v>0.03571702469793484</v>
      </c>
      <c r="T2994" s="10">
        <v>20.612045673975594</v>
      </c>
      <c r="U2994" s="11">
        <v>0.2656643969976881</v>
      </c>
      <c r="V2994" s="11">
        <v>0.25830259823289053</v>
      </c>
      <c r="W2994" s="11">
        <v>0.21074819477482662</v>
      </c>
      <c r="X2994" s="11">
        <v>0.109480759373861</v>
      </c>
      <c r="Y2994" s="11">
        <v>0.1365004237049098</v>
      </c>
      <c r="Z2994" s="11">
        <v>0.01930362691582385</v>
      </c>
    </row>
    <row r="2995" ht="22.5" customHeight="1">
      <c r="Q2995" s="9" t="s">
        <v>3033</v>
      </c>
      <c r="R2995" s="10">
        <v>0.7480655643450571</v>
      </c>
      <c r="S2995" s="10">
        <v>0.03435259711393259</v>
      </c>
      <c r="T2995" s="10">
        <v>20.61170402915134</v>
      </c>
      <c r="U2995" s="11">
        <v>0.052618580614163815</v>
      </c>
      <c r="V2995" s="11">
        <v>0.1959797026712368</v>
      </c>
      <c r="W2995" s="11">
        <v>0.24593844285187735</v>
      </c>
      <c r="X2995" s="11">
        <v>0.2054859505529908</v>
      </c>
      <c r="Y2995" s="11">
        <v>0.24922278752837132</v>
      </c>
      <c r="Z2995" s="11">
        <v>0.05075453578135981</v>
      </c>
    </row>
    <row r="2996" ht="22.5" customHeight="1">
      <c r="Q2996" s="9" t="s">
        <v>3034</v>
      </c>
      <c r="R2996" s="10">
        <v>0.6017498126474697</v>
      </c>
      <c r="S2996" s="10">
        <v>0.02725465200944527</v>
      </c>
      <c r="T2996" s="10">
        <v>20.61115337127738</v>
      </c>
      <c r="U2996" s="11">
        <v>0.07288046809409925</v>
      </c>
      <c r="V2996" s="11">
        <v>0.17672000085588466</v>
      </c>
      <c r="W2996" s="11">
        <v>0.1755088125995646</v>
      </c>
      <c r="X2996" s="11">
        <v>0.06469042266622861</v>
      </c>
      <c r="Y2996" s="11">
        <v>0.25764653774190044</v>
      </c>
      <c r="Z2996" s="11">
        <v>0.25255375804232244</v>
      </c>
    </row>
    <row r="2997" ht="22.5" customHeight="1">
      <c r="Q2997" s="9" t="s">
        <v>3035</v>
      </c>
      <c r="R2997" s="10">
        <v>0.8126188524020351</v>
      </c>
      <c r="S2997" s="10">
        <v>0.03748607654823383</v>
      </c>
      <c r="T2997" s="10">
        <v>20.610822031692116</v>
      </c>
      <c r="U2997" s="11">
        <v>0.17901384553752347</v>
      </c>
      <c r="V2997" s="11">
        <v>0.24801435349471598</v>
      </c>
      <c r="W2997" s="11">
        <v>0.24684501886395016</v>
      </c>
      <c r="X2997" s="11">
        <v>0.1630880453880436</v>
      </c>
      <c r="Y2997" s="11">
        <v>0.12372075946838401</v>
      </c>
      <c r="Z2997" s="11">
        <v>0.03931797724738287</v>
      </c>
    </row>
    <row r="2998" ht="22.5" customHeight="1">
      <c r="Q2998" s="9" t="s">
        <v>3036</v>
      </c>
      <c r="R2998" s="10">
        <v>0.44941863668451215</v>
      </c>
      <c r="S2998" s="10">
        <v>0.019864625085231492</v>
      </c>
      <c r="T2998" s="10">
        <v>20.61043865302535</v>
      </c>
      <c r="U2998" s="11">
        <v>0.07505507254742697</v>
      </c>
      <c r="V2998" s="11">
        <v>0.16892404566417288</v>
      </c>
      <c r="W2998" s="11">
        <v>0.0496168824000988</v>
      </c>
      <c r="X2998" s="11">
        <v>0.24097281916198268</v>
      </c>
      <c r="Y2998" s="11">
        <v>0.23321108818517394</v>
      </c>
      <c r="Z2998" s="11">
        <v>0.23222009204114463</v>
      </c>
    </row>
    <row r="2999" ht="22.5" customHeight="1">
      <c r="Q2999" s="9" t="s">
        <v>3037</v>
      </c>
      <c r="R2999" s="10">
        <v>0.7922649190167279</v>
      </c>
      <c r="S2999" s="10">
        <v>0.036499757620096815</v>
      </c>
      <c r="T2999" s="10">
        <v>20.610134643812806</v>
      </c>
      <c r="U2999" s="11">
        <v>0.0045628426725346305</v>
      </c>
      <c r="V2999" s="11">
        <v>0.23074208892055664</v>
      </c>
      <c r="W2999" s="11">
        <v>0.24681963298767215</v>
      </c>
      <c r="X2999" s="11">
        <v>0.1914202233742338</v>
      </c>
      <c r="Y2999" s="11">
        <v>0.24473323458569174</v>
      </c>
      <c r="Z2999" s="11">
        <v>0.08172197745931102</v>
      </c>
    </row>
    <row r="3000" ht="22.5" customHeight="1">
      <c r="Q3000" s="9" t="s">
        <v>3038</v>
      </c>
      <c r="R3000" s="10">
        <v>0.6300755243877787</v>
      </c>
      <c r="S3000" s="10">
        <v>0.028630383920496653</v>
      </c>
      <c r="T3000" s="10">
        <v>20.610115673836294</v>
      </c>
      <c r="U3000" s="11">
        <v>0.33123636692616026</v>
      </c>
      <c r="V3000" s="11">
        <v>0.15836306652428755</v>
      </c>
      <c r="W3000" s="11">
        <v>0.20424373649456518</v>
      </c>
      <c r="X3000" s="11">
        <v>0.1051028821371526</v>
      </c>
      <c r="Y3000" s="11">
        <v>0.1476934817900179</v>
      </c>
      <c r="Z3000" s="11">
        <v>0.05336046612781652</v>
      </c>
    </row>
    <row r="3001" ht="22.5" customHeight="1">
      <c r="Q3001" s="9" t="s">
        <v>3039</v>
      </c>
      <c r="R3001" s="10">
        <v>0.6621342952668501</v>
      </c>
      <c r="S3001" s="10">
        <v>0.030186190013284982</v>
      </c>
      <c r="T3001" s="10">
        <v>20.609897936541444</v>
      </c>
      <c r="U3001" s="11">
        <v>0.07061104649191989</v>
      </c>
      <c r="V3001" s="11">
        <v>0.165644220213532</v>
      </c>
      <c r="W3001" s="11">
        <v>0.21834438365843067</v>
      </c>
      <c r="X3001" s="11">
        <v>0.1646606430772158</v>
      </c>
      <c r="Y3001" s="11">
        <v>0.25788840626233306</v>
      </c>
      <c r="Z3001" s="11">
        <v>0.12285130029656849</v>
      </c>
    </row>
    <row r="3002" ht="22.5" customHeight="1">
      <c r="Q3002" s="9" t="s">
        <v>3040</v>
      </c>
      <c r="R3002" s="10">
        <v>0.708593521615772</v>
      </c>
      <c r="S3002" s="10">
        <v>0.03244058761492964</v>
      </c>
      <c r="T3002" s="10">
        <v>20.609784556062582</v>
      </c>
      <c r="U3002" s="11">
        <v>0.18171818157413314</v>
      </c>
      <c r="V3002" s="11">
        <v>0.1868845423737341</v>
      </c>
      <c r="W3002" s="11">
        <v>0.23353934820215733</v>
      </c>
      <c r="X3002" s="11">
        <v>0.17154822083461138</v>
      </c>
      <c r="Y3002" s="11">
        <v>0.11808440372123172</v>
      </c>
      <c r="Z3002" s="11">
        <v>0.10822530329413234</v>
      </c>
    </row>
    <row r="3003" ht="22.5" customHeight="1">
      <c r="Q3003" s="9" t="s">
        <v>3041</v>
      </c>
      <c r="R3003" s="10">
        <v>0.522331348251574</v>
      </c>
      <c r="S3003" s="10">
        <v>0.0183978944145104</v>
      </c>
      <c r="T3003" s="10">
        <v>20.6096633219609</v>
      </c>
      <c r="U3003" s="11">
        <v>0.03411609496004151</v>
      </c>
      <c r="V3003" s="11">
        <v>0.0651825942018925</v>
      </c>
      <c r="W3003" s="11">
        <v>0.13503394874127836</v>
      </c>
      <c r="X3003" s="11">
        <v>0.22819831703283533</v>
      </c>
      <c r="Y3003" s="11">
        <v>0.3033777850391</v>
      </c>
      <c r="Z3003" s="11">
        <v>0.2340912600248522</v>
      </c>
    </row>
    <row r="3004" ht="22.5" customHeight="1">
      <c r="Q3004" s="9" t="s">
        <v>3042</v>
      </c>
      <c r="R3004" s="10">
        <v>0.7349659142236501</v>
      </c>
      <c r="S3004" s="10">
        <v>0.03372048925860432</v>
      </c>
      <c r="T3004" s="10">
        <v>20.609603523066276</v>
      </c>
      <c r="U3004" s="11">
        <v>0.2701640491068453</v>
      </c>
      <c r="V3004" s="11">
        <v>0.2412277236308071</v>
      </c>
      <c r="W3004" s="11">
        <v>0.19807085158812462</v>
      </c>
      <c r="X3004" s="11">
        <v>0.0745799502012321</v>
      </c>
      <c r="Y3004" s="11">
        <v>0.20007955500504274</v>
      </c>
      <c r="Z3004" s="11">
        <v>0.015877870467948075</v>
      </c>
    </row>
    <row r="3005" ht="22.5" customHeight="1">
      <c r="Q3005" s="9" t="s">
        <v>3043</v>
      </c>
      <c r="R3005" s="10">
        <v>0.8327806313469714</v>
      </c>
      <c r="S3005" s="10">
        <v>0.03846675757053386</v>
      </c>
      <c r="T3005" s="10">
        <v>20.609499771154454</v>
      </c>
      <c r="U3005" s="11">
        <v>0.0708704370279869</v>
      </c>
      <c r="V3005" s="11">
        <v>0.25031886200306974</v>
      </c>
      <c r="W3005" s="11">
        <v>0.2595448689448292</v>
      </c>
      <c r="X3005" s="11">
        <v>0.26996768333253973</v>
      </c>
      <c r="Y3005" s="11">
        <v>0.005144156509943845</v>
      </c>
      <c r="Z3005" s="11">
        <v>0.14415399218163044</v>
      </c>
    </row>
    <row r="3006" ht="22.5" customHeight="1">
      <c r="Q3006" s="9" t="s">
        <v>3044</v>
      </c>
      <c r="R3006" s="10">
        <v>0.57296395379756</v>
      </c>
      <c r="S3006" s="10">
        <v>0.02586015593901406</v>
      </c>
      <c r="T3006" s="10">
        <v>20.609464036274474</v>
      </c>
      <c r="U3006" s="11">
        <v>0.09058158691517773</v>
      </c>
      <c r="V3006" s="11">
        <v>0.12886413060131935</v>
      </c>
      <c r="W3006" s="11">
        <v>0.19357226518551274</v>
      </c>
      <c r="X3006" s="11">
        <v>0.16932440904318985</v>
      </c>
      <c r="Y3006" s="11">
        <v>0.20330087637743488</v>
      </c>
      <c r="Z3006" s="11">
        <v>0.21435673187736545</v>
      </c>
    </row>
    <row r="3007" ht="22.5" customHeight="1">
      <c r="Q3007" s="9" t="s">
        <v>3045</v>
      </c>
      <c r="R3007" s="10">
        <v>0.6210589973734767</v>
      </c>
      <c r="S3007" s="10">
        <v>0.028194740431210556</v>
      </c>
      <c r="T3007" s="10">
        <v>20.608772717420212</v>
      </c>
      <c r="U3007" s="11">
        <v>0.10267724915143789</v>
      </c>
      <c r="V3007" s="11">
        <v>0.1996339392247015</v>
      </c>
      <c r="W3007" s="11">
        <v>0.1650736856284795</v>
      </c>
      <c r="X3007" s="11">
        <v>0.051188006198998465</v>
      </c>
      <c r="Y3007" s="11">
        <v>0.2684143753181229</v>
      </c>
      <c r="Z3007" s="11">
        <v>0.21301274447825963</v>
      </c>
    </row>
    <row r="3008" ht="22.5" customHeight="1">
      <c r="Q3008" s="9" t="s">
        <v>3046</v>
      </c>
      <c r="R3008" s="10">
        <v>0.6966430112064527</v>
      </c>
      <c r="S3008" s="10">
        <v>0.03186380308112869</v>
      </c>
      <c r="T3008" s="10">
        <v>20.607804082098063</v>
      </c>
      <c r="U3008" s="11">
        <v>0.2008900897124426</v>
      </c>
      <c r="V3008" s="11">
        <v>0.1650221915761311</v>
      </c>
      <c r="W3008" s="11">
        <v>0.23885959892957806</v>
      </c>
      <c r="X3008" s="11">
        <v>0.21849566291005657</v>
      </c>
      <c r="Y3008" s="11">
        <v>0.13869838404156187</v>
      </c>
      <c r="Z3008" s="11">
        <v>0.0380340728302298</v>
      </c>
    </row>
    <row r="3009" ht="22.5" customHeight="1">
      <c r="Q3009" s="9" t="s">
        <v>3047</v>
      </c>
      <c r="R3009" s="10">
        <v>0.9191386191060704</v>
      </c>
      <c r="S3009" s="10">
        <v>0.042661250688310205</v>
      </c>
      <c r="T3009" s="10">
        <v>20.607427230139013</v>
      </c>
      <c r="U3009" s="11">
        <v>0.012274214668038215</v>
      </c>
      <c r="V3009" s="11">
        <v>0.30016760677082</v>
      </c>
      <c r="W3009" s="11">
        <v>0.2649062744663873</v>
      </c>
      <c r="X3009" s="11">
        <v>0.2566493430046445</v>
      </c>
      <c r="Y3009" s="11">
        <v>0.1536730806262129</v>
      </c>
      <c r="Z3009" s="11">
        <v>0.0123294804638972</v>
      </c>
    </row>
    <row r="3010" ht="22.5" customHeight="1">
      <c r="Q3010" s="9" t="s">
        <v>3048</v>
      </c>
      <c r="R3010" s="10">
        <v>0.7475835099994175</v>
      </c>
      <c r="S3010" s="10">
        <v>0.03433647066015037</v>
      </c>
      <c r="T3010" s="10">
        <v>20.60734537928537</v>
      </c>
      <c r="U3010" s="11">
        <v>0.007543785122163466</v>
      </c>
      <c r="V3010" s="11">
        <v>0.2560033981304229</v>
      </c>
      <c r="W3010" s="11">
        <v>0.19203939273715953</v>
      </c>
      <c r="X3010" s="11">
        <v>0.13597863426887202</v>
      </c>
      <c r="Y3010" s="11">
        <v>0.28037384532949744</v>
      </c>
      <c r="Z3010" s="11">
        <v>0.12806094441188476</v>
      </c>
    </row>
    <row r="3011" ht="22.5" customHeight="1">
      <c r="Q3011" s="9" t="s">
        <v>3049</v>
      </c>
      <c r="R3011" s="10">
        <v>0.5001620318070611</v>
      </c>
      <c r="S3011" s="10">
        <v>0.022330057084198836</v>
      </c>
      <c r="T3011" s="10">
        <v>20.607293123880115</v>
      </c>
      <c r="U3011" s="11">
        <v>0.342033536098993</v>
      </c>
      <c r="V3011" s="11">
        <v>0.16578174840355614</v>
      </c>
      <c r="W3011" s="11">
        <v>0.11395309085412195</v>
      </c>
      <c r="X3011" s="11">
        <v>0.04335703592646126</v>
      </c>
      <c r="Y3011" s="11">
        <v>0.07257457525607064</v>
      </c>
      <c r="Z3011" s="11">
        <v>0.2623000134607971</v>
      </c>
    </row>
    <row r="3012" ht="22.5" customHeight="1">
      <c r="Q3012" s="9" t="s">
        <v>3050</v>
      </c>
      <c r="R3012" s="10">
        <v>0.4371469400607237</v>
      </c>
      <c r="S3012" s="10">
        <v>0.01927218130274223</v>
      </c>
      <c r="T3012" s="10">
        <v>20.60726462780909</v>
      </c>
      <c r="U3012" s="11">
        <v>0.24803354860979143</v>
      </c>
      <c r="V3012" s="11">
        <v>0.14432075349590362</v>
      </c>
      <c r="W3012" s="11">
        <v>0.08205125934176752</v>
      </c>
      <c r="X3012" s="11">
        <v>0.03926269029069939</v>
      </c>
      <c r="Y3012" s="11">
        <v>0.25940642336238195</v>
      </c>
      <c r="Z3012" s="11">
        <v>0.22692532489945608</v>
      </c>
    </row>
    <row r="3013" ht="22.5" customHeight="1">
      <c r="Q3013" s="9" t="s">
        <v>3051</v>
      </c>
      <c r="R3013" s="10">
        <v>0.5830844817365645</v>
      </c>
      <c r="S3013" s="10">
        <v>0.026354486666131244</v>
      </c>
      <c r="T3013" s="10">
        <v>20.606907985595285</v>
      </c>
      <c r="U3013" s="11">
        <v>0.20040566723870903</v>
      </c>
      <c r="V3013" s="11">
        <v>0.16764971652503013</v>
      </c>
      <c r="W3013" s="11">
        <v>0.17043873221386352</v>
      </c>
      <c r="X3013" s="11">
        <v>0.03780158164297032</v>
      </c>
      <c r="Y3013" s="11">
        <v>0.22362520686882156</v>
      </c>
      <c r="Z3013" s="11">
        <v>0.2000790955106054</v>
      </c>
    </row>
    <row r="3014" ht="22.5" customHeight="1">
      <c r="Q3014" s="9" t="s">
        <v>3052</v>
      </c>
      <c r="R3014" s="10">
        <v>0.7148199405070036</v>
      </c>
      <c r="S3014" s="10">
        <v>0.03274789434143887</v>
      </c>
      <c r="T3014" s="10">
        <v>20.606513917235066</v>
      </c>
      <c r="U3014" s="11">
        <v>0.09686380340310403</v>
      </c>
      <c r="V3014" s="11">
        <v>0.1814568527275807</v>
      </c>
      <c r="W3014" s="11">
        <v>0.24185223353438165</v>
      </c>
      <c r="X3014" s="11">
        <v>0.27158584835324673</v>
      </c>
      <c r="Y3014" s="11">
        <v>0.025319381676187473</v>
      </c>
      <c r="Z3014" s="11">
        <v>0.1829218803054993</v>
      </c>
    </row>
    <row r="3015" ht="22.5" customHeight="1">
      <c r="Q3015" s="9" t="s">
        <v>3053</v>
      </c>
      <c r="R3015" s="10">
        <v>0.8008961767836282</v>
      </c>
      <c r="S3015" s="10">
        <v>0.036925061277268384</v>
      </c>
      <c r="T3015" s="10">
        <v>20.60649733442818</v>
      </c>
      <c r="U3015" s="11">
        <v>0.2500587572893687</v>
      </c>
      <c r="V3015" s="11">
        <v>0.252793715677118</v>
      </c>
      <c r="W3015" s="11">
        <v>0.23497891258625853</v>
      </c>
      <c r="X3015" s="11">
        <v>0.14230015325046602</v>
      </c>
      <c r="Y3015" s="11">
        <v>0.0845810681681789</v>
      </c>
      <c r="Z3015" s="11">
        <v>0.03528739302860992</v>
      </c>
    </row>
    <row r="3016" ht="22.5" customHeight="1">
      <c r="Q3016" s="9" t="s">
        <v>3054</v>
      </c>
      <c r="R3016" s="10">
        <v>0.8214173850214065</v>
      </c>
      <c r="S3016" s="10">
        <v>0.037922526456556103</v>
      </c>
      <c r="T3016" s="10">
        <v>20.605625680467128</v>
      </c>
      <c r="U3016" s="11">
        <v>0.02894108909077386</v>
      </c>
      <c r="V3016" s="11">
        <v>0.27839925124913395</v>
      </c>
      <c r="W3016" s="11">
        <v>0.21762047034401286</v>
      </c>
      <c r="X3016" s="11">
        <v>0.1636779323599748</v>
      </c>
      <c r="Y3016" s="11">
        <v>0.2860781671411175</v>
      </c>
      <c r="Z3016" s="11">
        <v>0.02528308981498694</v>
      </c>
    </row>
    <row r="3017" ht="22.5" customHeight="1">
      <c r="Q3017" s="9" t="s">
        <v>3055</v>
      </c>
      <c r="R3017" s="10">
        <v>0.606065751511656</v>
      </c>
      <c r="S3017" s="10">
        <v>0.02747160089820338</v>
      </c>
      <c r="T3017" s="10">
        <v>20.605488322621788</v>
      </c>
      <c r="U3017" s="11">
        <v>0.06320908847523798</v>
      </c>
      <c r="V3017" s="11">
        <v>0.13390429391411718</v>
      </c>
      <c r="W3017" s="11">
        <v>0.20848620723221498</v>
      </c>
      <c r="X3017" s="11">
        <v>0.2180695138273993</v>
      </c>
      <c r="Y3017" s="11">
        <v>0.1916050531989259</v>
      </c>
      <c r="Z3017" s="11">
        <v>0.18472584335210465</v>
      </c>
    </row>
    <row r="3018" ht="22.5" customHeight="1">
      <c r="Q3018" s="9" t="s">
        <v>3056</v>
      </c>
      <c r="R3018" s="10">
        <v>0.44934603592263</v>
      </c>
      <c r="S3018" s="10">
        <v>0.019865876552023532</v>
      </c>
      <c r="T3018" s="10">
        <v>20.605485735837522</v>
      </c>
      <c r="U3018" s="11">
        <v>0.27744952054299576</v>
      </c>
      <c r="V3018" s="11">
        <v>0.1471466799995227</v>
      </c>
      <c r="W3018" s="11">
        <v>0.08485499681231641</v>
      </c>
      <c r="X3018" s="11">
        <v>0.038484043607002937</v>
      </c>
      <c r="Y3018" s="11">
        <v>0.282884697511891</v>
      </c>
      <c r="Z3018" s="11">
        <v>0.16918006152627116</v>
      </c>
    </row>
    <row r="3019" ht="22.5" customHeight="1">
      <c r="Q3019" s="9" t="s">
        <v>3057</v>
      </c>
      <c r="R3019" s="10">
        <v>0.7559924645869397</v>
      </c>
      <c r="S3019" s="10">
        <v>0.0347480155799732</v>
      </c>
      <c r="T3019" s="10">
        <v>20.60527637726735</v>
      </c>
      <c r="U3019" s="11">
        <v>0.2045715259606178</v>
      </c>
      <c r="V3019" s="11">
        <v>0.2515054347272669</v>
      </c>
      <c r="W3019" s="11">
        <v>0.2057664309524577</v>
      </c>
      <c r="X3019" s="11">
        <v>0.10436604367171756</v>
      </c>
      <c r="Y3019" s="11">
        <v>0.1534182894921994</v>
      </c>
      <c r="Z3019" s="11">
        <v>0.08037227519574064</v>
      </c>
    </row>
    <row r="3020" ht="22.5" customHeight="1">
      <c r="Q3020" s="9" t="s">
        <v>3058</v>
      </c>
      <c r="R3020" s="10">
        <v>0.7101676819381962</v>
      </c>
      <c r="S3020" s="10">
        <v>0.03252434653817193</v>
      </c>
      <c r="T3020" s="10">
        <v>20.605108273325627</v>
      </c>
      <c r="U3020" s="11">
        <v>0.22389784868956283</v>
      </c>
      <c r="V3020" s="11">
        <v>0.2432377110813251</v>
      </c>
      <c r="W3020" s="11">
        <v>0.1855470306392333</v>
      </c>
      <c r="X3020" s="11">
        <v>0.12426187043728439</v>
      </c>
      <c r="Y3020" s="11">
        <v>0.03652361312410741</v>
      </c>
      <c r="Z3020" s="11">
        <v>0.18653192602848703</v>
      </c>
    </row>
    <row r="3021" ht="22.5" customHeight="1">
      <c r="Q3021" s="9" t="s">
        <v>3059</v>
      </c>
      <c r="R3021" s="10">
        <v>0.6188588963681941</v>
      </c>
      <c r="S3021" s="10">
        <v>0.02809374735028527</v>
      </c>
      <c r="T3021" s="10">
        <v>20.604545529321005</v>
      </c>
      <c r="U3021" s="11">
        <v>0.22924540710178642</v>
      </c>
      <c r="V3021" s="11">
        <v>0.1684032924235548</v>
      </c>
      <c r="W3021" s="11">
        <v>0.19088238017979905</v>
      </c>
      <c r="X3021" s="11">
        <v>0.06339618400341993</v>
      </c>
      <c r="Y3021" s="11">
        <v>0.22528321473521667</v>
      </c>
      <c r="Z3021" s="11">
        <v>0.12278952155622323</v>
      </c>
    </row>
    <row r="3022" ht="22.5" customHeight="1">
      <c r="Q3022" s="9" t="s">
        <v>3060</v>
      </c>
      <c r="R3022" s="10">
        <v>0.7705324450882917</v>
      </c>
      <c r="S3022" s="10">
        <v>0.035454937974209164</v>
      </c>
      <c r="T3022" s="10">
        <v>20.60453315754493</v>
      </c>
      <c r="U3022" s="11">
        <v>0.08669441919880576</v>
      </c>
      <c r="V3022" s="11">
        <v>0.26931753146960463</v>
      </c>
      <c r="W3022" s="11">
        <v>0.19159015614947053</v>
      </c>
      <c r="X3022" s="11">
        <v>0.1343929624340584</v>
      </c>
      <c r="Y3022" s="11">
        <v>0.2705960740972872</v>
      </c>
      <c r="Z3022" s="11">
        <v>0.047408856650773525</v>
      </c>
    </row>
    <row r="3023" ht="22.5" customHeight="1">
      <c r="Q3023" s="9" t="s">
        <v>3061</v>
      </c>
      <c r="R3023" s="10">
        <v>0.8129068723057915</v>
      </c>
      <c r="S3023" s="10">
        <v>0.037511816015660004</v>
      </c>
      <c r="T3023" s="10">
        <v>20.604357623825173</v>
      </c>
      <c r="U3023" s="11">
        <v>0.004438760405601644</v>
      </c>
      <c r="V3023" s="11">
        <v>0.24348084773911424</v>
      </c>
      <c r="W3023" s="11">
        <v>0.25136028959660506</v>
      </c>
      <c r="X3023" s="11">
        <v>0.2100072787377972</v>
      </c>
      <c r="Y3023" s="11">
        <v>0.17386165623279382</v>
      </c>
      <c r="Z3023" s="11">
        <v>0.11685116728808796</v>
      </c>
    </row>
    <row r="3024" ht="22.5" customHeight="1">
      <c r="Q3024" s="9" t="s">
        <v>3062</v>
      </c>
      <c r="R3024" s="10">
        <v>0.7518184484348402</v>
      </c>
      <c r="S3024" s="10">
        <v>0.034547391917653124</v>
      </c>
      <c r="T3024" s="10">
        <v>20.604115359316406</v>
      </c>
      <c r="U3024" s="11">
        <v>0.0050875460573181226</v>
      </c>
      <c r="V3024" s="11">
        <v>0.18462349543510398</v>
      </c>
      <c r="W3024" s="11">
        <v>0.2545628256558784</v>
      </c>
      <c r="X3024" s="11">
        <v>0.27362412236329314</v>
      </c>
      <c r="Y3024" s="11">
        <v>0.24285661645583786</v>
      </c>
      <c r="Z3024" s="11">
        <v>0.03924539403256841</v>
      </c>
    </row>
    <row r="3025" ht="22.5" customHeight="1">
      <c r="Q3025" s="9" t="s">
        <v>3063</v>
      </c>
      <c r="R3025" s="10">
        <v>0.7709060393465139</v>
      </c>
      <c r="S3025" s="10">
        <v>0.03547597186494887</v>
      </c>
      <c r="T3025" s="10">
        <v>20.602847530969743</v>
      </c>
      <c r="U3025" s="11">
        <v>0.1086067233901961</v>
      </c>
      <c r="V3025" s="11">
        <v>0.2812266794343052</v>
      </c>
      <c r="W3025" s="11">
        <v>0.17931148743676095</v>
      </c>
      <c r="X3025" s="11">
        <v>0.1721806432450107</v>
      </c>
      <c r="Y3025" s="11">
        <v>0.18606133114516815</v>
      </c>
      <c r="Z3025" s="11">
        <v>0.07261313534855911</v>
      </c>
    </row>
    <row r="3026" ht="22.5" customHeight="1">
      <c r="Q3026" s="9" t="s">
        <v>3064</v>
      </c>
      <c r="R3026" s="10">
        <v>0.6237831426396819</v>
      </c>
      <c r="S3026" s="10">
        <v>0.028335348712154436</v>
      </c>
      <c r="T3026" s="10">
        <v>20.60264542956792</v>
      </c>
      <c r="U3026" s="11">
        <v>0.03959937144083261</v>
      </c>
      <c r="V3026" s="11">
        <v>0.18918203076523799</v>
      </c>
      <c r="W3026" s="11">
        <v>0.17908322939025478</v>
      </c>
      <c r="X3026" s="11">
        <v>0.07437033118079091</v>
      </c>
      <c r="Y3026" s="11">
        <v>0.258809334112319</v>
      </c>
      <c r="Z3026" s="11">
        <v>0.2589557031105647</v>
      </c>
    </row>
    <row r="3027" ht="22.5" customHeight="1">
      <c r="Q3027" s="9" t="s">
        <v>3065</v>
      </c>
      <c r="R3027" s="10">
        <v>0.5925045728985461</v>
      </c>
      <c r="S3027" s="10">
        <v>0.026817259598622054</v>
      </c>
      <c r="T3027" s="10">
        <v>20.602573908295064</v>
      </c>
      <c r="U3027" s="11">
        <v>0.2912288932798032</v>
      </c>
      <c r="V3027" s="11">
        <v>0.18990103475714606</v>
      </c>
      <c r="W3027" s="11">
        <v>0.14986020055879207</v>
      </c>
      <c r="X3027" s="11">
        <v>0.017510438457295517</v>
      </c>
      <c r="Y3027" s="11">
        <v>0.2500616551690034</v>
      </c>
      <c r="Z3027" s="11">
        <v>0.10143777777795968</v>
      </c>
    </row>
    <row r="3028" ht="22.5" customHeight="1">
      <c r="Q3028" s="9" t="s">
        <v>3066</v>
      </c>
      <c r="R3028" s="10">
        <v>0.3545336903484169</v>
      </c>
      <c r="S3028" s="10">
        <v>0.015266725808921418</v>
      </c>
      <c r="T3028" s="10">
        <v>20.602563659367803</v>
      </c>
      <c r="U3028" s="11">
        <v>0.1865311592252525</v>
      </c>
      <c r="V3028" s="11">
        <v>0.03200775201236414</v>
      </c>
      <c r="W3028" s="11">
        <v>0.11114035868011822</v>
      </c>
      <c r="X3028" s="11">
        <v>0.32339889688275597</v>
      </c>
      <c r="Y3028" s="11">
        <v>0.1682046680311065</v>
      </c>
      <c r="Z3028" s="11">
        <v>0.17871716516840247</v>
      </c>
    </row>
    <row r="3029" ht="22.5" customHeight="1">
      <c r="Q3029" s="9" t="s">
        <v>3067</v>
      </c>
      <c r="R3029" s="10">
        <v>0.749988558641983</v>
      </c>
      <c r="S3029" s="10">
        <v>0.03446164153986938</v>
      </c>
      <c r="T3029" s="10">
        <v>20.602284943988597</v>
      </c>
      <c r="U3029" s="11">
        <v>0.08837407599290806</v>
      </c>
      <c r="V3029" s="11">
        <v>0.21720393536940918</v>
      </c>
      <c r="W3029" s="11">
        <v>0.235848877947986</v>
      </c>
      <c r="X3029" s="11">
        <v>0.16254014614947745</v>
      </c>
      <c r="Y3029" s="11">
        <v>0.1539601537491527</v>
      </c>
      <c r="Z3029" s="11">
        <v>0.14207281079106654</v>
      </c>
    </row>
    <row r="3030" ht="22.5" customHeight="1">
      <c r="Q3030" s="9" t="s">
        <v>3068</v>
      </c>
      <c r="R3030" s="10">
        <v>0.6953424761280173</v>
      </c>
      <c r="S3030" s="10">
        <v>0.0318092746968471</v>
      </c>
      <c r="T3030" s="10">
        <v>20.60224517451742</v>
      </c>
      <c r="U3030" s="11">
        <v>0.2745912151339797</v>
      </c>
      <c r="V3030" s="11">
        <v>0.1949239657682477</v>
      </c>
      <c r="W3030" s="11">
        <v>0.2140979398621349</v>
      </c>
      <c r="X3030" s="11">
        <v>0.08069990116404922</v>
      </c>
      <c r="Y3030" s="11">
        <v>0.2320154493015439</v>
      </c>
      <c r="Z3030" s="11">
        <v>0.0036715287700445067</v>
      </c>
    </row>
    <row r="3031" ht="22.5" customHeight="1">
      <c r="Q3031" s="9" t="s">
        <v>3069</v>
      </c>
      <c r="R3031" s="10">
        <v>0.6953942817977324</v>
      </c>
      <c r="S3031" s="10">
        <v>0.03181195970819301</v>
      </c>
      <c r="T3031" s="10">
        <v>20.602134788600868</v>
      </c>
      <c r="U3031" s="11">
        <v>0.13618020993143523</v>
      </c>
      <c r="V3031" s="11">
        <v>0.17728976622824594</v>
      </c>
      <c r="W3031" s="11">
        <v>0.23265754772020922</v>
      </c>
      <c r="X3031" s="11">
        <v>0.1878949575544038</v>
      </c>
      <c r="Y3031" s="11">
        <v>0.13888002927480733</v>
      </c>
      <c r="Z3031" s="11">
        <v>0.1270974892908986</v>
      </c>
    </row>
    <row r="3032" ht="22.5" customHeight="1">
      <c r="Q3032" s="9" t="s">
        <v>3070</v>
      </c>
      <c r="R3032" s="10">
        <v>0.6527505575992072</v>
      </c>
      <c r="S3032" s="10">
        <v>0.02974230145088851</v>
      </c>
      <c r="T3032" s="10">
        <v>20.60198867296808</v>
      </c>
      <c r="U3032" s="11">
        <v>0.3569434753783941</v>
      </c>
      <c r="V3032" s="11">
        <v>0.16489176217101179</v>
      </c>
      <c r="W3032" s="11">
        <v>0.21420183026524398</v>
      </c>
      <c r="X3032" s="11">
        <v>0.1367606880369004</v>
      </c>
      <c r="Y3032" s="11">
        <v>0.06926945850833968</v>
      </c>
      <c r="Z3032" s="11">
        <v>0.05793278564011006</v>
      </c>
    </row>
    <row r="3033" ht="22.5" customHeight="1">
      <c r="Q3033" s="9" t="s">
        <v>3071</v>
      </c>
      <c r="R3033" s="10">
        <v>0.6301765216387682</v>
      </c>
      <c r="S3033" s="10">
        <v>0.028646705812340138</v>
      </c>
      <c r="T3033" s="10">
        <v>20.601898365030788</v>
      </c>
      <c r="U3033" s="11">
        <v>0.17208081336958259</v>
      </c>
      <c r="V3033" s="11">
        <v>0.16794738190405656</v>
      </c>
      <c r="W3033" s="11">
        <v>0.20112970373063643</v>
      </c>
      <c r="X3033" s="11">
        <v>0.09948966996526908</v>
      </c>
      <c r="Y3033" s="11">
        <v>0.1822263604656489</v>
      </c>
      <c r="Z3033" s="11">
        <v>0.17712607056480645</v>
      </c>
    </row>
    <row r="3034" ht="22.5" customHeight="1">
      <c r="Q3034" s="9" t="s">
        <v>3072</v>
      </c>
      <c r="R3034" s="10">
        <v>0.7208768879050501</v>
      </c>
      <c r="S3034" s="10">
        <v>0.033049353367520115</v>
      </c>
      <c r="T3034" s="10">
        <v>20.601821776464615</v>
      </c>
      <c r="U3034" s="11">
        <v>0.16233662674386623</v>
      </c>
      <c r="V3034" s="11">
        <v>0.19419610813184626</v>
      </c>
      <c r="W3034" s="11">
        <v>0.23619085096668155</v>
      </c>
      <c r="X3034" s="11">
        <v>0.17585198311694344</v>
      </c>
      <c r="Y3034" s="11">
        <v>0.10712425386904066</v>
      </c>
      <c r="Z3034" s="11">
        <v>0.12430017717162181</v>
      </c>
    </row>
    <row r="3035" ht="22.5" customHeight="1">
      <c r="Q3035" s="9" t="s">
        <v>3073</v>
      </c>
      <c r="R3035" s="10">
        <v>0.3035427378231827</v>
      </c>
      <c r="S3035" s="10">
        <v>0.012792319602663915</v>
      </c>
      <c r="T3035" s="10">
        <v>20.601638014758613</v>
      </c>
      <c r="U3035" s="11">
        <v>0.11276447003956383</v>
      </c>
      <c r="V3035" s="11">
        <v>0.08027124550208282</v>
      </c>
      <c r="W3035" s="11">
        <v>0.042334604226543504</v>
      </c>
      <c r="X3035" s="11">
        <v>0.1314882336486575</v>
      </c>
      <c r="Y3035" s="11">
        <v>0.30831813092128085</v>
      </c>
      <c r="Z3035" s="11">
        <v>0.3248233156618714</v>
      </c>
    </row>
    <row r="3036" ht="22.5" customHeight="1">
      <c r="Q3036" s="9" t="s">
        <v>3074</v>
      </c>
      <c r="R3036" s="10">
        <v>0.6054878335116213</v>
      </c>
      <c r="S3036" s="10">
        <v>0.027448701370568356</v>
      </c>
      <c r="T3036" s="10">
        <v>20.60162431283401</v>
      </c>
      <c r="U3036" s="11">
        <v>0.22771830282927696</v>
      </c>
      <c r="V3036" s="11">
        <v>0.21070941609877705</v>
      </c>
      <c r="W3036" s="11">
        <v>0.13581790634685711</v>
      </c>
      <c r="X3036" s="11">
        <v>0.05076838585794012</v>
      </c>
      <c r="Y3036" s="11">
        <v>0.2605403460481726</v>
      </c>
      <c r="Z3036" s="11">
        <v>0.11444564281897603</v>
      </c>
    </row>
    <row r="3037" ht="22.5" customHeight="1">
      <c r="Q3037" s="9" t="s">
        <v>3075</v>
      </c>
      <c r="R3037" s="10">
        <v>0.3534207337115948</v>
      </c>
      <c r="S3037" s="10">
        <v>0.01521351349496856</v>
      </c>
      <c r="T3037" s="10">
        <v>20.601469464318672</v>
      </c>
      <c r="U3037" s="11">
        <v>0.22001324947745335</v>
      </c>
      <c r="V3037" s="11">
        <v>0.11815979111666698</v>
      </c>
      <c r="W3037" s="11">
        <v>0.03188000716760276</v>
      </c>
      <c r="X3037" s="11">
        <v>0.1812769257785345</v>
      </c>
      <c r="Y3037" s="11">
        <v>0.23907970134919226</v>
      </c>
      <c r="Z3037" s="11">
        <v>0.20959032511055015</v>
      </c>
    </row>
    <row r="3038" ht="22.5" customHeight="1">
      <c r="Q3038" s="9" t="s">
        <v>3076</v>
      </c>
      <c r="R3038" s="10">
        <v>0.38956065107306415</v>
      </c>
      <c r="S3038" s="10">
        <v>0.016967972727151937</v>
      </c>
      <c r="T3038" s="10">
        <v>20.601203024902414</v>
      </c>
      <c r="U3038" s="11">
        <v>0.2638139775940973</v>
      </c>
      <c r="V3038" s="11">
        <v>0.04962654133180552</v>
      </c>
      <c r="W3038" s="11">
        <v>0.12443617888522605</v>
      </c>
      <c r="X3038" s="11">
        <v>0.21618460377094817</v>
      </c>
      <c r="Y3038" s="11">
        <v>0.22471379499947747</v>
      </c>
      <c r="Z3038" s="11">
        <v>0.12122490341844559</v>
      </c>
    </row>
    <row r="3039" ht="22.5" customHeight="1">
      <c r="Q3039" s="9" t="s">
        <v>3077</v>
      </c>
      <c r="R3039" s="10">
        <v>0.5606876880365292</v>
      </c>
      <c r="S3039" s="10">
        <v>0.025274785294243818</v>
      </c>
      <c r="T3039" s="10">
        <v>20.601072649076578</v>
      </c>
      <c r="U3039" s="11">
        <v>0.22010015917537906</v>
      </c>
      <c r="V3039" s="11">
        <v>0.2169659290710865</v>
      </c>
      <c r="W3039" s="11">
        <v>0.08837135286130685</v>
      </c>
      <c r="X3039" s="11">
        <v>0.21580126092024016</v>
      </c>
      <c r="Y3039" s="11">
        <v>0.0725969401724961</v>
      </c>
      <c r="Z3039" s="11">
        <v>0.18616435779949123</v>
      </c>
    </row>
    <row r="3040" ht="22.5" customHeight="1">
      <c r="Q3040" s="9" t="s">
        <v>3078</v>
      </c>
      <c r="R3040" s="10">
        <v>0.4545927648039192</v>
      </c>
      <c r="S3040" s="10">
        <v>0.020124831163641527</v>
      </c>
      <c r="T3040" s="10">
        <v>20.601055553347557</v>
      </c>
      <c r="U3040" s="11">
        <v>0.25011650928277196</v>
      </c>
      <c r="V3040" s="11">
        <v>0.07882852895859496</v>
      </c>
      <c r="W3040" s="11">
        <v>0.15460873091339608</v>
      </c>
      <c r="X3040" s="11">
        <v>0.1920700037331981</v>
      </c>
      <c r="Y3040" s="11">
        <v>0.10225909178669917</v>
      </c>
      <c r="Z3040" s="11">
        <v>0.2221171353253396</v>
      </c>
    </row>
    <row r="3041" ht="22.5" customHeight="1">
      <c r="Q3041" s="9" t="s">
        <v>3079</v>
      </c>
      <c r="R3041" s="10">
        <v>0.6290566905449072</v>
      </c>
      <c r="S3041" s="10">
        <v>0.02859410339483548</v>
      </c>
      <c r="T3041" s="10">
        <v>20.600635117354287</v>
      </c>
      <c r="U3041" s="11">
        <v>0.16371426566792005</v>
      </c>
      <c r="V3041" s="11">
        <v>0.20762776387942303</v>
      </c>
      <c r="W3041" s="11">
        <v>0.16572268857053873</v>
      </c>
      <c r="X3041" s="11">
        <v>0.055227269222024256</v>
      </c>
      <c r="Y3041" s="11">
        <v>0.17270593377967705</v>
      </c>
      <c r="Z3041" s="11">
        <v>0.2350020788804169</v>
      </c>
    </row>
    <row r="3042" ht="22.5" customHeight="1">
      <c r="Q3042" s="9" t="s">
        <v>3080</v>
      </c>
      <c r="R3042" s="10">
        <v>0.5560124496234882</v>
      </c>
      <c r="S3042" s="10">
        <v>0.02504873635157019</v>
      </c>
      <c r="T3042" s="10">
        <v>20.600338571216653</v>
      </c>
      <c r="U3042" s="11">
        <v>0.161872076676152</v>
      </c>
      <c r="V3042" s="11">
        <v>0.17467016491654208</v>
      </c>
      <c r="W3042" s="11">
        <v>0.14772000377680686</v>
      </c>
      <c r="X3042" s="11">
        <v>0.02760745763263345</v>
      </c>
      <c r="Y3042" s="11">
        <v>0.2081945112379377</v>
      </c>
      <c r="Z3042" s="11">
        <v>0.2799357857599279</v>
      </c>
    </row>
    <row r="3043" ht="22.5" customHeight="1">
      <c r="Q3043" s="9" t="s">
        <v>3081</v>
      </c>
      <c r="R3043" s="10">
        <v>0.7955854316624213</v>
      </c>
      <c r="S3043" s="10">
        <v>0.03667897871999089</v>
      </c>
      <c r="T3043" s="10">
        <v>20.599958287568402</v>
      </c>
      <c r="U3043" s="11">
        <v>0.19842674155586157</v>
      </c>
      <c r="V3043" s="11">
        <v>0.27921710805411154</v>
      </c>
      <c r="W3043" s="11">
        <v>0.19982080318656248</v>
      </c>
      <c r="X3043" s="11">
        <v>0.13476533064541799</v>
      </c>
      <c r="Y3043" s="11">
        <v>0.18462293477996783</v>
      </c>
      <c r="Z3043" s="11">
        <v>0.0031470817780786934</v>
      </c>
    </row>
    <row r="3044" ht="22.5" customHeight="1">
      <c r="Q3044" s="9" t="s">
        <v>3082</v>
      </c>
      <c r="R3044" s="10">
        <v>0.2948576582699489</v>
      </c>
      <c r="S3044" s="10">
        <v>0.012371822690585508</v>
      </c>
      <c r="T3044" s="10">
        <v>20.59984730171457</v>
      </c>
      <c r="U3044" s="11">
        <v>0.27641471443845916</v>
      </c>
      <c r="V3044" s="11">
        <v>0.02818211362533036</v>
      </c>
      <c r="W3044" s="11">
        <v>0.07847972505243958</v>
      </c>
      <c r="X3044" s="11">
        <v>0.29791872657875484</v>
      </c>
      <c r="Y3044" s="11">
        <v>0.04870772120895206</v>
      </c>
      <c r="Z3044" s="11">
        <v>0.27029699909606403</v>
      </c>
    </row>
    <row r="3045" ht="22.5" customHeight="1">
      <c r="Q3045" s="9" t="s">
        <v>3083</v>
      </c>
      <c r="R3045" s="10">
        <v>0.6399724037890275</v>
      </c>
      <c r="S3045" s="10">
        <v>0.0291253396274633</v>
      </c>
      <c r="T3045" s="10">
        <v>20.599670646356774</v>
      </c>
      <c r="U3045" s="11">
        <v>0.09288981091732117</v>
      </c>
      <c r="V3045" s="11">
        <v>0.2476450449638413</v>
      </c>
      <c r="W3045" s="11">
        <v>0.11594192095259791</v>
      </c>
      <c r="X3045" s="11">
        <v>0.2294866815620973</v>
      </c>
      <c r="Y3045" s="11">
        <v>0.12310024616669517</v>
      </c>
      <c r="Z3045" s="11">
        <v>0.1909362954374472</v>
      </c>
    </row>
    <row r="3046" ht="22.5" customHeight="1">
      <c r="Q3046" s="9" t="s">
        <v>3084</v>
      </c>
      <c r="R3046" s="10">
        <v>0.5322103774834293</v>
      </c>
      <c r="S3046" s="10">
        <v>0.02389431248222439</v>
      </c>
      <c r="T3046" s="10">
        <v>20.59947855162594</v>
      </c>
      <c r="U3046" s="11">
        <v>0.19429036317488263</v>
      </c>
      <c r="V3046" s="11">
        <v>0.2037370337054296</v>
      </c>
      <c r="W3046" s="11">
        <v>0.07606135742368302</v>
      </c>
      <c r="X3046" s="11">
        <v>0.1920085166598057</v>
      </c>
      <c r="Y3046" s="11">
        <v>0.20655617625065492</v>
      </c>
      <c r="Z3046" s="11">
        <v>0.12734655278554413</v>
      </c>
    </row>
    <row r="3047" ht="22.5" customHeight="1">
      <c r="Q3047" s="9" t="s">
        <v>3085</v>
      </c>
      <c r="R3047" s="10">
        <v>0.7052385014007075</v>
      </c>
      <c r="S3047" s="10">
        <v>0.03229433605662126</v>
      </c>
      <c r="T3047" s="10">
        <v>20.599231401888957</v>
      </c>
      <c r="U3047" s="11">
        <v>0.14788045407844552</v>
      </c>
      <c r="V3047" s="11">
        <v>0.22975790917801744</v>
      </c>
      <c r="W3047" s="11">
        <v>0.19445965811124064</v>
      </c>
      <c r="X3047" s="11">
        <v>0.08195693933765652</v>
      </c>
      <c r="Y3047" s="11">
        <v>0.1921390604850693</v>
      </c>
      <c r="Z3047" s="11">
        <v>0.15380597880957056</v>
      </c>
    </row>
    <row r="3048" ht="22.5" customHeight="1">
      <c r="Q3048" s="9" t="s">
        <v>3086</v>
      </c>
      <c r="R3048" s="10">
        <v>0.9235888711495018</v>
      </c>
      <c r="S3048" s="10">
        <v>0.042894329766121925</v>
      </c>
      <c r="T3048" s="10">
        <v>20.599199846860948</v>
      </c>
      <c r="U3048" s="11">
        <v>0.0664459787380676</v>
      </c>
      <c r="V3048" s="11">
        <v>0.30106057626702454</v>
      </c>
      <c r="W3048" s="11">
        <v>0.269294299282349</v>
      </c>
      <c r="X3048" s="11">
        <v>0.2951369005180819</v>
      </c>
      <c r="Y3048" s="11">
        <v>0.015215883863343048</v>
      </c>
      <c r="Z3048" s="11">
        <v>0.05284636133113421</v>
      </c>
    </row>
    <row r="3049" ht="22.5" customHeight="1">
      <c r="Q3049" s="9" t="s">
        <v>3087</v>
      </c>
      <c r="R3049" s="10">
        <v>0.5326237400863669</v>
      </c>
      <c r="S3049" s="10">
        <v>0.023915059575081755</v>
      </c>
      <c r="T3049" s="10">
        <v>20.598892448491124</v>
      </c>
      <c r="U3049" s="11">
        <v>0.20913628934738926</v>
      </c>
      <c r="V3049" s="11">
        <v>0.162340499240561</v>
      </c>
      <c r="W3049" s="11">
        <v>0.13939934121502187</v>
      </c>
      <c r="X3049" s="11">
        <v>0.011209063731673984</v>
      </c>
      <c r="Y3049" s="11">
        <v>0.2582132148273427</v>
      </c>
      <c r="Z3049" s="11">
        <v>0.2197015916380112</v>
      </c>
    </row>
    <row r="3050" ht="22.5" customHeight="1">
      <c r="Q3050" s="9" t="s">
        <v>3088</v>
      </c>
      <c r="R3050" s="10">
        <v>0.7529854048693138</v>
      </c>
      <c r="S3050" s="10">
        <v>0.034613869904126904</v>
      </c>
      <c r="T3050" s="10">
        <v>20.598257485919156</v>
      </c>
      <c r="U3050" s="11">
        <v>0.04447725716897928</v>
      </c>
      <c r="V3050" s="11">
        <v>0.23007294261444075</v>
      </c>
      <c r="W3050" s="11">
        <v>0.2244310471696405</v>
      </c>
      <c r="X3050" s="11">
        <v>0.13311169750636132</v>
      </c>
      <c r="Y3050" s="11">
        <v>0.24186894631738676</v>
      </c>
      <c r="Z3050" s="11">
        <v>0.12603810922319147</v>
      </c>
    </row>
    <row r="3051" ht="22.5" customHeight="1">
      <c r="Q3051" s="9" t="s">
        <v>3089</v>
      </c>
      <c r="R3051" s="10">
        <v>0.5202255666719771</v>
      </c>
      <c r="S3051" s="10">
        <v>0.02331390005296962</v>
      </c>
      <c r="T3051" s="10">
        <v>20.59825106828525</v>
      </c>
      <c r="U3051" s="11">
        <v>0.08898522300034047</v>
      </c>
      <c r="V3051" s="11">
        <v>0.12085078426733924</v>
      </c>
      <c r="W3051" s="11">
        <v>0.17015602491814044</v>
      </c>
      <c r="X3051" s="11">
        <v>0.12178547099380083</v>
      </c>
      <c r="Y3051" s="11">
        <v>0.1955413957178381</v>
      </c>
      <c r="Z3051" s="11">
        <v>0.302681101102541</v>
      </c>
    </row>
    <row r="3052" ht="22.5" customHeight="1">
      <c r="Q3052" s="9" t="s">
        <v>3090</v>
      </c>
      <c r="R3052" s="10">
        <v>0.6819278344944802</v>
      </c>
      <c r="S3052" s="10">
        <v>0.031164300554803036</v>
      </c>
      <c r="T3052" s="10">
        <v>20.598178783625755</v>
      </c>
      <c r="U3052" s="11">
        <v>0.20649361925299708</v>
      </c>
      <c r="V3052" s="11">
        <v>0.20749874721793007</v>
      </c>
      <c r="W3052" s="11">
        <v>0.20340130103612472</v>
      </c>
      <c r="X3052" s="11">
        <v>0.10479268915862441</v>
      </c>
      <c r="Y3052" s="11">
        <v>0.06946694932558937</v>
      </c>
      <c r="Z3052" s="11">
        <v>0.20834669400873418</v>
      </c>
    </row>
    <row r="3053" ht="22.5" customHeight="1">
      <c r="Q3053" s="9" t="s">
        <v>3091</v>
      </c>
      <c r="R3053" s="10">
        <v>0.6420393206379758</v>
      </c>
      <c r="S3053" s="10">
        <v>0.029228031988736847</v>
      </c>
      <c r="T3053" s="10">
        <v>20.59801087086446</v>
      </c>
      <c r="U3053" s="11">
        <v>0.13182788367134546</v>
      </c>
      <c r="V3053" s="11">
        <v>0.24024517652020771</v>
      </c>
      <c r="W3053" s="11">
        <v>0.13571861824081516</v>
      </c>
      <c r="X3053" s="11">
        <v>0.19771390955046933</v>
      </c>
      <c r="Y3053" s="11">
        <v>0.008975137698484677</v>
      </c>
      <c r="Z3053" s="11">
        <v>0.2855192743186775</v>
      </c>
    </row>
    <row r="3054" ht="22.5" customHeight="1">
      <c r="Q3054" s="9" t="s">
        <v>3092</v>
      </c>
      <c r="R3054" s="10">
        <v>0.6327979955317168</v>
      </c>
      <c r="S3054" s="10">
        <v>0.028780162751216323</v>
      </c>
      <c r="T3054" s="10">
        <v>20.597451121316663</v>
      </c>
      <c r="U3054" s="11">
        <v>0.12633558216410923</v>
      </c>
      <c r="V3054" s="11">
        <v>0.21255193371701922</v>
      </c>
      <c r="W3054" s="11">
        <v>0.16051022784966607</v>
      </c>
      <c r="X3054" s="11">
        <v>0.055965197994073526</v>
      </c>
      <c r="Y3054" s="11">
        <v>0.23733204275616038</v>
      </c>
      <c r="Z3054" s="11">
        <v>0.20730501551897154</v>
      </c>
    </row>
    <row r="3055" ht="22.5" customHeight="1">
      <c r="Q3055" s="9" t="s">
        <v>3093</v>
      </c>
      <c r="R3055" s="10">
        <v>0.6136061585966395</v>
      </c>
      <c r="S3055" s="10">
        <v>0.027848809559016443</v>
      </c>
      <c r="T3055" s="10">
        <v>20.59715182370969</v>
      </c>
      <c r="U3055" s="11">
        <v>0.059219255232707185</v>
      </c>
      <c r="V3055" s="11">
        <v>0.14338039293153376</v>
      </c>
      <c r="W3055" s="11">
        <v>0.20819366295728772</v>
      </c>
      <c r="X3055" s="11">
        <v>0.19196982706213492</v>
      </c>
      <c r="Y3055" s="11">
        <v>0.18620517212646387</v>
      </c>
      <c r="Z3055" s="11">
        <v>0.21103168968987263</v>
      </c>
    </row>
    <row r="3056" ht="22.5" customHeight="1">
      <c r="Q3056" s="9" t="s">
        <v>3094</v>
      </c>
      <c r="R3056" s="10">
        <v>0.35506271779171916</v>
      </c>
      <c r="S3056" s="10">
        <v>0.015296645474329561</v>
      </c>
      <c r="T3056" s="10">
        <v>20.59685035653401</v>
      </c>
      <c r="U3056" s="11">
        <v>0.15674315423752927</v>
      </c>
      <c r="V3056" s="11">
        <v>0.037126869626029686</v>
      </c>
      <c r="W3056" s="11">
        <v>0.11251292492467756</v>
      </c>
      <c r="X3056" s="11">
        <v>0.28499005547325895</v>
      </c>
      <c r="Y3056" s="11">
        <v>0.17362998790219009</v>
      </c>
      <c r="Z3056" s="11">
        <v>0.23499700783631444</v>
      </c>
    </row>
    <row r="3057" ht="22.5" customHeight="1">
      <c r="Q3057" s="9" t="s">
        <v>3095</v>
      </c>
      <c r="R3057" s="10">
        <v>0.44086641109482627</v>
      </c>
      <c r="S3057" s="10">
        <v>0.01946291740832372</v>
      </c>
      <c r="T3057" s="10">
        <v>20.596419472210652</v>
      </c>
      <c r="U3057" s="11">
        <v>0.2354012470828909</v>
      </c>
      <c r="V3057" s="11">
        <v>0.12946387485908978</v>
      </c>
      <c r="W3057" s="11">
        <v>0.09813683671344627</v>
      </c>
      <c r="X3057" s="11">
        <v>0.020124250823952524</v>
      </c>
      <c r="Y3057" s="11">
        <v>0.33443512437666667</v>
      </c>
      <c r="Z3057" s="11">
        <v>0.1824386661439537</v>
      </c>
    </row>
    <row r="3058" ht="22.5" customHeight="1">
      <c r="Q3058" s="9" t="s">
        <v>3096</v>
      </c>
      <c r="R3058" s="10">
        <v>0.6866273251642027</v>
      </c>
      <c r="S3058" s="10">
        <v>0.0313952886516383</v>
      </c>
      <c r="T3058" s="10">
        <v>20.59631724808046</v>
      </c>
      <c r="U3058" s="11">
        <v>0.0256311106876343</v>
      </c>
      <c r="V3058" s="11">
        <v>0.16206280037646656</v>
      </c>
      <c r="W3058" s="11">
        <v>0.2316304282290072</v>
      </c>
      <c r="X3058" s="11">
        <v>0.22714421232189846</v>
      </c>
      <c r="Y3058" s="11">
        <v>0.29342702792875774</v>
      </c>
      <c r="Z3058" s="11">
        <v>0.060104420456235666</v>
      </c>
    </row>
    <row r="3059" ht="22.5" customHeight="1">
      <c r="Q3059" s="9" t="s">
        <v>3097</v>
      </c>
      <c r="R3059" s="10">
        <v>0.6265261989867714</v>
      </c>
      <c r="S3059" s="10">
        <v>0.028477253560669626</v>
      </c>
      <c r="T3059" s="10">
        <v>20.596304968005473</v>
      </c>
      <c r="U3059" s="11">
        <v>0.15787359945714546</v>
      </c>
      <c r="V3059" s="11">
        <v>0.19778234604971037</v>
      </c>
      <c r="W3059" s="11">
        <v>0.1761658422099172</v>
      </c>
      <c r="X3059" s="11">
        <v>0.06613757662880235</v>
      </c>
      <c r="Y3059" s="11">
        <v>0.13018410484198006</v>
      </c>
      <c r="Z3059" s="11">
        <v>0.27185653081244454</v>
      </c>
    </row>
    <row r="3060" ht="22.5" customHeight="1">
      <c r="Q3060" s="9" t="s">
        <v>3098</v>
      </c>
      <c r="R3060" s="10">
        <v>0.5829926177238497</v>
      </c>
      <c r="S3060" s="10">
        <v>0.026363762336658093</v>
      </c>
      <c r="T3060" s="10">
        <v>20.596173292338978</v>
      </c>
      <c r="U3060" s="11">
        <v>0.19962098350106058</v>
      </c>
      <c r="V3060" s="11">
        <v>0.11583060580652492</v>
      </c>
      <c r="W3060" s="11">
        <v>0.20269039292552782</v>
      </c>
      <c r="X3060" s="11">
        <v>0.21195455191383245</v>
      </c>
      <c r="Y3060" s="11">
        <v>0.20771162639182383</v>
      </c>
      <c r="Z3060" s="11">
        <v>0.062191839461230476</v>
      </c>
    </row>
    <row r="3061" ht="22.5" customHeight="1">
      <c r="Q3061" s="9" t="s">
        <v>3099</v>
      </c>
      <c r="R3061" s="10">
        <v>0.5474518848560099</v>
      </c>
      <c r="S3061" s="10">
        <v>0.024638285553969016</v>
      </c>
      <c r="T3061" s="10">
        <v>20.596071254408518</v>
      </c>
      <c r="U3061" s="11">
        <v>0.16975512120127725</v>
      </c>
      <c r="V3061" s="11">
        <v>0.19386572804230615</v>
      </c>
      <c r="W3061" s="11">
        <v>0.11594940083695301</v>
      </c>
      <c r="X3061" s="11">
        <v>0.05729604743391753</v>
      </c>
      <c r="Y3061" s="11">
        <v>0.22076138207179405</v>
      </c>
      <c r="Z3061" s="11">
        <v>0.24237232041375215</v>
      </c>
    </row>
    <row r="3062" ht="22.5" customHeight="1">
      <c r="Q3062" s="9" t="s">
        <v>3100</v>
      </c>
      <c r="R3062" s="10">
        <v>0.6911693397291533</v>
      </c>
      <c r="S3062" s="10">
        <v>0.03161632711170043</v>
      </c>
      <c r="T3062" s="10">
        <v>20.595983126963894</v>
      </c>
      <c r="U3062" s="11">
        <v>0.2501860465813743</v>
      </c>
      <c r="V3062" s="11">
        <v>0.2253014287773484</v>
      </c>
      <c r="W3062" s="11">
        <v>0.19053440144997927</v>
      </c>
      <c r="X3062" s="11">
        <v>0.0813970062866087</v>
      </c>
      <c r="Y3062" s="11">
        <v>0.09321265659518498</v>
      </c>
      <c r="Z3062" s="11">
        <v>0.15936846030950436</v>
      </c>
    </row>
    <row r="3063" ht="22.5" customHeight="1">
      <c r="Q3063" s="9" t="s">
        <v>3101</v>
      </c>
      <c r="R3063" s="10">
        <v>0.7085589070634178</v>
      </c>
      <c r="S3063" s="10">
        <v>0.03246071143584004</v>
      </c>
      <c r="T3063" s="10">
        <v>20.595941293056764</v>
      </c>
      <c r="U3063" s="11">
        <v>0.17304122287716975</v>
      </c>
      <c r="V3063" s="11">
        <v>0.27639622975272216</v>
      </c>
      <c r="W3063" s="11">
        <v>0.12363027631761725</v>
      </c>
      <c r="X3063" s="11">
        <v>0.28430577795171147</v>
      </c>
      <c r="Y3063" s="11">
        <v>0.1361627362418235</v>
      </c>
      <c r="Z3063" s="11">
        <v>0.006463756858955969</v>
      </c>
    </row>
    <row r="3064" ht="22.5" customHeight="1">
      <c r="Q3064" s="9" t="s">
        <v>3102</v>
      </c>
      <c r="R3064" s="10">
        <v>0.8395110997476337</v>
      </c>
      <c r="S3064" s="10">
        <v>0.038819295064459275</v>
      </c>
      <c r="T3064" s="10">
        <v>20.595714023658825</v>
      </c>
      <c r="U3064" s="11">
        <v>0.07084176867179377</v>
      </c>
      <c r="V3064" s="11">
        <v>0.2703489690244314</v>
      </c>
      <c r="W3064" s="11">
        <v>0.24584052448758772</v>
      </c>
      <c r="X3064" s="11">
        <v>0.2086043922736967</v>
      </c>
      <c r="Y3064" s="11">
        <v>0.0849157903367974</v>
      </c>
      <c r="Z3064" s="11">
        <v>0.119448555205693</v>
      </c>
    </row>
    <row r="3065" ht="22.5" customHeight="1">
      <c r="Q3065" s="9" t="s">
        <v>3103</v>
      </c>
      <c r="R3065" s="10">
        <v>0.5460132791059858</v>
      </c>
      <c r="S3065" s="10">
        <v>0.02456900047433937</v>
      </c>
      <c r="T3065" s="10">
        <v>20.59559889847704</v>
      </c>
      <c r="U3065" s="11">
        <v>0.14391205927109688</v>
      </c>
      <c r="V3065" s="11">
        <v>0.21267342706061654</v>
      </c>
      <c r="W3065" s="11">
        <v>0.07985268470750653</v>
      </c>
      <c r="X3065" s="11">
        <v>0.2329891576498341</v>
      </c>
      <c r="Y3065" s="11">
        <v>0.1280599337842429</v>
      </c>
      <c r="Z3065" s="11">
        <v>0.20251273752670296</v>
      </c>
    </row>
    <row r="3066" ht="22.5" customHeight="1">
      <c r="Q3066" s="9" t="s">
        <v>3104</v>
      </c>
      <c r="R3066" s="10">
        <v>0.68909690185668</v>
      </c>
      <c r="S3066" s="10">
        <v>0.03151629680946435</v>
      </c>
      <c r="T3066" s="10">
        <v>20.595595535251974</v>
      </c>
      <c r="U3066" s="11">
        <v>0.004383414710730185</v>
      </c>
      <c r="V3066" s="11">
        <v>0.2286283049513539</v>
      </c>
      <c r="W3066" s="11">
        <v>0.18373584586212197</v>
      </c>
      <c r="X3066" s="11">
        <v>0.10381035896604908</v>
      </c>
      <c r="Y3066" s="11">
        <v>0.2590631751255871</v>
      </c>
      <c r="Z3066" s="11">
        <v>0.22037890038415786</v>
      </c>
    </row>
    <row r="3067" ht="22.5" customHeight="1">
      <c r="Q3067" s="9" t="s">
        <v>3105</v>
      </c>
      <c r="R3067" s="10">
        <v>0.3482149922065602</v>
      </c>
      <c r="S3067" s="10">
        <v>0.014965102202624276</v>
      </c>
      <c r="T3067" s="10">
        <v>20.595582177348028</v>
      </c>
      <c r="U3067" s="11">
        <v>0.23214326245611142</v>
      </c>
      <c r="V3067" s="11">
        <v>0.04100684587675139</v>
      </c>
      <c r="W3067" s="11">
        <v>0.10796483042358541</v>
      </c>
      <c r="X3067" s="11">
        <v>0.22099715268838982</v>
      </c>
      <c r="Y3067" s="11">
        <v>0.17212043051757714</v>
      </c>
      <c r="Z3067" s="11">
        <v>0.2257674780375848</v>
      </c>
    </row>
    <row r="3068" ht="22.5" customHeight="1">
      <c r="Q3068" s="9" t="s">
        <v>3106</v>
      </c>
      <c r="R3068" s="10">
        <v>0.8535498291597798</v>
      </c>
      <c r="S3068" s="10">
        <v>0.039501519363189005</v>
      </c>
      <c r="T3068" s="10">
        <v>20.59540600653243</v>
      </c>
      <c r="U3068" s="11">
        <v>0.12235283344651646</v>
      </c>
      <c r="V3068" s="11">
        <v>0.2518925725807066</v>
      </c>
      <c r="W3068" s="11">
        <v>0.2689736793638676</v>
      </c>
      <c r="X3068" s="11">
        <v>0.22100219145482194</v>
      </c>
      <c r="Y3068" s="11">
        <v>0.1138901418220542</v>
      </c>
      <c r="Z3068" s="11">
        <v>0.02188858133203322</v>
      </c>
    </row>
    <row r="3069" ht="22.5" customHeight="1">
      <c r="Q3069" s="9" t="s">
        <v>3107</v>
      </c>
      <c r="R3069" s="10">
        <v>0.5793739822496347</v>
      </c>
      <c r="S3069" s="10">
        <v>0.026189081197412502</v>
      </c>
      <c r="T3069" s="10">
        <v>20.595376301438368</v>
      </c>
      <c r="U3069" s="11">
        <v>0.28310925015477983</v>
      </c>
      <c r="V3069" s="11">
        <v>0.19816344710473355</v>
      </c>
      <c r="W3069" s="11">
        <v>0.12738289168726638</v>
      </c>
      <c r="X3069" s="11">
        <v>0.037462893857351104</v>
      </c>
      <c r="Y3069" s="11">
        <v>0.2761325927262052</v>
      </c>
      <c r="Z3069" s="11">
        <v>0.0777489244696639</v>
      </c>
    </row>
    <row r="3070" ht="22.5" customHeight="1">
      <c r="Q3070" s="9" t="s">
        <v>3108</v>
      </c>
      <c r="R3070" s="10">
        <v>0.5709134916103815</v>
      </c>
      <c r="S3070" s="10">
        <v>0.02577860127535626</v>
      </c>
      <c r="T3070" s="10">
        <v>20.595124069742386</v>
      </c>
      <c r="U3070" s="11">
        <v>0.1392192289533388</v>
      </c>
      <c r="V3070" s="11">
        <v>0.2220406712453425</v>
      </c>
      <c r="W3070" s="11">
        <v>0.08498091340592298</v>
      </c>
      <c r="X3070" s="11">
        <v>0.23037135546865997</v>
      </c>
      <c r="Y3070" s="11">
        <v>0.18243684238583388</v>
      </c>
      <c r="Z3070" s="11">
        <v>0.14095098854090182</v>
      </c>
    </row>
    <row r="3071" ht="22.5" customHeight="1">
      <c r="Q3071" s="9" t="s">
        <v>3109</v>
      </c>
      <c r="R3071" s="10">
        <v>0.6343075583849369</v>
      </c>
      <c r="S3071" s="10">
        <v>0.028857721923744896</v>
      </c>
      <c r="T3071" s="10">
        <v>20.59440311869957</v>
      </c>
      <c r="U3071" s="11">
        <v>0.22458653759263328</v>
      </c>
      <c r="V3071" s="11">
        <v>0.20767737350652307</v>
      </c>
      <c r="W3071" s="11">
        <v>0.1650857543739411</v>
      </c>
      <c r="X3071" s="11">
        <v>0.03644269308589771</v>
      </c>
      <c r="Y3071" s="11">
        <v>0.22261987644592635</v>
      </c>
      <c r="Z3071" s="11">
        <v>0.14358776499507855</v>
      </c>
    </row>
    <row r="3072" ht="22.5" customHeight="1">
      <c r="Q3072" s="9" t="s">
        <v>3110</v>
      </c>
      <c r="R3072" s="10">
        <v>0.7254114328825448</v>
      </c>
      <c r="S3072" s="10">
        <v>0.03328160799268312</v>
      </c>
      <c r="T3072" s="10">
        <v>20.594300402589646</v>
      </c>
      <c r="U3072" s="11">
        <v>0.23997165049754837</v>
      </c>
      <c r="V3072" s="11">
        <v>0.2301781450660107</v>
      </c>
      <c r="W3072" s="11">
        <v>0.20779764019313607</v>
      </c>
      <c r="X3072" s="11">
        <v>0.08904622525836414</v>
      </c>
      <c r="Y3072" s="11">
        <v>0.1255411292558596</v>
      </c>
      <c r="Z3072" s="11">
        <v>0.10746520972908118</v>
      </c>
    </row>
    <row r="3073" ht="22.5" customHeight="1">
      <c r="Q3073" s="9" t="s">
        <v>3111</v>
      </c>
      <c r="R3073" s="10">
        <v>0.643534051435746</v>
      </c>
      <c r="S3073" s="10">
        <v>0.02930619929217373</v>
      </c>
      <c r="T3073" s="10">
        <v>20.594074496617537</v>
      </c>
      <c r="U3073" s="11">
        <v>0.09509095656203602</v>
      </c>
      <c r="V3073" s="11">
        <v>0.18156963568919254</v>
      </c>
      <c r="W3073" s="11">
        <v>0.20130039024628202</v>
      </c>
      <c r="X3073" s="11">
        <v>0.11176154681289656</v>
      </c>
      <c r="Y3073" s="11">
        <v>0.15369472259639003</v>
      </c>
      <c r="Z3073" s="11">
        <v>0.2565827480932028</v>
      </c>
    </row>
    <row r="3074" ht="22.5" customHeight="1">
      <c r="Q3074" s="9" t="s">
        <v>3112</v>
      </c>
      <c r="R3074" s="10">
        <v>0.4163790951302002</v>
      </c>
      <c r="S3074" s="10">
        <v>0.01827627273051071</v>
      </c>
      <c r="T3074" s="10">
        <v>20.593865099302594</v>
      </c>
      <c r="U3074" s="11">
        <v>0.22784697411316523</v>
      </c>
      <c r="V3074" s="11">
        <v>0.0883755558846585</v>
      </c>
      <c r="W3074" s="11">
        <v>0.1225169954329274</v>
      </c>
      <c r="X3074" s="11">
        <v>0.06420665088897345</v>
      </c>
      <c r="Y3074" s="11">
        <v>0.26933388751283405</v>
      </c>
      <c r="Z3074" s="11">
        <v>0.22771993616744135</v>
      </c>
    </row>
    <row r="3075" ht="22.5" customHeight="1">
      <c r="Q3075" s="9" t="s">
        <v>3113</v>
      </c>
      <c r="R3075" s="10">
        <v>0.6534799900894749</v>
      </c>
      <c r="S3075" s="10">
        <v>0.029789779382872514</v>
      </c>
      <c r="T3075" s="10">
        <v>20.59363992612151</v>
      </c>
      <c r="U3075" s="11">
        <v>0.25434130364090735</v>
      </c>
      <c r="V3075" s="11">
        <v>0.23073574366875724</v>
      </c>
      <c r="W3075" s="11">
        <v>0.15301787296946354</v>
      </c>
      <c r="X3075" s="11">
        <v>0.0728237792733625</v>
      </c>
      <c r="Y3075" s="11">
        <v>0.1611929815719665</v>
      </c>
      <c r="Z3075" s="11">
        <v>0.12788831887554297</v>
      </c>
    </row>
    <row r="3076" ht="22.5" customHeight="1">
      <c r="Q3076" s="9" t="s">
        <v>3114</v>
      </c>
      <c r="R3076" s="10">
        <v>0.626548245730196</v>
      </c>
      <c r="S3076" s="10">
        <v>0.028482561375093998</v>
      </c>
      <c r="T3076" s="10">
        <v>20.59324082570366</v>
      </c>
      <c r="U3076" s="11">
        <v>0.12661488117325603</v>
      </c>
      <c r="V3076" s="11">
        <v>0.23119842168010543</v>
      </c>
      <c r="W3076" s="11">
        <v>0.13024586569472593</v>
      </c>
      <c r="X3076" s="11">
        <v>0.11464836876531684</v>
      </c>
      <c r="Y3076" s="11">
        <v>0.21314510081992433</v>
      </c>
      <c r="Z3076" s="11">
        <v>0.18414736186667136</v>
      </c>
    </row>
    <row r="3077" ht="22.5" customHeight="1">
      <c r="Q3077" s="9" t="s">
        <v>3115</v>
      </c>
      <c r="R3077" s="10">
        <v>0.4568032797172691</v>
      </c>
      <c r="S3077" s="10">
        <v>0.020240503502658998</v>
      </c>
      <c r="T3077" s="10">
        <v>20.592535144321563</v>
      </c>
      <c r="U3077" s="11">
        <v>0.2095068839307568</v>
      </c>
      <c r="V3077" s="11">
        <v>0.07655126681475682</v>
      </c>
      <c r="W3077" s="11">
        <v>0.15300787925718115</v>
      </c>
      <c r="X3077" s="11">
        <v>0.17821210480391897</v>
      </c>
      <c r="Y3077" s="11">
        <v>0.23445181857566338</v>
      </c>
      <c r="Z3077" s="11">
        <v>0.1482700466177229</v>
      </c>
    </row>
    <row r="3078" ht="22.5" customHeight="1">
      <c r="Q3078" s="9" t="s">
        <v>3116</v>
      </c>
      <c r="R3078" s="10">
        <v>0.7028167363823422</v>
      </c>
      <c r="S3078" s="10">
        <v>0.03218730263407237</v>
      </c>
      <c r="T3078" s="10">
        <v>20.592490893620493</v>
      </c>
      <c r="U3078" s="11">
        <v>0.08908462562825004</v>
      </c>
      <c r="V3078" s="11">
        <v>0.1861290256918149</v>
      </c>
      <c r="W3078" s="11">
        <v>0.22417315619110273</v>
      </c>
      <c r="X3078" s="11">
        <v>0.1397770650561066</v>
      </c>
      <c r="Y3078" s="11">
        <v>0.3255075998430095</v>
      </c>
      <c r="Z3078" s="11">
        <v>0.03532852758971623</v>
      </c>
    </row>
    <row r="3079" ht="22.5" customHeight="1">
      <c r="Q3079" s="9" t="s">
        <v>3117</v>
      </c>
      <c r="R3079" s="10">
        <v>0.6866194304773069</v>
      </c>
      <c r="S3079" s="10">
        <v>0.03140123642238975</v>
      </c>
      <c r="T3079" s="10">
        <v>20.59216464534669</v>
      </c>
      <c r="U3079" s="11">
        <v>0.2544141545570036</v>
      </c>
      <c r="V3079" s="11">
        <v>0.16842579955659695</v>
      </c>
      <c r="W3079" s="11">
        <v>0.2300882574452984</v>
      </c>
      <c r="X3079" s="11">
        <v>0.1591259542000374</v>
      </c>
      <c r="Y3079" s="11">
        <v>0.17755380249372094</v>
      </c>
      <c r="Z3079" s="11">
        <v>0.010392031747342843</v>
      </c>
    </row>
    <row r="3080" ht="22.5" customHeight="1">
      <c r="Q3080" s="9" t="s">
        <v>3118</v>
      </c>
      <c r="R3080" s="10">
        <v>0.522331348251574</v>
      </c>
      <c r="S3080" s="10">
        <v>0.04228420570582505</v>
      </c>
      <c r="T3080" s="10">
        <v>20.5920309628454</v>
      </c>
      <c r="U3080" s="11">
        <v>0.08428283633051412</v>
      </c>
      <c r="V3080" s="11">
        <v>0.3113729830694505</v>
      </c>
      <c r="W3080" s="11">
        <v>0.2487840694036567</v>
      </c>
      <c r="X3080" s="11">
        <v>0.23998611390397373</v>
      </c>
      <c r="Y3080" s="11">
        <v>0.10549992033407007</v>
      </c>
      <c r="Z3080" s="11">
        <v>0.010074076958334883</v>
      </c>
    </row>
    <row r="3081" ht="22.5" customHeight="1">
      <c r="Q3081" s="9" t="s">
        <v>3119</v>
      </c>
      <c r="R3081" s="10">
        <v>0.6048645779525632</v>
      </c>
      <c r="S3081" s="10">
        <v>0.027431466657913232</v>
      </c>
      <c r="T3081" s="10">
        <v>20.591847493856662</v>
      </c>
      <c r="U3081" s="11">
        <v>0.29428971956506694</v>
      </c>
      <c r="V3081" s="11">
        <v>0.1546902830655877</v>
      </c>
      <c r="W3081" s="11">
        <v>0.19418125476083514</v>
      </c>
      <c r="X3081" s="11">
        <v>0.08745298353639093</v>
      </c>
      <c r="Y3081" s="11">
        <v>0.14386009450777498</v>
      </c>
      <c r="Z3081" s="11">
        <v>0.12552566456434414</v>
      </c>
    </row>
    <row r="3082" ht="22.5" customHeight="1">
      <c r="Q3082" s="9" t="s">
        <v>3120</v>
      </c>
      <c r="R3082" s="10">
        <v>0.5903803530673928</v>
      </c>
      <c r="S3082" s="10">
        <v>0.02672817289400443</v>
      </c>
      <c r="T3082" s="10">
        <v>20.591768664847724</v>
      </c>
      <c r="U3082" s="11">
        <v>0.20079643412168455</v>
      </c>
      <c r="V3082" s="11">
        <v>0.202866400649694</v>
      </c>
      <c r="W3082" s="11">
        <v>0.14058707464011103</v>
      </c>
      <c r="X3082" s="11">
        <v>0.04471193923916458</v>
      </c>
      <c r="Y3082" s="11">
        <v>0.18693401870937346</v>
      </c>
      <c r="Z3082" s="11">
        <v>0.22410413263997234</v>
      </c>
    </row>
    <row r="3083" ht="22.5" customHeight="1">
      <c r="Q3083" s="9" t="s">
        <v>3121</v>
      </c>
      <c r="R3083" s="10">
        <v>0.6784307171757077</v>
      </c>
      <c r="S3083" s="10">
        <v>0.031004917851157502</v>
      </c>
      <c r="T3083" s="10">
        <v>20.591272656827027</v>
      </c>
      <c r="U3083" s="11">
        <v>0.1517201220637382</v>
      </c>
      <c r="V3083" s="11">
        <v>0.17404101907025374</v>
      </c>
      <c r="W3083" s="11">
        <v>0.22737528268493987</v>
      </c>
      <c r="X3083" s="11">
        <v>0.21997404577875923</v>
      </c>
      <c r="Y3083" s="11">
        <v>0.016873152568899576</v>
      </c>
      <c r="Z3083" s="11">
        <v>0.21001637783340946</v>
      </c>
    </row>
    <row r="3084" ht="22.5" customHeight="1">
      <c r="Q3084" s="9" t="s">
        <v>3122</v>
      </c>
      <c r="R3084" s="10">
        <v>0.5551850662286184</v>
      </c>
      <c r="S3084" s="10">
        <v>0.025019596826273204</v>
      </c>
      <c r="T3084" s="10">
        <v>20.59126171400252</v>
      </c>
      <c r="U3084" s="11">
        <v>0.06015388148808983</v>
      </c>
      <c r="V3084" s="11">
        <v>0.10833303649952025</v>
      </c>
      <c r="W3084" s="11">
        <v>0.19399352686433902</v>
      </c>
      <c r="X3084" s="11">
        <v>0.25031557517808456</v>
      </c>
      <c r="Y3084" s="11">
        <v>0.1877766941141361</v>
      </c>
      <c r="Z3084" s="11">
        <v>0.19942728585583033</v>
      </c>
    </row>
    <row r="3085" ht="22.5" customHeight="1">
      <c r="Q3085" s="9" t="s">
        <v>3123</v>
      </c>
      <c r="R3085" s="10">
        <v>0.6187388244663573</v>
      </c>
      <c r="S3085" s="10">
        <v>0.028106075971753755</v>
      </c>
      <c r="T3085" s="10">
        <v>20.591235327478028</v>
      </c>
      <c r="U3085" s="11">
        <v>0.1580937825286606</v>
      </c>
      <c r="V3085" s="11">
        <v>0.13627715862418802</v>
      </c>
      <c r="W3085" s="11">
        <v>0.2138523919145243</v>
      </c>
      <c r="X3085" s="11">
        <v>0.2018156375739696</v>
      </c>
      <c r="Y3085" s="11">
        <v>0.1710060035082628</v>
      </c>
      <c r="Z3085" s="11">
        <v>0.11895502585039465</v>
      </c>
    </row>
    <row r="3086" ht="22.5" customHeight="1">
      <c r="Q3086" s="9" t="s">
        <v>3124</v>
      </c>
      <c r="R3086" s="10">
        <v>0.6312834508729754</v>
      </c>
      <c r="S3086" s="10">
        <v>0.02871530291499498</v>
      </c>
      <c r="T3086" s="10">
        <v>20.59123153335117</v>
      </c>
      <c r="U3086" s="11">
        <v>0.14481940271379823</v>
      </c>
      <c r="V3086" s="11">
        <v>0.22952050167611668</v>
      </c>
      <c r="W3086" s="11">
        <v>0.143806148994401</v>
      </c>
      <c r="X3086" s="11">
        <v>0.15789625513228778</v>
      </c>
      <c r="Y3086" s="11">
        <v>0.0071432504742503875</v>
      </c>
      <c r="Z3086" s="11">
        <v>0.31681444100914585</v>
      </c>
    </row>
    <row r="3087" ht="22.5" customHeight="1">
      <c r="Q3087" s="9" t="s">
        <v>3125</v>
      </c>
      <c r="R3087" s="10">
        <v>0.7574393864745638</v>
      </c>
      <c r="S3087" s="10">
        <v>0.03484263583909182</v>
      </c>
      <c r="T3087" s="10">
        <v>20.590847081368914</v>
      </c>
      <c r="U3087" s="11">
        <v>0.22269455280066439</v>
      </c>
      <c r="V3087" s="11">
        <v>0.2494307670464387</v>
      </c>
      <c r="W3087" s="11">
        <v>0.21120387735876553</v>
      </c>
      <c r="X3087" s="11">
        <v>0.11777563648529198</v>
      </c>
      <c r="Y3087" s="11">
        <v>0.08551335270899157</v>
      </c>
      <c r="Z3087" s="11">
        <v>0.11338181359984784</v>
      </c>
    </row>
    <row r="3088" ht="22.5" customHeight="1">
      <c r="Q3088" s="9" t="s">
        <v>3126</v>
      </c>
      <c r="R3088" s="10">
        <v>0.7666870686469236</v>
      </c>
      <c r="S3088" s="10">
        <v>0.03529186304812391</v>
      </c>
      <c r="T3088" s="10">
        <v>20.5907822904111</v>
      </c>
      <c r="U3088" s="11">
        <v>0.10397342134165155</v>
      </c>
      <c r="V3088" s="11">
        <v>0.24461482532000883</v>
      </c>
      <c r="W3088" s="11">
        <v>0.21973008695318177</v>
      </c>
      <c r="X3088" s="11">
        <v>0.11508619948686188</v>
      </c>
      <c r="Y3088" s="11">
        <v>0.22415646368707165</v>
      </c>
      <c r="Z3088" s="11">
        <v>0.09243900321122447</v>
      </c>
    </row>
    <row r="3089" ht="22.5" customHeight="1">
      <c r="Q3089" s="9" t="s">
        <v>3127</v>
      </c>
      <c r="R3089" s="10">
        <v>0.668660122599876</v>
      </c>
      <c r="S3089" s="10">
        <v>0.030531599426213144</v>
      </c>
      <c r="T3089" s="10">
        <v>20.590474603834046</v>
      </c>
      <c r="U3089" s="11">
        <v>0.2824327366312565</v>
      </c>
      <c r="V3089" s="11">
        <v>0.1885674244117217</v>
      </c>
      <c r="W3089" s="11">
        <v>0.21019865972904542</v>
      </c>
      <c r="X3089" s="11">
        <v>0.13203258589108915</v>
      </c>
      <c r="Y3089" s="11">
        <v>0.008482471781182875</v>
      </c>
      <c r="Z3089" s="11">
        <v>0.17828612155570434</v>
      </c>
    </row>
    <row r="3090" ht="22.5" customHeight="1">
      <c r="Q3090" s="9" t="s">
        <v>3128</v>
      </c>
      <c r="R3090" s="10">
        <v>0.48761826654555906</v>
      </c>
      <c r="S3090" s="10">
        <v>0.021739388229337825</v>
      </c>
      <c r="T3090" s="10">
        <v>20.590196091235335</v>
      </c>
      <c r="U3090" s="11">
        <v>0.3929150337454333</v>
      </c>
      <c r="V3090" s="11">
        <v>0.179662295934152</v>
      </c>
      <c r="W3090" s="11">
        <v>0.0730925498021951</v>
      </c>
      <c r="X3090" s="11">
        <v>0.16067986097654946</v>
      </c>
      <c r="Y3090" s="11">
        <v>0.053501816295296434</v>
      </c>
      <c r="Z3090" s="11">
        <v>0.1401484432463736</v>
      </c>
    </row>
    <row r="3091" ht="22.5" customHeight="1">
      <c r="Q3091" s="9" t="s">
        <v>3129</v>
      </c>
      <c r="R3091" s="10">
        <v>0.5684139375601496</v>
      </c>
      <c r="S3091" s="10">
        <v>0.025664485276197788</v>
      </c>
      <c r="T3091" s="10">
        <v>20.5893058782761</v>
      </c>
      <c r="U3091" s="11">
        <v>0.049278547554851906</v>
      </c>
      <c r="V3091" s="11">
        <v>0.1736635776466996</v>
      </c>
      <c r="W3091" s="11">
        <v>0.162006854383855</v>
      </c>
      <c r="X3091" s="11">
        <v>0.07811426601874531</v>
      </c>
      <c r="Y3091" s="11">
        <v>0.14359029214035213</v>
      </c>
      <c r="Z3091" s="11">
        <v>0.39334646225549613</v>
      </c>
    </row>
    <row r="3092" ht="22.5" customHeight="1">
      <c r="Q3092" s="9" t="s">
        <v>3130</v>
      </c>
      <c r="R3092" s="10">
        <v>0.522331348251574</v>
      </c>
      <c r="S3092" s="10">
        <v>0.026024464937854</v>
      </c>
      <c r="T3092" s="10">
        <v>20.58909174627312</v>
      </c>
      <c r="U3092" s="11">
        <v>0.19576196042646288</v>
      </c>
      <c r="V3092" s="11">
        <v>0.13709162137374276</v>
      </c>
      <c r="W3092" s="11">
        <v>0.1831757175906807</v>
      </c>
      <c r="X3092" s="11">
        <v>0.09204395279151213</v>
      </c>
      <c r="Y3092" s="11">
        <v>0.3190991484003677</v>
      </c>
      <c r="Z3092" s="11">
        <v>0.07282759941723371</v>
      </c>
    </row>
    <row r="3093" ht="22.5" customHeight="1">
      <c r="Q3093" s="9" t="s">
        <v>3131</v>
      </c>
      <c r="R3093" s="10">
        <v>0.35482120309667853</v>
      </c>
      <c r="S3093" s="10">
        <v>0.01529075422233489</v>
      </c>
      <c r="T3093" s="10">
        <v>20.58899113274777</v>
      </c>
      <c r="U3093" s="11">
        <v>0.28738527868150826</v>
      </c>
      <c r="V3093" s="11">
        <v>0.11798116074197823</v>
      </c>
      <c r="W3093" s="11">
        <v>0.0381853774739937</v>
      </c>
      <c r="X3093" s="11">
        <v>0.14298094317652563</v>
      </c>
      <c r="Y3093" s="11">
        <v>0.1895203656453161</v>
      </c>
      <c r="Z3093" s="11">
        <v>0.22394687428067805</v>
      </c>
    </row>
    <row r="3094" ht="22.5" customHeight="1">
      <c r="Q3094" s="9" t="s">
        <v>3132</v>
      </c>
      <c r="R3094" s="10">
        <v>0.5347175330668216</v>
      </c>
      <c r="S3094" s="10">
        <v>0.024028541494082817</v>
      </c>
      <c r="T3094" s="10">
        <v>20.588745812501728</v>
      </c>
      <c r="U3094" s="11">
        <v>0.46793337015446756</v>
      </c>
      <c r="V3094" s="11">
        <v>0.1553414997216759</v>
      </c>
      <c r="W3094" s="11">
        <v>0.1410042014971343</v>
      </c>
      <c r="X3094" s="11">
        <v>0.016944514490307528</v>
      </c>
      <c r="Y3094" s="11">
        <v>0.15511670478643977</v>
      </c>
      <c r="Z3094" s="11">
        <v>0.063659709349975</v>
      </c>
    </row>
    <row r="3095" ht="22.5" customHeight="1">
      <c r="Q3095" s="9" t="s">
        <v>3133</v>
      </c>
      <c r="R3095" s="10">
        <v>0.6706792382958232</v>
      </c>
      <c r="S3095" s="10">
        <v>0.030633532330169515</v>
      </c>
      <c r="T3095" s="10">
        <v>20.587871862060684</v>
      </c>
      <c r="U3095" s="11">
        <v>0.13546799034561932</v>
      </c>
      <c r="V3095" s="11">
        <v>0.14271774849434124</v>
      </c>
      <c r="W3095" s="11">
        <v>0.23784050331615147</v>
      </c>
      <c r="X3095" s="11">
        <v>0.3435394286040159</v>
      </c>
      <c r="Y3095" s="11">
        <v>0.0314887665097682</v>
      </c>
      <c r="Z3095" s="11">
        <v>0.10894556273010368</v>
      </c>
    </row>
    <row r="3096" ht="22.5" customHeight="1">
      <c r="Q3096" s="9" t="s">
        <v>3134</v>
      </c>
      <c r="R3096" s="10">
        <v>0.5547248361176487</v>
      </c>
      <c r="S3096" s="10">
        <v>0.025001480748523843</v>
      </c>
      <c r="T3096" s="10">
        <v>20.587774032065656</v>
      </c>
      <c r="U3096" s="11">
        <v>0.36740713131446595</v>
      </c>
      <c r="V3096" s="11">
        <v>0.15930685047574422</v>
      </c>
      <c r="W3096" s="11">
        <v>0.16051916532959973</v>
      </c>
      <c r="X3096" s="11">
        <v>0.05516532539702879</v>
      </c>
      <c r="Y3096" s="11">
        <v>0.03780171886990334</v>
      </c>
      <c r="Z3096" s="11">
        <v>0.21979980861325804</v>
      </c>
    </row>
    <row r="3097" ht="22.5" customHeight="1">
      <c r="Q3097" s="9" t="s">
        <v>3135</v>
      </c>
      <c r="R3097" s="10">
        <v>0.59020480372398</v>
      </c>
      <c r="S3097" s="10">
        <v>0.026724933544583714</v>
      </c>
      <c r="T3097" s="10">
        <v>20.5876958610993</v>
      </c>
      <c r="U3097" s="11">
        <v>0.06447400149812946</v>
      </c>
      <c r="V3097" s="11">
        <v>0.2075107240764706</v>
      </c>
      <c r="W3097" s="11">
        <v>0.1304871261173555</v>
      </c>
      <c r="X3097" s="11">
        <v>0.07621579266208209</v>
      </c>
      <c r="Y3097" s="11">
        <v>0.30020145612006954</v>
      </c>
      <c r="Z3097" s="11">
        <v>0.22111089952589272</v>
      </c>
    </row>
    <row r="3098" ht="22.5" customHeight="1">
      <c r="Q3098" s="9" t="s">
        <v>3136</v>
      </c>
      <c r="R3098" s="10">
        <v>0.7344059936943008</v>
      </c>
      <c r="S3098" s="10">
        <v>0.03372942474003785</v>
      </c>
      <c r="T3098" s="10">
        <v>20.587543340756113</v>
      </c>
      <c r="U3098" s="11">
        <v>0.05934711613618473</v>
      </c>
      <c r="V3098" s="11">
        <v>0.20101482661916578</v>
      </c>
      <c r="W3098" s="11">
        <v>0.2409512772770537</v>
      </c>
      <c r="X3098" s="11">
        <v>0.2607829640895032</v>
      </c>
      <c r="Y3098" s="11">
        <v>0.0018044249952678644</v>
      </c>
      <c r="Z3098" s="11">
        <v>0.23609939088282467</v>
      </c>
    </row>
    <row r="3099" ht="22.5" customHeight="1">
      <c r="Q3099" s="9" t="s">
        <v>3137</v>
      </c>
      <c r="R3099" s="10">
        <v>0.828090975102182</v>
      </c>
      <c r="S3099" s="10">
        <v>0.03828060956932153</v>
      </c>
      <c r="T3099" s="10">
        <v>20.587210704548607</v>
      </c>
      <c r="U3099" s="11">
        <v>0.10388947430334274</v>
      </c>
      <c r="V3099" s="11">
        <v>0.28812835281715093</v>
      </c>
      <c r="W3099" s="11">
        <v>0.2148231574841772</v>
      </c>
      <c r="X3099" s="11">
        <v>0.16212859140619712</v>
      </c>
      <c r="Y3099" s="11">
        <v>0.19912159930646078</v>
      </c>
      <c r="Z3099" s="11">
        <v>0.03190882468267138</v>
      </c>
    </row>
    <row r="3100" ht="22.5" customHeight="1">
      <c r="Q3100" s="9" t="s">
        <v>3138</v>
      </c>
      <c r="R3100" s="10">
        <v>0.45246207145823675</v>
      </c>
      <c r="S3100" s="10">
        <v>0.020035384071436513</v>
      </c>
      <c r="T3100" s="10">
        <v>20.586681542394995</v>
      </c>
      <c r="U3100" s="11">
        <v>0.18785699543642315</v>
      </c>
      <c r="V3100" s="11">
        <v>0.09813214320956795</v>
      </c>
      <c r="W3100" s="11">
        <v>0.14095949783333156</v>
      </c>
      <c r="X3100" s="11">
        <v>0.07704350782044576</v>
      </c>
      <c r="Y3100" s="11">
        <v>0.24674242300846294</v>
      </c>
      <c r="Z3100" s="11">
        <v>0.2492654326917687</v>
      </c>
    </row>
    <row r="3101" ht="22.5" customHeight="1">
      <c r="Q3101" s="9" t="s">
        <v>3139</v>
      </c>
      <c r="R3101" s="10">
        <v>0.5606766327242207</v>
      </c>
      <c r="S3101" s="10">
        <v>0.025292945591905324</v>
      </c>
      <c r="T3101" s="10">
        <v>20.585844018533628</v>
      </c>
      <c r="U3101" s="11">
        <v>0.18628409623284015</v>
      </c>
      <c r="V3101" s="11">
        <v>0.12298290379860048</v>
      </c>
      <c r="W3101" s="11">
        <v>0.19075075839759098</v>
      </c>
      <c r="X3101" s="11">
        <v>0.1549415202112143</v>
      </c>
      <c r="Y3101" s="11">
        <v>0.15778719920745568</v>
      </c>
      <c r="Z3101" s="11">
        <v>0.18725352215229854</v>
      </c>
    </row>
    <row r="3102" ht="22.5" customHeight="1">
      <c r="Q3102" s="9" t="s">
        <v>3140</v>
      </c>
      <c r="R3102" s="10">
        <v>0.799149092013876</v>
      </c>
      <c r="S3102" s="10">
        <v>0.03687791914915772</v>
      </c>
      <c r="T3102" s="10">
        <v>20.58546440604186</v>
      </c>
      <c r="U3102" s="11">
        <v>0.06601903939727877</v>
      </c>
      <c r="V3102" s="11">
        <v>0.2189206174757374</v>
      </c>
      <c r="W3102" s="11">
        <v>0.26322515913361977</v>
      </c>
      <c r="X3102" s="11">
        <v>0.24752364201509644</v>
      </c>
      <c r="Y3102" s="11">
        <v>0.11132941428220736</v>
      </c>
      <c r="Z3102" s="11">
        <v>0.09298212769606039</v>
      </c>
    </row>
    <row r="3103" ht="22.5" customHeight="1">
      <c r="Q3103" s="9" t="s">
        <v>3141</v>
      </c>
      <c r="R3103" s="10">
        <v>0.6674082827492589</v>
      </c>
      <c r="S3103" s="10">
        <v>0.030478221681260544</v>
      </c>
      <c r="T3103" s="10">
        <v>20.58546227895636</v>
      </c>
      <c r="U3103" s="11">
        <v>0.24440401413378068</v>
      </c>
      <c r="V3103" s="11">
        <v>0.2607762531392288</v>
      </c>
      <c r="W3103" s="11">
        <v>0.11091339782498444</v>
      </c>
      <c r="X3103" s="11">
        <v>0.27074212651573987</v>
      </c>
      <c r="Y3103" s="11">
        <v>0.09168172741698649</v>
      </c>
      <c r="Z3103" s="11">
        <v>0.021482480969279717</v>
      </c>
    </row>
    <row r="3104" ht="22.5" customHeight="1">
      <c r="Q3104" s="9" t="s">
        <v>3142</v>
      </c>
      <c r="R3104" s="10">
        <v>0.7911384485849239</v>
      </c>
      <c r="S3104" s="10">
        <v>0.03648945339875393</v>
      </c>
      <c r="T3104" s="10">
        <v>20.58508359597884</v>
      </c>
      <c r="U3104" s="11">
        <v>0.12769280460694135</v>
      </c>
      <c r="V3104" s="11">
        <v>0.23971644433017653</v>
      </c>
      <c r="W3104" s="11">
        <v>0.24338552604998526</v>
      </c>
      <c r="X3104" s="11">
        <v>0.17280028175339573</v>
      </c>
      <c r="Y3104" s="11">
        <v>0.09424414707402647</v>
      </c>
      <c r="Z3104" s="11">
        <v>0.12216079618547453</v>
      </c>
    </row>
    <row r="3105" ht="22.5" customHeight="1">
      <c r="Q3105" s="9" t="s">
        <v>3143</v>
      </c>
      <c r="R3105" s="10">
        <v>0.509062234761979</v>
      </c>
      <c r="S3105" s="10">
        <v>0.02278749536946913</v>
      </c>
      <c r="T3105" s="10">
        <v>20.58419440823814</v>
      </c>
      <c r="U3105" s="11">
        <v>0.28067505952641875</v>
      </c>
      <c r="V3105" s="11">
        <v>0.18967168426992667</v>
      </c>
      <c r="W3105" s="11">
        <v>0.0882764570855917</v>
      </c>
      <c r="X3105" s="11">
        <v>0.1587895181196037</v>
      </c>
      <c r="Y3105" s="11">
        <v>0.005073010664931632</v>
      </c>
      <c r="Z3105" s="11">
        <v>0.2775142703335276</v>
      </c>
    </row>
    <row r="3106" ht="22.5" customHeight="1">
      <c r="Q3106" s="9" t="s">
        <v>3144</v>
      </c>
      <c r="R3106" s="10">
        <v>0.7792282145421056</v>
      </c>
      <c r="S3106" s="10">
        <v>0.03591304809086391</v>
      </c>
      <c r="T3106" s="10">
        <v>20.583833838658805</v>
      </c>
      <c r="U3106" s="11">
        <v>0.008907989999588847</v>
      </c>
      <c r="V3106" s="11">
        <v>0.19215615862246577</v>
      </c>
      <c r="W3106" s="11">
        <v>0.26540667725918454</v>
      </c>
      <c r="X3106" s="11">
        <v>0.2938049473410378</v>
      </c>
      <c r="Y3106" s="11">
        <v>0.22276559199267182</v>
      </c>
      <c r="Z3106" s="11">
        <v>0.01695863478505119</v>
      </c>
    </row>
    <row r="3107" ht="22.5" customHeight="1">
      <c r="Q3107" s="9" t="s">
        <v>3145</v>
      </c>
      <c r="R3107" s="10">
        <v>0.6654114457024047</v>
      </c>
      <c r="S3107" s="10">
        <v>0.03038401207595118</v>
      </c>
      <c r="T3107" s="10">
        <v>20.58357020590494</v>
      </c>
      <c r="U3107" s="11">
        <v>0.20011278879952762</v>
      </c>
      <c r="V3107" s="11">
        <v>0.23346019606851592</v>
      </c>
      <c r="W3107" s="11">
        <v>0.1646568171276197</v>
      </c>
      <c r="X3107" s="11">
        <v>0.10455167155380678</v>
      </c>
      <c r="Y3107" s="11">
        <v>0.06549981351942545</v>
      </c>
      <c r="Z3107" s="11">
        <v>0.2317187129311045</v>
      </c>
    </row>
    <row r="3108" ht="22.5" customHeight="1">
      <c r="Q3108" s="9" t="s">
        <v>3146</v>
      </c>
      <c r="R3108" s="10">
        <v>0.6892554314757778</v>
      </c>
      <c r="S3108" s="10">
        <v>0.03154316466380569</v>
      </c>
      <c r="T3108" s="10">
        <v>20.583078406865376</v>
      </c>
      <c r="U3108" s="11">
        <v>0.1810728400924002</v>
      </c>
      <c r="V3108" s="11">
        <v>0.20668205499102962</v>
      </c>
      <c r="W3108" s="11">
        <v>0.20951034216130274</v>
      </c>
      <c r="X3108" s="11">
        <v>0.1161742163189632</v>
      </c>
      <c r="Y3108" s="11">
        <v>0.06952820581760474</v>
      </c>
      <c r="Z3108" s="11">
        <v>0.2170323406186995</v>
      </c>
    </row>
    <row r="3109" ht="22.5" customHeight="1">
      <c r="Q3109" s="9" t="s">
        <v>3147</v>
      </c>
      <c r="R3109" s="10">
        <v>0.5729023001634077</v>
      </c>
      <c r="S3109" s="10">
        <v>0.02589033962486521</v>
      </c>
      <c r="T3109" s="10">
        <v>20.58305560625422</v>
      </c>
      <c r="U3109" s="11">
        <v>0.22872576556471902</v>
      </c>
      <c r="V3109" s="11">
        <v>0.20419427109578628</v>
      </c>
      <c r="W3109" s="11">
        <v>0.12219814299239437</v>
      </c>
      <c r="X3109" s="11">
        <v>0.057785299787919485</v>
      </c>
      <c r="Y3109" s="11">
        <v>0.19865625506020623</v>
      </c>
      <c r="Z3109" s="11">
        <v>0.1884402654989747</v>
      </c>
    </row>
    <row r="3110" ht="22.5" customHeight="1">
      <c r="Q3110" s="9" t="s">
        <v>3148</v>
      </c>
      <c r="R3110" s="10">
        <v>0.6705823884924995</v>
      </c>
      <c r="S3110" s="10">
        <v>0.03063738063149281</v>
      </c>
      <c r="T3110" s="10">
        <v>20.58212469522641</v>
      </c>
      <c r="U3110" s="11">
        <v>0.06106260810839731</v>
      </c>
      <c r="V3110" s="11">
        <v>0.17082627803822284</v>
      </c>
      <c r="W3110" s="11">
        <v>0.21813604654567018</v>
      </c>
      <c r="X3110" s="11">
        <v>0.15006883281965416</v>
      </c>
      <c r="Y3110" s="11">
        <v>0.30514352841688636</v>
      </c>
      <c r="Z3110" s="11">
        <v>0.09476270607116913</v>
      </c>
    </row>
    <row r="3111" ht="22.5" customHeight="1">
      <c r="Q3111" s="9" t="s">
        <v>3149</v>
      </c>
      <c r="R3111" s="10">
        <v>0.6876774672502496</v>
      </c>
      <c r="S3111" s="10">
        <v>0.03146955803367483</v>
      </c>
      <c r="T3111" s="10">
        <v>20.581079230829527</v>
      </c>
      <c r="U3111" s="11">
        <v>0.13420121196745785</v>
      </c>
      <c r="V3111" s="11">
        <v>0.24438352268172484</v>
      </c>
      <c r="W3111" s="11">
        <v>0.168208207247906</v>
      </c>
      <c r="X3111" s="11">
        <v>0.11852908459542215</v>
      </c>
      <c r="Y3111" s="11">
        <v>0.10775200093777795</v>
      </c>
      <c r="Z3111" s="11">
        <v>0.22692597256971125</v>
      </c>
    </row>
    <row r="3112" ht="22.5" customHeight="1">
      <c r="Q3112" s="9" t="s">
        <v>3150</v>
      </c>
      <c r="R3112" s="10">
        <v>0.6140105290817813</v>
      </c>
      <c r="S3112" s="10">
        <v>0.027890692659143335</v>
      </c>
      <c r="T3112" s="10">
        <v>20.580719743925215</v>
      </c>
      <c r="U3112" s="11">
        <v>0.0029048086438247245</v>
      </c>
      <c r="V3112" s="11">
        <v>0.12574137520437037</v>
      </c>
      <c r="W3112" s="11">
        <v>0.21292270030644833</v>
      </c>
      <c r="X3112" s="11">
        <v>0.2740538354259424</v>
      </c>
      <c r="Y3112" s="11">
        <v>0.2704919217819866</v>
      </c>
      <c r="Z3112" s="11">
        <v>0.11388535863742748</v>
      </c>
    </row>
    <row r="3113" ht="22.5" customHeight="1">
      <c r="Q3113" s="9" t="s">
        <v>3151</v>
      </c>
      <c r="R3113" s="10">
        <v>0.6391764446887555</v>
      </c>
      <c r="S3113" s="10">
        <v>0.02911354491492258</v>
      </c>
      <c r="T3113" s="10">
        <v>20.580676329169336</v>
      </c>
      <c r="U3113" s="11">
        <v>0.21177581310622123</v>
      </c>
      <c r="V3113" s="11">
        <v>0.22013988211208874</v>
      </c>
      <c r="W3113" s="11">
        <v>0.1524373929997335</v>
      </c>
      <c r="X3113" s="11">
        <v>0.04911191498632181</v>
      </c>
      <c r="Y3113" s="11">
        <v>0.25205265694492374</v>
      </c>
      <c r="Z3113" s="11">
        <v>0.11448233985071093</v>
      </c>
    </row>
    <row r="3114" ht="22.5" customHeight="1">
      <c r="Q3114" s="9" t="s">
        <v>3152</v>
      </c>
      <c r="R3114" s="10">
        <v>0.6979946541828776</v>
      </c>
      <c r="S3114" s="10">
        <v>0.031972255047840854</v>
      </c>
      <c r="T3114" s="10">
        <v>20.58017656866256</v>
      </c>
      <c r="U3114" s="11">
        <v>0.3018029226898279</v>
      </c>
      <c r="V3114" s="11">
        <v>0.18711003157760983</v>
      </c>
      <c r="W3114" s="11">
        <v>0.22622733928153996</v>
      </c>
      <c r="X3114" s="11">
        <v>0.12976887811843335</v>
      </c>
      <c r="Y3114" s="11">
        <v>0.0952592991762492</v>
      </c>
      <c r="Z3114" s="11">
        <v>0.059831529156339706</v>
      </c>
    </row>
    <row r="3115" ht="22.5" customHeight="1">
      <c r="Q3115" s="9" t="s">
        <v>3153</v>
      </c>
      <c r="R3115" s="10">
        <v>0.8132211339114024</v>
      </c>
      <c r="S3115" s="10">
        <v>0.03757128060133915</v>
      </c>
      <c r="T3115" s="10">
        <v>20.58011123219054</v>
      </c>
      <c r="U3115" s="11">
        <v>0.04968160718997505</v>
      </c>
      <c r="V3115" s="11">
        <v>0.25819195330612854</v>
      </c>
      <c r="W3115" s="11">
        <v>0.2421927784539445</v>
      </c>
      <c r="X3115" s="11">
        <v>0.23110904566704907</v>
      </c>
      <c r="Y3115" s="11">
        <v>0.019215686969340683</v>
      </c>
      <c r="Z3115" s="11">
        <v>0.19960892841356206</v>
      </c>
    </row>
    <row r="3116" ht="22.5" customHeight="1">
      <c r="Q3116" s="9" t="s">
        <v>3154</v>
      </c>
      <c r="R3116" s="10">
        <v>0.7913010202429898</v>
      </c>
      <c r="S3116" s="10">
        <v>0.03650624152644375</v>
      </c>
      <c r="T3116" s="10">
        <v>20.580070388751892</v>
      </c>
      <c r="U3116" s="11">
        <v>0.22659269338020596</v>
      </c>
      <c r="V3116" s="11">
        <v>0.23118227821026294</v>
      </c>
      <c r="W3116" s="11">
        <v>0.24739164943991493</v>
      </c>
      <c r="X3116" s="11">
        <v>0.14270331210159554</v>
      </c>
      <c r="Y3116" s="11">
        <v>0.14505209603146632</v>
      </c>
      <c r="Z3116" s="11">
        <v>0.00707797083655438</v>
      </c>
    </row>
    <row r="3117" ht="22.5" customHeight="1">
      <c r="Q3117" s="9" t="s">
        <v>3155</v>
      </c>
      <c r="R3117" s="10">
        <v>0.7245093808028152</v>
      </c>
      <c r="S3117" s="10">
        <v>0.03326137577478462</v>
      </c>
      <c r="T3117" s="10">
        <v>20.579707389065376</v>
      </c>
      <c r="U3117" s="11">
        <v>0.2317510700072292</v>
      </c>
      <c r="V3117" s="11">
        <v>0.20324707223609625</v>
      </c>
      <c r="W3117" s="11">
        <v>0.23223901436659225</v>
      </c>
      <c r="X3117" s="11">
        <v>0.15171332888225464</v>
      </c>
      <c r="Y3117" s="11">
        <v>0.060423360531724334</v>
      </c>
      <c r="Z3117" s="11">
        <v>0.12062615397610325</v>
      </c>
    </row>
    <row r="3118" ht="22.5" customHeight="1">
      <c r="Q3118" s="9" t="s">
        <v>3156</v>
      </c>
      <c r="R3118" s="10">
        <v>0.478020509135351</v>
      </c>
      <c r="S3118" s="10">
        <v>0.02128463898613434</v>
      </c>
      <c r="T3118" s="10">
        <v>20.57918433198209</v>
      </c>
      <c r="U3118" s="11">
        <v>0.12810058736824134</v>
      </c>
      <c r="V3118" s="11">
        <v>0.08724261535473508</v>
      </c>
      <c r="W3118" s="11">
        <v>0.16096623367179272</v>
      </c>
      <c r="X3118" s="11">
        <v>0.17535841537888455</v>
      </c>
      <c r="Y3118" s="11">
        <v>0.251523410924539</v>
      </c>
      <c r="Z3118" s="11">
        <v>0.1968087373018074</v>
      </c>
    </row>
    <row r="3119" ht="22.5" customHeight="1">
      <c r="Q3119" s="9" t="s">
        <v>3157</v>
      </c>
      <c r="R3119" s="10">
        <v>0.8980998908385815</v>
      </c>
      <c r="S3119" s="10">
        <v>0.0416992390037951</v>
      </c>
      <c r="T3119" s="10">
        <v>20.578310572058275</v>
      </c>
      <c r="U3119" s="11">
        <v>0.09319340000766585</v>
      </c>
      <c r="V3119" s="11">
        <v>0.28130576781584893</v>
      </c>
      <c r="W3119" s="11">
        <v>0.2728560662780982</v>
      </c>
      <c r="X3119" s="11">
        <v>0.2730868668144197</v>
      </c>
      <c r="Y3119" s="11">
        <v>0.013818046770232338</v>
      </c>
      <c r="Z3119" s="11">
        <v>0.06573985231373507</v>
      </c>
    </row>
    <row r="3120" ht="22.5" customHeight="1">
      <c r="Q3120" s="9" t="s">
        <v>3158</v>
      </c>
      <c r="R3120" s="10">
        <v>0.778516502876647</v>
      </c>
      <c r="S3120" s="10">
        <v>0.03588837541775774</v>
      </c>
      <c r="T3120" s="10">
        <v>20.578153629969705</v>
      </c>
      <c r="U3120" s="11">
        <v>0.3042191659239334</v>
      </c>
      <c r="V3120" s="11">
        <v>0.24272178745049527</v>
      </c>
      <c r="W3120" s="11">
        <v>0.2294148785634947</v>
      </c>
      <c r="X3120" s="11">
        <v>0.11351890775051043</v>
      </c>
      <c r="Y3120" s="11">
        <v>0.09222103089204073</v>
      </c>
      <c r="Z3120" s="11">
        <v>0.017904229419525592</v>
      </c>
    </row>
    <row r="3121" ht="22.5" customHeight="1">
      <c r="Q3121" s="9" t="s">
        <v>3159</v>
      </c>
      <c r="R3121" s="10">
        <v>0.9366173554000914</v>
      </c>
      <c r="S3121" s="10">
        <v>0.043571331022409475</v>
      </c>
      <c r="T3121" s="10">
        <v>20.578149309667538</v>
      </c>
      <c r="U3121" s="11">
        <v>0.03496968099298853</v>
      </c>
      <c r="V3121" s="11">
        <v>0.3070398765277678</v>
      </c>
      <c r="W3121" s="11">
        <v>0.2722965578617418</v>
      </c>
      <c r="X3121" s="11">
        <v>0.29268144906442745</v>
      </c>
      <c r="Y3121" s="11">
        <v>0.04737870695432628</v>
      </c>
      <c r="Z3121" s="11">
        <v>0.04563372859874807</v>
      </c>
    </row>
    <row r="3122" ht="22.5" customHeight="1">
      <c r="Q3122" s="9" t="s">
        <v>3160</v>
      </c>
      <c r="R3122" s="10">
        <v>0.7891312338191243</v>
      </c>
      <c r="S3122" s="10">
        <v>0.03640475314089006</v>
      </c>
      <c r="T3122" s="10">
        <v>20.577841330771037</v>
      </c>
      <c r="U3122" s="11">
        <v>0.07533721758715377</v>
      </c>
      <c r="V3122" s="11">
        <v>0.2267838289029859</v>
      </c>
      <c r="W3122" s="11">
        <v>0.2536651263846235</v>
      </c>
      <c r="X3122" s="11">
        <v>0.2539053597268327</v>
      </c>
      <c r="Y3122" s="11">
        <v>0.009841203490190038</v>
      </c>
      <c r="Z3122" s="11">
        <v>0.18046726390821421</v>
      </c>
    </row>
    <row r="3123" ht="22.5" customHeight="1">
      <c r="Q3123" s="9" t="s">
        <v>3161</v>
      </c>
      <c r="R3123" s="10">
        <v>0.522331348251574</v>
      </c>
      <c r="S3123" s="10">
        <v>0.02724477908551232</v>
      </c>
      <c r="T3123" s="10">
        <v>20.57771917031872</v>
      </c>
      <c r="U3123" s="11">
        <v>0.2271355572886301</v>
      </c>
      <c r="V3123" s="11">
        <v>0.23018506184133267</v>
      </c>
      <c r="W3123" s="11">
        <v>0.1092988259942849</v>
      </c>
      <c r="X3123" s="11">
        <v>0.212052650425748</v>
      </c>
      <c r="Y3123" s="11">
        <v>6.728071063041512E-4</v>
      </c>
      <c r="Z3123" s="11">
        <v>0.22065509734370015</v>
      </c>
    </row>
    <row r="3124" ht="22.5" customHeight="1">
      <c r="Q3124" s="9" t="s">
        <v>3162</v>
      </c>
      <c r="R3124" s="10">
        <v>0.817617028214461</v>
      </c>
      <c r="S3124" s="10">
        <v>0.03778939300795133</v>
      </c>
      <c r="T3124" s="10">
        <v>20.57765331268595</v>
      </c>
      <c r="U3124" s="11">
        <v>0.1627943059346047</v>
      </c>
      <c r="V3124" s="11">
        <v>0.29946347676953367</v>
      </c>
      <c r="W3124" s="11">
        <v>0.19352944139181072</v>
      </c>
      <c r="X3124" s="11">
        <v>0.20002342534169512</v>
      </c>
      <c r="Y3124" s="11">
        <v>0.10918358910380431</v>
      </c>
      <c r="Z3124" s="11">
        <v>0.035005761458551596</v>
      </c>
    </row>
    <row r="3125" ht="22.5" customHeight="1">
      <c r="Q3125" s="9" t="s">
        <v>3163</v>
      </c>
      <c r="R3125" s="10">
        <v>0.7253900305064972</v>
      </c>
      <c r="S3125" s="10">
        <v>0.03330790625924426</v>
      </c>
      <c r="T3125" s="10">
        <v>20.57739760559925</v>
      </c>
      <c r="U3125" s="11">
        <v>0.14322069202641344</v>
      </c>
      <c r="V3125" s="11">
        <v>0.25981592007311394</v>
      </c>
      <c r="W3125" s="11">
        <v>0.1714621238657017</v>
      </c>
      <c r="X3125" s="11">
        <v>0.1130973597458735</v>
      </c>
      <c r="Y3125" s="11">
        <v>0.22460230985687535</v>
      </c>
      <c r="Z3125" s="11">
        <v>0.08780159443202208</v>
      </c>
    </row>
    <row r="3126" ht="22.5" customHeight="1">
      <c r="Q3126" s="9" t="s">
        <v>3164</v>
      </c>
      <c r="R3126" s="10">
        <v>0.7438041319420191</v>
      </c>
      <c r="S3126" s="10">
        <v>0.034204279292808795</v>
      </c>
      <c r="T3126" s="10">
        <v>20.576493540970144</v>
      </c>
      <c r="U3126" s="11">
        <v>0.06665704457095803</v>
      </c>
      <c r="V3126" s="11">
        <v>0.20911979208544226</v>
      </c>
      <c r="W3126" s="11">
        <v>0.2406922857021725</v>
      </c>
      <c r="X3126" s="11">
        <v>0.20875652088887897</v>
      </c>
      <c r="Y3126" s="11">
        <v>0.07323922630967517</v>
      </c>
      <c r="Z3126" s="11">
        <v>0.20153513044287308</v>
      </c>
    </row>
    <row r="3127" ht="22.5" customHeight="1">
      <c r="Q3127" s="9" t="s">
        <v>3165</v>
      </c>
      <c r="R3127" s="10">
        <v>0.7019410191655185</v>
      </c>
      <c r="S3127" s="10">
        <v>0.032169935991316005</v>
      </c>
      <c r="T3127" s="10">
        <v>20.576385956882344</v>
      </c>
      <c r="U3127" s="11">
        <v>0.0333818616101569</v>
      </c>
      <c r="V3127" s="11">
        <v>0.2269988823316014</v>
      </c>
      <c r="W3127" s="11">
        <v>0.19276550866291506</v>
      </c>
      <c r="X3127" s="11">
        <v>0.09111373359520528</v>
      </c>
      <c r="Y3127" s="11">
        <v>0.28993941343196533</v>
      </c>
      <c r="Z3127" s="11">
        <v>0.16580060036815614</v>
      </c>
    </row>
    <row r="3128" ht="22.5" customHeight="1">
      <c r="Q3128" s="9" t="s">
        <v>3166</v>
      </c>
      <c r="R3128" s="10">
        <v>0.7398849388791843</v>
      </c>
      <c r="S3128" s="10">
        <v>0.03401428979895966</v>
      </c>
      <c r="T3128" s="10">
        <v>20.576203207999672</v>
      </c>
      <c r="U3128" s="11">
        <v>0.27286296952072947</v>
      </c>
      <c r="V3128" s="11">
        <v>0.27588828065897375</v>
      </c>
      <c r="W3128" s="11">
        <v>0.15874555949955102</v>
      </c>
      <c r="X3128" s="11">
        <v>0.16335129604433524</v>
      </c>
      <c r="Y3128" s="11">
        <v>0.1256662565953923</v>
      </c>
      <c r="Z3128" s="11">
        <v>0.0034856376810183</v>
      </c>
    </row>
    <row r="3129" ht="22.5" customHeight="1">
      <c r="Q3129" s="9" t="s">
        <v>3167</v>
      </c>
      <c r="R3129" s="10">
        <v>0.6277541287934484</v>
      </c>
      <c r="S3129" s="10">
        <v>0.02856555709969404</v>
      </c>
      <c r="T3129" s="10">
        <v>20.575622829345892</v>
      </c>
      <c r="U3129" s="11">
        <v>0.04083075293722257</v>
      </c>
      <c r="V3129" s="11">
        <v>0.23657528943293066</v>
      </c>
      <c r="W3129" s="11">
        <v>0.12992578813668937</v>
      </c>
      <c r="X3129" s="11">
        <v>0.20903949453705103</v>
      </c>
      <c r="Y3129" s="11">
        <v>0.04389377355625323</v>
      </c>
      <c r="Z3129" s="11">
        <v>0.3397349013998532</v>
      </c>
    </row>
    <row r="3130" ht="22.5" customHeight="1">
      <c r="Q3130" s="9" t="s">
        <v>3168</v>
      </c>
      <c r="R3130" s="10">
        <v>0.6670470344518392</v>
      </c>
      <c r="S3130" s="10">
        <v>0.03047582710377584</v>
      </c>
      <c r="T3130" s="10">
        <v>20.575226139609857</v>
      </c>
      <c r="U3130" s="11">
        <v>0.2350677721077786</v>
      </c>
      <c r="V3130" s="11">
        <v>0.20222972263465705</v>
      </c>
      <c r="W3130" s="11">
        <v>0.19942185749294547</v>
      </c>
      <c r="X3130" s="11">
        <v>0.11209330779992524</v>
      </c>
      <c r="Y3130" s="11">
        <v>0.015144737431422015</v>
      </c>
      <c r="Z3130" s="11">
        <v>0.2360426025332716</v>
      </c>
    </row>
    <row r="3131" ht="22.5" customHeight="1">
      <c r="Q3131" s="9" t="s">
        <v>3169</v>
      </c>
      <c r="R3131" s="10">
        <v>0.693950252093919</v>
      </c>
      <c r="S3131" s="10">
        <v>0.031784173623751334</v>
      </c>
      <c r="T3131" s="10">
        <v>20.574713057986887</v>
      </c>
      <c r="U3131" s="11">
        <v>0.0635499806988537</v>
      </c>
      <c r="V3131" s="11">
        <v>0.2692316447597693</v>
      </c>
      <c r="W3131" s="11">
        <v>0.1316671500918703</v>
      </c>
      <c r="X3131" s="11">
        <v>0.2759924209939055</v>
      </c>
      <c r="Y3131" s="11">
        <v>0.07862905697508706</v>
      </c>
      <c r="Z3131" s="11">
        <v>0.1809297464805143</v>
      </c>
    </row>
    <row r="3132" ht="22.5" customHeight="1">
      <c r="Q3132" s="9" t="s">
        <v>3170</v>
      </c>
      <c r="R3132" s="10">
        <v>0.725497236758513</v>
      </c>
      <c r="S3132" s="10">
        <v>0.03331794199180643</v>
      </c>
      <c r="T3132" s="10">
        <v>20.57441713918257</v>
      </c>
      <c r="U3132" s="11">
        <v>0.17949280093518105</v>
      </c>
      <c r="V3132" s="11">
        <v>0.2573778822745707</v>
      </c>
      <c r="W3132" s="11">
        <v>0.17613849602273893</v>
      </c>
      <c r="X3132" s="11">
        <v>0.10326896468120657</v>
      </c>
      <c r="Y3132" s="11">
        <v>0.18778373441312732</v>
      </c>
      <c r="Z3132" s="11">
        <v>0.09593812167317536</v>
      </c>
    </row>
    <row r="3133" ht="22.5" customHeight="1">
      <c r="Q3133" s="9" t="s">
        <v>3171</v>
      </c>
      <c r="R3133" s="10">
        <v>0.47614766701517</v>
      </c>
      <c r="S3133" s="10">
        <v>0.021198806078929416</v>
      </c>
      <c r="T3133" s="10">
        <v>20.574161836815875</v>
      </c>
      <c r="U3133" s="11">
        <v>0.17919093765593191</v>
      </c>
      <c r="V3133" s="11">
        <v>0.17942593117669195</v>
      </c>
      <c r="W3133" s="11">
        <v>0.04705641329315523</v>
      </c>
      <c r="X3133" s="11">
        <v>0.2754062322244998</v>
      </c>
      <c r="Y3133" s="11">
        <v>0.2462943417673418</v>
      </c>
      <c r="Z3133" s="11">
        <v>0.0726261438823792</v>
      </c>
    </row>
    <row r="3134" ht="22.5" customHeight="1">
      <c r="Q3134" s="9" t="s">
        <v>3172</v>
      </c>
      <c r="R3134" s="10">
        <v>0.6664221460458717</v>
      </c>
      <c r="S3134" s="10">
        <v>0.03044706871857865</v>
      </c>
      <c r="T3134" s="10">
        <v>20.57413644104373</v>
      </c>
      <c r="U3134" s="11">
        <v>0.23911737974653394</v>
      </c>
      <c r="V3134" s="11">
        <v>0.17659141544305196</v>
      </c>
      <c r="W3134" s="11">
        <v>0.21099249652025773</v>
      </c>
      <c r="X3134" s="11">
        <v>0.08682056369873903</v>
      </c>
      <c r="Y3134" s="11">
        <v>0.261526988718049</v>
      </c>
      <c r="Z3134" s="11">
        <v>0.024951155873368273</v>
      </c>
    </row>
    <row r="3135" ht="22.5" customHeight="1">
      <c r="Q3135" s="9" t="s">
        <v>3173</v>
      </c>
      <c r="R3135" s="10">
        <v>0.7116580519219173</v>
      </c>
      <c r="S3135" s="10">
        <v>0.03264708617667343</v>
      </c>
      <c r="T3135" s="10">
        <v>20.57329246129848</v>
      </c>
      <c r="U3135" s="11">
        <v>0.10956309886498547</v>
      </c>
      <c r="V3135" s="11">
        <v>0.2786156897677022</v>
      </c>
      <c r="W3135" s="11">
        <v>0.12181457473074708</v>
      </c>
      <c r="X3135" s="11">
        <v>0.3002385367622308</v>
      </c>
      <c r="Y3135" s="11">
        <v>0.17834285447066978</v>
      </c>
      <c r="Z3135" s="11">
        <v>0.011425245403664762</v>
      </c>
    </row>
    <row r="3136" ht="22.5" customHeight="1">
      <c r="Q3136" s="9" t="s">
        <v>3174</v>
      </c>
      <c r="R3136" s="10">
        <v>0.6242360295097378</v>
      </c>
      <c r="S3136" s="10">
        <v>0.02839865116536235</v>
      </c>
      <c r="T3136" s="10">
        <v>20.572668261875997</v>
      </c>
      <c r="U3136" s="11">
        <v>0.08714351655893093</v>
      </c>
      <c r="V3136" s="11">
        <v>0.23171028261058038</v>
      </c>
      <c r="W3136" s="11">
        <v>0.13390612506013633</v>
      </c>
      <c r="X3136" s="11">
        <v>0.14161315525990464</v>
      </c>
      <c r="Y3136" s="11">
        <v>0.11262441112363607</v>
      </c>
      <c r="Z3136" s="11">
        <v>0.29300250938681166</v>
      </c>
    </row>
    <row r="3137" ht="22.5" customHeight="1">
      <c r="Q3137" s="9" t="s">
        <v>3175</v>
      </c>
      <c r="R3137" s="10">
        <v>0.6150303802980032</v>
      </c>
      <c r="S3137" s="10">
        <v>0.02795189908419745</v>
      </c>
      <c r="T3137" s="10">
        <v>20.572139966800876</v>
      </c>
      <c r="U3137" s="11">
        <v>0.3077465608646243</v>
      </c>
      <c r="V3137" s="11">
        <v>0.1964978602727712</v>
      </c>
      <c r="W3137" s="11">
        <v>0.16338355386022463</v>
      </c>
      <c r="X3137" s="11">
        <v>0.02340704604576906</v>
      </c>
      <c r="Y3137" s="11">
        <v>0.1743231171524122</v>
      </c>
      <c r="Z3137" s="11">
        <v>0.13464186180419851</v>
      </c>
    </row>
    <row r="3138" ht="22.5" customHeight="1">
      <c r="Q3138" s="9" t="s">
        <v>3176</v>
      </c>
      <c r="R3138" s="10">
        <v>0.808163226698094</v>
      </c>
      <c r="S3138" s="10">
        <v>0.03734005507071845</v>
      </c>
      <c r="T3138" s="10">
        <v>20.572096780341305</v>
      </c>
      <c r="U3138" s="11">
        <v>0.08431578627296847</v>
      </c>
      <c r="V3138" s="11">
        <v>0.30113655820667357</v>
      </c>
      <c r="W3138" s="11">
        <v>0.17906790840130382</v>
      </c>
      <c r="X3138" s="11">
        <v>0.2155632270285691</v>
      </c>
      <c r="Y3138" s="11">
        <v>0.21750784658632102</v>
      </c>
      <c r="Z3138" s="11">
        <v>0.002408673504164183</v>
      </c>
    </row>
    <row r="3139" ht="22.5" customHeight="1">
      <c r="Q3139" s="9" t="s">
        <v>3177</v>
      </c>
      <c r="R3139" s="10">
        <v>0.827925113757329</v>
      </c>
      <c r="S3139" s="10">
        <v>0.03830085115246085</v>
      </c>
      <c r="T3139" s="10">
        <v>20.57200010049135</v>
      </c>
      <c r="U3139" s="11">
        <v>0.06730314031386944</v>
      </c>
      <c r="V3139" s="11">
        <v>0.24583099588406196</v>
      </c>
      <c r="W3139" s="11">
        <v>0.25627703518420825</v>
      </c>
      <c r="X3139" s="11">
        <v>0.17497218761181954</v>
      </c>
      <c r="Y3139" s="11">
        <v>0.24137501173215184</v>
      </c>
      <c r="Z3139" s="11">
        <v>0.01424162927388901</v>
      </c>
    </row>
    <row r="3140" ht="22.5" customHeight="1">
      <c r="Q3140" s="9" t="s">
        <v>3178</v>
      </c>
      <c r="R3140" s="10">
        <v>0.5413000593808988</v>
      </c>
      <c r="S3140" s="10">
        <v>0.024368090025126403</v>
      </c>
      <c r="T3140" s="10">
        <v>20.57198815598591</v>
      </c>
      <c r="U3140" s="11">
        <v>0.22903075192336514</v>
      </c>
      <c r="V3140" s="11">
        <v>0.20627648648524008</v>
      </c>
      <c r="W3140" s="11">
        <v>0.07460179151974915</v>
      </c>
      <c r="X3140" s="11">
        <v>0.19887270430399634</v>
      </c>
      <c r="Y3140" s="11">
        <v>0.24318804802122512</v>
      </c>
      <c r="Z3140" s="11">
        <v>0.04803021774642421</v>
      </c>
    </row>
    <row r="3141" ht="22.5" customHeight="1">
      <c r="Q3141" s="9" t="s">
        <v>3179</v>
      </c>
      <c r="R3141" s="10">
        <v>0.5926405057321738</v>
      </c>
      <c r="S3141" s="10">
        <v>0.026863777284349275</v>
      </c>
      <c r="T3141" s="10">
        <v>20.571958287271084</v>
      </c>
      <c r="U3141" s="11">
        <v>0.1700470878936621</v>
      </c>
      <c r="V3141" s="11">
        <v>0.1256130548205388</v>
      </c>
      <c r="W3141" s="11">
        <v>0.2059885477074024</v>
      </c>
      <c r="X3141" s="11">
        <v>0.19965885663942684</v>
      </c>
      <c r="Y3141" s="11">
        <v>0.16386210014868663</v>
      </c>
      <c r="Z3141" s="11">
        <v>0.13483035279028321</v>
      </c>
    </row>
    <row r="3142" ht="22.5" customHeight="1">
      <c r="Q3142" s="9" t="s">
        <v>3180</v>
      </c>
      <c r="R3142" s="10">
        <v>0.6567886071041776</v>
      </c>
      <c r="S3142" s="10">
        <v>0.02998259995717608</v>
      </c>
      <c r="T3142" s="10">
        <v>20.571551766195462</v>
      </c>
      <c r="U3142" s="11">
        <v>0.2868459136830892</v>
      </c>
      <c r="V3142" s="11">
        <v>0.18975888320266654</v>
      </c>
      <c r="W3142" s="11">
        <v>0.1954652081597091</v>
      </c>
      <c r="X3142" s="11">
        <v>0.04539724211991258</v>
      </c>
      <c r="Y3142" s="11">
        <v>0.22813422538495853</v>
      </c>
      <c r="Z3142" s="11">
        <v>0.054398527449664176</v>
      </c>
    </row>
    <row r="3143" ht="22.5" customHeight="1">
      <c r="Q3143" s="9" t="s">
        <v>3181</v>
      </c>
      <c r="R3143" s="10">
        <v>0.8395489969114063</v>
      </c>
      <c r="S3143" s="10">
        <v>0.03886695899037854</v>
      </c>
      <c r="T3143" s="10">
        <v>20.571431819745232</v>
      </c>
      <c r="U3143" s="11">
        <v>0.13123854310731456</v>
      </c>
      <c r="V3143" s="11">
        <v>0.26393650526304835</v>
      </c>
      <c r="W3143" s="11">
        <v>0.25140719361206637</v>
      </c>
      <c r="X3143" s="11">
        <v>0.1770524449273407</v>
      </c>
      <c r="Y3143" s="11">
        <v>0.11397567040650354</v>
      </c>
      <c r="Z3143" s="11">
        <v>0.06238964268372651</v>
      </c>
    </row>
    <row r="3144" ht="22.5" customHeight="1">
      <c r="Q3144" s="9" t="s">
        <v>3182</v>
      </c>
      <c r="R3144" s="10">
        <v>0.6693527601954852</v>
      </c>
      <c r="S3144" s="10">
        <v>0.03059445433004397</v>
      </c>
      <c r="T3144" s="10">
        <v>20.570811736212477</v>
      </c>
      <c r="U3144" s="11">
        <v>0.18947718622439785</v>
      </c>
      <c r="V3144" s="11">
        <v>0.2024426193611838</v>
      </c>
      <c r="W3144" s="11">
        <v>0.1935049812515811</v>
      </c>
      <c r="X3144" s="11">
        <v>0.04984785528838319</v>
      </c>
      <c r="Y3144" s="11">
        <v>0.26358950854813035</v>
      </c>
      <c r="Z3144" s="11">
        <v>0.10113784932632369</v>
      </c>
    </row>
    <row r="3145" ht="22.5" customHeight="1">
      <c r="Q3145" s="9" t="s">
        <v>3183</v>
      </c>
      <c r="R3145" s="10">
        <v>0.7712757429582522</v>
      </c>
      <c r="S3145" s="10">
        <v>0.035549256540151515</v>
      </c>
      <c r="T3145" s="10">
        <v>20.570774585181674</v>
      </c>
      <c r="U3145" s="11">
        <v>0.09693549661917082</v>
      </c>
      <c r="V3145" s="11">
        <v>0.2916097348996028</v>
      </c>
      <c r="W3145" s="11">
        <v>0.1610167207326706</v>
      </c>
      <c r="X3145" s="11">
        <v>0.2179414642075711</v>
      </c>
      <c r="Y3145" s="11">
        <v>0.2159053734918739</v>
      </c>
      <c r="Z3145" s="11">
        <v>0.01659121004911092</v>
      </c>
    </row>
    <row r="3146" ht="22.5" customHeight="1">
      <c r="Q3146" s="9" t="s">
        <v>3184</v>
      </c>
      <c r="R3146" s="10">
        <v>0.522331348251574</v>
      </c>
      <c r="S3146" s="10">
        <v>0.029884804550120325</v>
      </c>
      <c r="T3146" s="10">
        <v>20.570542697397208</v>
      </c>
      <c r="U3146" s="11">
        <v>0.2058045852996944</v>
      </c>
      <c r="V3146" s="11">
        <v>0.22591384018725819</v>
      </c>
      <c r="W3146" s="11">
        <v>0.16559669255856485</v>
      </c>
      <c r="X3146" s="11">
        <v>0.08103490922830646</v>
      </c>
      <c r="Y3146" s="11">
        <v>0.09229660674491749</v>
      </c>
      <c r="Z3146" s="11">
        <v>0.22935336598125872</v>
      </c>
    </row>
    <row r="3147" ht="22.5" customHeight="1">
      <c r="Q3147" s="9" t="s">
        <v>3185</v>
      </c>
      <c r="R3147" s="10">
        <v>0.2813055276477786</v>
      </c>
      <c r="S3147" s="10">
        <v>0.011730782238648907</v>
      </c>
      <c r="T3147" s="10">
        <v>20.570284465153534</v>
      </c>
      <c r="U3147" s="11">
        <v>0.004196271037449448</v>
      </c>
      <c r="V3147" s="11">
        <v>0.07973789960668581</v>
      </c>
      <c r="W3147" s="11">
        <v>0.02677253781133772</v>
      </c>
      <c r="X3147" s="11">
        <v>0.2539636695742812</v>
      </c>
      <c r="Y3147" s="11">
        <v>0.1618161896266153</v>
      </c>
      <c r="Z3147" s="11">
        <v>0.47351343234363047</v>
      </c>
    </row>
    <row r="3148" ht="22.5" customHeight="1">
      <c r="Q3148" s="9" t="s">
        <v>3186</v>
      </c>
      <c r="R3148" s="10">
        <v>0.6210387611893927</v>
      </c>
      <c r="S3148" s="10">
        <v>0.02824723440650731</v>
      </c>
      <c r="T3148" s="10">
        <v>20.56975747882557</v>
      </c>
      <c r="U3148" s="11">
        <v>0.2525329870543717</v>
      </c>
      <c r="V3148" s="11">
        <v>0.13903047115230951</v>
      </c>
      <c r="W3148" s="11">
        <v>0.214175076832758</v>
      </c>
      <c r="X3148" s="11">
        <v>0.18517719224508714</v>
      </c>
      <c r="Y3148" s="11">
        <v>0.1105361863648572</v>
      </c>
      <c r="Z3148" s="11">
        <v>0.09854808635061646</v>
      </c>
    </row>
    <row r="3149" ht="22.5" customHeight="1">
      <c r="Q3149" s="9" t="s">
        <v>3187</v>
      </c>
      <c r="R3149" s="10">
        <v>0.6482975489272754</v>
      </c>
      <c r="S3149" s="10">
        <v>0.029573099065965773</v>
      </c>
      <c r="T3149" s="10">
        <v>20.5692865522956</v>
      </c>
      <c r="U3149" s="11">
        <v>0.14931354542570918</v>
      </c>
      <c r="V3149" s="11">
        <v>0.18294518894920198</v>
      </c>
      <c r="W3149" s="11">
        <v>0.20175234904398692</v>
      </c>
      <c r="X3149" s="11">
        <v>0.08546394008747173</v>
      </c>
      <c r="Y3149" s="11">
        <v>0.18347904874227297</v>
      </c>
      <c r="Z3149" s="11">
        <v>0.19704592775135718</v>
      </c>
    </row>
    <row r="3150" ht="22.5" customHeight="1">
      <c r="Q3150" s="9" t="s">
        <v>3188</v>
      </c>
      <c r="R3150" s="10">
        <v>0.5427175156681681</v>
      </c>
      <c r="S3150" s="10">
        <v>0.024440403284116587</v>
      </c>
      <c r="T3150" s="10">
        <v>20.569117040506274</v>
      </c>
      <c r="U3150" s="11">
        <v>0.2604473562350464</v>
      </c>
      <c r="V3150" s="11">
        <v>0.19139418284639226</v>
      </c>
      <c r="W3150" s="11">
        <v>0.12060512754071569</v>
      </c>
      <c r="X3150" s="11">
        <v>0.08640553432974495</v>
      </c>
      <c r="Y3150" s="11">
        <v>0.024517350878520226</v>
      </c>
      <c r="Z3150" s="11">
        <v>0.3166304481695806</v>
      </c>
    </row>
    <row r="3151" ht="22.5" customHeight="1">
      <c r="Q3151" s="9" t="s">
        <v>3189</v>
      </c>
      <c r="R3151" s="10">
        <v>0.5820078952630339</v>
      </c>
      <c r="S3151" s="10">
        <v>0.026351250456517948</v>
      </c>
      <c r="T3151" s="10">
        <v>20.568583496915945</v>
      </c>
      <c r="U3151" s="11">
        <v>0.1905523619096273</v>
      </c>
      <c r="V3151" s="11">
        <v>0.18759140398075466</v>
      </c>
      <c r="W3151" s="11">
        <v>0.14676961453211362</v>
      </c>
      <c r="X3151" s="11">
        <v>0.0189620311758154</v>
      </c>
      <c r="Y3151" s="11">
        <v>0.29189039179156234</v>
      </c>
      <c r="Z3151" s="11">
        <v>0.1642341966101267</v>
      </c>
    </row>
    <row r="3152" ht="22.5" customHeight="1">
      <c r="Q3152" s="9" t="s">
        <v>3190</v>
      </c>
      <c r="R3152" s="10">
        <v>0.5924594187083227</v>
      </c>
      <c r="S3152" s="10">
        <v>0.02685951429191133</v>
      </c>
      <c r="T3152" s="10">
        <v>20.5684813472109</v>
      </c>
      <c r="U3152" s="11">
        <v>0.03760557625376216</v>
      </c>
      <c r="V3152" s="11">
        <v>0.13510989947267357</v>
      </c>
      <c r="W3152" s="11">
        <v>0.19994771169484885</v>
      </c>
      <c r="X3152" s="11">
        <v>0.17761041110378437</v>
      </c>
      <c r="Y3152" s="11">
        <v>0.2469646024117919</v>
      </c>
      <c r="Z3152" s="11">
        <v>0.2027617990631392</v>
      </c>
    </row>
    <row r="3153" ht="22.5" customHeight="1">
      <c r="Q3153" s="9" t="s">
        <v>3191</v>
      </c>
      <c r="R3153" s="10">
        <v>0.7263908866203908</v>
      </c>
      <c r="S3153" s="10">
        <v>0.03337188828807046</v>
      </c>
      <c r="T3153" s="10">
        <v>20.567936722530526</v>
      </c>
      <c r="U3153" s="11">
        <v>0.1827287385094083</v>
      </c>
      <c r="V3153" s="11">
        <v>0.17827214043225958</v>
      </c>
      <c r="W3153" s="11">
        <v>0.24861880683902016</v>
      </c>
      <c r="X3153" s="11">
        <v>0.2219870074718669</v>
      </c>
      <c r="Y3153" s="11">
        <v>0.12176262140481521</v>
      </c>
      <c r="Z3153" s="11">
        <v>0.04663068534262974</v>
      </c>
    </row>
    <row r="3154" ht="22.5" customHeight="1">
      <c r="Q3154" s="9" t="s">
        <v>3192</v>
      </c>
      <c r="R3154" s="10">
        <v>0.5345675893369671</v>
      </c>
      <c r="S3154" s="10">
        <v>0.024046025983690898</v>
      </c>
      <c r="T3154" s="10">
        <v>20.567539504132835</v>
      </c>
      <c r="U3154" s="11">
        <v>0.17921814824063725</v>
      </c>
      <c r="V3154" s="11">
        <v>0.20640188648213692</v>
      </c>
      <c r="W3154" s="11">
        <v>0.06738732270139976</v>
      </c>
      <c r="X3154" s="11">
        <v>0.24505601641074212</v>
      </c>
      <c r="Y3154" s="11">
        <v>0.22486196161817107</v>
      </c>
      <c r="Z3154" s="11">
        <v>0.0770746645469129</v>
      </c>
    </row>
    <row r="3155" ht="22.5" customHeight="1">
      <c r="Q3155" s="9" t="s">
        <v>3193</v>
      </c>
      <c r="R3155" s="10">
        <v>0.8965625738370943</v>
      </c>
      <c r="S3155" s="10">
        <v>0.04164717224697374</v>
      </c>
      <c r="T3155" s="10">
        <v>20.567124431823473</v>
      </c>
      <c r="U3155" s="11">
        <v>0.12489184195867885</v>
      </c>
      <c r="V3155" s="11">
        <v>0.28153467421994277</v>
      </c>
      <c r="W3155" s="11">
        <v>0.2720217574191803</v>
      </c>
      <c r="X3155" s="11">
        <v>0.26087762318226376</v>
      </c>
      <c r="Y3155" s="11">
        <v>0.005231473981146618</v>
      </c>
      <c r="Z3155" s="11">
        <v>0.05544262923878774</v>
      </c>
    </row>
    <row r="3156" ht="22.5" customHeight="1">
      <c r="Q3156" s="9" t="s">
        <v>3194</v>
      </c>
      <c r="R3156" s="10">
        <v>0.8597127093723176</v>
      </c>
      <c r="S3156" s="10">
        <v>0.0398556939683576</v>
      </c>
      <c r="T3156" s="10">
        <v>20.567016347102307</v>
      </c>
      <c r="U3156" s="11">
        <v>0.17453118262050624</v>
      </c>
      <c r="V3156" s="11">
        <v>0.2781017119850445</v>
      </c>
      <c r="W3156" s="11">
        <v>0.2498540393509494</v>
      </c>
      <c r="X3156" s="11">
        <v>0.167384038810472</v>
      </c>
      <c r="Y3156" s="11">
        <v>0.12043526933306083</v>
      </c>
      <c r="Z3156" s="11">
        <v>0.00969375789996716</v>
      </c>
    </row>
    <row r="3157" ht="22.5" customHeight="1">
      <c r="Q3157" s="9" t="s">
        <v>3195</v>
      </c>
      <c r="R3157" s="10">
        <v>0.6846543778658436</v>
      </c>
      <c r="S3157" s="10">
        <v>0.03134409317826948</v>
      </c>
      <c r="T3157" s="10">
        <v>20.567013191269336</v>
      </c>
      <c r="U3157" s="11">
        <v>0.2171772687301683</v>
      </c>
      <c r="V3157" s="11">
        <v>0.26049687223088636</v>
      </c>
      <c r="W3157" s="11">
        <v>0.1356978614469312</v>
      </c>
      <c r="X3157" s="11">
        <v>0.17385627592457814</v>
      </c>
      <c r="Y3157" s="11">
        <v>0.1277524584664333</v>
      </c>
      <c r="Z3157" s="11">
        <v>0.08501926320100278</v>
      </c>
    </row>
    <row r="3158" ht="22.5" customHeight="1">
      <c r="Q3158" s="9" t="s">
        <v>3196</v>
      </c>
      <c r="R3158" s="10">
        <v>0.7773981329235096</v>
      </c>
      <c r="S3158" s="10">
        <v>0.03585344169225413</v>
      </c>
      <c r="T3158" s="10">
        <v>20.567011090676377</v>
      </c>
      <c r="U3158" s="11">
        <v>0.002933162757048357</v>
      </c>
      <c r="V3158" s="11">
        <v>0.21535238648438632</v>
      </c>
      <c r="W3158" s="11">
        <v>0.2547031396982771</v>
      </c>
      <c r="X3158" s="11">
        <v>0.2518989134788181</v>
      </c>
      <c r="Y3158" s="11">
        <v>0.09894661111570811</v>
      </c>
      <c r="Z3158" s="11">
        <v>0.17616578646576198</v>
      </c>
    </row>
    <row r="3159" ht="22.5" customHeight="1">
      <c r="Q3159" s="9" t="s">
        <v>3197</v>
      </c>
      <c r="R3159" s="10">
        <v>0.5233850294055241</v>
      </c>
      <c r="S3159" s="10">
        <v>0.023502936309269667</v>
      </c>
      <c r="T3159" s="10">
        <v>20.567005885765635</v>
      </c>
      <c r="U3159" s="11">
        <v>0.2531862180520392</v>
      </c>
      <c r="V3159" s="11">
        <v>0.11039247399499423</v>
      </c>
      <c r="W3159" s="11">
        <v>0.17707785770503376</v>
      </c>
      <c r="X3159" s="11">
        <v>0.13955885636904145</v>
      </c>
      <c r="Y3159" s="11">
        <v>0.12837741040299566</v>
      </c>
      <c r="Z3159" s="11">
        <v>0.19140718347589558</v>
      </c>
    </row>
    <row r="3160" ht="22.5" customHeight="1">
      <c r="Q3160" s="9" t="s">
        <v>3198</v>
      </c>
      <c r="R3160" s="10">
        <v>0.522331348251574</v>
      </c>
      <c r="S3160" s="10">
        <v>0.035687173693629344</v>
      </c>
      <c r="T3160" s="10">
        <v>20.56678284983908</v>
      </c>
      <c r="U3160" s="11">
        <v>0.2544898173828124</v>
      </c>
      <c r="V3160" s="11">
        <v>0.2748049624855096</v>
      </c>
      <c r="W3160" s="11">
        <v>0.19130916899245942</v>
      </c>
      <c r="X3160" s="11">
        <v>0.12619807865442356</v>
      </c>
      <c r="Y3160" s="11">
        <v>0.12075052494479985</v>
      </c>
      <c r="Z3160" s="11">
        <v>0.032447447539995324</v>
      </c>
    </row>
    <row r="3161" ht="22.5" customHeight="1">
      <c r="Q3161" s="9" t="s">
        <v>3199</v>
      </c>
      <c r="R3161" s="10">
        <v>0.522331348251574</v>
      </c>
      <c r="S3161" s="10">
        <v>0.03274280517955091</v>
      </c>
      <c r="T3161" s="10">
        <v>20.56653383184015</v>
      </c>
      <c r="U3161" s="11">
        <v>0.15395227673268674</v>
      </c>
      <c r="V3161" s="11">
        <v>0.22539129185202264</v>
      </c>
      <c r="W3161" s="11">
        <v>0.20764221732844307</v>
      </c>
      <c r="X3161" s="11">
        <v>0.10040220282586702</v>
      </c>
      <c r="Y3161" s="11">
        <v>0.11865679996582938</v>
      </c>
      <c r="Z3161" s="11">
        <v>0.19395521129515123</v>
      </c>
    </row>
    <row r="3162" ht="22.5" customHeight="1">
      <c r="Q3162" s="9" t="s">
        <v>3200</v>
      </c>
      <c r="R3162" s="10">
        <v>0.692503215265358</v>
      </c>
      <c r="S3162" s="10">
        <v>0.031726869961895526</v>
      </c>
      <c r="T3162" s="10">
        <v>20.566265000267112</v>
      </c>
      <c r="U3162" s="11">
        <v>0.10131969695500831</v>
      </c>
      <c r="V3162" s="11">
        <v>0.18193877039051867</v>
      </c>
      <c r="W3162" s="11">
        <v>0.2300376565474928</v>
      </c>
      <c r="X3162" s="11">
        <v>0.1829084973092948</v>
      </c>
      <c r="Y3162" s="11">
        <v>0.11391556946973101</v>
      </c>
      <c r="Z3162" s="11">
        <v>0.1898798093279544</v>
      </c>
    </row>
    <row r="3163" ht="22.5" customHeight="1">
      <c r="Q3163" s="9" t="s">
        <v>3201</v>
      </c>
      <c r="R3163" s="10">
        <v>0.8955043091579008</v>
      </c>
      <c r="S3163" s="10">
        <v>0.041601097046414626</v>
      </c>
      <c r="T3163" s="10">
        <v>20.564465119835873</v>
      </c>
      <c r="U3163" s="11">
        <v>0.010062564043785674</v>
      </c>
      <c r="V3163" s="11">
        <v>0.25188705234914716</v>
      </c>
      <c r="W3163" s="11">
        <v>0.29320369281571873</v>
      </c>
      <c r="X3163" s="11">
        <v>0.3190922679176919</v>
      </c>
      <c r="Y3163" s="11">
        <v>0.10927073125437278</v>
      </c>
      <c r="Z3163" s="11">
        <v>0.01648369161928358</v>
      </c>
    </row>
    <row r="3164" ht="22.5" customHeight="1">
      <c r="Q3164" s="9" t="s">
        <v>3202</v>
      </c>
      <c r="R3164" s="10">
        <v>0.522331348251574</v>
      </c>
      <c r="S3164" s="10">
        <v>0.036076977444007285</v>
      </c>
      <c r="T3164" s="10">
        <v>20.563651991676704</v>
      </c>
      <c r="U3164" s="11">
        <v>0.12091707386937794</v>
      </c>
      <c r="V3164" s="11">
        <v>0.20090436826467858</v>
      </c>
      <c r="W3164" s="11">
        <v>0.263837055177563</v>
      </c>
      <c r="X3164" s="11">
        <v>0.23259695655063942</v>
      </c>
      <c r="Y3164" s="11">
        <v>0.1740137295422124</v>
      </c>
      <c r="Z3164" s="11">
        <v>0.007730816595528919</v>
      </c>
    </row>
    <row r="3165" ht="22.5" customHeight="1">
      <c r="Q3165" s="9" t="s">
        <v>3203</v>
      </c>
      <c r="R3165" s="10">
        <v>0.7663974569215642</v>
      </c>
      <c r="S3165" s="10">
        <v>0.035325264596318386</v>
      </c>
      <c r="T3165" s="10">
        <v>20.563114394825217</v>
      </c>
      <c r="U3165" s="11">
        <v>0.048343612831456384</v>
      </c>
      <c r="V3165" s="11">
        <v>0.2542179962000678</v>
      </c>
      <c r="W3165" s="11">
        <v>0.2116944169331495</v>
      </c>
      <c r="X3165" s="11">
        <v>0.12425418896078501</v>
      </c>
      <c r="Y3165" s="11">
        <v>0.21787454603172315</v>
      </c>
      <c r="Z3165" s="11">
        <v>0.14361523904281817</v>
      </c>
    </row>
    <row r="3166" ht="22.5" customHeight="1">
      <c r="Q3166" s="9" t="s">
        <v>3204</v>
      </c>
      <c r="R3166" s="10">
        <v>0.7231148160154602</v>
      </c>
      <c r="S3166" s="10">
        <v>0.033220763618263344</v>
      </c>
      <c r="T3166" s="10">
        <v>20.562887231162655</v>
      </c>
      <c r="U3166" s="11">
        <v>0.025876892716340232</v>
      </c>
      <c r="V3166" s="11">
        <v>0.1883240786963946</v>
      </c>
      <c r="W3166" s="11">
        <v>0.2349753358211131</v>
      </c>
      <c r="X3166" s="11">
        <v>0.1768755449817304</v>
      </c>
      <c r="Y3166" s="11">
        <v>0.3298439884027135</v>
      </c>
      <c r="Z3166" s="11">
        <v>0.0441041593817083</v>
      </c>
    </row>
    <row r="3167" ht="22.5" customHeight="1">
      <c r="Q3167" s="9" t="s">
        <v>3205</v>
      </c>
      <c r="R3167" s="10">
        <v>0.4819228616206577</v>
      </c>
      <c r="S3167" s="10">
        <v>0.021492473847292977</v>
      </c>
      <c r="T3167" s="10">
        <v>20.561749417986096</v>
      </c>
      <c r="U3167" s="11">
        <v>0.28154194238100694</v>
      </c>
      <c r="V3167" s="11">
        <v>0.08090556004409019</v>
      </c>
      <c r="W3167" s="11">
        <v>0.16468343078433872</v>
      </c>
      <c r="X3167" s="11">
        <v>0.1898123254307859</v>
      </c>
      <c r="Y3167" s="11">
        <v>0.19056421516030309</v>
      </c>
      <c r="Z3167" s="11">
        <v>0.09249252619947496</v>
      </c>
    </row>
    <row r="3168" ht="22.5" customHeight="1">
      <c r="Q3168" s="9" t="s">
        <v>3206</v>
      </c>
      <c r="R3168" s="10">
        <v>0.7652943718702794</v>
      </c>
      <c r="S3168" s="10">
        <v>0.035274318551406454</v>
      </c>
      <c r="T3168" s="10">
        <v>20.561541701033384</v>
      </c>
      <c r="U3168" s="11">
        <v>0.20156186987386981</v>
      </c>
      <c r="V3168" s="11">
        <v>0.247243456003075</v>
      </c>
      <c r="W3168" s="11">
        <v>0.22020058349849725</v>
      </c>
      <c r="X3168" s="11">
        <v>0.12263102561812446</v>
      </c>
      <c r="Y3168" s="11">
        <v>0.07982179702896407</v>
      </c>
      <c r="Z3168" s="11">
        <v>0.12854126797746931</v>
      </c>
    </row>
    <row r="3169" ht="22.5" customHeight="1">
      <c r="Q3169" s="9" t="s">
        <v>3207</v>
      </c>
      <c r="R3169" s="10">
        <v>0.7265432597919483</v>
      </c>
      <c r="S3169" s="10">
        <v>0.03339076138863967</v>
      </c>
      <c r="T3169" s="10">
        <v>20.560874662340783</v>
      </c>
      <c r="U3169" s="11">
        <v>0.21872902180387255</v>
      </c>
      <c r="V3169" s="11">
        <v>0.2491193944813753</v>
      </c>
      <c r="W3169" s="11">
        <v>0.19192166697002358</v>
      </c>
      <c r="X3169" s="11">
        <v>0.12135205962876565</v>
      </c>
      <c r="Y3169" s="11">
        <v>0.03899271931419934</v>
      </c>
      <c r="Z3169" s="11">
        <v>0.17988513780176354</v>
      </c>
    </row>
    <row r="3170" ht="22.5" customHeight="1">
      <c r="Q3170" s="9" t="s">
        <v>3208</v>
      </c>
      <c r="R3170" s="10">
        <v>0.7191302920298616</v>
      </c>
      <c r="S3170" s="10">
        <v>0.033030432256931135</v>
      </c>
      <c r="T3170" s="10">
        <v>20.56074491387718</v>
      </c>
      <c r="U3170" s="11">
        <v>0.09355725113314887</v>
      </c>
      <c r="V3170" s="11">
        <v>0.195497228682067</v>
      </c>
      <c r="W3170" s="11">
        <v>0.2337919389004306</v>
      </c>
      <c r="X3170" s="11">
        <v>0.1540971560736533</v>
      </c>
      <c r="Y3170" s="11">
        <v>0.1944439881725963</v>
      </c>
      <c r="Z3170" s="11">
        <v>0.12861243703810407</v>
      </c>
    </row>
    <row r="3171" ht="22.5" customHeight="1">
      <c r="Q3171" s="9" t="s">
        <v>3209</v>
      </c>
      <c r="R3171" s="10">
        <v>0.6842172115182229</v>
      </c>
      <c r="S3171" s="10">
        <v>0.03133282398795324</v>
      </c>
      <c r="T3171" s="10">
        <v>20.56045799656966</v>
      </c>
      <c r="U3171" s="11">
        <v>0.24617801483223967</v>
      </c>
      <c r="V3171" s="11">
        <v>0.20827751776287784</v>
      </c>
      <c r="W3171" s="11">
        <v>0.19730065033013697</v>
      </c>
      <c r="X3171" s="11">
        <v>0.04571543229317726</v>
      </c>
      <c r="Y3171" s="11">
        <v>0.24306037407665443</v>
      </c>
      <c r="Z3171" s="11">
        <v>0.0594680107049139</v>
      </c>
    </row>
    <row r="3172" ht="22.5" customHeight="1">
      <c r="Q3172" s="9" t="s">
        <v>3210</v>
      </c>
      <c r="R3172" s="10">
        <v>0.6444330549443013</v>
      </c>
      <c r="S3172" s="10">
        <v>0.029398448351081987</v>
      </c>
      <c r="T3172" s="10">
        <v>20.56003254750197</v>
      </c>
      <c r="U3172" s="11">
        <v>0.21662972439649866</v>
      </c>
      <c r="V3172" s="11">
        <v>0.21577576508403917</v>
      </c>
      <c r="W3172" s="11">
        <v>0.16309294438304217</v>
      </c>
      <c r="X3172" s="11">
        <v>0.036451209166255265</v>
      </c>
      <c r="Y3172" s="11">
        <v>0.24146950959785318</v>
      </c>
      <c r="Z3172" s="11">
        <v>0.12658084737231154</v>
      </c>
    </row>
    <row r="3173" ht="22.5" customHeight="1">
      <c r="Q3173" s="9" t="s">
        <v>3211</v>
      </c>
      <c r="R3173" s="10">
        <v>0.9542133716265171</v>
      </c>
      <c r="S3173" s="10">
        <v>0.04446567974058296</v>
      </c>
      <c r="T3173" s="10">
        <v>20.55997742438945</v>
      </c>
      <c r="U3173" s="11">
        <v>0.06413247646341032</v>
      </c>
      <c r="V3173" s="11">
        <v>0.3202603773990598</v>
      </c>
      <c r="W3173" s="11">
        <v>0.2708682936040608</v>
      </c>
      <c r="X3173" s="11">
        <v>0.295370219985393</v>
      </c>
      <c r="Y3173" s="11">
        <v>0.027776392477932146</v>
      </c>
      <c r="Z3173" s="11">
        <v>0.021592240070144014</v>
      </c>
    </row>
    <row r="3174" ht="22.5" customHeight="1">
      <c r="Q3174" s="9" t="s">
        <v>3212</v>
      </c>
      <c r="R3174" s="10">
        <v>0.9108720381121231</v>
      </c>
      <c r="S3174" s="10">
        <v>0.042358417838529235</v>
      </c>
      <c r="T3174" s="10">
        <v>20.559597892251244</v>
      </c>
      <c r="U3174" s="11">
        <v>0.12268320890069374</v>
      </c>
      <c r="V3174" s="11">
        <v>0.30936419870294485</v>
      </c>
      <c r="W3174" s="11">
        <v>0.2537819841554282</v>
      </c>
      <c r="X3174" s="11">
        <v>0.2592555636082722</v>
      </c>
      <c r="Y3174" s="11">
        <v>0.0039018511525572078</v>
      </c>
      <c r="Z3174" s="11">
        <v>0.05101319348010384</v>
      </c>
    </row>
    <row r="3175" ht="22.5" customHeight="1">
      <c r="Q3175" s="9" t="s">
        <v>3213</v>
      </c>
      <c r="R3175" s="10">
        <v>0.5438299456148589</v>
      </c>
      <c r="S3175" s="10">
        <v>0.024506182644684817</v>
      </c>
      <c r="T3175" s="10">
        <v>20.55929937844217</v>
      </c>
      <c r="U3175" s="11">
        <v>0.200319759371973</v>
      </c>
      <c r="V3175" s="11">
        <v>0.20430123153834784</v>
      </c>
      <c r="W3175" s="11">
        <v>0.10162336443993639</v>
      </c>
      <c r="X3175" s="11">
        <v>0.1339523129444507</v>
      </c>
      <c r="Y3175" s="11">
        <v>0.06773808384116292</v>
      </c>
      <c r="Z3175" s="11">
        <v>0.2920652478641291</v>
      </c>
    </row>
    <row r="3176" ht="22.5" customHeight="1">
      <c r="Q3176" s="9" t="s">
        <v>3214</v>
      </c>
      <c r="R3176" s="10">
        <v>0.7743426943339756</v>
      </c>
      <c r="S3176" s="10">
        <v>0.03571833039536732</v>
      </c>
      <c r="T3176" s="10">
        <v>20.559267082349965</v>
      </c>
      <c r="U3176" s="11">
        <v>0.1750884519895042</v>
      </c>
      <c r="V3176" s="11">
        <v>0.2654796146043444</v>
      </c>
      <c r="W3176" s="11">
        <v>0.20646736433147259</v>
      </c>
      <c r="X3176" s="11">
        <v>0.12585309933101038</v>
      </c>
      <c r="Y3176" s="11">
        <v>0.11072615332020927</v>
      </c>
      <c r="Z3176" s="11">
        <v>0.11638531642345924</v>
      </c>
    </row>
    <row r="3177" ht="22.5" customHeight="1">
      <c r="Q3177" s="9" t="s">
        <v>3215</v>
      </c>
      <c r="R3177" s="10">
        <v>0.6686447964190055</v>
      </c>
      <c r="S3177" s="10">
        <v>0.030577222097421534</v>
      </c>
      <c r="T3177" s="10">
        <v>20.55925140668736</v>
      </c>
      <c r="U3177" s="11">
        <v>0.24119304201518646</v>
      </c>
      <c r="V3177" s="11">
        <v>0.2513559461940071</v>
      </c>
      <c r="W3177" s="11">
        <v>0.13634577274862242</v>
      </c>
      <c r="X3177" s="11">
        <v>0.14035636482940533</v>
      </c>
      <c r="Y3177" s="11">
        <v>0.13226505355645674</v>
      </c>
      <c r="Z3177" s="11">
        <v>0.09848382065632194</v>
      </c>
    </row>
    <row r="3178" ht="22.5" customHeight="1">
      <c r="Q3178" s="9" t="s">
        <v>3216</v>
      </c>
      <c r="R3178" s="10">
        <v>0.6034639685121742</v>
      </c>
      <c r="S3178" s="10">
        <v>0.027407416573827566</v>
      </c>
      <c r="T3178" s="10">
        <v>20.558813596836718</v>
      </c>
      <c r="U3178" s="11">
        <v>0.10474895697452005</v>
      </c>
      <c r="V3178" s="11">
        <v>0.23809166020100858</v>
      </c>
      <c r="W3178" s="11">
        <v>0.08427503798569015</v>
      </c>
      <c r="X3178" s="11">
        <v>0.3999881184770435</v>
      </c>
      <c r="Y3178" s="11">
        <v>0.005250561120049654</v>
      </c>
      <c r="Z3178" s="11">
        <v>0.167645665241688</v>
      </c>
    </row>
    <row r="3179" ht="22.5" customHeight="1">
      <c r="Q3179" s="9" t="s">
        <v>3217</v>
      </c>
      <c r="R3179" s="10">
        <v>0.7747895848559508</v>
      </c>
      <c r="S3179" s="10">
        <v>0.0357412306582792</v>
      </c>
      <c r="T3179" s="10">
        <v>20.558597768533804</v>
      </c>
      <c r="U3179" s="11">
        <v>0.0022296865455871183</v>
      </c>
      <c r="V3179" s="11">
        <v>0.2952573194421544</v>
      </c>
      <c r="W3179" s="11">
        <v>0.1618480625855256</v>
      </c>
      <c r="X3179" s="11">
        <v>0.2648702679189241</v>
      </c>
      <c r="Y3179" s="11">
        <v>0.17221506683724755</v>
      </c>
      <c r="Z3179" s="11">
        <v>0.10357959667056135</v>
      </c>
    </row>
    <row r="3180" ht="22.5" customHeight="1">
      <c r="Q3180" s="9" t="s">
        <v>3218</v>
      </c>
      <c r="R3180" s="10">
        <v>0.7873338709171434</v>
      </c>
      <c r="S3180" s="10">
        <v>0.0363519623857085</v>
      </c>
      <c r="T3180" s="10">
        <v>20.558281365601104</v>
      </c>
      <c r="U3180" s="11">
        <v>0.15646605763300275</v>
      </c>
      <c r="V3180" s="11">
        <v>0.21272943955968535</v>
      </c>
      <c r="W3180" s="11">
        <v>0.26099108213562333</v>
      </c>
      <c r="X3180" s="11">
        <v>0.21074062655815493</v>
      </c>
      <c r="Y3180" s="11">
        <v>0.11178512188174809</v>
      </c>
      <c r="Z3180" s="11">
        <v>0.04728767223178547</v>
      </c>
    </row>
    <row r="3181" ht="22.5" customHeight="1">
      <c r="Q3181" s="9" t="s">
        <v>3219</v>
      </c>
      <c r="R3181" s="10">
        <v>0.816171874446488</v>
      </c>
      <c r="S3181" s="10">
        <v>0.03775476114874941</v>
      </c>
      <c r="T3181" s="10">
        <v>20.55825148485141</v>
      </c>
      <c r="U3181" s="11">
        <v>0.02424370988528715</v>
      </c>
      <c r="V3181" s="11">
        <v>0.2866125029200757</v>
      </c>
      <c r="W3181" s="11">
        <v>0.21431686913696224</v>
      </c>
      <c r="X3181" s="11">
        <v>0.22866011379628268</v>
      </c>
      <c r="Y3181" s="11">
        <v>0.045529571312766394</v>
      </c>
      <c r="Z3181" s="11">
        <v>0.20063723294862582</v>
      </c>
    </row>
    <row r="3182" ht="22.5" customHeight="1">
      <c r="Q3182" s="9" t="s">
        <v>3220</v>
      </c>
      <c r="R3182" s="10">
        <v>0.30188779564746576</v>
      </c>
      <c r="S3182" s="10">
        <v>0.012738918201864307</v>
      </c>
      <c r="T3182" s="10">
        <v>20.558087546958202</v>
      </c>
      <c r="U3182" s="11">
        <v>0.27664701252703766</v>
      </c>
      <c r="V3182" s="11">
        <v>0.05250706645838287</v>
      </c>
      <c r="W3182" s="11">
        <v>0.042861406115045034</v>
      </c>
      <c r="X3182" s="11">
        <v>0.2386745941919871</v>
      </c>
      <c r="Y3182" s="11">
        <v>0.3651592507645607</v>
      </c>
      <c r="Z3182" s="11">
        <v>0.024150669942986817</v>
      </c>
    </row>
    <row r="3183" ht="22.5" customHeight="1">
      <c r="Q3183" s="9" t="s">
        <v>3221</v>
      </c>
      <c r="R3183" s="10">
        <v>0.694351045764037</v>
      </c>
      <c r="S3183" s="10">
        <v>0.03182971073078643</v>
      </c>
      <c r="T3183" s="10">
        <v>20.55786969911522</v>
      </c>
      <c r="U3183" s="11">
        <v>0.0228290798992621</v>
      </c>
      <c r="V3183" s="11">
        <v>0.18504394394166002</v>
      </c>
      <c r="W3183" s="11">
        <v>0.226396954348402</v>
      </c>
      <c r="X3183" s="11">
        <v>0.16367464375729365</v>
      </c>
      <c r="Y3183" s="11">
        <v>0.23109073106783137</v>
      </c>
      <c r="Z3183" s="11">
        <v>0.17096464698555094</v>
      </c>
    </row>
    <row r="3184" ht="22.5" customHeight="1">
      <c r="Q3184" s="9" t="s">
        <v>3222</v>
      </c>
      <c r="R3184" s="10">
        <v>0.8082561770864773</v>
      </c>
      <c r="S3184" s="10">
        <v>0.03737064589683973</v>
      </c>
      <c r="T3184" s="10">
        <v>20.55774415050839</v>
      </c>
      <c r="U3184" s="11">
        <v>0.25797124243091857</v>
      </c>
      <c r="V3184" s="11">
        <v>0.2636294713155422</v>
      </c>
      <c r="W3184" s="11">
        <v>0.23193794490690128</v>
      </c>
      <c r="X3184" s="11">
        <v>0.1597766509655252</v>
      </c>
      <c r="Y3184" s="11">
        <v>0.007013218175104867</v>
      </c>
      <c r="Z3184" s="11">
        <v>0.07967147220600772</v>
      </c>
    </row>
    <row r="3185" ht="22.5" customHeight="1">
      <c r="Q3185" s="9" t="s">
        <v>3223</v>
      </c>
      <c r="R3185" s="10">
        <v>0.2662986131558838</v>
      </c>
      <c r="S3185" s="10">
        <v>0.011008222735257107</v>
      </c>
      <c r="T3185" s="10">
        <v>20.55723422374942</v>
      </c>
      <c r="U3185" s="11">
        <v>0.16665824695523354</v>
      </c>
      <c r="V3185" s="11">
        <v>0.05925008047591316</v>
      </c>
      <c r="W3185" s="11">
        <v>0.03575373304628066</v>
      </c>
      <c r="X3185" s="11">
        <v>0.15514721107895804</v>
      </c>
      <c r="Y3185" s="11">
        <v>0.241760985094702</v>
      </c>
      <c r="Z3185" s="11">
        <v>0.3414297433489125</v>
      </c>
    </row>
    <row r="3186" ht="22.5" customHeight="1">
      <c r="Q3186" s="9" t="s">
        <v>3224</v>
      </c>
      <c r="R3186" s="10">
        <v>0.6834602687299358</v>
      </c>
      <c r="S3186" s="10">
        <v>0.03130145001765042</v>
      </c>
      <c r="T3186" s="10">
        <v>20.55688373436688</v>
      </c>
      <c r="U3186" s="11">
        <v>0.19123219546679077</v>
      </c>
      <c r="V3186" s="11">
        <v>0.2346775723373387</v>
      </c>
      <c r="W3186" s="11">
        <v>0.17872262170400882</v>
      </c>
      <c r="X3186" s="11">
        <v>0.12625864991416563</v>
      </c>
      <c r="Y3186" s="11">
        <v>0.004430362636245932</v>
      </c>
      <c r="Z3186" s="11">
        <v>0.26467859794145027</v>
      </c>
    </row>
    <row r="3187" ht="22.5" customHeight="1">
      <c r="Q3187" s="9" t="s">
        <v>3225</v>
      </c>
      <c r="R3187" s="10">
        <v>0.5178107547339432</v>
      </c>
      <c r="S3187" s="10">
        <v>0.023243566968377503</v>
      </c>
      <c r="T3187" s="10">
        <v>20.556688024002383</v>
      </c>
      <c r="U3187" s="11">
        <v>0.05337359495013634</v>
      </c>
      <c r="V3187" s="11">
        <v>0.18097184689424722</v>
      </c>
      <c r="W3187" s="11">
        <v>0.10329606017368374</v>
      </c>
      <c r="X3187" s="11">
        <v>0.07397542044459732</v>
      </c>
      <c r="Y3187" s="11">
        <v>0.33623661053971216</v>
      </c>
      <c r="Z3187" s="11">
        <v>0.2521464669976233</v>
      </c>
    </row>
    <row r="3188" ht="22.5" customHeight="1">
      <c r="Q3188" s="9" t="s">
        <v>3226</v>
      </c>
      <c r="R3188" s="10">
        <v>0.522331348251574</v>
      </c>
      <c r="S3188" s="10">
        <v>0.032801554939888726</v>
      </c>
      <c r="T3188" s="10">
        <v>20.55651376006114</v>
      </c>
      <c r="U3188" s="11">
        <v>0.17198619961273665</v>
      </c>
      <c r="V3188" s="11">
        <v>0.21111848079343676</v>
      </c>
      <c r="W3188" s="11">
        <v>0.21948838615409452</v>
      </c>
      <c r="X3188" s="11">
        <v>0.09979625223946353</v>
      </c>
      <c r="Y3188" s="11">
        <v>0.158049286216977</v>
      </c>
      <c r="Z3188" s="11">
        <v>0.13956139498329156</v>
      </c>
    </row>
    <row r="3189" ht="22.5" customHeight="1">
      <c r="Q3189" s="9" t="s">
        <v>3227</v>
      </c>
      <c r="R3189" s="10">
        <v>0.374412150342073</v>
      </c>
      <c r="S3189" s="10">
        <v>0.016267976506204016</v>
      </c>
      <c r="T3189" s="10">
        <v>20.55646872950304</v>
      </c>
      <c r="U3189" s="11">
        <v>0.12081571084176253</v>
      </c>
      <c r="V3189" s="11">
        <v>0.08835244363185221</v>
      </c>
      <c r="W3189" s="11">
        <v>0.10422148639720309</v>
      </c>
      <c r="X3189" s="11">
        <v>0.06658600865197051</v>
      </c>
      <c r="Y3189" s="11">
        <v>0.1725447520371477</v>
      </c>
      <c r="Z3189" s="11">
        <v>0.447479598440064</v>
      </c>
    </row>
    <row r="3190" ht="22.5" customHeight="1">
      <c r="Q3190" s="9" t="s">
        <v>3228</v>
      </c>
      <c r="R3190" s="10">
        <v>0.6419633256598839</v>
      </c>
      <c r="S3190" s="10">
        <v>0.029283483604366105</v>
      </c>
      <c r="T3190" s="10">
        <v>20.556411040185548</v>
      </c>
      <c r="U3190" s="11">
        <v>0.16622688901382784</v>
      </c>
      <c r="V3190" s="11">
        <v>0.1516640026344346</v>
      </c>
      <c r="W3190" s="11">
        <v>0.21766679280214032</v>
      </c>
      <c r="X3190" s="11">
        <v>0.15956866625733526</v>
      </c>
      <c r="Y3190" s="11">
        <v>0.2030097867327894</v>
      </c>
      <c r="Z3190" s="11">
        <v>0.10186386255947273</v>
      </c>
    </row>
    <row r="3191" ht="22.5" customHeight="1">
      <c r="Q3191" s="9" t="s">
        <v>3229</v>
      </c>
      <c r="R3191" s="10">
        <v>0.522331348251574</v>
      </c>
      <c r="S3191" s="10">
        <v>0.03526446536680416</v>
      </c>
      <c r="T3191" s="10">
        <v>20.555781286358005</v>
      </c>
      <c r="U3191" s="11">
        <v>0.29491053827950237</v>
      </c>
      <c r="V3191" s="11">
        <v>0.2881409065200735</v>
      </c>
      <c r="W3191" s="11">
        <v>0.16399421878228246</v>
      </c>
      <c r="X3191" s="11">
        <v>0.22294977878100342</v>
      </c>
      <c r="Y3191" s="11">
        <v>0.004625921258983432</v>
      </c>
      <c r="Z3191" s="11">
        <v>0.02537863637815475</v>
      </c>
    </row>
    <row r="3192" ht="22.5" customHeight="1">
      <c r="Q3192" s="9" t="s">
        <v>3230</v>
      </c>
      <c r="R3192" s="10">
        <v>0.6697927909284208</v>
      </c>
      <c r="S3192" s="10">
        <v>0.030638826960691822</v>
      </c>
      <c r="T3192" s="10">
        <v>20.55538195820667</v>
      </c>
      <c r="U3192" s="11">
        <v>0.18066604191549504</v>
      </c>
      <c r="V3192" s="11">
        <v>0.22773357872764033</v>
      </c>
      <c r="W3192" s="11">
        <v>0.17242541940108214</v>
      </c>
      <c r="X3192" s="11">
        <v>0.060373760416981136</v>
      </c>
      <c r="Y3192" s="11">
        <v>0.18066076467175843</v>
      </c>
      <c r="Z3192" s="11">
        <v>0.17814043486704298</v>
      </c>
    </row>
    <row r="3193" ht="22.5" customHeight="1">
      <c r="Q3193" s="9" t="s">
        <v>3231</v>
      </c>
      <c r="R3193" s="10">
        <v>0.8462467501926731</v>
      </c>
      <c r="S3193" s="10">
        <v>0.03922355590646425</v>
      </c>
      <c r="T3193" s="10">
        <v>20.555167209095373</v>
      </c>
      <c r="U3193" s="11">
        <v>0.19107022141185162</v>
      </c>
      <c r="V3193" s="11">
        <v>0.28262079874037654</v>
      </c>
      <c r="W3193" s="11">
        <v>0.23809554887495346</v>
      </c>
      <c r="X3193" s="11">
        <v>0.17372666217354668</v>
      </c>
      <c r="Y3193" s="11">
        <v>0.05694649078528214</v>
      </c>
      <c r="Z3193" s="11">
        <v>0.057540278013989594</v>
      </c>
    </row>
    <row r="3194" ht="22.5" customHeight="1">
      <c r="Q3194" s="9" t="s">
        <v>3232</v>
      </c>
      <c r="R3194" s="10">
        <v>0.6367396809017494</v>
      </c>
      <c r="S3194" s="10">
        <v>0.029031706626333816</v>
      </c>
      <c r="T3194" s="10">
        <v>20.554757203300756</v>
      </c>
      <c r="U3194" s="11">
        <v>0.28846671763971865</v>
      </c>
      <c r="V3194" s="11">
        <v>0.18284029237878582</v>
      </c>
      <c r="W3194" s="11">
        <v>0.19151612073103533</v>
      </c>
      <c r="X3194" s="11">
        <v>0.04459349773822639</v>
      </c>
      <c r="Y3194" s="11">
        <v>0.17986982246375144</v>
      </c>
      <c r="Z3194" s="11">
        <v>0.1127135490484826</v>
      </c>
    </row>
    <row r="3195" ht="22.5" customHeight="1">
      <c r="Q3195" s="9" t="s">
        <v>3233</v>
      </c>
      <c r="R3195" s="10">
        <v>0.8199327117910102</v>
      </c>
      <c r="S3195" s="10">
        <v>0.03794464455112674</v>
      </c>
      <c r="T3195" s="10">
        <v>20.554487227838603</v>
      </c>
      <c r="U3195" s="11">
        <v>0.11176113947365982</v>
      </c>
      <c r="V3195" s="11">
        <v>0.25012232618662744</v>
      </c>
      <c r="W3195" s="11">
        <v>0.25200623073075645</v>
      </c>
      <c r="X3195" s="11">
        <v>0.171472841814858</v>
      </c>
      <c r="Y3195" s="11">
        <v>0.1311835857540977</v>
      </c>
      <c r="Z3195" s="11">
        <v>0.0834538760400005</v>
      </c>
    </row>
    <row r="3196" ht="22.5" customHeight="1">
      <c r="Q3196" s="9" t="s">
        <v>3234</v>
      </c>
      <c r="R3196" s="10">
        <v>0.5933561911459937</v>
      </c>
      <c r="S3196" s="10">
        <v>0.026921521282568743</v>
      </c>
      <c r="T3196" s="10">
        <v>20.554417610281295</v>
      </c>
      <c r="U3196" s="11">
        <v>0.24998303047647577</v>
      </c>
      <c r="V3196" s="11">
        <v>0.2295076504859229</v>
      </c>
      <c r="W3196" s="11">
        <v>0.08684501074677962</v>
      </c>
      <c r="X3196" s="11">
        <v>0.22166583282509972</v>
      </c>
      <c r="Y3196" s="11">
        <v>0.20933226834650118</v>
      </c>
      <c r="Z3196" s="11">
        <v>0.002666207119220762</v>
      </c>
    </row>
    <row r="3197" ht="22.5" customHeight="1">
      <c r="Q3197" s="9" t="s">
        <v>3235</v>
      </c>
      <c r="R3197" s="10">
        <v>0.8684353761665832</v>
      </c>
      <c r="S3197" s="10">
        <v>0.040305456870749906</v>
      </c>
      <c r="T3197" s="10">
        <v>20.5539259565567</v>
      </c>
      <c r="U3197" s="11">
        <v>0.018135271042644622</v>
      </c>
      <c r="V3197" s="11">
        <v>0.2351494274475437</v>
      </c>
      <c r="W3197" s="11">
        <v>0.2905392673799674</v>
      </c>
      <c r="X3197" s="11">
        <v>0.3501138522024311</v>
      </c>
      <c r="Y3197" s="11">
        <v>0.05072473547406878</v>
      </c>
      <c r="Z3197" s="11">
        <v>0.05533744645334445</v>
      </c>
    </row>
    <row r="3198" ht="22.5" customHeight="1">
      <c r="Q3198" s="9" t="s">
        <v>3236</v>
      </c>
      <c r="R3198" s="10">
        <v>0.5396895511623471</v>
      </c>
      <c r="S3198" s="10">
        <v>0.024311186328789</v>
      </c>
      <c r="T3198" s="10">
        <v>20.553894178772385</v>
      </c>
      <c r="U3198" s="11">
        <v>0.5005877421510587</v>
      </c>
      <c r="V3198" s="11">
        <v>0.12179590045169415</v>
      </c>
      <c r="W3198" s="11">
        <v>0.17330337522441933</v>
      </c>
      <c r="X3198" s="11">
        <v>0.12525403941681013</v>
      </c>
      <c r="Y3198" s="11">
        <v>0.02290930570142511</v>
      </c>
      <c r="Z3198" s="11">
        <v>0.056149637054592645</v>
      </c>
    </row>
    <row r="3199" ht="22.5" customHeight="1">
      <c r="Q3199" s="9" t="s">
        <v>3237</v>
      </c>
      <c r="R3199" s="10">
        <v>0.8134766401744692</v>
      </c>
      <c r="S3199" s="10">
        <v>0.037632217335412936</v>
      </c>
      <c r="T3199" s="10">
        <v>20.55357602982928</v>
      </c>
      <c r="U3199" s="11">
        <v>0.09126216008911121</v>
      </c>
      <c r="V3199" s="11">
        <v>0.2858111197033324</v>
      </c>
      <c r="W3199" s="11">
        <v>0.2132034455102181</v>
      </c>
      <c r="X3199" s="11">
        <v>0.20282490244660809</v>
      </c>
      <c r="Y3199" s="11">
        <v>0.0425403808361454</v>
      </c>
      <c r="Z3199" s="11">
        <v>0.16435799141458482</v>
      </c>
    </row>
    <row r="3200" ht="22.5" customHeight="1">
      <c r="Q3200" s="9" t="s">
        <v>3238</v>
      </c>
      <c r="R3200" s="10">
        <v>0.5734798908381037</v>
      </c>
      <c r="S3200" s="10">
        <v>0.025956287474650053</v>
      </c>
      <c r="T3200" s="10">
        <v>20.5530121115788</v>
      </c>
      <c r="U3200" s="11">
        <v>0.15689800592816633</v>
      </c>
      <c r="V3200" s="11">
        <v>0.129847957874161</v>
      </c>
      <c r="W3200" s="11">
        <v>0.1968943367105515</v>
      </c>
      <c r="X3200" s="11">
        <v>0.2042425081619805</v>
      </c>
      <c r="Y3200" s="11">
        <v>0.03603068722052308</v>
      </c>
      <c r="Z3200" s="11">
        <v>0.27608650410461755</v>
      </c>
    </row>
    <row r="3201" ht="22.5" customHeight="1">
      <c r="Q3201" s="9" t="s">
        <v>3239</v>
      </c>
      <c r="R3201" s="10">
        <v>0.6451627867555852</v>
      </c>
      <c r="S3201" s="10">
        <v>0.029444029066145336</v>
      </c>
      <c r="T3201" s="10">
        <v>20.552988362975086</v>
      </c>
      <c r="U3201" s="11">
        <v>0.18743745579072205</v>
      </c>
      <c r="V3201" s="11">
        <v>0.22168767078929041</v>
      </c>
      <c r="W3201" s="11">
        <v>0.16230529892158146</v>
      </c>
      <c r="X3201" s="11">
        <v>0.05912923366634508</v>
      </c>
      <c r="Y3201" s="11">
        <v>0.15507407421912411</v>
      </c>
      <c r="Z3201" s="11">
        <v>0.2143662666129368</v>
      </c>
    </row>
    <row r="3202" ht="22.5" customHeight="1">
      <c r="Q3202" s="9" t="s">
        <v>3240</v>
      </c>
      <c r="R3202" s="10">
        <v>0.5587790670446111</v>
      </c>
      <c r="S3202" s="10">
        <v>0.02524159384645655</v>
      </c>
      <c r="T3202" s="10">
        <v>20.552547917549113</v>
      </c>
      <c r="U3202" s="11">
        <v>0.10709667721811902</v>
      </c>
      <c r="V3202" s="11">
        <v>0.11915440436624587</v>
      </c>
      <c r="W3202" s="11">
        <v>0.19434084580248695</v>
      </c>
      <c r="X3202" s="11">
        <v>0.22982754219247672</v>
      </c>
      <c r="Y3202" s="11">
        <v>0.06660469538948159</v>
      </c>
      <c r="Z3202" s="11">
        <v>0.2829758350311899</v>
      </c>
    </row>
    <row r="3203" ht="22.5" customHeight="1">
      <c r="Q3203" s="9" t="s">
        <v>3241</v>
      </c>
      <c r="R3203" s="10">
        <v>0.6462794283545272</v>
      </c>
      <c r="S3203" s="10">
        <v>0.029499899671017318</v>
      </c>
      <c r="T3203" s="10">
        <v>20.551914925669283</v>
      </c>
      <c r="U3203" s="11">
        <v>0.017386631579176214</v>
      </c>
      <c r="V3203" s="11">
        <v>0.16029924301104012</v>
      </c>
      <c r="W3203" s="11">
        <v>0.21612728431116116</v>
      </c>
      <c r="X3203" s="11">
        <v>0.1784103550304354</v>
      </c>
      <c r="Y3203" s="11">
        <v>0.21973173591251946</v>
      </c>
      <c r="Z3203" s="11">
        <v>0.2080447501556677</v>
      </c>
    </row>
    <row r="3204" ht="22.5" customHeight="1">
      <c r="Q3204" s="9" t="s">
        <v>3242</v>
      </c>
      <c r="R3204" s="10">
        <v>0.5526854600379826</v>
      </c>
      <c r="S3204" s="10">
        <v>0.02494646366092817</v>
      </c>
      <c r="T3204" s="10">
        <v>20.55142833094073</v>
      </c>
      <c r="U3204" s="11">
        <v>0.11624360292484566</v>
      </c>
      <c r="V3204" s="11">
        <v>0.19756631702287372</v>
      </c>
      <c r="W3204" s="11">
        <v>0.12423256177574227</v>
      </c>
      <c r="X3204" s="11">
        <v>0.09959027492774979</v>
      </c>
      <c r="Y3204" s="11">
        <v>0.06971480749570322</v>
      </c>
      <c r="Z3204" s="11">
        <v>0.3926524358530854</v>
      </c>
    </row>
    <row r="3205" ht="22.5" customHeight="1">
      <c r="Q3205" s="9" t="s">
        <v>3243</v>
      </c>
      <c r="R3205" s="10">
        <v>0.632605771862057</v>
      </c>
      <c r="S3205" s="10">
        <v>0.028835669031937444</v>
      </c>
      <c r="T3205" s="10">
        <v>20.551136552639242</v>
      </c>
      <c r="U3205" s="11">
        <v>0.13656091272764145</v>
      </c>
      <c r="V3205" s="11">
        <v>0.23204015699395436</v>
      </c>
      <c r="W3205" s="11">
        <v>0.13649594602220746</v>
      </c>
      <c r="X3205" s="11">
        <v>0.09758619485019869</v>
      </c>
      <c r="Y3205" s="11">
        <v>0.20041097330167296</v>
      </c>
      <c r="Z3205" s="11">
        <v>0.19690581610432503</v>
      </c>
    </row>
    <row r="3206" ht="22.5" customHeight="1">
      <c r="Q3206" s="9" t="s">
        <v>3244</v>
      </c>
      <c r="R3206" s="10">
        <v>0.513945659464485</v>
      </c>
      <c r="S3206" s="10">
        <v>0.023063090965871294</v>
      </c>
      <c r="T3206" s="10">
        <v>20.54996271600492</v>
      </c>
      <c r="U3206" s="11">
        <v>0.352949053900279</v>
      </c>
      <c r="V3206" s="11">
        <v>0.17406643070607494</v>
      </c>
      <c r="W3206" s="11">
        <v>0.11541919977721095</v>
      </c>
      <c r="X3206" s="11">
        <v>0.046037601955426805</v>
      </c>
      <c r="Y3206" s="11">
        <v>0.059417468809568545</v>
      </c>
      <c r="Z3206" s="11">
        <v>0.2521102448514399</v>
      </c>
    </row>
    <row r="3207" ht="22.5" customHeight="1">
      <c r="Q3207" s="9" t="s">
        <v>3245</v>
      </c>
      <c r="R3207" s="10">
        <v>0.8282548227278919</v>
      </c>
      <c r="S3207" s="10">
        <v>0.03835915948706175</v>
      </c>
      <c r="T3207" s="10">
        <v>20.54932467938366</v>
      </c>
      <c r="U3207" s="11">
        <v>0.23268543964582708</v>
      </c>
      <c r="V3207" s="11">
        <v>0.2336487118113369</v>
      </c>
      <c r="W3207" s="11">
        <v>0.2694905110789976</v>
      </c>
      <c r="X3207" s="11">
        <v>0.21541647753493218</v>
      </c>
      <c r="Y3207" s="11">
        <v>0.04226277031589277</v>
      </c>
      <c r="Z3207" s="11">
        <v>0.006496089613013586</v>
      </c>
    </row>
    <row r="3208" ht="22.5" customHeight="1">
      <c r="Q3208" s="9" t="s">
        <v>3246</v>
      </c>
      <c r="R3208" s="10">
        <v>0.7717567019364736</v>
      </c>
      <c r="S3208" s="10">
        <v>0.035609935845060475</v>
      </c>
      <c r="T3208" s="10">
        <v>20.54922831426491</v>
      </c>
      <c r="U3208" s="11">
        <v>0.13609229709882795</v>
      </c>
      <c r="V3208" s="11">
        <v>0.2323327894793096</v>
      </c>
      <c r="W3208" s="11">
        <v>0.23921298999458385</v>
      </c>
      <c r="X3208" s="11">
        <v>0.15971744753721195</v>
      </c>
      <c r="Y3208" s="11">
        <v>0.07979748851006736</v>
      </c>
      <c r="Z3208" s="11">
        <v>0.15284698737999927</v>
      </c>
    </row>
    <row r="3209" ht="22.5" customHeight="1">
      <c r="Q3209" s="9" t="s">
        <v>3247</v>
      </c>
      <c r="R3209" s="10">
        <v>0.6167486237340412</v>
      </c>
      <c r="S3209" s="10">
        <v>0.028066709584336606</v>
      </c>
      <c r="T3209" s="10">
        <v>20.549206952848916</v>
      </c>
      <c r="U3209" s="11">
        <v>0.18655928033536423</v>
      </c>
      <c r="V3209" s="11">
        <v>0.130000828584645</v>
      </c>
      <c r="W3209" s="11">
        <v>0.2156929325601154</v>
      </c>
      <c r="X3209" s="11">
        <v>0.21060340402465094</v>
      </c>
      <c r="Y3209" s="11">
        <v>0.17865518016640364</v>
      </c>
      <c r="Z3209" s="11">
        <v>0.07848837432882086</v>
      </c>
    </row>
    <row r="3210" ht="22.5" customHeight="1">
      <c r="Q3210" s="9" t="s">
        <v>3248</v>
      </c>
      <c r="R3210" s="10">
        <v>0.6218024977620308</v>
      </c>
      <c r="S3210" s="10">
        <v>0.028313531948369126</v>
      </c>
      <c r="T3210" s="10">
        <v>20.54856662965861</v>
      </c>
      <c r="U3210" s="11">
        <v>0.26497675445787455</v>
      </c>
      <c r="V3210" s="11">
        <v>0.1420282397734063</v>
      </c>
      <c r="W3210" s="11">
        <v>0.21457182076619705</v>
      </c>
      <c r="X3210" s="11">
        <v>0.21041467480824863</v>
      </c>
      <c r="Y3210" s="11">
        <v>0.014504961920813375</v>
      </c>
      <c r="Z3210" s="11">
        <v>0.15350354827346022</v>
      </c>
    </row>
    <row r="3211" ht="22.5" customHeight="1">
      <c r="Q3211" s="9" t="s">
        <v>3249</v>
      </c>
      <c r="R3211" s="10">
        <v>0.6899042631324602</v>
      </c>
      <c r="S3211" s="10">
        <v>0.03162775547811031</v>
      </c>
      <c r="T3211" s="10">
        <v>20.54854204188664</v>
      </c>
      <c r="U3211" s="11">
        <v>0.09412863666006953</v>
      </c>
      <c r="V3211" s="11">
        <v>0.2614537651845602</v>
      </c>
      <c r="W3211" s="11">
        <v>0.135885316498539</v>
      </c>
      <c r="X3211" s="11">
        <v>0.1746557239651923</v>
      </c>
      <c r="Y3211" s="11">
        <v>0.2541567911006999</v>
      </c>
      <c r="Z3211" s="11">
        <v>0.07971976659093911</v>
      </c>
    </row>
    <row r="3212" ht="22.5" customHeight="1">
      <c r="Q3212" s="9" t="s">
        <v>3250</v>
      </c>
      <c r="R3212" s="10">
        <v>0.6564313580738342</v>
      </c>
      <c r="S3212" s="10">
        <v>0.029998925020039</v>
      </c>
      <c r="T3212" s="10">
        <v>20.548448241464115</v>
      </c>
      <c r="U3212" s="11">
        <v>0.14605975403533442</v>
      </c>
      <c r="V3212" s="11">
        <v>0.19839991645562444</v>
      </c>
      <c r="W3212" s="11">
        <v>0.19242093933616758</v>
      </c>
      <c r="X3212" s="11">
        <v>0.054974137712532845</v>
      </c>
      <c r="Y3212" s="11">
        <v>0.2292579420814116</v>
      </c>
      <c r="Z3212" s="11">
        <v>0.17888731037892916</v>
      </c>
    </row>
    <row r="3213" ht="22.5" customHeight="1">
      <c r="Q3213" s="9" t="s">
        <v>3251</v>
      </c>
      <c r="R3213" s="10">
        <v>0.7939401904694989</v>
      </c>
      <c r="S3213" s="10">
        <v>0.03669109601297345</v>
      </c>
      <c r="T3213" s="10">
        <v>20.548314779229173</v>
      </c>
      <c r="U3213" s="11">
        <v>0.06688134022609776</v>
      </c>
      <c r="V3213" s="11">
        <v>0.2513089915899623</v>
      </c>
      <c r="W3213" s="11">
        <v>0.23612863602458475</v>
      </c>
      <c r="X3213" s="11">
        <v>0.16247900881400312</v>
      </c>
      <c r="Y3213" s="11">
        <v>0.11932904210903046</v>
      </c>
      <c r="Z3213" s="11">
        <v>0.16387298123632152</v>
      </c>
    </row>
    <row r="3214" ht="22.5" customHeight="1">
      <c r="Q3214" s="9" t="s">
        <v>3252</v>
      </c>
      <c r="R3214" s="10">
        <v>0.727992870081181</v>
      </c>
      <c r="S3214" s="10">
        <v>0.03348262393840919</v>
      </c>
      <c r="T3214" s="10">
        <v>20.54775848352668</v>
      </c>
      <c r="U3214" s="11">
        <v>0.1504133695013193</v>
      </c>
      <c r="V3214" s="11">
        <v>0.22707271425813413</v>
      </c>
      <c r="W3214" s="11">
        <v>0.21735818152369926</v>
      </c>
      <c r="X3214" s="11">
        <v>0.1339123294799804</v>
      </c>
      <c r="Y3214" s="11">
        <v>0.05000820848303869</v>
      </c>
      <c r="Z3214" s="11">
        <v>0.22123519675382833</v>
      </c>
    </row>
    <row r="3215" ht="22.5" customHeight="1">
      <c r="Q3215" s="9" t="s">
        <v>3253</v>
      </c>
      <c r="R3215" s="10">
        <v>0.4519972654968216</v>
      </c>
      <c r="S3215" s="10">
        <v>0.0200508575293119</v>
      </c>
      <c r="T3215" s="10">
        <v>20.54761323272743</v>
      </c>
      <c r="U3215" s="11">
        <v>0.10534130662286392</v>
      </c>
      <c r="V3215" s="11">
        <v>0.16415762164291164</v>
      </c>
      <c r="W3215" s="11">
        <v>0.027797585592123572</v>
      </c>
      <c r="X3215" s="11">
        <v>0.49430649887491</v>
      </c>
      <c r="Y3215" s="11">
        <v>0.14045691162902676</v>
      </c>
      <c r="Z3215" s="11">
        <v>0.06794007563816405</v>
      </c>
    </row>
    <row r="3216" ht="22.5" customHeight="1">
      <c r="Q3216" s="9" t="s">
        <v>3254</v>
      </c>
      <c r="R3216" s="10">
        <v>0.522331348251574</v>
      </c>
      <c r="S3216" s="10">
        <v>0.031196246000779127</v>
      </c>
      <c r="T3216" s="10">
        <v>20.547294483162066</v>
      </c>
      <c r="U3216" s="11">
        <v>0.16976769354230936</v>
      </c>
      <c r="V3216" s="11">
        <v>0.1945381373416655</v>
      </c>
      <c r="W3216" s="11">
        <v>0.21133456016384283</v>
      </c>
      <c r="X3216" s="11">
        <v>0.08245606863518823</v>
      </c>
      <c r="Y3216" s="11">
        <v>0.20562018712729102</v>
      </c>
      <c r="Z3216" s="11">
        <v>0.1362833531897032</v>
      </c>
    </row>
    <row r="3217" ht="22.5" customHeight="1">
      <c r="Q3217" s="9" t="s">
        <v>3255</v>
      </c>
      <c r="R3217" s="10">
        <v>0.6657857686537128</v>
      </c>
      <c r="S3217" s="10">
        <v>0.03045600316191922</v>
      </c>
      <c r="T3217" s="10">
        <v>20.54720592609362</v>
      </c>
      <c r="U3217" s="11">
        <v>0.16528001427846248</v>
      </c>
      <c r="V3217" s="11">
        <v>0.16630494035992016</v>
      </c>
      <c r="W3217" s="11">
        <v>0.22185838786470444</v>
      </c>
      <c r="X3217" s="11">
        <v>0.13940734611062597</v>
      </c>
      <c r="Y3217" s="11">
        <v>0.21298448180508953</v>
      </c>
      <c r="Z3217" s="11">
        <v>0.09416482958119742</v>
      </c>
    </row>
    <row r="3218" ht="22.5" customHeight="1">
      <c r="Q3218" s="9" t="s">
        <v>3256</v>
      </c>
      <c r="R3218" s="10">
        <v>0.5394699594108898</v>
      </c>
      <c r="S3218" s="10">
        <v>0.024308701109428472</v>
      </c>
      <c r="T3218" s="10">
        <v>20.5469620594892</v>
      </c>
      <c r="U3218" s="11">
        <v>0.10155821055376242</v>
      </c>
      <c r="V3218" s="11">
        <v>0.21173223724210546</v>
      </c>
      <c r="W3218" s="11">
        <v>0.07453106867919584</v>
      </c>
      <c r="X3218" s="11">
        <v>0.3167502689215493</v>
      </c>
      <c r="Y3218" s="11">
        <v>0.02692655542590682</v>
      </c>
      <c r="Z3218" s="11">
        <v>0.26850165917748003</v>
      </c>
    </row>
    <row r="3219" ht="22.5" customHeight="1">
      <c r="Q3219" s="9" t="s">
        <v>3257</v>
      </c>
      <c r="R3219" s="10">
        <v>0.5998091116533616</v>
      </c>
      <c r="S3219" s="10">
        <v>0.027246272374061572</v>
      </c>
      <c r="T3219" s="10">
        <v>20.546264236362084</v>
      </c>
      <c r="U3219" s="11">
        <v>0.13722806326777284</v>
      </c>
      <c r="V3219" s="11">
        <v>0.13829312904517668</v>
      </c>
      <c r="W3219" s="11">
        <v>0.20497320986007828</v>
      </c>
      <c r="X3219" s="11">
        <v>0.16672682851885506</v>
      </c>
      <c r="Y3219" s="11">
        <v>0.15253585123468147</v>
      </c>
      <c r="Z3219" s="11">
        <v>0.20024291807343572</v>
      </c>
    </row>
    <row r="3220" ht="22.5" customHeight="1">
      <c r="Q3220" s="9" t="s">
        <v>3258</v>
      </c>
      <c r="R3220" s="10">
        <v>0.3599449289271634</v>
      </c>
      <c r="S3220" s="10">
        <v>0.0155720293045689</v>
      </c>
      <c r="T3220" s="10">
        <v>20.546129388113222</v>
      </c>
      <c r="U3220" s="11">
        <v>0.32035781208820857</v>
      </c>
      <c r="V3220" s="11">
        <v>0.10913909527029514</v>
      </c>
      <c r="W3220" s="11">
        <v>0.03818161918067324</v>
      </c>
      <c r="X3220" s="11">
        <v>0.15969806188444255</v>
      </c>
      <c r="Y3220" s="11">
        <v>0.31287127100178064</v>
      </c>
      <c r="Z3220" s="11">
        <v>0.05975214057459996</v>
      </c>
    </row>
    <row r="3221" ht="22.5" customHeight="1">
      <c r="Q3221" s="9" t="s">
        <v>3259</v>
      </c>
      <c r="R3221" s="10">
        <v>0.26748205328095104</v>
      </c>
      <c r="S3221" s="10">
        <v>0.011071928452524799</v>
      </c>
      <c r="T3221" s="10">
        <v>20.54583844687661</v>
      </c>
      <c r="U3221" s="11">
        <v>0.2535871110589031</v>
      </c>
      <c r="V3221" s="11">
        <v>0.05296292305874156</v>
      </c>
      <c r="W3221" s="11">
        <v>0.03803852032912439</v>
      </c>
      <c r="X3221" s="11">
        <v>0.15855347048096355</v>
      </c>
      <c r="Y3221" s="11">
        <v>0.24184698492336165</v>
      </c>
      <c r="Z3221" s="11">
        <v>0.25501099014890577</v>
      </c>
    </row>
    <row r="3222" ht="22.5" customHeight="1">
      <c r="Q3222" s="9" t="s">
        <v>3260</v>
      </c>
      <c r="R3222" s="10">
        <v>0.8435812160236736</v>
      </c>
      <c r="S3222" s="10">
        <v>0.03911220890349773</v>
      </c>
      <c r="T3222" s="10">
        <v>20.54553395351217</v>
      </c>
      <c r="U3222" s="11">
        <v>0.14714535373592907</v>
      </c>
      <c r="V3222" s="11">
        <v>0.2536556856880185</v>
      </c>
      <c r="W3222" s="11">
        <v>0.2635384395056383</v>
      </c>
      <c r="X3222" s="11">
        <v>0.1901450359163589</v>
      </c>
      <c r="Y3222" s="11">
        <v>0.10052035661545984</v>
      </c>
      <c r="Z3222" s="11">
        <v>0.044995128538595434</v>
      </c>
    </row>
    <row r="3223" ht="22.5" customHeight="1">
      <c r="Q3223" s="9" t="s">
        <v>3261</v>
      </c>
      <c r="R3223" s="10">
        <v>0.6472281804283543</v>
      </c>
      <c r="S3223" s="10">
        <v>0.02955667742440127</v>
      </c>
      <c r="T3223" s="10">
        <v>20.544534546601017</v>
      </c>
      <c r="U3223" s="11">
        <v>0.06649272318059307</v>
      </c>
      <c r="V3223" s="11">
        <v>0.14707515940372434</v>
      </c>
      <c r="W3223" s="11">
        <v>0.22452547614129056</v>
      </c>
      <c r="X3223" s="11">
        <v>0.22733188588022238</v>
      </c>
      <c r="Y3223" s="11">
        <v>0.17838241279192277</v>
      </c>
      <c r="Z3223" s="11">
        <v>0.15619234260224688</v>
      </c>
    </row>
    <row r="3224" ht="22.5" customHeight="1">
      <c r="Q3224" s="9" t="s">
        <v>3262</v>
      </c>
      <c r="R3224" s="10">
        <v>0.42241504888510134</v>
      </c>
      <c r="S3224" s="10">
        <v>0.018614223386640465</v>
      </c>
      <c r="T3224" s="10">
        <v>20.544238722286035</v>
      </c>
      <c r="U3224" s="11">
        <v>0.20233980894906892</v>
      </c>
      <c r="V3224" s="11">
        <v>0.15672077781518484</v>
      </c>
      <c r="W3224" s="11">
        <v>0.05615269812155125</v>
      </c>
      <c r="X3224" s="11">
        <v>0.1559436134243515</v>
      </c>
      <c r="Y3224" s="11">
        <v>0.10805962539101639</v>
      </c>
      <c r="Z3224" s="11">
        <v>0.32078347629882714</v>
      </c>
    </row>
    <row r="3225" ht="22.5" customHeight="1">
      <c r="Q3225" s="9" t="s">
        <v>3263</v>
      </c>
      <c r="R3225" s="10">
        <v>0.8213523349921726</v>
      </c>
      <c r="S3225" s="10">
        <v>0.038033157602771456</v>
      </c>
      <c r="T3225" s="10">
        <v>20.54397752489622</v>
      </c>
      <c r="U3225" s="11">
        <v>0.0825150109080158</v>
      </c>
      <c r="V3225" s="11">
        <v>0.3010222144852653</v>
      </c>
      <c r="W3225" s="11">
        <v>0.19868937973860476</v>
      </c>
      <c r="X3225" s="11">
        <v>0.23626799680328514</v>
      </c>
      <c r="Y3225" s="11">
        <v>0.04734633585681631</v>
      </c>
      <c r="Z3225" s="11">
        <v>0.1341590622080128</v>
      </c>
    </row>
    <row r="3226" ht="22.5" customHeight="1">
      <c r="Q3226" s="9" t="s">
        <v>3264</v>
      </c>
      <c r="R3226" s="10">
        <v>0.7447596909912402</v>
      </c>
      <c r="S3226" s="10">
        <v>0.034305531204850796</v>
      </c>
      <c r="T3226" s="10">
        <v>20.54361691072101</v>
      </c>
      <c r="U3226" s="11">
        <v>0.19399233962919016</v>
      </c>
      <c r="V3226" s="11">
        <v>0.2814577636047729</v>
      </c>
      <c r="W3226" s="11">
        <v>0.1608849870803316</v>
      </c>
      <c r="X3226" s="11">
        <v>0.21152085509825938</v>
      </c>
      <c r="Y3226" s="11">
        <v>0.0362251969061106</v>
      </c>
      <c r="Z3226" s="11">
        <v>0.1159188576813352</v>
      </c>
    </row>
    <row r="3227" ht="22.5" customHeight="1">
      <c r="Q3227" s="9" t="s">
        <v>3265</v>
      </c>
      <c r="R3227" s="10">
        <v>0.6861502037652275</v>
      </c>
      <c r="S3227" s="10">
        <v>0.0314526905376097</v>
      </c>
      <c r="T3227" s="10">
        <v>20.543558999907827</v>
      </c>
      <c r="U3227" s="11">
        <v>0.22949077430203793</v>
      </c>
      <c r="V3227" s="11">
        <v>0.19287946065665834</v>
      </c>
      <c r="W3227" s="11">
        <v>0.21884666134308162</v>
      </c>
      <c r="X3227" s="11">
        <v>0.12654612144348232</v>
      </c>
      <c r="Y3227" s="11">
        <v>0.05378135252413395</v>
      </c>
      <c r="Z3227" s="11">
        <v>0.1784556297306058</v>
      </c>
    </row>
    <row r="3228" ht="22.5" customHeight="1">
      <c r="Q3228" s="9" t="s">
        <v>3266</v>
      </c>
      <c r="R3228" s="10">
        <v>0.522331348251574</v>
      </c>
      <c r="S3228" s="10">
        <v>0.03041393993024509</v>
      </c>
      <c r="T3228" s="10">
        <v>20.543542740487943</v>
      </c>
      <c r="U3228" s="11">
        <v>0.10601248545613393</v>
      </c>
      <c r="V3228" s="11">
        <v>0.1940609504522497</v>
      </c>
      <c r="W3228" s="11">
        <v>0.2053125459058811</v>
      </c>
      <c r="X3228" s="11">
        <v>0.09942612160888133</v>
      </c>
      <c r="Y3228" s="11">
        <v>0.14822717120082968</v>
      </c>
      <c r="Z3228" s="11">
        <v>0.24696072537602418</v>
      </c>
    </row>
    <row r="3229" ht="22.5" customHeight="1">
      <c r="Q3229" s="9" t="s">
        <v>3267</v>
      </c>
      <c r="R3229" s="10">
        <v>0.7826864484596807</v>
      </c>
      <c r="S3229" s="10">
        <v>0.03615219715163011</v>
      </c>
      <c r="T3229" s="10">
        <v>20.54332812317585</v>
      </c>
      <c r="U3229" s="11">
        <v>0.043092562192097</v>
      </c>
      <c r="V3229" s="11">
        <v>0.20006261615684157</v>
      </c>
      <c r="W3229" s="11">
        <v>0.26508964617580055</v>
      </c>
      <c r="X3229" s="11">
        <v>0.25374691259493903</v>
      </c>
      <c r="Y3229" s="11">
        <v>0.19629347681799053</v>
      </c>
      <c r="Z3229" s="11">
        <v>0.04171478606233139</v>
      </c>
    </row>
    <row r="3230" ht="22.5" customHeight="1">
      <c r="Q3230" s="9" t="s">
        <v>3268</v>
      </c>
      <c r="R3230" s="10">
        <v>0.521143022305993</v>
      </c>
      <c r="S3230" s="10">
        <v>0.023421330080557138</v>
      </c>
      <c r="T3230" s="10">
        <v>20.5429418675674</v>
      </c>
      <c r="U3230" s="11">
        <v>0.2433209294817263</v>
      </c>
      <c r="V3230" s="11">
        <v>0.11493327814419604</v>
      </c>
      <c r="W3230" s="11">
        <v>0.17281867986318147</v>
      </c>
      <c r="X3230" s="11">
        <v>0.1039398624101626</v>
      </c>
      <c r="Y3230" s="11">
        <v>0.17125840911730159</v>
      </c>
      <c r="Z3230" s="11">
        <v>0.1937288409834318</v>
      </c>
    </row>
    <row r="3231" ht="22.5" customHeight="1">
      <c r="Q3231" s="9" t="s">
        <v>3269</v>
      </c>
      <c r="R3231" s="10">
        <v>0.6805791807885624</v>
      </c>
      <c r="S3231" s="10">
        <v>0.031182623219954946</v>
      </c>
      <c r="T3231" s="10">
        <v>20.542825286701067</v>
      </c>
      <c r="U3231" s="11">
        <v>0.22433145088084974</v>
      </c>
      <c r="V3231" s="11">
        <v>0.18265661795328136</v>
      </c>
      <c r="W3231" s="11">
        <v>0.22273050249283727</v>
      </c>
      <c r="X3231" s="11">
        <v>0.1401515394900999</v>
      </c>
      <c r="Y3231" s="11">
        <v>0.07024916703113179</v>
      </c>
      <c r="Z3231" s="11">
        <v>0.1598807221517999</v>
      </c>
    </row>
    <row r="3232" ht="22.5" customHeight="1">
      <c r="Q3232" s="9" t="s">
        <v>3270</v>
      </c>
      <c r="R3232" s="10">
        <v>0.6659324426569654</v>
      </c>
      <c r="S3232" s="10">
        <v>0.030470145218149586</v>
      </c>
      <c r="T3232" s="10">
        <v>20.542483082231186</v>
      </c>
      <c r="U3232" s="11">
        <v>0.20571833687443264</v>
      </c>
      <c r="V3232" s="11">
        <v>0.21852529605217672</v>
      </c>
      <c r="W3232" s="11">
        <v>0.18206706931245156</v>
      </c>
      <c r="X3232" s="11">
        <v>0.06133507236100551</v>
      </c>
      <c r="Y3232" s="11">
        <v>0.12180945036079989</v>
      </c>
      <c r="Z3232" s="11">
        <v>0.21054477503913377</v>
      </c>
    </row>
    <row r="3233" ht="22.5" customHeight="1">
      <c r="Q3233" s="9" t="s">
        <v>3271</v>
      </c>
      <c r="R3233" s="10">
        <v>0.5401459286705889</v>
      </c>
      <c r="S3233" s="10">
        <v>0.02434692680445883</v>
      </c>
      <c r="T3233" s="10">
        <v>20.54246651692375</v>
      </c>
      <c r="U3233" s="11">
        <v>0.20146282171143415</v>
      </c>
      <c r="V3233" s="11">
        <v>0.18525887646889522</v>
      </c>
      <c r="W3233" s="11">
        <v>0.1214379804956726</v>
      </c>
      <c r="X3233" s="11">
        <v>0.025998731893273515</v>
      </c>
      <c r="Y3233" s="11">
        <v>0.22931354296281464</v>
      </c>
      <c r="Z3233" s="11">
        <v>0.23652804646790979</v>
      </c>
    </row>
    <row r="3234" ht="22.5" customHeight="1">
      <c r="Q3234" s="9" t="s">
        <v>3272</v>
      </c>
      <c r="R3234" s="10">
        <v>0.5541490128453752</v>
      </c>
      <c r="S3234" s="10">
        <v>0.025028625007479335</v>
      </c>
      <c r="T3234" s="10">
        <v>20.542439414539608</v>
      </c>
      <c r="U3234" s="11">
        <v>0.17027223222871973</v>
      </c>
      <c r="V3234" s="11">
        <v>0.20037052350083775</v>
      </c>
      <c r="W3234" s="11">
        <v>0.10390095032516192</v>
      </c>
      <c r="X3234" s="11">
        <v>0.08212447155648123</v>
      </c>
      <c r="Y3234" s="11">
        <v>0.31370710687065995</v>
      </c>
      <c r="Z3234" s="11">
        <v>0.1296247155181393</v>
      </c>
    </row>
    <row r="3235" ht="22.5" customHeight="1">
      <c r="Q3235" s="9" t="s">
        <v>3273</v>
      </c>
      <c r="R3235" s="10">
        <v>0.7167309692767895</v>
      </c>
      <c r="S3235" s="10">
        <v>0.03294432170751616</v>
      </c>
      <c r="T3235" s="10">
        <v>20.541657384386063</v>
      </c>
      <c r="U3235" s="11">
        <v>0.02204360265024142</v>
      </c>
      <c r="V3235" s="11">
        <v>0.2345644727734057</v>
      </c>
      <c r="W3235" s="11">
        <v>0.20265400828940391</v>
      </c>
      <c r="X3235" s="11">
        <v>0.12831655636540268</v>
      </c>
      <c r="Y3235" s="11">
        <v>0.13566636451220895</v>
      </c>
      <c r="Z3235" s="11">
        <v>0.27675499540933746</v>
      </c>
    </row>
    <row r="3236" ht="22.5" customHeight="1">
      <c r="Q3236" s="9" t="s">
        <v>3274</v>
      </c>
      <c r="R3236" s="10">
        <v>0.7338588375713698</v>
      </c>
      <c r="S3236" s="10">
        <v>0.03377830350545016</v>
      </c>
      <c r="T3236" s="10">
        <v>20.54155376570096</v>
      </c>
      <c r="U3236" s="11">
        <v>0.09129248263686612</v>
      </c>
      <c r="V3236" s="11">
        <v>0.2811473515705796</v>
      </c>
      <c r="W3236" s="11">
        <v>0.14968199011360606</v>
      </c>
      <c r="X3236" s="11">
        <v>0.22051964467788235</v>
      </c>
      <c r="Y3236" s="11">
        <v>0.14384838767992925</v>
      </c>
      <c r="Z3236" s="11">
        <v>0.11351014332113664</v>
      </c>
    </row>
    <row r="3237" ht="22.5" customHeight="1">
      <c r="Q3237" s="9" t="s">
        <v>3275</v>
      </c>
      <c r="R3237" s="10">
        <v>0.4322470464514913</v>
      </c>
      <c r="S3237" s="10">
        <v>0.019095485606078898</v>
      </c>
      <c r="T3237" s="10">
        <v>20.54134964374106</v>
      </c>
      <c r="U3237" s="11">
        <v>0.27319638027383386</v>
      </c>
      <c r="V3237" s="11">
        <v>0.09543306679016494</v>
      </c>
      <c r="W3237" s="11">
        <v>0.1329591227243892</v>
      </c>
      <c r="X3237" s="11">
        <v>0.06407641423287258</v>
      </c>
      <c r="Y3237" s="11">
        <v>0.1517114638003771</v>
      </c>
      <c r="Z3237" s="11">
        <v>0.2826235521783623</v>
      </c>
    </row>
    <row r="3238" ht="22.5" customHeight="1">
      <c r="Q3238" s="9" t="s">
        <v>3276</v>
      </c>
      <c r="R3238" s="10">
        <v>0.6090235302279076</v>
      </c>
      <c r="S3238" s="10">
        <v>0.027701630013996233</v>
      </c>
      <c r="T3238" s="10">
        <v>20.54115696225849</v>
      </c>
      <c r="U3238" s="11">
        <v>0.1799871894813377</v>
      </c>
      <c r="V3238" s="11">
        <v>0.23702050194301497</v>
      </c>
      <c r="W3238" s="11">
        <v>0.10474316256204552</v>
      </c>
      <c r="X3238" s="11">
        <v>0.20396238048791634</v>
      </c>
      <c r="Y3238" s="11">
        <v>0.09903656719580688</v>
      </c>
      <c r="Z3238" s="11">
        <v>0.17525019832987865</v>
      </c>
    </row>
    <row r="3239" ht="22.5" customHeight="1">
      <c r="Q3239" s="9" t="s">
        <v>3277</v>
      </c>
      <c r="R3239" s="10">
        <v>0.8297992335995814</v>
      </c>
      <c r="S3239" s="10">
        <v>0.038449733017427226</v>
      </c>
      <c r="T3239" s="10">
        <v>20.541084985989556</v>
      </c>
      <c r="U3239" s="11">
        <v>0.11427963925089059</v>
      </c>
      <c r="V3239" s="11">
        <v>0.23673520126932032</v>
      </c>
      <c r="W3239" s="11">
        <v>0.26994541317733345</v>
      </c>
      <c r="X3239" s="11">
        <v>0.2525365936459228</v>
      </c>
      <c r="Y3239" s="11">
        <v>0.027451068118651483</v>
      </c>
      <c r="Z3239" s="11">
        <v>0.09905208453788139</v>
      </c>
    </row>
    <row r="3240" ht="22.5" customHeight="1">
      <c r="Q3240" s="9" t="s">
        <v>3278</v>
      </c>
      <c r="R3240" s="10">
        <v>0.7842087267492216</v>
      </c>
      <c r="S3240" s="10">
        <v>0.036231666191515785</v>
      </c>
      <c r="T3240" s="10">
        <v>20.540284369353397</v>
      </c>
      <c r="U3240" s="11">
        <v>0.15641255355626543</v>
      </c>
      <c r="V3240" s="11">
        <v>0.2404573232248069</v>
      </c>
      <c r="W3240" s="11">
        <v>0.23606276038508062</v>
      </c>
      <c r="X3240" s="11">
        <v>0.11314313617058275</v>
      </c>
      <c r="Y3240" s="11">
        <v>0.20154411897951574</v>
      </c>
      <c r="Z3240" s="11">
        <v>0.052380107683748484</v>
      </c>
    </row>
    <row r="3241" ht="22.5" customHeight="1">
      <c r="Q3241" s="9" t="s">
        <v>3279</v>
      </c>
      <c r="R3241" s="10">
        <v>0.4579081137950122</v>
      </c>
      <c r="S3241" s="10">
        <v>0.02034618451921272</v>
      </c>
      <c r="T3241" s="10">
        <v>20.539876329165562</v>
      </c>
      <c r="U3241" s="11">
        <v>0.10442466988257924</v>
      </c>
      <c r="V3241" s="11">
        <v>0.17138458266569379</v>
      </c>
      <c r="W3241" s="11">
        <v>0.061216253057318794</v>
      </c>
      <c r="X3241" s="11">
        <v>0.16232645187213282</v>
      </c>
      <c r="Y3241" s="11">
        <v>0.2466948109011696</v>
      </c>
      <c r="Z3241" s="11">
        <v>0.2539532316211059</v>
      </c>
    </row>
    <row r="3242" ht="22.5" customHeight="1">
      <c r="Q3242" s="9" t="s">
        <v>3280</v>
      </c>
      <c r="R3242" s="10">
        <v>0.8051799370606367</v>
      </c>
      <c r="S3242" s="10">
        <v>0.03725369656582029</v>
      </c>
      <c r="T3242" s="10">
        <v>20.539704984945786</v>
      </c>
      <c r="U3242" s="11">
        <v>0.03965624525019591</v>
      </c>
      <c r="V3242" s="11">
        <v>0.30034673311292953</v>
      </c>
      <c r="W3242" s="11">
        <v>0.18442987739283906</v>
      </c>
      <c r="X3242" s="11">
        <v>0.230427399953712</v>
      </c>
      <c r="Y3242" s="11">
        <v>0.13160212062580853</v>
      </c>
      <c r="Z3242" s="11">
        <v>0.1135376236645149</v>
      </c>
    </row>
    <row r="3243" ht="22.5" customHeight="1">
      <c r="Q3243" s="9" t="s">
        <v>3281</v>
      </c>
      <c r="R3243" s="10">
        <v>0.464962737260334</v>
      </c>
      <c r="S3243" s="10">
        <v>0.020689963081712483</v>
      </c>
      <c r="T3243" s="10">
        <v>20.5395599587102</v>
      </c>
      <c r="U3243" s="11">
        <v>0.21804684899660537</v>
      </c>
      <c r="V3243" s="11">
        <v>0.1250723359195086</v>
      </c>
      <c r="W3243" s="11">
        <v>0.13502383369343196</v>
      </c>
      <c r="X3243" s="11">
        <v>0.03860432998910162</v>
      </c>
      <c r="Y3243" s="11">
        <v>0.11509317799271675</v>
      </c>
      <c r="Z3243" s="11">
        <v>0.368159473408636</v>
      </c>
    </row>
    <row r="3244" ht="22.5" customHeight="1">
      <c r="Q3244" s="9" t="s">
        <v>3282</v>
      </c>
      <c r="R3244" s="10">
        <v>0.7620517257926156</v>
      </c>
      <c r="S3244" s="10">
        <v>0.0351545864183754</v>
      </c>
      <c r="T3244" s="10">
        <v>20.539332114434924</v>
      </c>
      <c r="U3244" s="11">
        <v>0.03442303398974556</v>
      </c>
      <c r="V3244" s="11">
        <v>0.21514886819371162</v>
      </c>
      <c r="W3244" s="11">
        <v>0.24791011650219563</v>
      </c>
      <c r="X3244" s="11">
        <v>0.2466979206858552</v>
      </c>
      <c r="Y3244" s="11">
        <v>0.026409864269393166</v>
      </c>
      <c r="Z3244" s="11">
        <v>0.2294101963590988</v>
      </c>
    </row>
    <row r="3245" ht="22.5" customHeight="1">
      <c r="Q3245" s="9" t="s">
        <v>3283</v>
      </c>
      <c r="R3245" s="10">
        <v>0.6677101673834048</v>
      </c>
      <c r="S3245" s="10">
        <v>0.030562052159901713</v>
      </c>
      <c r="T3245" s="10">
        <v>20.53887494528193</v>
      </c>
      <c r="U3245" s="11">
        <v>0.3188476923841552</v>
      </c>
      <c r="V3245" s="11">
        <v>0.15705675413340492</v>
      </c>
      <c r="W3245" s="11">
        <v>0.22787697842509888</v>
      </c>
      <c r="X3245" s="11">
        <v>0.16782561653217432</v>
      </c>
      <c r="Y3245" s="11">
        <v>0.11684293379961941</v>
      </c>
      <c r="Z3245" s="11">
        <v>0.01155002472554731</v>
      </c>
    </row>
    <row r="3246" ht="22.5" customHeight="1">
      <c r="Q3246" s="9" t="s">
        <v>3284</v>
      </c>
      <c r="R3246" s="10">
        <v>0.5875050506929361</v>
      </c>
      <c r="S3246" s="10">
        <v>0.0266570850587041</v>
      </c>
      <c r="T3246" s="10">
        <v>20.538819210248352</v>
      </c>
      <c r="U3246" s="11">
        <v>0.178497343920836</v>
      </c>
      <c r="V3246" s="11">
        <v>0.1349911766033379</v>
      </c>
      <c r="W3246" s="11">
        <v>0.19838451124085907</v>
      </c>
      <c r="X3246" s="11">
        <v>0.13358930211827041</v>
      </c>
      <c r="Y3246" s="11">
        <v>0.1959776981044014</v>
      </c>
      <c r="Z3246" s="11">
        <v>0.15855996801229522</v>
      </c>
    </row>
    <row r="3247" ht="22.5" customHeight="1">
      <c r="Q3247" s="9" t="s">
        <v>3285</v>
      </c>
      <c r="R3247" s="10">
        <v>0.861562874543971</v>
      </c>
      <c r="S3247" s="10">
        <v>0.04000093264805709</v>
      </c>
      <c r="T3247" s="10">
        <v>20.53859298162828</v>
      </c>
      <c r="U3247" s="11">
        <v>0.10810304305804165</v>
      </c>
      <c r="V3247" s="11">
        <v>0.3102544161783179</v>
      </c>
      <c r="W3247" s="11">
        <v>0.21788618069782717</v>
      </c>
      <c r="X3247" s="11">
        <v>0.24406988186761028</v>
      </c>
      <c r="Y3247" s="11">
        <v>0.024000255464596054</v>
      </c>
      <c r="Z3247" s="11">
        <v>0.09568622273360687</v>
      </c>
    </row>
    <row r="3248" ht="22.5" customHeight="1">
      <c r="Q3248" s="9" t="s">
        <v>3286</v>
      </c>
      <c r="R3248" s="10">
        <v>0.8492867550914547</v>
      </c>
      <c r="S3248" s="10">
        <v>0.03940416055868014</v>
      </c>
      <c r="T3248" s="10">
        <v>20.53810419045156</v>
      </c>
      <c r="U3248" s="11">
        <v>0.011898328463956434</v>
      </c>
      <c r="V3248" s="11">
        <v>0.2519142093977818</v>
      </c>
      <c r="W3248" s="11">
        <v>0.26742421594663307</v>
      </c>
      <c r="X3248" s="11">
        <v>0.21655223849429311</v>
      </c>
      <c r="Y3248" s="11">
        <v>0.181979693187618</v>
      </c>
      <c r="Z3248" s="11">
        <v>0.07023131450971765</v>
      </c>
    </row>
    <row r="3249" ht="22.5" customHeight="1">
      <c r="Q3249" s="9" t="s">
        <v>3287</v>
      </c>
      <c r="R3249" s="10">
        <v>0.8904838884322263</v>
      </c>
      <c r="S3249" s="10">
        <v>0.041411201984014795</v>
      </c>
      <c r="T3249" s="10">
        <v>20.53753206102356</v>
      </c>
      <c r="U3249" s="11">
        <v>0.12643312800249545</v>
      </c>
      <c r="V3249" s="11">
        <v>0.30586880246517156</v>
      </c>
      <c r="W3249" s="11">
        <v>0.24259500098978326</v>
      </c>
      <c r="X3249" s="11">
        <v>0.1925517765542786</v>
      </c>
      <c r="Y3249" s="11">
        <v>0.12074796059421422</v>
      </c>
      <c r="Z3249" s="11">
        <v>0.011803331394057029</v>
      </c>
    </row>
    <row r="3250" ht="22.5" customHeight="1">
      <c r="Q3250" s="9" t="s">
        <v>3288</v>
      </c>
      <c r="R3250" s="10">
        <v>0.7086742195062449</v>
      </c>
      <c r="S3250" s="10">
        <v>0.03255878921261917</v>
      </c>
      <c r="T3250" s="10">
        <v>20.537441215629705</v>
      </c>
      <c r="U3250" s="11">
        <v>0.3424333939155353</v>
      </c>
      <c r="V3250" s="11">
        <v>0.25338113006049245</v>
      </c>
      <c r="W3250" s="11">
        <v>0.16792046493068175</v>
      </c>
      <c r="X3250" s="11">
        <v>0.10193096568233061</v>
      </c>
      <c r="Y3250" s="11">
        <v>0.06961009190891468</v>
      </c>
      <c r="Z3250" s="11">
        <v>0.06472395350204523</v>
      </c>
    </row>
    <row r="3251" ht="22.5" customHeight="1">
      <c r="Q3251" s="9" t="s">
        <v>3289</v>
      </c>
      <c r="R3251" s="10">
        <v>0.8098126394586311</v>
      </c>
      <c r="S3251" s="10">
        <v>0.03748338056145673</v>
      </c>
      <c r="T3251" s="10">
        <v>20.53743893767712</v>
      </c>
      <c r="U3251" s="11">
        <v>0.059636698984043515</v>
      </c>
      <c r="V3251" s="11">
        <v>0.27185759238770146</v>
      </c>
      <c r="W3251" s="11">
        <v>0.22776654435694837</v>
      </c>
      <c r="X3251" s="11">
        <v>0.20030067845267432</v>
      </c>
      <c r="Y3251" s="11">
        <v>0.03491243976113226</v>
      </c>
      <c r="Z3251" s="11">
        <v>0.20552604605750013</v>
      </c>
    </row>
    <row r="3252" ht="22.5" customHeight="1">
      <c r="Q3252" s="9" t="s">
        <v>3290</v>
      </c>
      <c r="R3252" s="10">
        <v>0.6297594077613533</v>
      </c>
      <c r="S3252" s="10">
        <v>0.02871695031892715</v>
      </c>
      <c r="T3252" s="10">
        <v>20.536979073737047</v>
      </c>
      <c r="U3252" s="11">
        <v>0.2794115936321727</v>
      </c>
      <c r="V3252" s="11">
        <v>0.14523598027514503</v>
      </c>
      <c r="W3252" s="11">
        <v>0.21258534861128361</v>
      </c>
      <c r="X3252" s="11">
        <v>0.13539225072109046</v>
      </c>
      <c r="Y3252" s="11">
        <v>0.20194484062580592</v>
      </c>
      <c r="Z3252" s="11">
        <v>0.025429986134502185</v>
      </c>
    </row>
    <row r="3253" ht="22.5" customHeight="1">
      <c r="Q3253" s="9" t="s">
        <v>3291</v>
      </c>
      <c r="R3253" s="10">
        <v>0.6901606335607455</v>
      </c>
      <c r="S3253" s="10">
        <v>0.03165851342025521</v>
      </c>
      <c r="T3253" s="10">
        <v>20.53667602550064</v>
      </c>
      <c r="U3253" s="11">
        <v>0.15717454503165326</v>
      </c>
      <c r="V3253" s="11">
        <v>0.2231994650874491</v>
      </c>
      <c r="W3253" s="11">
        <v>0.19272126003120038</v>
      </c>
      <c r="X3253" s="11">
        <v>0.06266495753653153</v>
      </c>
      <c r="Y3253" s="11">
        <v>0.18657793850923174</v>
      </c>
      <c r="Z3253" s="11">
        <v>0.17766183380393405</v>
      </c>
    </row>
    <row r="3254" ht="22.5" customHeight="1">
      <c r="Q3254" s="9" t="s">
        <v>3292</v>
      </c>
      <c r="R3254" s="10">
        <v>0.533295818580716</v>
      </c>
      <c r="S3254" s="10">
        <v>0.024020891699649036</v>
      </c>
      <c r="T3254" s="10">
        <v>20.536116008879198</v>
      </c>
      <c r="U3254" s="11">
        <v>0.21080104844698527</v>
      </c>
      <c r="V3254" s="11">
        <v>0.20176080724178064</v>
      </c>
      <c r="W3254" s="11">
        <v>0.0699994253423332</v>
      </c>
      <c r="X3254" s="11">
        <v>0.20577395468003626</v>
      </c>
      <c r="Y3254" s="11">
        <v>0.29120997924189534</v>
      </c>
      <c r="Z3254" s="11">
        <v>0.020454785046969244</v>
      </c>
    </row>
    <row r="3255" ht="22.5" customHeight="1">
      <c r="Q3255" s="9" t="s">
        <v>3293</v>
      </c>
      <c r="R3255" s="10">
        <v>0.7305751711360432</v>
      </c>
      <c r="S3255" s="10">
        <v>0.033627999282781276</v>
      </c>
      <c r="T3255" s="10">
        <v>20.535719812794277</v>
      </c>
      <c r="U3255" s="11">
        <v>0.12097143218600206</v>
      </c>
      <c r="V3255" s="11">
        <v>0.20644928730763917</v>
      </c>
      <c r="W3255" s="11">
        <v>0.23438453085785022</v>
      </c>
      <c r="X3255" s="11">
        <v>0.1428059758145422</v>
      </c>
      <c r="Y3255" s="11">
        <v>0.14471696048258909</v>
      </c>
      <c r="Z3255" s="11">
        <v>0.1506718133513771</v>
      </c>
    </row>
    <row r="3256" ht="22.5" customHeight="1">
      <c r="Q3256" s="9" t="s">
        <v>3294</v>
      </c>
      <c r="R3256" s="10">
        <v>0.5895761903485727</v>
      </c>
      <c r="S3256" s="10">
        <v>0.02676219506419361</v>
      </c>
      <c r="T3256" s="10">
        <v>20.535542358551755</v>
      </c>
      <c r="U3256" s="11">
        <v>0.27337225239239643</v>
      </c>
      <c r="V3256" s="11">
        <v>0.20629788758425138</v>
      </c>
      <c r="W3256" s="11">
        <v>0.138491148623882</v>
      </c>
      <c r="X3256" s="11">
        <v>0.05906958643982861</v>
      </c>
      <c r="Y3256" s="11">
        <v>0.07818869812699858</v>
      </c>
      <c r="Z3256" s="11">
        <v>0.244580426832643</v>
      </c>
    </row>
    <row r="3257" ht="22.5" customHeight="1">
      <c r="Q3257" s="9" t="s">
        <v>3295</v>
      </c>
      <c r="R3257" s="10">
        <v>0.7488211277690948</v>
      </c>
      <c r="S3257" s="10">
        <v>0.03451805652662453</v>
      </c>
      <c r="T3257" s="10">
        <v>20.53479248527117</v>
      </c>
      <c r="U3257" s="11">
        <v>0.017423282881976088</v>
      </c>
      <c r="V3257" s="11">
        <v>0.28878324201731254</v>
      </c>
      <c r="W3257" s="11">
        <v>0.15079112264343703</v>
      </c>
      <c r="X3257" s="11">
        <v>0.26992153591488166</v>
      </c>
      <c r="Y3257" s="11">
        <v>0.13435265683165792</v>
      </c>
      <c r="Z3257" s="11">
        <v>0.1387281597107348</v>
      </c>
    </row>
    <row r="3258" ht="22.5" customHeight="1">
      <c r="Q3258" s="9" t="s">
        <v>3296</v>
      </c>
      <c r="R3258" s="10">
        <v>0.6022559417254908</v>
      </c>
      <c r="S3258" s="10">
        <v>0.027381174903186693</v>
      </c>
      <c r="T3258" s="10">
        <v>20.53439794725733</v>
      </c>
      <c r="U3258" s="11">
        <v>0.19026426498629098</v>
      </c>
      <c r="V3258" s="11">
        <v>0.14505457009784775</v>
      </c>
      <c r="W3258" s="11">
        <v>0.20142254344265487</v>
      </c>
      <c r="X3258" s="11">
        <v>0.12123645075658884</v>
      </c>
      <c r="Y3258" s="11">
        <v>0.1723965390515988</v>
      </c>
      <c r="Z3258" s="11">
        <v>0.16962563166501862</v>
      </c>
    </row>
    <row r="3259" ht="22.5" customHeight="1">
      <c r="Q3259" s="9" t="s">
        <v>3297</v>
      </c>
      <c r="R3259" s="10">
        <v>0.7152667374224364</v>
      </c>
      <c r="S3259" s="10">
        <v>0.03288510223166318</v>
      </c>
      <c r="T3259" s="10">
        <v>20.534123101258317</v>
      </c>
      <c r="U3259" s="11">
        <v>0.30504273285180117</v>
      </c>
      <c r="V3259" s="11">
        <v>0.16992802500742168</v>
      </c>
      <c r="W3259" s="11">
        <v>0.2475105668423245</v>
      </c>
      <c r="X3259" s="11">
        <v>0.2372181793773679</v>
      </c>
      <c r="Y3259" s="11">
        <v>0.02603265165784682</v>
      </c>
      <c r="Z3259" s="11">
        <v>0.014267844263237968</v>
      </c>
    </row>
    <row r="3260" ht="22.5" customHeight="1">
      <c r="Q3260" s="9" t="s">
        <v>3298</v>
      </c>
      <c r="R3260" s="10">
        <v>0.522331348251574</v>
      </c>
      <c r="S3260" s="10">
        <v>0.024369567361309966</v>
      </c>
      <c r="T3260" s="10">
        <v>20.534058191951008</v>
      </c>
      <c r="U3260" s="11">
        <v>0.12805628087793672</v>
      </c>
      <c r="V3260" s="11">
        <v>0.12645569766948997</v>
      </c>
      <c r="W3260" s="11">
        <v>0.17613452916773542</v>
      </c>
      <c r="X3260" s="11">
        <v>0.09686353542390065</v>
      </c>
      <c r="Y3260" s="11">
        <v>0.25301101249955704</v>
      </c>
      <c r="Z3260" s="11">
        <v>0.2194789443613802</v>
      </c>
    </row>
    <row r="3261" ht="22.5" customHeight="1">
      <c r="Q3261" s="9" t="s">
        <v>3299</v>
      </c>
      <c r="R3261" s="10">
        <v>0.41245433468107245</v>
      </c>
      <c r="S3261" s="10">
        <v>0.018138375948079075</v>
      </c>
      <c r="T3261" s="10">
        <v>20.534050884556553</v>
      </c>
      <c r="U3261" s="11">
        <v>0.2534198104739921</v>
      </c>
      <c r="V3261" s="11">
        <v>0.07946268305981939</v>
      </c>
      <c r="W3261" s="11">
        <v>0.13313304327783274</v>
      </c>
      <c r="X3261" s="11">
        <v>0.14404375962920338</v>
      </c>
      <c r="Y3261" s="11">
        <v>0.047889145833477455</v>
      </c>
      <c r="Z3261" s="11">
        <v>0.3420515577256751</v>
      </c>
    </row>
    <row r="3262" ht="22.5" customHeight="1">
      <c r="Q3262" s="9" t="s">
        <v>3300</v>
      </c>
      <c r="R3262" s="10">
        <v>0.6649921117722515</v>
      </c>
      <c r="S3262" s="10">
        <v>0.030437970668105385</v>
      </c>
      <c r="T3262" s="10">
        <v>20.533304226722095</v>
      </c>
      <c r="U3262" s="11">
        <v>0.17518948065027815</v>
      </c>
      <c r="V3262" s="11">
        <v>0.22767160507166415</v>
      </c>
      <c r="W3262" s="11">
        <v>0.17150447025680154</v>
      </c>
      <c r="X3262" s="11">
        <v>0.06696095141038226</v>
      </c>
      <c r="Y3262" s="11">
        <v>0.13788009072865987</v>
      </c>
      <c r="Z3262" s="11">
        <v>0.22079340188221397</v>
      </c>
    </row>
    <row r="3263" ht="22.5" customHeight="1">
      <c r="Q3263" s="9" t="s">
        <v>3301</v>
      </c>
      <c r="R3263" s="10">
        <v>0.4389819951540463</v>
      </c>
      <c r="S3263" s="10">
        <v>0.01943139814333022</v>
      </c>
      <c r="T3263" s="10">
        <v>20.532850606583647</v>
      </c>
      <c r="U3263" s="11">
        <v>0.21656913344577777</v>
      </c>
      <c r="V3263" s="11">
        <v>0.056100041119334046</v>
      </c>
      <c r="W3263" s="11">
        <v>0.15273363007439497</v>
      </c>
      <c r="X3263" s="11">
        <v>0.322934532438547</v>
      </c>
      <c r="Y3263" s="11">
        <v>0.08266267680885424</v>
      </c>
      <c r="Z3263" s="11">
        <v>0.16899998611309192</v>
      </c>
    </row>
    <row r="3264" ht="22.5" customHeight="1">
      <c r="Q3264" s="9" t="s">
        <v>3302</v>
      </c>
      <c r="R3264" s="10">
        <v>0.9017829419800927</v>
      </c>
      <c r="S3264" s="10">
        <v>0.041971959958012846</v>
      </c>
      <c r="T3264" s="10">
        <v>20.532349283716737</v>
      </c>
      <c r="U3264" s="11">
        <v>0.12102100843163506</v>
      </c>
      <c r="V3264" s="11">
        <v>0.3003210422186816</v>
      </c>
      <c r="W3264" s="11">
        <v>0.25783109333623483</v>
      </c>
      <c r="X3264" s="11">
        <v>0.21298172649805838</v>
      </c>
      <c r="Y3264" s="11">
        <v>0.07254988152818614</v>
      </c>
      <c r="Z3264" s="11">
        <v>0.03529524798720399</v>
      </c>
    </row>
    <row r="3265" ht="22.5" customHeight="1">
      <c r="Q3265" s="9" t="s">
        <v>3303</v>
      </c>
      <c r="R3265" s="10">
        <v>0.5608971516866962</v>
      </c>
      <c r="S3265" s="10">
        <v>0.025369717516000083</v>
      </c>
      <c r="T3265" s="10">
        <v>20.532240903280794</v>
      </c>
      <c r="U3265" s="11">
        <v>0.1482294192031258</v>
      </c>
      <c r="V3265" s="11">
        <v>0.095944829972965</v>
      </c>
      <c r="W3265" s="11">
        <v>0.19839553319144526</v>
      </c>
      <c r="X3265" s="11">
        <v>0.2800278237765852</v>
      </c>
      <c r="Y3265" s="11">
        <v>0.24308005665766214</v>
      </c>
      <c r="Z3265" s="11">
        <v>0.03432233719821668</v>
      </c>
    </row>
    <row r="3266" ht="22.5" customHeight="1">
      <c r="Q3266" s="9" t="s">
        <v>3304</v>
      </c>
      <c r="R3266" s="10">
        <v>0.41840745214459374</v>
      </c>
      <c r="S3266" s="10">
        <v>0.018429956965793276</v>
      </c>
      <c r="T3266" s="10">
        <v>20.532194016889612</v>
      </c>
      <c r="U3266" s="11">
        <v>0.45358633545480437</v>
      </c>
      <c r="V3266" s="11">
        <v>0.08585663016736039</v>
      </c>
      <c r="W3266" s="11">
        <v>0.12432298293137482</v>
      </c>
      <c r="X3266" s="11">
        <v>0.0889064261143549</v>
      </c>
      <c r="Y3266" s="11">
        <v>0.08851674497988686</v>
      </c>
      <c r="Z3266" s="11">
        <v>0.15881088035221863</v>
      </c>
    </row>
    <row r="3267" ht="22.5" customHeight="1">
      <c r="Q3267" s="9" t="s">
        <v>3305</v>
      </c>
      <c r="R3267" s="10">
        <v>0.3284230280947018</v>
      </c>
      <c r="S3267" s="10">
        <v>0.014047384275485365</v>
      </c>
      <c r="T3267" s="10">
        <v>20.532151925112494</v>
      </c>
      <c r="U3267" s="11">
        <v>0.1910102161670225</v>
      </c>
      <c r="V3267" s="11">
        <v>0.10954149738487695</v>
      </c>
      <c r="W3267" s="11">
        <v>0.02457205116904841</v>
      </c>
      <c r="X3267" s="11">
        <v>0.20965209254069994</v>
      </c>
      <c r="Y3267" s="11">
        <v>0.18073895596975897</v>
      </c>
      <c r="Z3267" s="11">
        <v>0.2844851867685933</v>
      </c>
    </row>
    <row r="3268" ht="22.5" customHeight="1">
      <c r="Q3268" s="9" t="s">
        <v>3306</v>
      </c>
      <c r="R3268" s="10">
        <v>0.43744302521215783</v>
      </c>
      <c r="S3268" s="10">
        <v>0.0193572461166893</v>
      </c>
      <c r="T3268" s="10">
        <v>20.53200247681374</v>
      </c>
      <c r="U3268" s="11">
        <v>0.08988222412192778</v>
      </c>
      <c r="V3268" s="11">
        <v>0.167026969870558</v>
      </c>
      <c r="W3268" s="11">
        <v>0.05148518621857455</v>
      </c>
      <c r="X3268" s="11">
        <v>0.23656450027590356</v>
      </c>
      <c r="Y3268" s="11">
        <v>0.11148239434032119</v>
      </c>
      <c r="Z3268" s="11">
        <v>0.343558725172715</v>
      </c>
    </row>
    <row r="3269" ht="22.5" customHeight="1">
      <c r="Q3269" s="9" t="s">
        <v>3307</v>
      </c>
      <c r="R3269" s="10">
        <v>0.537367803335054</v>
      </c>
      <c r="S3269" s="10">
        <v>0.024224160892361464</v>
      </c>
      <c r="T3269" s="10">
        <v>20.531889857612676</v>
      </c>
      <c r="U3269" s="11">
        <v>0.07373486875836026</v>
      </c>
      <c r="V3269" s="11">
        <v>0.17933200134220612</v>
      </c>
      <c r="W3269" s="11">
        <v>0.11737870310824472</v>
      </c>
      <c r="X3269" s="11">
        <v>0.05188414631918467</v>
      </c>
      <c r="Y3269" s="11">
        <v>0.3893322555622679</v>
      </c>
      <c r="Z3269" s="11">
        <v>0.18833802490973636</v>
      </c>
    </row>
    <row r="3270" ht="22.5" customHeight="1">
      <c r="Q3270" s="9" t="s">
        <v>3308</v>
      </c>
      <c r="R3270" s="10">
        <v>0.7229975321545848</v>
      </c>
      <c r="S3270" s="10">
        <v>0.03326574209190128</v>
      </c>
      <c r="T3270" s="10">
        <v>20.531558570607213</v>
      </c>
      <c r="U3270" s="11">
        <v>0.1003564414251897</v>
      </c>
      <c r="V3270" s="11">
        <v>0.20894292122484343</v>
      </c>
      <c r="W3270" s="11">
        <v>0.2216129662760359</v>
      </c>
      <c r="X3270" s="11">
        <v>0.09693480146638905</v>
      </c>
      <c r="Y3270" s="11">
        <v>0.306241752774725</v>
      </c>
      <c r="Z3270" s="11">
        <v>0.06591111683281681</v>
      </c>
    </row>
    <row r="3271" ht="22.5" customHeight="1">
      <c r="Q3271" s="9" t="s">
        <v>3309</v>
      </c>
      <c r="R3271" s="10">
        <v>0.8474434356974654</v>
      </c>
      <c r="S3271" s="10">
        <v>0.03932704823225132</v>
      </c>
      <c r="T3271" s="10">
        <v>20.531503684919258</v>
      </c>
      <c r="U3271" s="11">
        <v>0.0035799504329003425</v>
      </c>
      <c r="V3271" s="11">
        <v>0.2556146604435134</v>
      </c>
      <c r="W3271" s="11">
        <v>0.2632263471980641</v>
      </c>
      <c r="X3271" s="11">
        <v>0.2037542888511864</v>
      </c>
      <c r="Y3271" s="11">
        <v>0.19726482049534413</v>
      </c>
      <c r="Z3271" s="11">
        <v>0.07655993257899181</v>
      </c>
    </row>
    <row r="3272" ht="22.5" customHeight="1">
      <c r="Q3272" s="9" t="s">
        <v>3310</v>
      </c>
      <c r="R3272" s="10">
        <v>0.5568796473250135</v>
      </c>
      <c r="S3272" s="10">
        <v>0.025175036080482587</v>
      </c>
      <c r="T3272" s="10">
        <v>20.531436208178228</v>
      </c>
      <c r="U3272" s="11">
        <v>0.18518791893155256</v>
      </c>
      <c r="V3272" s="11">
        <v>0.10922253451724616</v>
      </c>
      <c r="W3272" s="11">
        <v>0.19365187250144916</v>
      </c>
      <c r="X3272" s="11">
        <v>0.18983756966003013</v>
      </c>
      <c r="Y3272" s="11">
        <v>0.2143462213274451</v>
      </c>
      <c r="Z3272" s="11">
        <v>0.10775388306227682</v>
      </c>
    </row>
    <row r="3273" ht="22.5" customHeight="1">
      <c r="Q3273" s="9" t="s">
        <v>3311</v>
      </c>
      <c r="R3273" s="10">
        <v>0.718032276893529</v>
      </c>
      <c r="S3273" s="10">
        <v>0.03302454841430295</v>
      </c>
      <c r="T3273" s="10">
        <v>20.531159681198634</v>
      </c>
      <c r="U3273" s="11">
        <v>0.1134466659363643</v>
      </c>
      <c r="V3273" s="11">
        <v>0.19370051683640344</v>
      </c>
      <c r="W3273" s="11">
        <v>0.23088291212544307</v>
      </c>
      <c r="X3273" s="11">
        <v>0.12599623956842046</v>
      </c>
      <c r="Y3273" s="11">
        <v>0.2854342707836344</v>
      </c>
      <c r="Z3273" s="11">
        <v>0.050539394749734394</v>
      </c>
    </row>
    <row r="3274" ht="22.5" customHeight="1">
      <c r="Q3274" s="9" t="s">
        <v>3312</v>
      </c>
      <c r="R3274" s="10">
        <v>0.5696100431066663</v>
      </c>
      <c r="S3274" s="10">
        <v>0.02579601113654177</v>
      </c>
      <c r="T3274" s="10">
        <v>20.53069524211975</v>
      </c>
      <c r="U3274" s="11">
        <v>0.19343619916645546</v>
      </c>
      <c r="V3274" s="11">
        <v>0.20449058001062181</v>
      </c>
      <c r="W3274" s="11">
        <v>0.12051109205573421</v>
      </c>
      <c r="X3274" s="11">
        <v>0.0543762577239215</v>
      </c>
      <c r="Y3274" s="11">
        <v>0.21675619010444233</v>
      </c>
      <c r="Z3274" s="11">
        <v>0.2104296809388247</v>
      </c>
    </row>
    <row r="3275" ht="22.5" customHeight="1">
      <c r="Q3275" s="9" t="s">
        <v>3313</v>
      </c>
      <c r="R3275" s="10">
        <v>0.729842492777241</v>
      </c>
      <c r="S3275" s="10">
        <v>0.03360074736055863</v>
      </c>
      <c r="T3275" s="10">
        <v>20.530569911876267</v>
      </c>
      <c r="U3275" s="11">
        <v>0.1729870282430463</v>
      </c>
      <c r="V3275" s="11">
        <v>0.22862315309374162</v>
      </c>
      <c r="W3275" s="11">
        <v>0.21683164933971497</v>
      </c>
      <c r="X3275" s="11">
        <v>0.11485512668416788</v>
      </c>
      <c r="Y3275" s="11">
        <v>0.07161472722595807</v>
      </c>
      <c r="Z3275" s="11">
        <v>0.19508831541337116</v>
      </c>
    </row>
    <row r="3276" ht="22.5" customHeight="1">
      <c r="Q3276" s="9" t="s">
        <v>3314</v>
      </c>
      <c r="R3276" s="10">
        <v>0.7305709031601759</v>
      </c>
      <c r="S3276" s="10">
        <v>0.03363636651331307</v>
      </c>
      <c r="T3276" s="10">
        <v>20.530484554175974</v>
      </c>
      <c r="U3276" s="11">
        <v>0.1435549419037129</v>
      </c>
      <c r="V3276" s="11">
        <v>0.2299710815812092</v>
      </c>
      <c r="W3276" s="11">
        <v>0.2068991864014519</v>
      </c>
      <c r="X3276" s="11">
        <v>0.06677049368148158</v>
      </c>
      <c r="Y3276" s="11">
        <v>0.3049174012059901</v>
      </c>
      <c r="Z3276" s="11">
        <v>0.047886895226154344</v>
      </c>
    </row>
    <row r="3277" ht="22.5" customHeight="1">
      <c r="Q3277" s="9" t="s">
        <v>3315</v>
      </c>
      <c r="R3277" s="10">
        <v>0.6816671566031782</v>
      </c>
      <c r="S3277" s="10">
        <v>0.031254382805086287</v>
      </c>
      <c r="T3277" s="10">
        <v>20.53046961780843</v>
      </c>
      <c r="U3277" s="11">
        <v>0.1938976171040909</v>
      </c>
      <c r="V3277" s="11">
        <v>0.19282439403316112</v>
      </c>
      <c r="W3277" s="11">
        <v>0.21245261542741473</v>
      </c>
      <c r="X3277" s="11">
        <v>0.07610456442307655</v>
      </c>
      <c r="Y3277" s="11">
        <v>0.21532980707936739</v>
      </c>
      <c r="Z3277" s="11">
        <v>0.1093910019328893</v>
      </c>
    </row>
    <row r="3278" ht="22.5" customHeight="1">
      <c r="Q3278" s="9" t="s">
        <v>3316</v>
      </c>
      <c r="R3278" s="10">
        <v>0.49881498765655247</v>
      </c>
      <c r="S3278" s="10">
        <v>0.022348119844141083</v>
      </c>
      <c r="T3278" s="10">
        <v>20.530361876363312</v>
      </c>
      <c r="U3278" s="11">
        <v>0.09191140732617241</v>
      </c>
      <c r="V3278" s="11">
        <v>0.08167646036918914</v>
      </c>
      <c r="W3278" s="11">
        <v>0.17414381522214908</v>
      </c>
      <c r="X3278" s="11">
        <v>0.25871867422545913</v>
      </c>
      <c r="Y3278" s="11">
        <v>0.23515397638563149</v>
      </c>
      <c r="Z3278" s="11">
        <v>0.15839566647139866</v>
      </c>
    </row>
    <row r="3279" ht="22.5" customHeight="1">
      <c r="Q3279" s="9" t="s">
        <v>3317</v>
      </c>
      <c r="R3279" s="10">
        <v>0.622726725058195</v>
      </c>
      <c r="S3279" s="10">
        <v>0.028383944755831895</v>
      </c>
      <c r="T3279" s="10">
        <v>20.530152875895283</v>
      </c>
      <c r="U3279" s="11">
        <v>0.05238144558844191</v>
      </c>
      <c r="V3279" s="11">
        <v>0.22451538389551248</v>
      </c>
      <c r="W3279" s="11">
        <v>0.14675199328415992</v>
      </c>
      <c r="X3279" s="11">
        <v>0.14953361268565352</v>
      </c>
      <c r="Y3279" s="11">
        <v>0.036485913230696373</v>
      </c>
      <c r="Z3279" s="11">
        <v>0.3903316513155359</v>
      </c>
    </row>
    <row r="3280" ht="22.5" customHeight="1">
      <c r="Q3280" s="9" t="s">
        <v>3318</v>
      </c>
      <c r="R3280" s="10">
        <v>0.3206122427585893</v>
      </c>
      <c r="S3280" s="10">
        <v>0.013668330796291237</v>
      </c>
      <c r="T3280" s="10">
        <v>20.53010326869837</v>
      </c>
      <c r="U3280" s="11">
        <v>0.22211392500111443</v>
      </c>
      <c r="V3280" s="11">
        <v>0.0515882658530775</v>
      </c>
      <c r="W3280" s="11">
        <v>0.08317767725321341</v>
      </c>
      <c r="X3280" s="11">
        <v>0.12095664191015254</v>
      </c>
      <c r="Y3280" s="11">
        <v>0.2714385036108248</v>
      </c>
      <c r="Z3280" s="11">
        <v>0.25072498637161733</v>
      </c>
    </row>
    <row r="3281" ht="22.5" customHeight="1">
      <c r="Q3281" s="9" t="s">
        <v>3319</v>
      </c>
      <c r="R3281" s="10">
        <v>0.42713511638150437</v>
      </c>
      <c r="S3281" s="10">
        <v>0.018857048218892215</v>
      </c>
      <c r="T3281" s="10">
        <v>20.529995569171177</v>
      </c>
      <c r="U3281" s="11">
        <v>0.32381763092083027</v>
      </c>
      <c r="V3281" s="11">
        <v>0.15152099038705286</v>
      </c>
      <c r="W3281" s="11">
        <v>0.04262517065998113</v>
      </c>
      <c r="X3281" s="11">
        <v>0.19688538673025432</v>
      </c>
      <c r="Y3281" s="11">
        <v>0.24991302585444186</v>
      </c>
      <c r="Z3281" s="11">
        <v>0.035237795447439456</v>
      </c>
    </row>
    <row r="3282" ht="22.5" customHeight="1">
      <c r="Q3282" s="9" t="s">
        <v>3320</v>
      </c>
      <c r="R3282" s="10">
        <v>0.7133145088654944</v>
      </c>
      <c r="S3282" s="10">
        <v>0.03279726471095866</v>
      </c>
      <c r="T3282" s="10">
        <v>20.529593391381738</v>
      </c>
      <c r="U3282" s="11">
        <v>0.14074118432393642</v>
      </c>
      <c r="V3282" s="11">
        <v>0.19256427382023722</v>
      </c>
      <c r="W3282" s="11">
        <v>0.2359816219179423</v>
      </c>
      <c r="X3282" s="11">
        <v>0.18627359924907816</v>
      </c>
      <c r="Y3282" s="11">
        <v>0.054315668167890074</v>
      </c>
      <c r="Z3282" s="11">
        <v>0.19012365252091584</v>
      </c>
    </row>
    <row r="3283" ht="22.5" customHeight="1">
      <c r="Q3283" s="9" t="s">
        <v>3321</v>
      </c>
      <c r="R3283" s="10">
        <v>0.5179569842135572</v>
      </c>
      <c r="S3283" s="10">
        <v>0.02328156689848096</v>
      </c>
      <c r="T3283" s="10">
        <v>20.529416524999537</v>
      </c>
      <c r="U3283" s="11">
        <v>0.3122570550345886</v>
      </c>
      <c r="V3283" s="11">
        <v>0.1604043801544692</v>
      </c>
      <c r="W3283" s="11">
        <v>0.1374856952814343</v>
      </c>
      <c r="X3283" s="11">
        <v>0.03851778402088269</v>
      </c>
      <c r="Y3283" s="11">
        <v>0.038179446691081975</v>
      </c>
      <c r="Z3283" s="11">
        <v>0.3131556388175432</v>
      </c>
    </row>
    <row r="3284" ht="22.5" customHeight="1">
      <c r="Q3284" s="9" t="s">
        <v>3322</v>
      </c>
      <c r="R3284" s="10">
        <v>0.7214054432620646</v>
      </c>
      <c r="S3284" s="10">
        <v>0.03319315045767399</v>
      </c>
      <c r="T3284" s="10">
        <v>20.52849560426492</v>
      </c>
      <c r="U3284" s="11">
        <v>0.044622320398497214</v>
      </c>
      <c r="V3284" s="11">
        <v>0.20089127461821904</v>
      </c>
      <c r="W3284" s="11">
        <v>0.23325120348696687</v>
      </c>
      <c r="X3284" s="11">
        <v>0.1598091932529899</v>
      </c>
      <c r="Y3284" s="11">
        <v>0.17327681530650926</v>
      </c>
      <c r="Z3284" s="11">
        <v>0.18814919293681778</v>
      </c>
    </row>
    <row r="3285" ht="22.5" customHeight="1">
      <c r="Q3285" s="9" t="s">
        <v>3323</v>
      </c>
      <c r="R3285" s="10">
        <v>0.8351770639387444</v>
      </c>
      <c r="S3285" s="10">
        <v>0.03873572850255275</v>
      </c>
      <c r="T3285" s="10">
        <v>20.528258914411296</v>
      </c>
      <c r="U3285" s="11">
        <v>0.1263741709396858</v>
      </c>
      <c r="V3285" s="11">
        <v>0.2629853068977711</v>
      </c>
      <c r="W3285" s="11">
        <v>0.24872928094420843</v>
      </c>
      <c r="X3285" s="11">
        <v>0.14210824690680002</v>
      </c>
      <c r="Y3285" s="11">
        <v>0.1876281051889489</v>
      </c>
      <c r="Z3285" s="11">
        <v>0.03217488912258571</v>
      </c>
    </row>
    <row r="3286" ht="22.5" customHeight="1">
      <c r="Q3286" s="9" t="s">
        <v>3324</v>
      </c>
      <c r="R3286" s="10">
        <v>0.7872144641427306</v>
      </c>
      <c r="S3286" s="10">
        <v>0.036399402042492236</v>
      </c>
      <c r="T3286" s="10">
        <v>20.52820711918402</v>
      </c>
      <c r="U3286" s="11">
        <v>0.21545837063905537</v>
      </c>
      <c r="V3286" s="11">
        <v>0.24591034263856149</v>
      </c>
      <c r="W3286" s="11">
        <v>0.2338282897951518</v>
      </c>
      <c r="X3286" s="11">
        <v>0.10457049493465922</v>
      </c>
      <c r="Y3286" s="11">
        <v>0.15594041452441051</v>
      </c>
      <c r="Z3286" s="11">
        <v>0.04429208746816153</v>
      </c>
    </row>
    <row r="3287" ht="22.5" customHeight="1">
      <c r="Q3287" s="9" t="s">
        <v>3325</v>
      </c>
      <c r="R3287" s="10">
        <v>0.7326955593565857</v>
      </c>
      <c r="S3287" s="10">
        <v>0.03374381238435231</v>
      </c>
      <c r="T3287" s="10">
        <v>20.528076420843384</v>
      </c>
      <c r="U3287" s="11">
        <v>0.1985691557216111</v>
      </c>
      <c r="V3287" s="11">
        <v>0.19304173214692286</v>
      </c>
      <c r="W3287" s="11">
        <v>0.24176286259500127</v>
      </c>
      <c r="X3287" s="11">
        <v>0.14352918362310482</v>
      </c>
      <c r="Y3287" s="11">
        <v>0.1985653725272206</v>
      </c>
      <c r="Z3287" s="11">
        <v>0.02453169338613932</v>
      </c>
    </row>
    <row r="3288" ht="22.5" customHeight="1">
      <c r="Q3288" s="9" t="s">
        <v>3326</v>
      </c>
      <c r="R3288" s="10">
        <v>0.5963361471753793</v>
      </c>
      <c r="S3288" s="10">
        <v>0.0271015686836975</v>
      </c>
      <c r="T3288" s="10">
        <v>20.527820867802166</v>
      </c>
      <c r="U3288" s="11">
        <v>0.3961861624375753</v>
      </c>
      <c r="V3288" s="11">
        <v>0.2192124006509477</v>
      </c>
      <c r="W3288" s="11">
        <v>0.11673697746808984</v>
      </c>
      <c r="X3288" s="11">
        <v>0.10103424177189342</v>
      </c>
      <c r="Y3288" s="11">
        <v>0.09036575335811835</v>
      </c>
      <c r="Z3288" s="11">
        <v>0.07646446431337528</v>
      </c>
    </row>
    <row r="3289" ht="22.5" customHeight="1">
      <c r="Q3289" s="9" t="s">
        <v>3327</v>
      </c>
      <c r="R3289" s="10">
        <v>0.8012390516428115</v>
      </c>
      <c r="S3289" s="10">
        <v>0.037084861702083964</v>
      </c>
      <c r="T3289" s="10">
        <v>20.526948644385374</v>
      </c>
      <c r="U3289" s="11">
        <v>0.1349201713283767</v>
      </c>
      <c r="V3289" s="11">
        <v>0.31012834557833446</v>
      </c>
      <c r="W3289" s="11">
        <v>0.16227874342097207</v>
      </c>
      <c r="X3289" s="11">
        <v>0.32170164256647277</v>
      </c>
      <c r="Y3289" s="11">
        <v>0.016904005370548692</v>
      </c>
      <c r="Z3289" s="11">
        <v>0.05406709173529536</v>
      </c>
    </row>
    <row r="3290" ht="22.5" customHeight="1">
      <c r="Q3290" s="9" t="s">
        <v>3328</v>
      </c>
      <c r="R3290" s="10">
        <v>0.48182867382089134</v>
      </c>
      <c r="S3290" s="10">
        <v>0.02152461165354247</v>
      </c>
      <c r="T3290" s="10">
        <v>20.52667341611138</v>
      </c>
      <c r="U3290" s="11">
        <v>0.265594574382731</v>
      </c>
      <c r="V3290" s="11">
        <v>0.13824485090013422</v>
      </c>
      <c r="W3290" s="11">
        <v>0.11965813402822585</v>
      </c>
      <c r="X3290" s="11">
        <v>0.003173684990032832</v>
      </c>
      <c r="Y3290" s="11">
        <v>0.33514671467810253</v>
      </c>
      <c r="Z3290" s="11">
        <v>0.13818204102077367</v>
      </c>
    </row>
    <row r="3291" ht="22.5" customHeight="1">
      <c r="Q3291" s="9" t="s">
        <v>3329</v>
      </c>
      <c r="R3291" s="10">
        <v>0.43419085389133705</v>
      </c>
      <c r="S3291" s="10">
        <v>0.01920386935899719</v>
      </c>
      <c r="T3291" s="10">
        <v>20.526636925211896</v>
      </c>
      <c r="U3291" s="11">
        <v>0.30575319914611093</v>
      </c>
      <c r="V3291" s="11">
        <v>0.05776910550425033</v>
      </c>
      <c r="W3291" s="11">
        <v>0.14689080050100012</v>
      </c>
      <c r="X3291" s="11">
        <v>0.23935236466087956</v>
      </c>
      <c r="Y3291" s="11">
        <v>0.17675369890150544</v>
      </c>
      <c r="Z3291" s="11">
        <v>0.07348083128625359</v>
      </c>
    </row>
    <row r="3292" ht="22.5" customHeight="1">
      <c r="Q3292" s="9" t="s">
        <v>3330</v>
      </c>
      <c r="R3292" s="10">
        <v>0.7181818368887841</v>
      </c>
      <c r="S3292" s="10">
        <v>0.033039487644207347</v>
      </c>
      <c r="T3292" s="10">
        <v>20.52640295733177</v>
      </c>
      <c r="U3292" s="11">
        <v>0.0690729361220443</v>
      </c>
      <c r="V3292" s="11">
        <v>0.23205628414003052</v>
      </c>
      <c r="W3292" s="11">
        <v>0.1999201278221845</v>
      </c>
      <c r="X3292" s="11">
        <v>0.07837301333071618</v>
      </c>
      <c r="Y3292" s="11">
        <v>0.27983679802140576</v>
      </c>
      <c r="Z3292" s="11">
        <v>0.14074084056361877</v>
      </c>
    </row>
    <row r="3293" ht="22.5" customHeight="1">
      <c r="Q3293" s="9" t="s">
        <v>3331</v>
      </c>
      <c r="R3293" s="10">
        <v>0.6474382077522043</v>
      </c>
      <c r="S3293" s="10">
        <v>0.029593727684862684</v>
      </c>
      <c r="T3293" s="10">
        <v>20.52591056526182</v>
      </c>
      <c r="U3293" s="11">
        <v>0.16042417362127398</v>
      </c>
      <c r="V3293" s="11">
        <v>0.22443502665505932</v>
      </c>
      <c r="W3293" s="11">
        <v>0.15795679668923743</v>
      </c>
      <c r="X3293" s="11">
        <v>0.05025446966126483</v>
      </c>
      <c r="Y3293" s="11">
        <v>0.2342210969942798</v>
      </c>
      <c r="Z3293" s="11">
        <v>0.17270843637888453</v>
      </c>
    </row>
    <row r="3294" ht="22.5" customHeight="1">
      <c r="Q3294" s="9" t="s">
        <v>3332</v>
      </c>
      <c r="R3294" s="10">
        <v>0.7475409892559157</v>
      </c>
      <c r="S3294" s="10">
        <v>0.03447087160031231</v>
      </c>
      <c r="T3294" s="10">
        <v>20.525764403633627</v>
      </c>
      <c r="U3294" s="11">
        <v>0.07702854816707874</v>
      </c>
      <c r="V3294" s="11">
        <v>0.20951489366168136</v>
      </c>
      <c r="W3294" s="11">
        <v>0.24350741081932512</v>
      </c>
      <c r="X3294" s="11">
        <v>0.19005146851037935</v>
      </c>
      <c r="Y3294" s="11">
        <v>0.09316531013807496</v>
      </c>
      <c r="Z3294" s="11">
        <v>0.18673236870346066</v>
      </c>
    </row>
    <row r="3295" ht="22.5" customHeight="1">
      <c r="Q3295" s="9" t="s">
        <v>3333</v>
      </c>
      <c r="R3295" s="10">
        <v>0.7838590978113334</v>
      </c>
      <c r="S3295" s="10">
        <v>0.03624076503529733</v>
      </c>
      <c r="T3295" s="10">
        <v>20.525479997092745</v>
      </c>
      <c r="U3295" s="11">
        <v>0.13929452735233952</v>
      </c>
      <c r="V3295" s="11">
        <v>0.2430182341166594</v>
      </c>
      <c r="W3295" s="11">
        <v>0.2384858327105571</v>
      </c>
      <c r="X3295" s="11">
        <v>0.15998691898096531</v>
      </c>
      <c r="Y3295" s="11">
        <v>0.05539571712753824</v>
      </c>
      <c r="Z3295" s="11">
        <v>0.16381876971194034</v>
      </c>
    </row>
    <row r="3296" ht="22.5" customHeight="1">
      <c r="Q3296" s="9" t="s">
        <v>3334</v>
      </c>
      <c r="R3296" s="10">
        <v>0.7558172186983964</v>
      </c>
      <c r="S3296" s="10">
        <v>0.034875186948101815</v>
      </c>
      <c r="T3296" s="10">
        <v>20.525114883645283</v>
      </c>
      <c r="U3296" s="11">
        <v>0.22163615021381125</v>
      </c>
      <c r="V3296" s="11">
        <v>0.2560320697406588</v>
      </c>
      <c r="W3296" s="11">
        <v>0.19873595242740286</v>
      </c>
      <c r="X3296" s="11">
        <v>0.07215010987753405</v>
      </c>
      <c r="Y3296" s="11">
        <v>0.22893691697508847</v>
      </c>
      <c r="Z3296" s="11">
        <v>0.022508800765504603</v>
      </c>
    </row>
    <row r="3297" ht="22.5" customHeight="1">
      <c r="Q3297" s="9" t="s">
        <v>3335</v>
      </c>
      <c r="R3297" s="10">
        <v>0.8008776285986962</v>
      </c>
      <c r="S3297" s="10">
        <v>0.037071422591633194</v>
      </c>
      <c r="T3297" s="10">
        <v>20.5246406910325</v>
      </c>
      <c r="U3297" s="11">
        <v>0.10584186723052423</v>
      </c>
      <c r="V3297" s="11">
        <v>0.2926978230187117</v>
      </c>
      <c r="W3297" s="11">
        <v>0.1879890709428151</v>
      </c>
      <c r="X3297" s="11">
        <v>0.16018276066166356</v>
      </c>
      <c r="Y3297" s="11">
        <v>0.22850245432759483</v>
      </c>
      <c r="Z3297" s="11">
        <v>0.024786023818690602</v>
      </c>
    </row>
    <row r="3298" ht="22.5" customHeight="1">
      <c r="Q3298" s="9" t="s">
        <v>3336</v>
      </c>
      <c r="R3298" s="10">
        <v>0.7996146719722411</v>
      </c>
      <c r="S3298" s="10">
        <v>0.03701048672195326</v>
      </c>
      <c r="T3298" s="10">
        <v>20.524309168883896</v>
      </c>
      <c r="U3298" s="11">
        <v>0.1149140185030415</v>
      </c>
      <c r="V3298" s="11">
        <v>0.2731606990413121</v>
      </c>
      <c r="W3298" s="11">
        <v>0.21153956765367987</v>
      </c>
      <c r="X3298" s="11">
        <v>0.11125109088859712</v>
      </c>
      <c r="Y3298" s="11">
        <v>0.2568463817464129</v>
      </c>
      <c r="Z3298" s="11">
        <v>0.03228824216695649</v>
      </c>
    </row>
    <row r="3299" ht="22.5" customHeight="1">
      <c r="Q3299" s="9" t="s">
        <v>3337</v>
      </c>
      <c r="R3299" s="10">
        <v>0.6453252159427584</v>
      </c>
      <c r="S3299" s="10">
        <v>0.02949380905315244</v>
      </c>
      <c r="T3299" s="10">
        <v>20.523806024914176</v>
      </c>
      <c r="U3299" s="11">
        <v>0.12438411677139072</v>
      </c>
      <c r="V3299" s="11">
        <v>0.2533640032541564</v>
      </c>
      <c r="W3299" s="11">
        <v>0.11288802888498692</v>
      </c>
      <c r="X3299" s="11">
        <v>0.27009359840645464</v>
      </c>
      <c r="Y3299" s="11">
        <v>0.03913940415924345</v>
      </c>
      <c r="Z3299" s="11">
        <v>0.200130848523768</v>
      </c>
    </row>
    <row r="3300" ht="22.5" customHeight="1">
      <c r="Q3300" s="9" t="s">
        <v>3338</v>
      </c>
      <c r="R3300" s="10">
        <v>0.5768990414544629</v>
      </c>
      <c r="S3300" s="10">
        <v>0.02615990888910723</v>
      </c>
      <c r="T3300" s="10">
        <v>20.52373514488895</v>
      </c>
      <c r="U3300" s="11">
        <v>0.06935275937785293</v>
      </c>
      <c r="V3300" s="11">
        <v>0.10512011013516824</v>
      </c>
      <c r="W3300" s="11">
        <v>0.2054536334822569</v>
      </c>
      <c r="X3300" s="11">
        <v>0.2964171636937495</v>
      </c>
      <c r="Y3300" s="11">
        <v>0.20471341045168961</v>
      </c>
      <c r="Z3300" s="11">
        <v>0.11894292285928286</v>
      </c>
    </row>
    <row r="3301" ht="22.5" customHeight="1">
      <c r="Q3301" s="9" t="s">
        <v>3339</v>
      </c>
      <c r="R3301" s="10">
        <v>0.592811375320914</v>
      </c>
      <c r="S3301" s="10">
        <v>0.026935479714946683</v>
      </c>
      <c r="T3301" s="10">
        <v>20.52353925644603</v>
      </c>
      <c r="U3301" s="11">
        <v>0.2133418788553841</v>
      </c>
      <c r="V3301" s="11">
        <v>0.13144292780984232</v>
      </c>
      <c r="W3301" s="11">
        <v>0.19956495810267874</v>
      </c>
      <c r="X3301" s="11">
        <v>0.13184049854044416</v>
      </c>
      <c r="Y3301" s="11">
        <v>0.26142351067426456</v>
      </c>
      <c r="Z3301" s="11">
        <v>0.06238622601738598</v>
      </c>
    </row>
    <row r="3302" ht="22.5" customHeight="1">
      <c r="Q3302" s="9" t="s">
        <v>3340</v>
      </c>
      <c r="R3302" s="10">
        <v>0.6921633148216868</v>
      </c>
      <c r="S3302" s="10">
        <v>0.031776915721903734</v>
      </c>
      <c r="T3302" s="10">
        <v>20.523178540331166</v>
      </c>
      <c r="U3302" s="11">
        <v>0.21358213150928151</v>
      </c>
      <c r="V3302" s="11">
        <v>0.1936003132524212</v>
      </c>
      <c r="W3302" s="11">
        <v>0.21581759795133187</v>
      </c>
      <c r="X3302" s="11">
        <v>0.07366567134634049</v>
      </c>
      <c r="Y3302" s="11">
        <v>0.25365910672666464</v>
      </c>
      <c r="Z3302" s="11">
        <v>0.049675179213960204</v>
      </c>
    </row>
    <row r="3303" ht="22.5" customHeight="1">
      <c r="Q3303" s="9" t="s">
        <v>3341</v>
      </c>
      <c r="R3303" s="10">
        <v>0.6452229167829047</v>
      </c>
      <c r="S3303" s="10">
        <v>0.029490024909085078</v>
      </c>
      <c r="T3303" s="10">
        <v>20.52297068750362</v>
      </c>
      <c r="U3303" s="11">
        <v>0.15464664903872613</v>
      </c>
      <c r="V3303" s="11">
        <v>0.1909435052841979</v>
      </c>
      <c r="W3303" s="11">
        <v>0.1891138452878845</v>
      </c>
      <c r="X3303" s="11">
        <v>0.04184605553726339</v>
      </c>
      <c r="Y3303" s="11">
        <v>0.2861851871950548</v>
      </c>
      <c r="Z3303" s="11">
        <v>0.13726475765687327</v>
      </c>
    </row>
    <row r="3304" ht="22.5" customHeight="1">
      <c r="Q3304" s="9" t="s">
        <v>3342</v>
      </c>
      <c r="R3304" s="10">
        <v>0.788702029945443</v>
      </c>
      <c r="S3304" s="10">
        <v>0.03648212603109607</v>
      </c>
      <c r="T3304" s="10">
        <v>20.522434172484246</v>
      </c>
      <c r="U3304" s="11">
        <v>0.05562909821372022</v>
      </c>
      <c r="V3304" s="11">
        <v>0.27981119895992407</v>
      </c>
      <c r="W3304" s="11">
        <v>0.19828085442172544</v>
      </c>
      <c r="X3304" s="11">
        <v>0.14160810447094033</v>
      </c>
      <c r="Y3304" s="11">
        <v>0.22140965244434332</v>
      </c>
      <c r="Z3304" s="11">
        <v>0.10326109148934648</v>
      </c>
    </row>
    <row r="3305" ht="22.5" customHeight="1">
      <c r="Q3305" s="9" t="s">
        <v>3343</v>
      </c>
      <c r="R3305" s="10">
        <v>0.5685346305509472</v>
      </c>
      <c r="S3305" s="10">
        <v>0.02575422637365844</v>
      </c>
      <c r="T3305" s="10">
        <v>20.522248382950274</v>
      </c>
      <c r="U3305" s="11">
        <v>0.03874221332333801</v>
      </c>
      <c r="V3305" s="11">
        <v>0.11344130071269605</v>
      </c>
      <c r="W3305" s="11">
        <v>0.19492373964478926</v>
      </c>
      <c r="X3305" s="11">
        <v>0.21828958944681875</v>
      </c>
      <c r="Y3305" s="11">
        <v>0.3104770259924854</v>
      </c>
      <c r="Z3305" s="11">
        <v>0.1241261308798727</v>
      </c>
    </row>
    <row r="3306" ht="22.5" customHeight="1">
      <c r="Q3306" s="9" t="s">
        <v>3344</v>
      </c>
      <c r="R3306" s="10">
        <v>0.733777848163278</v>
      </c>
      <c r="S3306" s="10">
        <v>0.03380650590057992</v>
      </c>
      <c r="T3306" s="10">
        <v>20.522021713914448</v>
      </c>
      <c r="U3306" s="11">
        <v>0.06844736808423939</v>
      </c>
      <c r="V3306" s="11">
        <v>0.2371899523279193</v>
      </c>
      <c r="W3306" s="11">
        <v>0.20548214958442315</v>
      </c>
      <c r="X3306" s="11">
        <v>0.08463882062954951</v>
      </c>
      <c r="Y3306" s="11">
        <v>0.2761617269095468</v>
      </c>
      <c r="Z3306" s="11">
        <v>0.12807998246432184</v>
      </c>
    </row>
    <row r="3307" ht="22.5" customHeight="1">
      <c r="Q3307" s="9" t="s">
        <v>3345</v>
      </c>
      <c r="R3307" s="10">
        <v>0.6797505042647509</v>
      </c>
      <c r="S3307" s="10">
        <v>0.031175033500295084</v>
      </c>
      <c r="T3307" s="10">
        <v>20.52124512580541</v>
      </c>
      <c r="U3307" s="11">
        <v>0.08697929127155966</v>
      </c>
      <c r="V3307" s="11">
        <v>0.25813015638659154</v>
      </c>
      <c r="W3307" s="11">
        <v>0.14366845992836855</v>
      </c>
      <c r="X3307" s="11">
        <v>0.213761031359205</v>
      </c>
      <c r="Y3307" s="11">
        <v>0.02728238226928807</v>
      </c>
      <c r="Z3307" s="11">
        <v>0.27017867878498725</v>
      </c>
    </row>
    <row r="3308" ht="22.5" customHeight="1">
      <c r="Q3308" s="9" t="s">
        <v>3346</v>
      </c>
      <c r="R3308" s="10">
        <v>0.7988153998601988</v>
      </c>
      <c r="S3308" s="10">
        <v>0.03697732110202693</v>
      </c>
      <c r="T3308" s="10">
        <v>20.521102590598538</v>
      </c>
      <c r="U3308" s="11">
        <v>0.07036931344239213</v>
      </c>
      <c r="V3308" s="11">
        <v>0.26550224361753166</v>
      </c>
      <c r="W3308" s="11">
        <v>0.21779874073060068</v>
      </c>
      <c r="X3308" s="11">
        <v>0.11176733153196185</v>
      </c>
      <c r="Y3308" s="11">
        <v>0.3052370305314206</v>
      </c>
      <c r="Z3308" s="11">
        <v>0.029325340146092997</v>
      </c>
    </row>
    <row r="3309" ht="22.5" customHeight="1">
      <c r="Q3309" s="9" t="s">
        <v>3347</v>
      </c>
      <c r="R3309" s="10">
        <v>0.61786796761615</v>
      </c>
      <c r="S3309" s="10">
        <v>0.028159715881994916</v>
      </c>
      <c r="T3309" s="10">
        <v>20.52108657763958</v>
      </c>
      <c r="U3309" s="11">
        <v>0.13712597483475716</v>
      </c>
      <c r="V3309" s="11">
        <v>0.14772362947964557</v>
      </c>
      <c r="W3309" s="11">
        <v>0.21007962065312796</v>
      </c>
      <c r="X3309" s="11">
        <v>0.15685670035219246</v>
      </c>
      <c r="Y3309" s="11">
        <v>0.14732712345264537</v>
      </c>
      <c r="Z3309" s="11">
        <v>0.20088695122763148</v>
      </c>
    </row>
    <row r="3310" ht="22.5" customHeight="1">
      <c r="Q3310" s="9" t="s">
        <v>3348</v>
      </c>
      <c r="R3310" s="10">
        <v>0.6601674673504084</v>
      </c>
      <c r="S3310" s="10">
        <v>0.030221082202116525</v>
      </c>
      <c r="T3310" s="10">
        <v>20.52102116008854</v>
      </c>
      <c r="U3310" s="11">
        <v>0.18205661686539995</v>
      </c>
      <c r="V3310" s="11">
        <v>0.22105993659073725</v>
      </c>
      <c r="W3310" s="11">
        <v>0.17682197144273978</v>
      </c>
      <c r="X3310" s="11">
        <v>0.06638820577858837</v>
      </c>
      <c r="Y3310" s="11">
        <v>0.10746283966388913</v>
      </c>
      <c r="Z3310" s="11">
        <v>0.2462104296586455</v>
      </c>
    </row>
    <row r="3311" ht="22.5" customHeight="1">
      <c r="Q3311" s="9" t="s">
        <v>3349</v>
      </c>
      <c r="R3311" s="10">
        <v>0.50982628023232</v>
      </c>
      <c r="S3311" s="10">
        <v>0.022895046570634854</v>
      </c>
      <c r="T3311" s="10">
        <v>20.520870258238233</v>
      </c>
      <c r="U3311" s="11">
        <v>0.1570152917706439</v>
      </c>
      <c r="V3311" s="11">
        <v>0.19523605242131253</v>
      </c>
      <c r="W3311" s="11">
        <v>0.07640187424153534</v>
      </c>
      <c r="X3311" s="11">
        <v>0.1562009733181026</v>
      </c>
      <c r="Y3311" s="11">
        <v>0.19168704958193364</v>
      </c>
      <c r="Z3311" s="11">
        <v>0.2234587586664721</v>
      </c>
    </row>
    <row r="3312" ht="22.5" customHeight="1">
      <c r="Q3312" s="9" t="s">
        <v>3350</v>
      </c>
      <c r="R3312" s="10">
        <v>0.4215107282098373</v>
      </c>
      <c r="S3312" s="10">
        <v>0.018591625160955992</v>
      </c>
      <c r="T3312" s="10">
        <v>20.52056906843424</v>
      </c>
      <c r="U3312" s="11">
        <v>0.2786349404455858</v>
      </c>
      <c r="V3312" s="11">
        <v>0.10159647332377769</v>
      </c>
      <c r="W3312" s="11">
        <v>0.11890188371629754</v>
      </c>
      <c r="X3312" s="11">
        <v>0.024596108053488802</v>
      </c>
      <c r="Y3312" s="11">
        <v>0.2154061614581154</v>
      </c>
      <c r="Z3312" s="11">
        <v>0.2608644330027348</v>
      </c>
    </row>
    <row r="3313" ht="22.5" customHeight="1">
      <c r="Q3313" s="9" t="s">
        <v>3351</v>
      </c>
      <c r="R3313" s="10">
        <v>0.7510444835482646</v>
      </c>
      <c r="S3313" s="10">
        <v>0.03465101412918683</v>
      </c>
      <c r="T3313" s="10">
        <v>20.520163735968293</v>
      </c>
      <c r="U3313" s="11">
        <v>0.24605660530281767</v>
      </c>
      <c r="V3313" s="11">
        <v>0.25322571837686775</v>
      </c>
      <c r="W3313" s="11">
        <v>0.20270842858621238</v>
      </c>
      <c r="X3313" s="11">
        <v>0.08307613059376646</v>
      </c>
      <c r="Y3313" s="11">
        <v>0.12883268550286311</v>
      </c>
      <c r="Z3313" s="11">
        <v>0.08610043163747275</v>
      </c>
    </row>
    <row r="3314" ht="22.5" customHeight="1">
      <c r="Q3314" s="9" t="s">
        <v>3352</v>
      </c>
      <c r="R3314" s="10">
        <v>0.7130676615562617</v>
      </c>
      <c r="S3314" s="10">
        <v>0.032800323930233924</v>
      </c>
      <c r="T3314" s="10">
        <v>20.52015287982741</v>
      </c>
      <c r="U3314" s="11">
        <v>0.17215080983712028</v>
      </c>
      <c r="V3314" s="11">
        <v>0.21018239117675816</v>
      </c>
      <c r="W3314" s="11">
        <v>0.22278986564092487</v>
      </c>
      <c r="X3314" s="11">
        <v>0.12748223148317742</v>
      </c>
      <c r="Y3314" s="11">
        <v>0.06345477938428407</v>
      </c>
      <c r="Z3314" s="11">
        <v>0.20393992247773512</v>
      </c>
    </row>
    <row r="3315" ht="22.5" customHeight="1">
      <c r="Q3315" s="9" t="s">
        <v>3353</v>
      </c>
      <c r="R3315" s="10">
        <v>0.6149528137996446</v>
      </c>
      <c r="S3315" s="10">
        <v>0.028019224364515448</v>
      </c>
      <c r="T3315" s="10">
        <v>20.519940392346673</v>
      </c>
      <c r="U3315" s="11">
        <v>0.11214475532931094</v>
      </c>
      <c r="V3315" s="11">
        <v>0.23701851046340683</v>
      </c>
      <c r="W3315" s="11">
        <v>0.11311122767271517</v>
      </c>
      <c r="X3315" s="11">
        <v>0.1694346923265809</v>
      </c>
      <c r="Y3315" s="11">
        <v>0.1578129907216252</v>
      </c>
      <c r="Z3315" s="11">
        <v>0.21047782348636093</v>
      </c>
    </row>
    <row r="3316" ht="22.5" customHeight="1">
      <c r="Q3316" s="9" t="s">
        <v>3354</v>
      </c>
      <c r="R3316" s="10">
        <v>0.9409318877028211</v>
      </c>
      <c r="S3316" s="10">
        <v>0.04390529413693796</v>
      </c>
      <c r="T3316" s="10">
        <v>20.519891858436683</v>
      </c>
      <c r="U3316" s="11">
        <v>0.04566070868003246</v>
      </c>
      <c r="V3316" s="11">
        <v>0.3034871873916655</v>
      </c>
      <c r="W3316" s="11">
        <v>0.2811773460303712</v>
      </c>
      <c r="X3316" s="11">
        <v>0.29873368546749834</v>
      </c>
      <c r="Y3316" s="11">
        <v>0.0014268786663993991</v>
      </c>
      <c r="Z3316" s="11">
        <v>0.069514193764033</v>
      </c>
    </row>
    <row r="3317" ht="22.5" customHeight="1">
      <c r="Q3317" s="9" t="s">
        <v>3355</v>
      </c>
      <c r="R3317" s="10">
        <v>0.5464541271298871</v>
      </c>
      <c r="S3317" s="10">
        <v>0.024682339958629194</v>
      </c>
      <c r="T3317" s="10">
        <v>20.51888629598206</v>
      </c>
      <c r="U3317" s="11">
        <v>0.04216545447421923</v>
      </c>
      <c r="V3317" s="11">
        <v>0.21559238539568365</v>
      </c>
      <c r="W3317" s="11">
        <v>0.0754154403840752</v>
      </c>
      <c r="X3317" s="11">
        <v>0.2924824227425024</v>
      </c>
      <c r="Y3317" s="11">
        <v>0.11815111205674879</v>
      </c>
      <c r="Z3317" s="11">
        <v>0.25619318494677085</v>
      </c>
    </row>
    <row r="3318" ht="22.5" customHeight="1">
      <c r="Q3318" s="9" t="s">
        <v>3356</v>
      </c>
      <c r="R3318" s="10">
        <v>0.7335759813637467</v>
      </c>
      <c r="S3318" s="10">
        <v>0.0338025186908512</v>
      </c>
      <c r="T3318" s="10">
        <v>20.51847046390262</v>
      </c>
      <c r="U3318" s="11">
        <v>0.23277293164011295</v>
      </c>
      <c r="V3318" s="11">
        <v>0.22034483950401282</v>
      </c>
      <c r="W3318" s="11">
        <v>0.22488909094967063</v>
      </c>
      <c r="X3318" s="11">
        <v>0.10152782227672284</v>
      </c>
      <c r="Y3318" s="11">
        <v>0.09775353658745985</v>
      </c>
      <c r="Z3318" s="11">
        <v>0.12271177904202085</v>
      </c>
    </row>
    <row r="3319" ht="22.5" customHeight="1">
      <c r="Q3319" s="9" t="s">
        <v>3357</v>
      </c>
      <c r="R3319" s="10">
        <v>0.6640590591949851</v>
      </c>
      <c r="S3319" s="10">
        <v>0.030414842699591806</v>
      </c>
      <c r="T3319" s="10">
        <v>20.518240562965676</v>
      </c>
      <c r="U3319" s="11">
        <v>0.2069265178121937</v>
      </c>
      <c r="V3319" s="11">
        <v>0.1564051586399705</v>
      </c>
      <c r="W3319" s="11">
        <v>0.2292207136895422</v>
      </c>
      <c r="X3319" s="11">
        <v>0.18793484154106435</v>
      </c>
      <c r="Y3319" s="11">
        <v>0.11747127333234528</v>
      </c>
      <c r="Z3319" s="11">
        <v>0.10204149498488407</v>
      </c>
    </row>
    <row r="3320" ht="22.5" customHeight="1">
      <c r="Q3320" s="9" t="s">
        <v>3358</v>
      </c>
      <c r="R3320" s="10">
        <v>0.6652387134470276</v>
      </c>
      <c r="S3320" s="10">
        <v>0.03047285312892876</v>
      </c>
      <c r="T3320" s="10">
        <v>20.517892131783036</v>
      </c>
      <c r="U3320" s="11">
        <v>0.0751525571931035</v>
      </c>
      <c r="V3320" s="11">
        <v>0.2544419840996888</v>
      </c>
      <c r="W3320" s="11">
        <v>0.13502214669070398</v>
      </c>
      <c r="X3320" s="11">
        <v>0.1892006475922856</v>
      </c>
      <c r="Y3320" s="11">
        <v>0.10591127588472726</v>
      </c>
      <c r="Z3320" s="11">
        <v>0.24027138853949082</v>
      </c>
    </row>
    <row r="3321" ht="22.5" customHeight="1">
      <c r="Q3321" s="9" t="s">
        <v>3359</v>
      </c>
      <c r="R3321" s="10">
        <v>0.8296051226117979</v>
      </c>
      <c r="S3321" s="10">
        <v>0.038483805098750934</v>
      </c>
      <c r="T3321" s="10">
        <v>20.51785473358574</v>
      </c>
      <c r="U3321" s="11">
        <v>0.023696507917713616</v>
      </c>
      <c r="V3321" s="11">
        <v>0.2735725828202705</v>
      </c>
      <c r="W3321" s="11">
        <v>0.23078169742245086</v>
      </c>
      <c r="X3321" s="11">
        <v>0.1391550490147102</v>
      </c>
      <c r="Y3321" s="11">
        <v>0.30653994294857984</v>
      </c>
      <c r="Z3321" s="11">
        <v>0.02625421987627508</v>
      </c>
    </row>
    <row r="3322" ht="22.5" customHeight="1">
      <c r="Q3322" s="9" t="s">
        <v>3360</v>
      </c>
      <c r="R3322" s="10">
        <v>0.7525463098316156</v>
      </c>
      <c r="S3322" s="10">
        <v>0.034728141393733584</v>
      </c>
      <c r="T3322" s="10">
        <v>20.517836003748503</v>
      </c>
      <c r="U3322" s="11">
        <v>0.0788555803342934</v>
      </c>
      <c r="V3322" s="11">
        <v>0.20003779117727455</v>
      </c>
      <c r="W3322" s="11">
        <v>0.25180859551623697</v>
      </c>
      <c r="X3322" s="11">
        <v>0.20720943673779213</v>
      </c>
      <c r="Y3322" s="11">
        <v>0.13331477160574867</v>
      </c>
      <c r="Z3322" s="11">
        <v>0.1287738246286544</v>
      </c>
    </row>
    <row r="3323" ht="22.5" customHeight="1">
      <c r="Q3323" s="9" t="s">
        <v>3361</v>
      </c>
      <c r="R3323" s="10">
        <v>0.7790424377953927</v>
      </c>
      <c r="S3323" s="10">
        <v>0.03602094169173792</v>
      </c>
      <c r="T3323" s="10">
        <v>20.517021573728208</v>
      </c>
      <c r="U3323" s="11">
        <v>0.18245870737359093</v>
      </c>
      <c r="V3323" s="11">
        <v>0.25934738996751555</v>
      </c>
      <c r="W3323" s="11">
        <v>0.21650071828799988</v>
      </c>
      <c r="X3323" s="11">
        <v>0.10007119587322895</v>
      </c>
      <c r="Y3323" s="11">
        <v>0.15047780500372185</v>
      </c>
      <c r="Z3323" s="11">
        <v>0.0911441834939427</v>
      </c>
    </row>
    <row r="3324" ht="22.5" customHeight="1">
      <c r="Q3324" s="9" t="s">
        <v>3362</v>
      </c>
      <c r="R3324" s="10">
        <v>0.35825285991729655</v>
      </c>
      <c r="S3324" s="10">
        <v>0.015511944285245093</v>
      </c>
      <c r="T3324" s="10">
        <v>20.51663247785241</v>
      </c>
      <c r="U3324" s="11">
        <v>0.07681156641516435</v>
      </c>
      <c r="V3324" s="11">
        <v>0.07025850500957669</v>
      </c>
      <c r="W3324" s="11">
        <v>0.08505241369460885</v>
      </c>
      <c r="X3324" s="11">
        <v>0.14080032035847165</v>
      </c>
      <c r="Y3324" s="11">
        <v>0.42838698889328414</v>
      </c>
      <c r="Z3324" s="11">
        <v>0.19869020562889417</v>
      </c>
    </row>
    <row r="3325" ht="22.5" customHeight="1">
      <c r="Q3325" s="9" t="s">
        <v>3363</v>
      </c>
      <c r="R3325" s="10">
        <v>0.6229870716095386</v>
      </c>
      <c r="S3325" s="10">
        <v>0.028416607778812088</v>
      </c>
      <c r="T3325" s="10">
        <v>20.51571658895274</v>
      </c>
      <c r="U3325" s="11">
        <v>0.15546416147683462</v>
      </c>
      <c r="V3325" s="11">
        <v>0.14756851510224694</v>
      </c>
      <c r="W3325" s="11">
        <v>0.21441614064543932</v>
      </c>
      <c r="X3325" s="11">
        <v>0.20966334927652236</v>
      </c>
      <c r="Y3325" s="11">
        <v>0.03178118379626425</v>
      </c>
      <c r="Z3325" s="11">
        <v>0.24110664970269252</v>
      </c>
    </row>
    <row r="3326" ht="22.5" customHeight="1">
      <c r="Q3326" s="9" t="s">
        <v>3364</v>
      </c>
      <c r="R3326" s="10">
        <v>0.5259349768962827</v>
      </c>
      <c r="S3326" s="10">
        <v>0.023686740678053087</v>
      </c>
      <c r="T3326" s="10">
        <v>20.515062984014723</v>
      </c>
      <c r="U3326" s="11">
        <v>0.1420189842953785</v>
      </c>
      <c r="V3326" s="11">
        <v>0.098718737003635</v>
      </c>
      <c r="W3326" s="11">
        <v>0.18550627575934306</v>
      </c>
      <c r="X3326" s="11">
        <v>0.2260137382505627</v>
      </c>
      <c r="Y3326" s="11">
        <v>0.13093428931228734</v>
      </c>
      <c r="Z3326" s="11">
        <v>0.21680797537879343</v>
      </c>
    </row>
    <row r="3327" ht="22.5" customHeight="1">
      <c r="Q3327" s="9" t="s">
        <v>3365</v>
      </c>
      <c r="R3327" s="10">
        <v>0.7137945951290555</v>
      </c>
      <c r="S3327" s="10">
        <v>0.032845383652373626</v>
      </c>
      <c r="T3327" s="10">
        <v>20.514133805234533</v>
      </c>
      <c r="U3327" s="11">
        <v>0.12343304430579688</v>
      </c>
      <c r="V3327" s="11">
        <v>0.19296296517388564</v>
      </c>
      <c r="W3327" s="11">
        <v>0.23624876447238863</v>
      </c>
      <c r="X3327" s="11">
        <v>0.17898831188023615</v>
      </c>
      <c r="Y3327" s="11">
        <v>0.07592967626107493</v>
      </c>
      <c r="Z3327" s="11">
        <v>0.19243723790661768</v>
      </c>
    </row>
    <row r="3328" ht="22.5" customHeight="1">
      <c r="Q3328" s="9" t="s">
        <v>3366</v>
      </c>
      <c r="R3328" s="10">
        <v>0.7686898028653362</v>
      </c>
      <c r="S3328" s="10">
        <v>0.0355213576677196</v>
      </c>
      <c r="T3328" s="10">
        <v>20.514131517206632</v>
      </c>
      <c r="U3328" s="11">
        <v>0.11892531341500981</v>
      </c>
      <c r="V3328" s="11">
        <v>0.2256049349723632</v>
      </c>
      <c r="W3328" s="11">
        <v>0.2437469156234374</v>
      </c>
      <c r="X3328" s="11">
        <v>0.16278123148946427</v>
      </c>
      <c r="Y3328" s="11">
        <v>0.09062827654771398</v>
      </c>
      <c r="Z3328" s="11">
        <v>0.15831332795201133</v>
      </c>
    </row>
    <row r="3329" ht="22.5" customHeight="1">
      <c r="Q3329" s="9" t="s">
        <v>3367</v>
      </c>
      <c r="R3329" s="10">
        <v>0.7459460653620518</v>
      </c>
      <c r="S3329" s="10">
        <v>0.03441316763097338</v>
      </c>
      <c r="T3329" s="10">
        <v>20.513835661169097</v>
      </c>
      <c r="U3329" s="11">
        <v>0.023140030385270096</v>
      </c>
      <c r="V3329" s="11">
        <v>0.2535607188339753</v>
      </c>
      <c r="W3329" s="11">
        <v>0.20411333716068233</v>
      </c>
      <c r="X3329" s="11">
        <v>0.1525181391542064</v>
      </c>
      <c r="Y3329" s="11">
        <v>0.09224160823819944</v>
      </c>
      <c r="Z3329" s="11">
        <v>0.2744261662276664</v>
      </c>
    </row>
    <row r="3330" ht="22.5" customHeight="1">
      <c r="Q3330" s="9" t="s">
        <v>3368</v>
      </c>
      <c r="R3330" s="10">
        <v>0.41547185300640255</v>
      </c>
      <c r="S3330" s="10">
        <v>0.01830352384957284</v>
      </c>
      <c r="T3330" s="10">
        <v>20.51363748818046</v>
      </c>
      <c r="U3330" s="11">
        <v>0.20469247551899428</v>
      </c>
      <c r="V3330" s="11">
        <v>0.06261161112667</v>
      </c>
      <c r="W3330" s="11">
        <v>0.14161804936591138</v>
      </c>
      <c r="X3330" s="11">
        <v>0.24782389427750126</v>
      </c>
      <c r="Y3330" s="11">
        <v>0.05061780757201656</v>
      </c>
      <c r="Z3330" s="11">
        <v>0.29263616213890664</v>
      </c>
    </row>
    <row r="3331" ht="22.5" customHeight="1">
      <c r="Q3331" s="9" t="s">
        <v>3369</v>
      </c>
      <c r="R3331" s="10">
        <v>0.6792159960688138</v>
      </c>
      <c r="S3331" s="10">
        <v>0.031160917414413906</v>
      </c>
      <c r="T3331" s="10">
        <v>20.513388215365435</v>
      </c>
      <c r="U3331" s="11">
        <v>0.23190250530000175</v>
      </c>
      <c r="V3331" s="11">
        <v>0.155785892576859</v>
      </c>
      <c r="W3331" s="11">
        <v>0.23766438495645545</v>
      </c>
      <c r="X3331" s="11">
        <v>0.2299813284896465</v>
      </c>
      <c r="Y3331" s="11">
        <v>0.06816437744788056</v>
      </c>
      <c r="Z3331" s="11">
        <v>0.07650151122915679</v>
      </c>
    </row>
    <row r="3332" ht="22.5" customHeight="1">
      <c r="Q3332" s="9" t="s">
        <v>3370</v>
      </c>
      <c r="R3332" s="10">
        <v>0.6625587156384323</v>
      </c>
      <c r="S3332" s="10">
        <v>0.030349448939310873</v>
      </c>
      <c r="T3332" s="10">
        <v>20.513015471330277</v>
      </c>
      <c r="U3332" s="11">
        <v>0.16244881092958477</v>
      </c>
      <c r="V3332" s="11">
        <v>0.2569343809502428</v>
      </c>
      <c r="W3332" s="11">
        <v>0.11601445789405912</v>
      </c>
      <c r="X3332" s="11">
        <v>0.1994866205534115</v>
      </c>
      <c r="Y3332" s="11">
        <v>0.21925031783452556</v>
      </c>
      <c r="Z3332" s="11">
        <v>0.045865411838176225</v>
      </c>
    </row>
    <row r="3333" ht="22.5" customHeight="1">
      <c r="Q3333" s="9" t="s">
        <v>3371</v>
      </c>
      <c r="R3333" s="10">
        <v>0.4329977645388098</v>
      </c>
      <c r="S3333" s="10">
        <v>0.019158506500769626</v>
      </c>
      <c r="T3333" s="10">
        <v>20.512964542566117</v>
      </c>
      <c r="U3333" s="11">
        <v>0.21616096448454356</v>
      </c>
      <c r="V3333" s="11">
        <v>0.13122866499747163</v>
      </c>
      <c r="W3333" s="11">
        <v>0.09875999578366738</v>
      </c>
      <c r="X3333" s="11">
        <v>0.004149468902513843</v>
      </c>
      <c r="Y3333" s="11">
        <v>0.2649296793095745</v>
      </c>
      <c r="Z3333" s="11">
        <v>0.28477122652222925</v>
      </c>
    </row>
    <row r="3334" ht="22.5" customHeight="1">
      <c r="Q3334" s="9" t="s">
        <v>3372</v>
      </c>
      <c r="R3334" s="10">
        <v>0.7541079729834101</v>
      </c>
      <c r="S3334" s="10">
        <v>0.034813842036278436</v>
      </c>
      <c r="T3334" s="10">
        <v>20.5121851313986</v>
      </c>
      <c r="U3334" s="11">
        <v>0.2126203421383105</v>
      </c>
      <c r="V3334" s="11">
        <v>0.2146086677567973</v>
      </c>
      <c r="W3334" s="11">
        <v>0.24327920227638017</v>
      </c>
      <c r="X3334" s="11">
        <v>0.16709073058963209</v>
      </c>
      <c r="Y3334" s="11">
        <v>0.030580005066487136</v>
      </c>
      <c r="Z3334" s="11">
        <v>0.13182105217239284</v>
      </c>
    </row>
    <row r="3335" ht="22.5" customHeight="1">
      <c r="Q3335" s="9" t="s">
        <v>3373</v>
      </c>
      <c r="R3335" s="10">
        <v>0.2956573309754884</v>
      </c>
      <c r="S3335" s="10">
        <v>0.012463841304820701</v>
      </c>
      <c r="T3335" s="10">
        <v>20.511921222601462</v>
      </c>
      <c r="U3335" s="11">
        <v>0.048042621068108284</v>
      </c>
      <c r="V3335" s="11">
        <v>0.07527131564807582</v>
      </c>
      <c r="W3335" s="11">
        <v>0.0340374265973837</v>
      </c>
      <c r="X3335" s="11">
        <v>0.19586143031020112</v>
      </c>
      <c r="Y3335" s="11">
        <v>0.3445172456979735</v>
      </c>
      <c r="Z3335" s="11">
        <v>0.30226996067825745</v>
      </c>
    </row>
    <row r="3336" ht="22.5" customHeight="1">
      <c r="Q3336" s="9" t="s">
        <v>3374</v>
      </c>
      <c r="R3336" s="10">
        <v>0.7297396328644933</v>
      </c>
      <c r="S3336" s="10">
        <v>0.03362632503920689</v>
      </c>
      <c r="T3336" s="10">
        <v>20.5118945368037</v>
      </c>
      <c r="U3336" s="11">
        <v>0.17584755583749395</v>
      </c>
      <c r="V3336" s="11">
        <v>0.23875620391273827</v>
      </c>
      <c r="W3336" s="11">
        <v>0.20796596407579335</v>
      </c>
      <c r="X3336" s="11">
        <v>0.11831769493709936</v>
      </c>
      <c r="Y3336" s="11">
        <v>0.03795083203984811</v>
      </c>
      <c r="Z3336" s="11">
        <v>0.22116174919702683</v>
      </c>
    </row>
    <row r="3337" ht="22.5" customHeight="1">
      <c r="Q3337" s="9" t="s">
        <v>3375</v>
      </c>
      <c r="R3337" s="10">
        <v>0.6195170133921815</v>
      </c>
      <c r="S3337" s="10">
        <v>0.028252841914052217</v>
      </c>
      <c r="T3337" s="10">
        <v>20.511813117955576</v>
      </c>
      <c r="U3337" s="11">
        <v>0.041311770529473484</v>
      </c>
      <c r="V3337" s="11">
        <v>0.14682879239285332</v>
      </c>
      <c r="W3337" s="11">
        <v>0.21314481577171315</v>
      </c>
      <c r="X3337" s="11">
        <v>0.23134522208587432</v>
      </c>
      <c r="Y3337" s="11">
        <v>0.06999530365386407</v>
      </c>
      <c r="Z3337" s="11">
        <v>0.2973740955662217</v>
      </c>
    </row>
    <row r="3338" ht="22.5" customHeight="1">
      <c r="Q3338" s="9" t="s">
        <v>3376</v>
      </c>
      <c r="R3338" s="10">
        <v>0.6295310304569359</v>
      </c>
      <c r="S3338" s="10">
        <v>0.028741135702313216</v>
      </c>
      <c r="T3338" s="10">
        <v>20.511751399214464</v>
      </c>
      <c r="U3338" s="11">
        <v>0.2069732549190374</v>
      </c>
      <c r="V3338" s="11">
        <v>0.2289419022532524</v>
      </c>
      <c r="W3338" s="11">
        <v>0.14400723518004774</v>
      </c>
      <c r="X3338" s="11">
        <v>0.11463159175488204</v>
      </c>
      <c r="Y3338" s="11">
        <v>0.027924050362427046</v>
      </c>
      <c r="Z3338" s="11">
        <v>0.27752196553035335</v>
      </c>
    </row>
    <row r="3339" ht="22.5" customHeight="1">
      <c r="Q3339" s="9" t="s">
        <v>3377</v>
      </c>
      <c r="R3339" s="10">
        <v>0.6641404911661519</v>
      </c>
      <c r="S3339" s="10">
        <v>0.030428696165465063</v>
      </c>
      <c r="T3339" s="10">
        <v>20.511575250290146</v>
      </c>
      <c r="U3339" s="11">
        <v>0.1370465554649191</v>
      </c>
      <c r="V3339" s="11">
        <v>0.17350570568254867</v>
      </c>
      <c r="W3339" s="11">
        <v>0.21994309231649367</v>
      </c>
      <c r="X3339" s="11">
        <v>0.13468865076078898</v>
      </c>
      <c r="Y3339" s="11">
        <v>0.14893562011721023</v>
      </c>
      <c r="Z3339" s="11">
        <v>0.1858803756580393</v>
      </c>
    </row>
    <row r="3340" ht="22.5" customHeight="1">
      <c r="Q3340" s="9" t="s">
        <v>3378</v>
      </c>
      <c r="R3340" s="10">
        <v>0.644953154586229</v>
      </c>
      <c r="S3340" s="10">
        <v>0.02949354065755415</v>
      </c>
      <c r="T3340" s="10">
        <v>20.51137778302935</v>
      </c>
      <c r="U3340" s="11">
        <v>0.11374614062459759</v>
      </c>
      <c r="V3340" s="11">
        <v>0.2452328178227913</v>
      </c>
      <c r="W3340" s="11">
        <v>0.13298395469879057</v>
      </c>
      <c r="X3340" s="11">
        <v>0.18513066761573888</v>
      </c>
      <c r="Y3340" s="11">
        <v>0.04052514042741946</v>
      </c>
      <c r="Z3340" s="11">
        <v>0.2823812788106621</v>
      </c>
    </row>
    <row r="3341" ht="22.5" customHeight="1">
      <c r="Q3341" s="9" t="s">
        <v>3379</v>
      </c>
      <c r="R3341" s="10">
        <v>0.7360908448480726</v>
      </c>
      <c r="S3341" s="10">
        <v>0.033937768556757834</v>
      </c>
      <c r="T3341" s="10">
        <v>20.510801813145843</v>
      </c>
      <c r="U3341" s="11">
        <v>0.0960475890004482</v>
      </c>
      <c r="V3341" s="11">
        <v>0.24746542783824374</v>
      </c>
      <c r="W3341" s="11">
        <v>0.20029287303186433</v>
      </c>
      <c r="X3341" s="11">
        <v>0.09179437756902138</v>
      </c>
      <c r="Y3341" s="11">
        <v>0.1894351983843776</v>
      </c>
      <c r="Z3341" s="11">
        <v>0.17496453417604477</v>
      </c>
    </row>
    <row r="3342" ht="22.5" customHeight="1">
      <c r="Q3342" s="9" t="s">
        <v>3380</v>
      </c>
      <c r="R3342" s="10">
        <v>0.6960895119414195</v>
      </c>
      <c r="S3342" s="10">
        <v>0.03198763622697007</v>
      </c>
      <c r="T3342" s="10">
        <v>20.510721932877427</v>
      </c>
      <c r="U3342" s="11">
        <v>0.04092089521461359</v>
      </c>
      <c r="V3342" s="11">
        <v>0.25422182664755427</v>
      </c>
      <c r="W3342" s="11">
        <v>0.14919464219396328</v>
      </c>
      <c r="X3342" s="11">
        <v>0.1329172041816372</v>
      </c>
      <c r="Y3342" s="11">
        <v>0.3539739230751665</v>
      </c>
      <c r="Z3342" s="11">
        <v>0.06877150868706504</v>
      </c>
    </row>
    <row r="3343" ht="22.5" customHeight="1">
      <c r="Q3343" s="9" t="s">
        <v>3381</v>
      </c>
      <c r="R3343" s="10">
        <v>0.5848982845877246</v>
      </c>
      <c r="S3343" s="10">
        <v>0.026566509458333946</v>
      </c>
      <c r="T3343" s="10">
        <v>20.51072179588837</v>
      </c>
      <c r="U3343" s="11">
        <v>0.13018770886962994</v>
      </c>
      <c r="V3343" s="11">
        <v>0.22728598365622818</v>
      </c>
      <c r="W3343" s="11">
        <v>0.09826412542436315</v>
      </c>
      <c r="X3343" s="11">
        <v>0.18012388951400873</v>
      </c>
      <c r="Y3343" s="11">
        <v>0.16492406765179587</v>
      </c>
      <c r="Z3343" s="11">
        <v>0.19921422488397422</v>
      </c>
    </row>
    <row r="3344" ht="22.5" customHeight="1">
      <c r="Q3344" s="9" t="s">
        <v>3382</v>
      </c>
      <c r="R3344" s="10">
        <v>0.5726316959136246</v>
      </c>
      <c r="S3344" s="10">
        <v>0.02596869669326586</v>
      </c>
      <c r="T3344" s="10">
        <v>20.51052858774177</v>
      </c>
      <c r="U3344" s="11">
        <v>0.23417595197951788</v>
      </c>
      <c r="V3344" s="11">
        <v>0.20932420141858435</v>
      </c>
      <c r="W3344" s="11">
        <v>0.11468123952395745</v>
      </c>
      <c r="X3344" s="11">
        <v>0.06579456815391876</v>
      </c>
      <c r="Y3344" s="11">
        <v>0.206386322985251</v>
      </c>
      <c r="Z3344" s="11">
        <v>0.16963771593877053</v>
      </c>
    </row>
    <row r="3345" ht="22.5" customHeight="1">
      <c r="Q3345" s="9" t="s">
        <v>3383</v>
      </c>
      <c r="R3345" s="10">
        <v>0.7369092708353576</v>
      </c>
      <c r="S3345" s="10">
        <v>0.03397838304306349</v>
      </c>
      <c r="T3345" s="10">
        <v>20.51037184294819</v>
      </c>
      <c r="U3345" s="11">
        <v>0.19847567135882802</v>
      </c>
      <c r="V3345" s="11">
        <v>0.24228970244099357</v>
      </c>
      <c r="W3345" s="11">
        <v>0.19922824688046792</v>
      </c>
      <c r="X3345" s="11">
        <v>0.055654938554999936</v>
      </c>
      <c r="Y3345" s="11">
        <v>0.27636188276953694</v>
      </c>
      <c r="Z3345" s="11">
        <v>0.027989557995173598</v>
      </c>
    </row>
    <row r="3346" ht="22.5" customHeight="1">
      <c r="Q3346" s="9" t="s">
        <v>3384</v>
      </c>
      <c r="R3346" s="10">
        <v>0.5487593093003161</v>
      </c>
      <c r="S3346" s="10">
        <v>0.02480514232630775</v>
      </c>
      <c r="T3346" s="10">
        <v>20.510235442621827</v>
      </c>
      <c r="U3346" s="11">
        <v>0.21461636481400756</v>
      </c>
      <c r="V3346" s="11">
        <v>0.13829575515756798</v>
      </c>
      <c r="W3346" s="11">
        <v>0.17831861970670845</v>
      </c>
      <c r="X3346" s="11">
        <v>0.10297334748975416</v>
      </c>
      <c r="Y3346" s="11">
        <v>0.06204453378570751</v>
      </c>
      <c r="Z3346" s="11">
        <v>0.3037513790462544</v>
      </c>
    </row>
    <row r="3347" ht="22.5" customHeight="1">
      <c r="Q3347" s="9" t="s">
        <v>3385</v>
      </c>
      <c r="R3347" s="10">
        <v>0.560105046138963</v>
      </c>
      <c r="S3347" s="10">
        <v>0.02535856874178648</v>
      </c>
      <c r="T3347" s="10">
        <v>20.510031596614553</v>
      </c>
      <c r="U3347" s="11">
        <v>0.2605302375240954</v>
      </c>
      <c r="V3347" s="11">
        <v>0.2181360373417518</v>
      </c>
      <c r="W3347" s="11">
        <v>0.07394494346399208</v>
      </c>
      <c r="X3347" s="11">
        <v>0.23718734626515514</v>
      </c>
      <c r="Y3347" s="11">
        <v>0.17793856172070516</v>
      </c>
      <c r="Z3347" s="11">
        <v>0.03226287368430046</v>
      </c>
    </row>
    <row r="3348" ht="22.5" customHeight="1">
      <c r="Q3348" s="9" t="s">
        <v>3386</v>
      </c>
      <c r="R3348" s="10">
        <v>0.5743931542982129</v>
      </c>
      <c r="S3348" s="10">
        <v>0.02605522885423499</v>
      </c>
      <c r="T3348" s="10">
        <v>20.510015754912594</v>
      </c>
      <c r="U3348" s="11">
        <v>0.29139532019475206</v>
      </c>
      <c r="V3348" s="11">
        <v>0.20896002171872333</v>
      </c>
      <c r="W3348" s="11">
        <v>0.11445894588625663</v>
      </c>
      <c r="X3348" s="11">
        <v>0.062416673785506895</v>
      </c>
      <c r="Y3348" s="11">
        <v>0.19605387194567278</v>
      </c>
      <c r="Z3348" s="11">
        <v>0.12671516646908831</v>
      </c>
    </row>
    <row r="3349" ht="22.5" customHeight="1">
      <c r="Q3349" s="9" t="s">
        <v>3387</v>
      </c>
      <c r="R3349" s="10">
        <v>0.6928929902265044</v>
      </c>
      <c r="S3349" s="10">
        <v>0.03183357082327213</v>
      </c>
      <c r="T3349" s="10">
        <v>20.50957443169407</v>
      </c>
      <c r="U3349" s="11">
        <v>0.22539666577910816</v>
      </c>
      <c r="V3349" s="11">
        <v>0.2633993266630317</v>
      </c>
      <c r="W3349" s="11">
        <v>0.143327755620598</v>
      </c>
      <c r="X3349" s="11">
        <v>0.16940560198977164</v>
      </c>
      <c r="Y3349" s="11">
        <v>0.06682191808806551</v>
      </c>
      <c r="Z3349" s="11">
        <v>0.13164873185942505</v>
      </c>
    </row>
    <row r="3350" ht="22.5" customHeight="1">
      <c r="Q3350" s="9" t="s">
        <v>3388</v>
      </c>
      <c r="R3350" s="10">
        <v>0.6925373753478413</v>
      </c>
      <c r="S3350" s="10">
        <v>0.031816889294242784</v>
      </c>
      <c r="T3350" s="10">
        <v>20.509150637360293</v>
      </c>
      <c r="U3350" s="11">
        <v>0.0288125643002726</v>
      </c>
      <c r="V3350" s="11">
        <v>0.26632290914729506</v>
      </c>
      <c r="W3350" s="11">
        <v>0.13484232947561192</v>
      </c>
      <c r="X3350" s="11">
        <v>0.2059430975463052</v>
      </c>
      <c r="Y3350" s="11">
        <v>0.21643786573439375</v>
      </c>
      <c r="Z3350" s="11">
        <v>0.1476412337961215</v>
      </c>
    </row>
    <row r="3351" ht="22.5" customHeight="1">
      <c r="Q3351" s="9" t="s">
        <v>3389</v>
      </c>
      <c r="R3351" s="10">
        <v>0.7518070573178895</v>
      </c>
      <c r="S3351" s="10">
        <v>0.034706957530307926</v>
      </c>
      <c r="T3351" s="10">
        <v>20.509059507630493</v>
      </c>
      <c r="U3351" s="11">
        <v>0.20296858182345018</v>
      </c>
      <c r="V3351" s="11">
        <v>0.22042567698173252</v>
      </c>
      <c r="W3351" s="11">
        <v>0.23417942220490498</v>
      </c>
      <c r="X3351" s="11">
        <v>0.10066565059795085</v>
      </c>
      <c r="Y3351" s="11">
        <v>0.17677425820182407</v>
      </c>
      <c r="Z3351" s="11">
        <v>0.06498641019013755</v>
      </c>
    </row>
    <row r="3352" ht="22.5" customHeight="1">
      <c r="Q3352" s="9" t="s">
        <v>3390</v>
      </c>
      <c r="R3352" s="10">
        <v>0.785871224281383</v>
      </c>
      <c r="S3352" s="10">
        <v>0.03636827146134048</v>
      </c>
      <c r="T3352" s="10">
        <v>20.508844504040976</v>
      </c>
      <c r="U3352" s="11">
        <v>0.20039395726267356</v>
      </c>
      <c r="V3352" s="11">
        <v>0.2930138818730732</v>
      </c>
      <c r="W3352" s="11">
        <v>0.18082781518376775</v>
      </c>
      <c r="X3352" s="11">
        <v>0.2109066882310347</v>
      </c>
      <c r="Y3352" s="11">
        <v>0.008044073950278334</v>
      </c>
      <c r="Z3352" s="11">
        <v>0.10681358349917242</v>
      </c>
    </row>
    <row r="3353" ht="22.5" customHeight="1">
      <c r="Q3353" s="9" t="s">
        <v>3391</v>
      </c>
      <c r="R3353" s="10">
        <v>0.4830777356858807</v>
      </c>
      <c r="S3353" s="10">
        <v>0.021604248343465575</v>
      </c>
      <c r="T3353" s="10">
        <v>20.508824405357945</v>
      </c>
      <c r="U3353" s="11">
        <v>0.13792431028910135</v>
      </c>
      <c r="V3353" s="11">
        <v>0.08657911079632571</v>
      </c>
      <c r="W3353" s="11">
        <v>0.16585160861706816</v>
      </c>
      <c r="X3353" s="11">
        <v>0.18279491167913295</v>
      </c>
      <c r="Y3353" s="11">
        <v>0.22430689630630415</v>
      </c>
      <c r="Z3353" s="11">
        <v>0.2025431623120677</v>
      </c>
    </row>
    <row r="3354" ht="22.5" customHeight="1">
      <c r="Q3354" s="9" t="s">
        <v>3392</v>
      </c>
      <c r="R3354" s="10">
        <v>0.5227484642188902</v>
      </c>
      <c r="S3354" s="10">
        <v>0.023538964741324206</v>
      </c>
      <c r="T3354" s="10">
        <v>20.508483254210134</v>
      </c>
      <c r="U3354" s="11">
        <v>0.17407994882590286</v>
      </c>
      <c r="V3354" s="11">
        <v>0.11019052928316257</v>
      </c>
      <c r="W3354" s="11">
        <v>0.17577655359306535</v>
      </c>
      <c r="X3354" s="11">
        <v>0.12350042592077126</v>
      </c>
      <c r="Y3354" s="11">
        <v>0.23068416038584333</v>
      </c>
      <c r="Z3354" s="11">
        <v>0.1857683819912546</v>
      </c>
    </row>
    <row r="3355" ht="22.5" customHeight="1">
      <c r="Q3355" s="9" t="s">
        <v>3393</v>
      </c>
      <c r="R3355" s="10">
        <v>0.6181178758589154</v>
      </c>
      <c r="S3355" s="10">
        <v>0.028189888414999538</v>
      </c>
      <c r="T3355" s="10">
        <v>20.507987380017617</v>
      </c>
      <c r="U3355" s="11">
        <v>0.2477837354985844</v>
      </c>
      <c r="V3355" s="11">
        <v>0.14226167921823024</v>
      </c>
      <c r="W3355" s="11">
        <v>0.20886257764558383</v>
      </c>
      <c r="X3355" s="11">
        <v>0.12747131624107805</v>
      </c>
      <c r="Y3355" s="11">
        <v>0.21627995891825866</v>
      </c>
      <c r="Z3355" s="11">
        <v>0.057340732478264746</v>
      </c>
    </row>
    <row r="3356" ht="22.5" customHeight="1">
      <c r="Q3356" s="9" t="s">
        <v>3394</v>
      </c>
      <c r="R3356" s="10">
        <v>0.7550880340174727</v>
      </c>
      <c r="S3356" s="10">
        <v>0.03486933337351326</v>
      </c>
      <c r="T3356" s="10">
        <v>20.507648550592982</v>
      </c>
      <c r="U3356" s="11">
        <v>0.10320517435991294</v>
      </c>
      <c r="V3356" s="11">
        <v>0.21005053821747532</v>
      </c>
      <c r="W3356" s="11">
        <v>0.24730061762875416</v>
      </c>
      <c r="X3356" s="11">
        <v>0.17918796469054543</v>
      </c>
      <c r="Y3356" s="11">
        <v>0.10999125902157533</v>
      </c>
      <c r="Z3356" s="11">
        <v>0.15026444608173675</v>
      </c>
    </row>
    <row r="3357" ht="22.5" customHeight="1">
      <c r="Q3357" s="9" t="s">
        <v>3395</v>
      </c>
      <c r="R3357" s="10">
        <v>0.8453817689566071</v>
      </c>
      <c r="S3357" s="10">
        <v>0.0392725379787098</v>
      </c>
      <c r="T3357" s="10">
        <v>20.507504999886077</v>
      </c>
      <c r="U3357" s="11">
        <v>0.11610551072141348</v>
      </c>
      <c r="V3357" s="11">
        <v>0.31111767800331264</v>
      </c>
      <c r="W3357" s="11">
        <v>0.2040707933767942</v>
      </c>
      <c r="X3357" s="11">
        <v>0.2189025100402864</v>
      </c>
      <c r="Y3357" s="11">
        <v>0.07757625119468714</v>
      </c>
      <c r="Z3357" s="11">
        <v>0.07222725666350609</v>
      </c>
    </row>
    <row r="3358" ht="22.5" customHeight="1">
      <c r="Q3358" s="9" t="s">
        <v>3396</v>
      </c>
      <c r="R3358" s="10">
        <v>0.5783907048496915</v>
      </c>
      <c r="S3358" s="10">
        <v>0.026254103099162387</v>
      </c>
      <c r="T3358" s="10">
        <v>20.506916683315236</v>
      </c>
      <c r="U3358" s="11">
        <v>0.23209068889623294</v>
      </c>
      <c r="V3358" s="11">
        <v>0.17036783621076068</v>
      </c>
      <c r="W3358" s="11">
        <v>0.17220284275475542</v>
      </c>
      <c r="X3358" s="11">
        <v>0.07295177152845235</v>
      </c>
      <c r="Y3358" s="11">
        <v>0.025653707200806487</v>
      </c>
      <c r="Z3358" s="11">
        <v>0.32673315340899217</v>
      </c>
    </row>
    <row r="3359" ht="22.5" customHeight="1">
      <c r="Q3359" s="9" t="s">
        <v>3397</v>
      </c>
      <c r="R3359" s="10">
        <v>0.61919185576513</v>
      </c>
      <c r="S3359" s="10">
        <v>0.028243991174662926</v>
      </c>
      <c r="T3359" s="10">
        <v>20.506728393425874</v>
      </c>
      <c r="U3359" s="11">
        <v>0.053448376233898226</v>
      </c>
      <c r="V3359" s="11">
        <v>0.23447097348868892</v>
      </c>
      <c r="W3359" s="11">
        <v>0.12754814606568593</v>
      </c>
      <c r="X3359" s="11">
        <v>0.2140980192713426</v>
      </c>
      <c r="Y3359" s="11">
        <v>0.0018139609013045237</v>
      </c>
      <c r="Z3359" s="11">
        <v>0.36862052403907974</v>
      </c>
    </row>
    <row r="3360" ht="22.5" customHeight="1">
      <c r="Q3360" s="9" t="s">
        <v>3398</v>
      </c>
      <c r="R3360" s="10">
        <v>0.6576735149783235</v>
      </c>
      <c r="S3360" s="10">
        <v>0.030120544601288535</v>
      </c>
      <c r="T3360" s="10">
        <v>20.50671802766474</v>
      </c>
      <c r="U3360" s="11">
        <v>0.07515181258025937</v>
      </c>
      <c r="V3360" s="11">
        <v>0.20752833825921793</v>
      </c>
      <c r="W3360" s="11">
        <v>0.19128711302091692</v>
      </c>
      <c r="X3360" s="11">
        <v>0.0937230707937047</v>
      </c>
      <c r="Y3360" s="11">
        <v>0.10825380373971565</v>
      </c>
      <c r="Z3360" s="11">
        <v>0.32405586160618555</v>
      </c>
    </row>
    <row r="3361" ht="22.5" customHeight="1">
      <c r="Q3361" s="9" t="s">
        <v>3399</v>
      </c>
      <c r="R3361" s="10">
        <v>0.7373500313232682</v>
      </c>
      <c r="S3361" s="10">
        <v>0.034006410314001374</v>
      </c>
      <c r="T3361" s="10">
        <v>20.506428784579768</v>
      </c>
      <c r="U3361" s="11">
        <v>0.18826233679389368</v>
      </c>
      <c r="V3361" s="11">
        <v>0.17998449039893744</v>
      </c>
      <c r="W3361" s="11">
        <v>0.2554478056537774</v>
      </c>
      <c r="X3361" s="11">
        <v>0.2382899287297798</v>
      </c>
      <c r="Y3361" s="11">
        <v>0.08029643188666297</v>
      </c>
      <c r="Z3361" s="11">
        <v>0.05771900653694853</v>
      </c>
    </row>
    <row r="3362" ht="22.5" customHeight="1">
      <c r="Q3362" s="9" t="s">
        <v>3400</v>
      </c>
      <c r="R3362" s="10">
        <v>0.6751290328507827</v>
      </c>
      <c r="S3362" s="10">
        <v>0.030972480573409653</v>
      </c>
      <c r="T3362" s="10">
        <v>20.506237185149796</v>
      </c>
      <c r="U3362" s="11">
        <v>0.15408866371509627</v>
      </c>
      <c r="V3362" s="11">
        <v>0.19055558925410818</v>
      </c>
      <c r="W3362" s="11">
        <v>0.21366185473732383</v>
      </c>
      <c r="X3362" s="11">
        <v>0.0919571073050361</v>
      </c>
      <c r="Y3362" s="11">
        <v>0.1661854514267106</v>
      </c>
      <c r="Z3362" s="11">
        <v>0.18355133356172498</v>
      </c>
    </row>
    <row r="3363" ht="22.5" customHeight="1">
      <c r="Q3363" s="9" t="s">
        <v>3401</v>
      </c>
      <c r="R3363" s="10">
        <v>0.7684380820937466</v>
      </c>
      <c r="S3363" s="10">
        <v>0.0355229435129836</v>
      </c>
      <c r="T3363" s="10">
        <v>20.50612956180006</v>
      </c>
      <c r="U3363" s="11">
        <v>0.3001468265222141</v>
      </c>
      <c r="V3363" s="11">
        <v>0.2438222272616774</v>
      </c>
      <c r="W3363" s="11">
        <v>0.22503971006907494</v>
      </c>
      <c r="X3363" s="11">
        <v>0.10145703086500558</v>
      </c>
      <c r="Y3363" s="11">
        <v>0.05987762744990838</v>
      </c>
      <c r="Z3363" s="11">
        <v>0.06965657783211973</v>
      </c>
    </row>
    <row r="3364" ht="22.5" customHeight="1">
      <c r="Q3364" s="9" t="s">
        <v>3402</v>
      </c>
      <c r="R3364" s="10">
        <v>0.6856465920370098</v>
      </c>
      <c r="S3364" s="10">
        <v>0.03148602686818492</v>
      </c>
      <c r="T3364" s="10">
        <v>20.505813411771044</v>
      </c>
      <c r="U3364" s="11">
        <v>0.14625237867389046</v>
      </c>
      <c r="V3364" s="11">
        <v>0.22659867947527532</v>
      </c>
      <c r="W3364" s="11">
        <v>0.18628768579858926</v>
      </c>
      <c r="X3364" s="11">
        <v>0.05422447112115287</v>
      </c>
      <c r="Y3364" s="11">
        <v>0.20383144917818746</v>
      </c>
      <c r="Z3364" s="11">
        <v>0.18280533575290447</v>
      </c>
    </row>
    <row r="3365" ht="22.5" customHeight="1">
      <c r="Q3365" s="9" t="s">
        <v>3403</v>
      </c>
      <c r="R3365" s="10">
        <v>0.7658738304781354</v>
      </c>
      <c r="S3365" s="10">
        <v>0.035399019795977385</v>
      </c>
      <c r="T3365" s="10">
        <v>20.50547824944636</v>
      </c>
      <c r="U3365" s="11">
        <v>0.18513300927762824</v>
      </c>
      <c r="V3365" s="11">
        <v>0.2346223030770753</v>
      </c>
      <c r="W3365" s="11">
        <v>0.23492236376495604</v>
      </c>
      <c r="X3365" s="11">
        <v>0.1446312019618646</v>
      </c>
      <c r="Y3365" s="11">
        <v>0.0375476521212411</v>
      </c>
      <c r="Z3365" s="11">
        <v>0.16314346979723468</v>
      </c>
    </row>
    <row r="3366" ht="22.5" customHeight="1">
      <c r="Q3366" s="9" t="s">
        <v>3404</v>
      </c>
      <c r="R3366" s="10">
        <v>0.6622623390794387</v>
      </c>
      <c r="S3366" s="10">
        <v>0.030346300833493423</v>
      </c>
      <c r="T3366" s="10">
        <v>20.50537699780012</v>
      </c>
      <c r="U3366" s="11">
        <v>0.19765733354789242</v>
      </c>
      <c r="V3366" s="11">
        <v>0.18811501313429446</v>
      </c>
      <c r="W3366" s="11">
        <v>0.2071294159649859</v>
      </c>
      <c r="X3366" s="11">
        <v>0.07297476275437449</v>
      </c>
      <c r="Y3366" s="11">
        <v>0.16329873500414255</v>
      </c>
      <c r="Z3366" s="11">
        <v>0.1708247395943102</v>
      </c>
    </row>
    <row r="3367" ht="22.5" customHeight="1">
      <c r="Q3367" s="9" t="s">
        <v>3405</v>
      </c>
      <c r="R3367" s="10">
        <v>0.8094882777271085</v>
      </c>
      <c r="S3367" s="10">
        <v>0.037528653590166126</v>
      </c>
      <c r="T3367" s="10">
        <v>20.504020371483364</v>
      </c>
      <c r="U3367" s="11">
        <v>0.32548426500136096</v>
      </c>
      <c r="V3367" s="11">
        <v>0.2737484069705305</v>
      </c>
      <c r="W3367" s="11">
        <v>0.2217548277604982</v>
      </c>
      <c r="X3367" s="11">
        <v>0.13478429000587117</v>
      </c>
      <c r="Y3367" s="11">
        <v>0.008935282854926866</v>
      </c>
      <c r="Z3367" s="11">
        <v>0.035292927406812245</v>
      </c>
    </row>
    <row r="3368" ht="22.5" customHeight="1">
      <c r="Q3368" s="9" t="s">
        <v>3406</v>
      </c>
      <c r="R3368" s="10">
        <v>0.5715898153885571</v>
      </c>
      <c r="S3368" s="10">
        <v>0.02592633678961352</v>
      </c>
      <c r="T3368" s="10">
        <v>20.50385365670016</v>
      </c>
      <c r="U3368" s="11">
        <v>0.22209420589286707</v>
      </c>
      <c r="V3368" s="11">
        <v>0.1319968400058946</v>
      </c>
      <c r="W3368" s="11">
        <v>0.19415801765580634</v>
      </c>
      <c r="X3368" s="11">
        <v>0.1385584192976663</v>
      </c>
      <c r="Y3368" s="11">
        <v>0.09512007214793033</v>
      </c>
      <c r="Z3368" s="11">
        <v>0.21807244499983539</v>
      </c>
    </row>
    <row r="3369" ht="22.5" customHeight="1">
      <c r="Q3369" s="9" t="s">
        <v>3407</v>
      </c>
      <c r="R3369" s="10">
        <v>0.6345335131160167</v>
      </c>
      <c r="S3369" s="10">
        <v>0.02899667233118663</v>
      </c>
      <c r="T3369" s="10">
        <v>20.503508344872433</v>
      </c>
      <c r="U3369" s="11">
        <v>0.187897509173907</v>
      </c>
      <c r="V3369" s="11">
        <v>0.24995331077546717</v>
      </c>
      <c r="W3369" s="11">
        <v>0.10607584950056992</v>
      </c>
      <c r="X3369" s="11">
        <v>0.24693008439453926</v>
      </c>
      <c r="Y3369" s="11">
        <v>0.06768097256977255</v>
      </c>
      <c r="Z3369" s="11">
        <v>0.14146227358574404</v>
      </c>
    </row>
    <row r="3370" ht="22.5" customHeight="1">
      <c r="Q3370" s="9" t="s">
        <v>3408</v>
      </c>
      <c r="R3370" s="10">
        <v>0.6563470974878505</v>
      </c>
      <c r="S3370" s="10">
        <v>0.03006058822136508</v>
      </c>
      <c r="T3370" s="10">
        <v>20.503494241333296</v>
      </c>
      <c r="U3370" s="11">
        <v>0.227486238178825</v>
      </c>
      <c r="V3370" s="11">
        <v>0.23564949031946192</v>
      </c>
      <c r="W3370" s="11">
        <v>0.1531517384925372</v>
      </c>
      <c r="X3370" s="11">
        <v>0.07052260719850566</v>
      </c>
      <c r="Y3370" s="11">
        <v>0.14189284994997475</v>
      </c>
      <c r="Z3370" s="11">
        <v>0.1712970758606955</v>
      </c>
    </row>
    <row r="3371" ht="22.5" customHeight="1">
      <c r="Q3371" s="9" t="s">
        <v>3409</v>
      </c>
      <c r="R3371" s="10">
        <v>0.7968614585072328</v>
      </c>
      <c r="S3371" s="10">
        <v>0.03691466021231375</v>
      </c>
      <c r="T3371" s="10">
        <v>20.503004880829536</v>
      </c>
      <c r="U3371" s="11">
        <v>0.21458030334142086</v>
      </c>
      <c r="V3371" s="11">
        <v>0.26502624949615883</v>
      </c>
      <c r="W3371" s="11">
        <v>0.2236872764519552</v>
      </c>
      <c r="X3371" s="11">
        <v>0.11125525063815815</v>
      </c>
      <c r="Y3371" s="11">
        <v>0.10586962333972885</v>
      </c>
      <c r="Z3371" s="11">
        <v>0.07958129673257813</v>
      </c>
    </row>
    <row r="3372" ht="22.5" customHeight="1">
      <c r="Q3372" s="9" t="s">
        <v>3410</v>
      </c>
      <c r="R3372" s="10">
        <v>0.6626927350944588</v>
      </c>
      <c r="S3372" s="10">
        <v>0.030371051591368967</v>
      </c>
      <c r="T3372" s="10">
        <v>20.502837487241287</v>
      </c>
      <c r="U3372" s="11">
        <v>0.031607748226320884</v>
      </c>
      <c r="V3372" s="11">
        <v>0.1868745773193327</v>
      </c>
      <c r="W3372" s="11">
        <v>0.2121960016428777</v>
      </c>
      <c r="X3372" s="11">
        <v>0.15260351932482868</v>
      </c>
      <c r="Y3372" s="11">
        <v>0.09407971179298058</v>
      </c>
      <c r="Z3372" s="11">
        <v>0.3226384416936594</v>
      </c>
    </row>
    <row r="3373" ht="22.5" customHeight="1">
      <c r="Q3373" s="9" t="s">
        <v>3411</v>
      </c>
      <c r="R3373" s="10">
        <v>0.6358024010192175</v>
      </c>
      <c r="S3373" s="10">
        <v>0.029059799054938718</v>
      </c>
      <c r="T3373" s="10">
        <v>20.502633204477053</v>
      </c>
      <c r="U3373" s="11">
        <v>0.07095398406570158</v>
      </c>
      <c r="V3373" s="11">
        <v>0.17482130452439926</v>
      </c>
      <c r="W3373" s="11">
        <v>0.20545425980648077</v>
      </c>
      <c r="X3373" s="11">
        <v>0.1466607766937773</v>
      </c>
      <c r="Y3373" s="11">
        <v>0.07013849935572827</v>
      </c>
      <c r="Z3373" s="11">
        <v>0.33197117555391287</v>
      </c>
    </row>
    <row r="3374" ht="22.5" customHeight="1">
      <c r="Q3374" s="9" t="s">
        <v>3412</v>
      </c>
      <c r="R3374" s="10">
        <v>0.7977169961235661</v>
      </c>
      <c r="S3374" s="10">
        <v>0.03695707089380072</v>
      </c>
      <c r="T3374" s="10">
        <v>20.502625824999228</v>
      </c>
      <c r="U3374" s="11">
        <v>0.07266522190221761</v>
      </c>
      <c r="V3374" s="11">
        <v>0.2555770800083359</v>
      </c>
      <c r="W3374" s="11">
        <v>0.23398058351330567</v>
      </c>
      <c r="X3374" s="11">
        <v>0.12928145473286012</v>
      </c>
      <c r="Y3374" s="11">
        <v>0.18178598630170342</v>
      </c>
      <c r="Z3374" s="11">
        <v>0.12670967354157733</v>
      </c>
    </row>
    <row r="3375" ht="22.5" customHeight="1">
      <c r="Q3375" s="9" t="s">
        <v>3413</v>
      </c>
      <c r="R3375" s="10">
        <v>0.7970624994125659</v>
      </c>
      <c r="S3375" s="10">
        <v>0.03692533197345181</v>
      </c>
      <c r="T3375" s="10">
        <v>20.502523848854516</v>
      </c>
      <c r="U3375" s="11">
        <v>0.14656879824717742</v>
      </c>
      <c r="V3375" s="11">
        <v>0.20716822952217348</v>
      </c>
      <c r="W3375" s="11">
        <v>0.2705399828470009</v>
      </c>
      <c r="X3375" s="11">
        <v>0.2279634437649908</v>
      </c>
      <c r="Y3375" s="11">
        <v>0.13484528039479562</v>
      </c>
      <c r="Z3375" s="11">
        <v>0.012914265223861719</v>
      </c>
    </row>
    <row r="3376" ht="22.5" customHeight="1">
      <c r="Q3376" s="9" t="s">
        <v>3414</v>
      </c>
      <c r="R3376" s="10">
        <v>0.7825693658164491</v>
      </c>
      <c r="S3376" s="10">
        <v>0.036218447614860594</v>
      </c>
      <c r="T3376" s="10">
        <v>20.502517769750284</v>
      </c>
      <c r="U3376" s="11">
        <v>0.12305503208318416</v>
      </c>
      <c r="V3376" s="11">
        <v>0.23618667978737945</v>
      </c>
      <c r="W3376" s="11">
        <v>0.24470185652990017</v>
      </c>
      <c r="X3376" s="11">
        <v>0.1868259320556532</v>
      </c>
      <c r="Y3376" s="11">
        <v>0.018515327439429453</v>
      </c>
      <c r="Z3376" s="11">
        <v>0.19071517210445335</v>
      </c>
    </row>
    <row r="3377" ht="22.5" customHeight="1">
      <c r="Q3377" s="9" t="s">
        <v>3415</v>
      </c>
      <c r="R3377" s="10">
        <v>0.6514499177304032</v>
      </c>
      <c r="S3377" s="10">
        <v>0.029823828374066507</v>
      </c>
      <c r="T3377" s="10">
        <v>20.502059965651263</v>
      </c>
      <c r="U3377" s="11">
        <v>0.26273090992513704</v>
      </c>
      <c r="V3377" s="11">
        <v>0.20375459896025186</v>
      </c>
      <c r="W3377" s="11">
        <v>0.1826472264916226</v>
      </c>
      <c r="X3377" s="11">
        <v>0.021939465227927994</v>
      </c>
      <c r="Y3377" s="11">
        <v>0.20958845730249384</v>
      </c>
      <c r="Z3377" s="11">
        <v>0.11933934209256661</v>
      </c>
    </row>
    <row r="3378" ht="22.5" customHeight="1">
      <c r="Q3378" s="9" t="s">
        <v>3416</v>
      </c>
      <c r="R3378" s="10">
        <v>0.805339580145799</v>
      </c>
      <c r="S3378" s="10">
        <v>0.03733069084105606</v>
      </c>
      <c r="T3378" s="10">
        <v>20.501618451273966</v>
      </c>
      <c r="U3378" s="11">
        <v>0.12158382450353936</v>
      </c>
      <c r="V3378" s="11">
        <v>0.2135437796834638</v>
      </c>
      <c r="W3378" s="11">
        <v>0.2710869098242281</v>
      </c>
      <c r="X3378" s="11">
        <v>0.2231025275518186</v>
      </c>
      <c r="Y3378" s="11">
        <v>0.14664590489916993</v>
      </c>
      <c r="Z3378" s="11">
        <v>0.024037053537780254</v>
      </c>
    </row>
    <row r="3379" ht="22.5" customHeight="1">
      <c r="Q3379" s="9" t="s">
        <v>3417</v>
      </c>
      <c r="R3379" s="10">
        <v>0.3377596058832906</v>
      </c>
      <c r="S3379" s="10">
        <v>0.014523894240903468</v>
      </c>
      <c r="T3379" s="10">
        <v>20.50136147678037</v>
      </c>
      <c r="U3379" s="11">
        <v>0.31299213986423663</v>
      </c>
      <c r="V3379" s="11">
        <v>0.06818166470949959</v>
      </c>
      <c r="W3379" s="11">
        <v>0.07864823112374268</v>
      </c>
      <c r="X3379" s="11">
        <v>0.073984510849251</v>
      </c>
      <c r="Y3379" s="11">
        <v>0.28618657899920225</v>
      </c>
      <c r="Z3379" s="11">
        <v>0.18000687445406777</v>
      </c>
    </row>
    <row r="3380" ht="22.5" customHeight="1">
      <c r="Q3380" s="9" t="s">
        <v>3418</v>
      </c>
      <c r="R3380" s="10">
        <v>0.8782384719067079</v>
      </c>
      <c r="S3380" s="10">
        <v>0.04088759094744736</v>
      </c>
      <c r="T3380" s="10">
        <v>20.501048178262497</v>
      </c>
      <c r="U3380" s="11">
        <v>0.020272854486244603</v>
      </c>
      <c r="V3380" s="11">
        <v>0.3135647763655204</v>
      </c>
      <c r="W3380" s="11">
        <v>0.22648339799610134</v>
      </c>
      <c r="X3380" s="11">
        <v>0.21959269826020253</v>
      </c>
      <c r="Y3380" s="11">
        <v>0.13673288437260694</v>
      </c>
      <c r="Z3380" s="11">
        <v>0.08335338851932429</v>
      </c>
    </row>
    <row r="3381" ht="22.5" customHeight="1">
      <c r="Q3381" s="9" t="s">
        <v>3419</v>
      </c>
      <c r="R3381" s="10">
        <v>0.7712220173385801</v>
      </c>
      <c r="S3381" s="10">
        <v>0.035667957417088995</v>
      </c>
      <c r="T3381" s="10">
        <v>20.5008099787694</v>
      </c>
      <c r="U3381" s="11">
        <v>0.24441680091577483</v>
      </c>
      <c r="V3381" s="11">
        <v>0.26604501079264836</v>
      </c>
      <c r="W3381" s="11">
        <v>0.20365214029069204</v>
      </c>
      <c r="X3381" s="11">
        <v>0.0986143576532496</v>
      </c>
      <c r="Y3381" s="11">
        <v>0.10795435991999638</v>
      </c>
      <c r="Z3381" s="11">
        <v>0.07931733042763874</v>
      </c>
    </row>
    <row r="3382" ht="22.5" customHeight="1">
      <c r="Q3382" s="9" t="s">
        <v>3420</v>
      </c>
      <c r="R3382" s="10">
        <v>0.32278187690789323</v>
      </c>
      <c r="S3382" s="10">
        <v>0.013794076467432888</v>
      </c>
      <c r="T3382" s="10">
        <v>20.500239909176003</v>
      </c>
      <c r="U3382" s="11">
        <v>0.26533300914807334</v>
      </c>
      <c r="V3382" s="11">
        <v>0.04128819161051612</v>
      </c>
      <c r="W3382" s="11">
        <v>0.0879962754770941</v>
      </c>
      <c r="X3382" s="11">
        <v>0.1677672214525504</v>
      </c>
      <c r="Y3382" s="11">
        <v>0.2575634733379011</v>
      </c>
      <c r="Z3382" s="11">
        <v>0.18005182897386493</v>
      </c>
    </row>
    <row r="3383" ht="22.5" customHeight="1">
      <c r="Q3383" s="9" t="s">
        <v>3421</v>
      </c>
      <c r="R3383" s="10">
        <v>0.8305351905711467</v>
      </c>
      <c r="S3383" s="10">
        <v>0.0385622626098437</v>
      </c>
      <c r="T3383" s="10">
        <v>20.500228385700286</v>
      </c>
      <c r="U3383" s="11">
        <v>0.09309761962342014</v>
      </c>
      <c r="V3383" s="11">
        <v>0.23549076061808716</v>
      </c>
      <c r="W3383" s="11">
        <v>0.2704448012151467</v>
      </c>
      <c r="X3383" s="11">
        <v>0.20096995369444565</v>
      </c>
      <c r="Y3383" s="11">
        <v>0.15575010454986982</v>
      </c>
      <c r="Z3383" s="11">
        <v>0.0442467602990306</v>
      </c>
    </row>
    <row r="3384" ht="22.5" customHeight="1">
      <c r="Q3384" s="9" t="s">
        <v>3422</v>
      </c>
      <c r="R3384" s="10">
        <v>0.6286210748683134</v>
      </c>
      <c r="S3384" s="10">
        <v>0.02871324309137377</v>
      </c>
      <c r="T3384" s="10">
        <v>20.499985772946385</v>
      </c>
      <c r="U3384" s="11">
        <v>0.30951232329331596</v>
      </c>
      <c r="V3384" s="11">
        <v>0.18910596424678466</v>
      </c>
      <c r="W3384" s="11">
        <v>0.18386648383348506</v>
      </c>
      <c r="X3384" s="11">
        <v>0.03516320999062512</v>
      </c>
      <c r="Y3384" s="11">
        <v>0.11446028881244734</v>
      </c>
      <c r="Z3384" s="11">
        <v>0.16789172982334186</v>
      </c>
    </row>
    <row r="3385" ht="22.5" customHeight="1">
      <c r="Q3385" s="9" t="s">
        <v>3423</v>
      </c>
      <c r="R3385" s="10">
        <v>0.5126743597400459</v>
      </c>
      <c r="S3385" s="10">
        <v>0.02305822280134401</v>
      </c>
      <c r="T3385" s="10">
        <v>20.499166991850508</v>
      </c>
      <c r="U3385" s="11">
        <v>0.1759269195664771</v>
      </c>
      <c r="V3385" s="11">
        <v>0.19980973909135236</v>
      </c>
      <c r="W3385" s="11">
        <v>0.06096784398816919</v>
      </c>
      <c r="X3385" s="11">
        <v>0.24673204521631645</v>
      </c>
      <c r="Y3385" s="11">
        <v>0.18622657459612385</v>
      </c>
      <c r="Z3385" s="11">
        <v>0.13033687754156106</v>
      </c>
    </row>
    <row r="3386" ht="22.5" customHeight="1">
      <c r="Q3386" s="9" t="s">
        <v>3424</v>
      </c>
      <c r="R3386" s="10">
        <v>0.7724336601657353</v>
      </c>
      <c r="S3386" s="10">
        <v>0.03573055614133184</v>
      </c>
      <c r="T3386" s="10">
        <v>20.49880380446925</v>
      </c>
      <c r="U3386" s="11">
        <v>0.21751530276084882</v>
      </c>
      <c r="V3386" s="11">
        <v>0.23814456161386666</v>
      </c>
      <c r="W3386" s="11">
        <v>0.2329235884400942</v>
      </c>
      <c r="X3386" s="11">
        <v>0.0977360496322066</v>
      </c>
      <c r="Y3386" s="11">
        <v>0.14191589983786213</v>
      </c>
      <c r="Z3386" s="11">
        <v>0.07176459771512167</v>
      </c>
    </row>
    <row r="3387" ht="22.5" customHeight="1">
      <c r="Q3387" s="9" t="s">
        <v>3425</v>
      </c>
      <c r="R3387" s="10">
        <v>0.7473197748481469</v>
      </c>
      <c r="S3387" s="10">
        <v>0.034505819553339465</v>
      </c>
      <c r="T3387" s="10">
        <v>20.49856470601327</v>
      </c>
      <c r="U3387" s="11">
        <v>0.08595402435274337</v>
      </c>
      <c r="V3387" s="11">
        <v>0.2631652347303876</v>
      </c>
      <c r="W3387" s="11">
        <v>0.18245501922053076</v>
      </c>
      <c r="X3387" s="11">
        <v>0.09881543998877679</v>
      </c>
      <c r="Y3387" s="11">
        <v>0.31560038161244064</v>
      </c>
      <c r="Z3387" s="11">
        <v>0.05400990009512073</v>
      </c>
    </row>
    <row r="3388" ht="22.5" customHeight="1">
      <c r="Q3388" s="9" t="s">
        <v>3426</v>
      </c>
      <c r="R3388" s="10">
        <v>0.43758371096766197</v>
      </c>
      <c r="S3388" s="10">
        <v>0.019396155048278664</v>
      </c>
      <c r="T3388" s="10">
        <v>20.498068301580528</v>
      </c>
      <c r="U3388" s="11">
        <v>0.17198627771390051</v>
      </c>
      <c r="V3388" s="11">
        <v>0.16180762252886122</v>
      </c>
      <c r="W3388" s="11">
        <v>0.03835219889285072</v>
      </c>
      <c r="X3388" s="11">
        <v>0.2591414296920662</v>
      </c>
      <c r="Y3388" s="11">
        <v>0.26492659450683687</v>
      </c>
      <c r="Z3388" s="11">
        <v>0.10378587666548454</v>
      </c>
    </row>
    <row r="3389" ht="22.5" customHeight="1">
      <c r="Q3389" s="9" t="s">
        <v>3427</v>
      </c>
      <c r="R3389" s="10">
        <v>0.6328195179528576</v>
      </c>
      <c r="S3389" s="10">
        <v>0.028920843550649968</v>
      </c>
      <c r="T3389" s="10">
        <v>20.498002311538198</v>
      </c>
      <c r="U3389" s="11">
        <v>0.050610831174950494</v>
      </c>
      <c r="V3389" s="11">
        <v>0.2321807292745996</v>
      </c>
      <c r="W3389" s="11">
        <v>0.13787926601786687</v>
      </c>
      <c r="X3389" s="11">
        <v>0.10076181475850558</v>
      </c>
      <c r="Y3389" s="11">
        <v>0.23965468924892688</v>
      </c>
      <c r="Z3389" s="11">
        <v>0.23891266952515058</v>
      </c>
    </row>
    <row r="3390" ht="22.5" customHeight="1">
      <c r="Q3390" s="9" t="s">
        <v>3428</v>
      </c>
      <c r="R3390" s="10">
        <v>0.7745758886022494</v>
      </c>
      <c r="S3390" s="10">
        <v>0.035836649820822235</v>
      </c>
      <c r="T3390" s="10">
        <v>20.49789509552417</v>
      </c>
      <c r="U3390" s="11">
        <v>0.17387527534278024</v>
      </c>
      <c r="V3390" s="11">
        <v>0.25136636490822106</v>
      </c>
      <c r="W3390" s="11">
        <v>0.22467353049520702</v>
      </c>
      <c r="X3390" s="11">
        <v>0.11972574688884335</v>
      </c>
      <c r="Y3390" s="11">
        <v>0.07883292127068968</v>
      </c>
      <c r="Z3390" s="11">
        <v>0.15152616109425862</v>
      </c>
    </row>
    <row r="3391" ht="22.5" customHeight="1">
      <c r="Q3391" s="9" t="s">
        <v>3429</v>
      </c>
      <c r="R3391" s="10">
        <v>0.5243129032611626</v>
      </c>
      <c r="S3391" s="10">
        <v>0.023627558410646718</v>
      </c>
      <c r="T3391" s="10">
        <v>20.497797311250256</v>
      </c>
      <c r="U3391" s="11">
        <v>0.058446100160219144</v>
      </c>
      <c r="V3391" s="11">
        <v>0.11780425915477746</v>
      </c>
      <c r="W3391" s="11">
        <v>0.16991024215619213</v>
      </c>
      <c r="X3391" s="11">
        <v>0.11394945127068579</v>
      </c>
      <c r="Y3391" s="11">
        <v>0.3206617959554751</v>
      </c>
      <c r="Z3391" s="11">
        <v>0.2192281513026503</v>
      </c>
    </row>
    <row r="3392" ht="22.5" customHeight="1">
      <c r="Q3392" s="9" t="s">
        <v>3430</v>
      </c>
      <c r="R3392" s="10">
        <v>0.6576031331701748</v>
      </c>
      <c r="S3392" s="10">
        <v>0.030130786294851893</v>
      </c>
      <c r="T3392" s="10">
        <v>20.49741175442533</v>
      </c>
      <c r="U3392" s="11">
        <v>0.09778399525881154</v>
      </c>
      <c r="V3392" s="11">
        <v>0.2583511052332126</v>
      </c>
      <c r="W3392" s="11">
        <v>0.1180703824310806</v>
      </c>
      <c r="X3392" s="11">
        <v>0.26792439623054115</v>
      </c>
      <c r="Y3392" s="11">
        <v>0.04405952552279823</v>
      </c>
      <c r="Z3392" s="11">
        <v>0.2138105953235558</v>
      </c>
    </row>
    <row r="3393" ht="22.5" customHeight="1">
      <c r="Q3393" s="9" t="s">
        <v>3431</v>
      </c>
      <c r="R3393" s="10">
        <v>0.7766203304972035</v>
      </c>
      <c r="S3393" s="10">
        <v>0.03593750860090492</v>
      </c>
      <c r="T3393" s="10">
        <v>20.497256464758244</v>
      </c>
      <c r="U3393" s="11">
        <v>0.1264761046535855</v>
      </c>
      <c r="V3393" s="11">
        <v>0.21864822992694363</v>
      </c>
      <c r="W3393" s="11">
        <v>0.25060793425395955</v>
      </c>
      <c r="X3393" s="11">
        <v>0.14544476708171125</v>
      </c>
      <c r="Y3393" s="11">
        <v>0.20246907212928084</v>
      </c>
      <c r="Z3393" s="11">
        <v>0.05635389195451921</v>
      </c>
    </row>
    <row r="3394" ht="22.5" customHeight="1">
      <c r="Q3394" s="9" t="s">
        <v>3432</v>
      </c>
      <c r="R3394" s="10">
        <v>0.5452734258286013</v>
      </c>
      <c r="S3394" s="10">
        <v>0.02465118352177981</v>
      </c>
      <c r="T3394" s="10">
        <v>20.4969236216258</v>
      </c>
      <c r="U3394" s="11">
        <v>0.2798527747264226</v>
      </c>
      <c r="V3394" s="11">
        <v>0.11831793973297247</v>
      </c>
      <c r="W3394" s="11">
        <v>0.17990421373761817</v>
      </c>
      <c r="X3394" s="11">
        <v>0.09693238523992544</v>
      </c>
      <c r="Y3394" s="11">
        <v>0.25434215416732114</v>
      </c>
      <c r="Z3394" s="11">
        <v>0.07065053239574025</v>
      </c>
    </row>
    <row r="3395" ht="22.5" customHeight="1">
      <c r="Q3395" s="9" t="s">
        <v>3433</v>
      </c>
      <c r="R3395" s="10">
        <v>0.8390863905911248</v>
      </c>
      <c r="S3395" s="10">
        <v>0.03898623200917039</v>
      </c>
      <c r="T3395" s="10">
        <v>20.496630461829774</v>
      </c>
      <c r="U3395" s="11">
        <v>0.19428166593017168</v>
      </c>
      <c r="V3395" s="11">
        <v>0.2540032049121141</v>
      </c>
      <c r="W3395" s="11">
        <v>0.26298515443751225</v>
      </c>
      <c r="X3395" s="11">
        <v>0.19986667171371894</v>
      </c>
      <c r="Y3395" s="11">
        <v>0.005146166861934822</v>
      </c>
      <c r="Z3395" s="11">
        <v>0.08371713614454825</v>
      </c>
    </row>
    <row r="3396" ht="22.5" customHeight="1">
      <c r="Q3396" s="9" t="s">
        <v>3434</v>
      </c>
      <c r="R3396" s="10">
        <v>0.6826540650379328</v>
      </c>
      <c r="S3396" s="10">
        <v>0.03135434672850998</v>
      </c>
      <c r="T3396" s="10">
        <v>20.496490346379254</v>
      </c>
      <c r="U3396" s="11">
        <v>0.21066295976100502</v>
      </c>
      <c r="V3396" s="11">
        <v>0.26983801893958226</v>
      </c>
      <c r="W3396" s="11">
        <v>0.11531339850097592</v>
      </c>
      <c r="X3396" s="11">
        <v>0.28409142965457507</v>
      </c>
      <c r="Y3396" s="11">
        <v>0.05568835705882121</v>
      </c>
      <c r="Z3396" s="11">
        <v>0.06440583608504055</v>
      </c>
    </row>
    <row r="3397" ht="22.5" customHeight="1">
      <c r="Q3397" s="9" t="s">
        <v>3435</v>
      </c>
      <c r="R3397" s="10">
        <v>0.7375106275036324</v>
      </c>
      <c r="S3397" s="10">
        <v>0.03403082862547719</v>
      </c>
      <c r="T3397" s="10">
        <v>20.496433841797224</v>
      </c>
      <c r="U3397" s="11">
        <v>0.09927938444378936</v>
      </c>
      <c r="V3397" s="11">
        <v>0.20888705585502174</v>
      </c>
      <c r="W3397" s="11">
        <v>0.23778718566984863</v>
      </c>
      <c r="X3397" s="11">
        <v>0.1449831143830572</v>
      </c>
      <c r="Y3397" s="11">
        <v>0.1451786914544142</v>
      </c>
      <c r="Z3397" s="11">
        <v>0.1638845681938689</v>
      </c>
    </row>
    <row r="3398" ht="22.5" customHeight="1">
      <c r="Q3398" s="9" t="s">
        <v>3436</v>
      </c>
      <c r="R3398" s="10">
        <v>0.585036809587906</v>
      </c>
      <c r="S3398" s="10">
        <v>0.026593602468966804</v>
      </c>
      <c r="T3398" s="10">
        <v>20.495034857497494</v>
      </c>
      <c r="U3398" s="11">
        <v>0.220782430855928</v>
      </c>
      <c r="V3398" s="11">
        <v>0.22544363082553467</v>
      </c>
      <c r="W3398" s="11">
        <v>0.10547009097466897</v>
      </c>
      <c r="X3398" s="11">
        <v>0.1794281607645819</v>
      </c>
      <c r="Y3398" s="11">
        <v>0.028332678097737225</v>
      </c>
      <c r="Z3398" s="11">
        <v>0.2405430084815491</v>
      </c>
    </row>
    <row r="3399" ht="22.5" customHeight="1">
      <c r="Q3399" s="9" t="s">
        <v>3437</v>
      </c>
      <c r="R3399" s="10">
        <v>0.6543467219809688</v>
      </c>
      <c r="S3399" s="10">
        <v>0.029975602201738883</v>
      </c>
      <c r="T3399" s="10">
        <v>20.49489174050123</v>
      </c>
      <c r="U3399" s="11">
        <v>0.18458009341700846</v>
      </c>
      <c r="V3399" s="11">
        <v>0.20616212716176646</v>
      </c>
      <c r="W3399" s="11">
        <v>0.18072182820911886</v>
      </c>
      <c r="X3399" s="11">
        <v>0.024826746542600735</v>
      </c>
      <c r="Y3399" s="11">
        <v>0.2832461260585254</v>
      </c>
      <c r="Z3399" s="11">
        <v>0.12046307861098002</v>
      </c>
    </row>
    <row r="3400" ht="22.5" customHeight="1">
      <c r="Q3400" s="9" t="s">
        <v>3438</v>
      </c>
      <c r="R3400" s="10">
        <v>0.6876917334392426</v>
      </c>
      <c r="S3400" s="10">
        <v>0.031602831016629904</v>
      </c>
      <c r="T3400" s="10">
        <v>20.494737737211487</v>
      </c>
      <c r="U3400" s="11">
        <v>0.13396672664152964</v>
      </c>
      <c r="V3400" s="11">
        <v>0.24839060222811907</v>
      </c>
      <c r="W3400" s="11">
        <v>0.16446924162801907</v>
      </c>
      <c r="X3400" s="11">
        <v>0.1001984214818037</v>
      </c>
      <c r="Y3400" s="11">
        <v>0.13515842225488534</v>
      </c>
      <c r="Z3400" s="11">
        <v>0.21781658576564328</v>
      </c>
    </row>
    <row r="3401" ht="22.5" customHeight="1">
      <c r="Q3401" s="9" t="s">
        <v>3439</v>
      </c>
      <c r="R3401" s="10">
        <v>0.8525832748494986</v>
      </c>
      <c r="S3401" s="10">
        <v>0.03964851703023104</v>
      </c>
      <c r="T3401" s="10">
        <v>20.49467005865373</v>
      </c>
      <c r="U3401" s="11">
        <v>0.10967385995892528</v>
      </c>
      <c r="V3401" s="11">
        <v>0.258069556019422</v>
      </c>
      <c r="W3401" s="11">
        <v>0.26807807607164424</v>
      </c>
      <c r="X3401" s="11">
        <v>0.2107421716381801</v>
      </c>
      <c r="Y3401" s="11">
        <v>0.05598984087052261</v>
      </c>
      <c r="Z3401" s="11">
        <v>0.09744649544130583</v>
      </c>
    </row>
    <row r="3402" ht="22.5" customHeight="1">
      <c r="Q3402" s="9" t="s">
        <v>3440</v>
      </c>
      <c r="R3402" s="10">
        <v>0.6285987906126604</v>
      </c>
      <c r="S3402" s="10">
        <v>0.028720106580226765</v>
      </c>
      <c r="T3402" s="10">
        <v>20.494310805165995</v>
      </c>
      <c r="U3402" s="11">
        <v>0.15577841309155144</v>
      </c>
      <c r="V3402" s="11">
        <v>0.13057201207810176</v>
      </c>
      <c r="W3402" s="11">
        <v>0.2217556490910284</v>
      </c>
      <c r="X3402" s="11">
        <v>0.2237592342809748</v>
      </c>
      <c r="Y3402" s="11">
        <v>0.2056794274076878</v>
      </c>
      <c r="Z3402" s="11">
        <v>0.062455264050655775</v>
      </c>
    </row>
    <row r="3403" ht="22.5" customHeight="1">
      <c r="Q3403" s="9" t="s">
        <v>3441</v>
      </c>
      <c r="R3403" s="10">
        <v>0.648869982785765</v>
      </c>
      <c r="S3403" s="10">
        <v>0.02970954899961724</v>
      </c>
      <c r="T3403" s="10">
        <v>20.4940836629196</v>
      </c>
      <c r="U3403" s="11">
        <v>0.16306722867097975</v>
      </c>
      <c r="V3403" s="11">
        <v>0.23494238622457927</v>
      </c>
      <c r="W3403" s="11">
        <v>0.15124420673558742</v>
      </c>
      <c r="X3403" s="11">
        <v>0.08738411130363435</v>
      </c>
      <c r="Y3403" s="11">
        <v>0.11990965179538565</v>
      </c>
      <c r="Z3403" s="11">
        <v>0.2434524152698335</v>
      </c>
    </row>
    <row r="3404" ht="22.5" customHeight="1">
      <c r="Q3404" s="9" t="s">
        <v>3442</v>
      </c>
      <c r="R3404" s="10">
        <v>0.7210759999096712</v>
      </c>
      <c r="S3404" s="10">
        <v>0.03323311839670418</v>
      </c>
      <c r="T3404" s="10">
        <v>20.493893825420106</v>
      </c>
      <c r="U3404" s="11">
        <v>0.3038023966187392</v>
      </c>
      <c r="V3404" s="11">
        <v>0.25006546225967435</v>
      </c>
      <c r="W3404" s="11">
        <v>0.18532736651246184</v>
      </c>
      <c r="X3404" s="11">
        <v>0.08243997959751433</v>
      </c>
      <c r="Y3404" s="11">
        <v>0.06840237192673339</v>
      </c>
      <c r="Z3404" s="11">
        <v>0.10996242308487679</v>
      </c>
    </row>
    <row r="3405" ht="22.5" customHeight="1">
      <c r="Q3405" s="9" t="s">
        <v>3443</v>
      </c>
      <c r="R3405" s="10">
        <v>0.5599554190725748</v>
      </c>
      <c r="S3405" s="10">
        <v>0.025371255535972827</v>
      </c>
      <c r="T3405" s="10">
        <v>20.4938781344641</v>
      </c>
      <c r="U3405" s="11">
        <v>0.14411388357857527</v>
      </c>
      <c r="V3405" s="11">
        <v>0.1483849429822453</v>
      </c>
      <c r="W3405" s="11">
        <v>0.17697658149545975</v>
      </c>
      <c r="X3405" s="11">
        <v>0.06532344909153838</v>
      </c>
      <c r="Y3405" s="11">
        <v>0.1694197932764463</v>
      </c>
      <c r="Z3405" s="11">
        <v>0.295781349575735</v>
      </c>
    </row>
    <row r="3406" ht="22.5" customHeight="1">
      <c r="Q3406" s="9" t="s">
        <v>3444</v>
      </c>
      <c r="R3406" s="10">
        <v>0.6715792972227473</v>
      </c>
      <c r="S3406" s="10">
        <v>0.030818258781104124</v>
      </c>
      <c r="T3406" s="10">
        <v>20.49367232940471</v>
      </c>
      <c r="U3406" s="11">
        <v>0.26760673688222864</v>
      </c>
      <c r="V3406" s="11">
        <v>0.26061040103096805</v>
      </c>
      <c r="W3406" s="11">
        <v>0.122756644723419</v>
      </c>
      <c r="X3406" s="11">
        <v>0.1952810498539759</v>
      </c>
      <c r="Y3406" s="11">
        <v>0.09481401611919722</v>
      </c>
      <c r="Z3406" s="11">
        <v>0.058931151390211274</v>
      </c>
    </row>
    <row r="3407" ht="22.5" customHeight="1">
      <c r="Q3407" s="9" t="s">
        <v>3445</v>
      </c>
      <c r="R3407" s="10">
        <v>0.8075200751638624</v>
      </c>
      <c r="S3407" s="10">
        <v>0.037451652180969124</v>
      </c>
      <c r="T3407" s="10">
        <v>20.49362392492457</v>
      </c>
      <c r="U3407" s="11">
        <v>0.1284049310766045</v>
      </c>
      <c r="V3407" s="11">
        <v>0.24638667092064875</v>
      </c>
      <c r="W3407" s="11">
        <v>0.2474517394737852</v>
      </c>
      <c r="X3407" s="11">
        <v>0.12731183382964034</v>
      </c>
      <c r="Y3407" s="11">
        <v>0.19037465150909497</v>
      </c>
      <c r="Z3407" s="11">
        <v>0.06007017319022632</v>
      </c>
    </row>
    <row r="3408" ht="22.5" customHeight="1">
      <c r="Q3408" s="9" t="s">
        <v>3446</v>
      </c>
      <c r="R3408" s="10">
        <v>0.630697142002134</v>
      </c>
      <c r="S3408" s="10">
        <v>0.028823548352947002</v>
      </c>
      <c r="T3408" s="10">
        <v>20.49356084715848</v>
      </c>
      <c r="U3408" s="11">
        <v>0.23641157472256769</v>
      </c>
      <c r="V3408" s="11">
        <v>0.2312720294177686</v>
      </c>
      <c r="W3408" s="11">
        <v>0.13412379818043882</v>
      </c>
      <c r="X3408" s="11">
        <v>0.07286596526136761</v>
      </c>
      <c r="Y3408" s="11">
        <v>0.19564124779455602</v>
      </c>
      <c r="Z3408" s="11">
        <v>0.12968538462330137</v>
      </c>
    </row>
    <row r="3409" ht="22.5" customHeight="1">
      <c r="Q3409" s="9" t="s">
        <v>3447</v>
      </c>
      <c r="R3409" s="10">
        <v>0.3923168510312721</v>
      </c>
      <c r="S3409" s="10">
        <v>0.017191763635802552</v>
      </c>
      <c r="T3409" s="10">
        <v>20.493351263715486</v>
      </c>
      <c r="U3409" s="11">
        <v>0.30131533777511904</v>
      </c>
      <c r="V3409" s="11">
        <v>0.11395433625181184</v>
      </c>
      <c r="W3409" s="11">
        <v>0.07882679475587023</v>
      </c>
      <c r="X3409" s="11">
        <v>0.02114527464226704</v>
      </c>
      <c r="Y3409" s="11">
        <v>0.28141654866185617</v>
      </c>
      <c r="Z3409" s="11">
        <v>0.20334170791307568</v>
      </c>
    </row>
    <row r="3410" ht="22.5" customHeight="1">
      <c r="Q3410" s="9" t="s">
        <v>3448</v>
      </c>
      <c r="R3410" s="10">
        <v>0.9527691995661235</v>
      </c>
      <c r="S3410" s="10">
        <v>0.044540417811584375</v>
      </c>
      <c r="T3410" s="10">
        <v>20.493054273252106</v>
      </c>
      <c r="U3410" s="11">
        <v>0.01860310424529276</v>
      </c>
      <c r="V3410" s="11">
        <v>0.30128549992974923</v>
      </c>
      <c r="W3410" s="11">
        <v>0.28976966708590945</v>
      </c>
      <c r="X3410" s="11">
        <v>0.2554225445336235</v>
      </c>
      <c r="Y3410" s="11">
        <v>0.13386212148199111</v>
      </c>
      <c r="Z3410" s="11">
        <v>0.0010570627234339615</v>
      </c>
    </row>
    <row r="3411" ht="22.5" customHeight="1">
      <c r="Q3411" s="9" t="s">
        <v>3449</v>
      </c>
      <c r="R3411" s="10">
        <v>0.4940211718507293</v>
      </c>
      <c r="S3411" s="10">
        <v>0.02215497447425657</v>
      </c>
      <c r="T3411" s="10">
        <v>20.492967499388843</v>
      </c>
      <c r="U3411" s="11">
        <v>0.33403387960741127</v>
      </c>
      <c r="V3411" s="11">
        <v>0.12765085083370925</v>
      </c>
      <c r="W3411" s="11">
        <v>0.14236949034398597</v>
      </c>
      <c r="X3411" s="11">
        <v>0.009217920861218929</v>
      </c>
      <c r="Y3411" s="11">
        <v>0.2376288697755885</v>
      </c>
      <c r="Z3411" s="11">
        <v>0.149098988578086</v>
      </c>
    </row>
    <row r="3412" ht="22.5" customHeight="1">
      <c r="Q3412" s="9" t="s">
        <v>3450</v>
      </c>
      <c r="R3412" s="10">
        <v>0.7762774564889833</v>
      </c>
      <c r="S3412" s="10">
        <v>0.03592896120979678</v>
      </c>
      <c r="T3412" s="10">
        <v>20.49258959060085</v>
      </c>
      <c r="U3412" s="11">
        <v>0.11185390888496641</v>
      </c>
      <c r="V3412" s="11">
        <v>0.26479936775189883</v>
      </c>
      <c r="W3412" s="11">
        <v>0.20386423972225293</v>
      </c>
      <c r="X3412" s="11">
        <v>0.08989152566013711</v>
      </c>
      <c r="Y3412" s="11">
        <v>0.2880915245034742</v>
      </c>
      <c r="Z3412" s="11">
        <v>0.04149943347727047</v>
      </c>
    </row>
    <row r="3413" ht="22.5" customHeight="1">
      <c r="Q3413" s="9" t="s">
        <v>3451</v>
      </c>
      <c r="R3413" s="10">
        <v>0.375664846571773</v>
      </c>
      <c r="S3413" s="10">
        <v>0.01637994202969476</v>
      </c>
      <c r="T3413" s="10">
        <v>20.492431900140748</v>
      </c>
      <c r="U3413" s="11">
        <v>0.3007411144019474</v>
      </c>
      <c r="V3413" s="11">
        <v>0.061739522672720044</v>
      </c>
      <c r="W3413" s="11">
        <v>0.11635735704588195</v>
      </c>
      <c r="X3413" s="11">
        <v>0.12239992908572263</v>
      </c>
      <c r="Y3413" s="11">
        <v>0.1654592704885421</v>
      </c>
      <c r="Z3413" s="11">
        <v>0.23330280630518588</v>
      </c>
    </row>
    <row r="3414" ht="22.5" customHeight="1">
      <c r="Q3414" s="9" t="s">
        <v>3452</v>
      </c>
      <c r="R3414" s="10">
        <v>0.729837543231428</v>
      </c>
      <c r="S3414" s="10">
        <v>0.03366362204915631</v>
      </c>
      <c r="T3414" s="10">
        <v>20.492077240652034</v>
      </c>
      <c r="U3414" s="11">
        <v>0.14962553026482142</v>
      </c>
      <c r="V3414" s="11">
        <v>0.23161726485383033</v>
      </c>
      <c r="W3414" s="11">
        <v>0.21242553128756084</v>
      </c>
      <c r="X3414" s="11">
        <v>0.07638488452301306</v>
      </c>
      <c r="Y3414" s="11">
        <v>0.17640129355368458</v>
      </c>
      <c r="Z3414" s="11">
        <v>0.15354549551708968</v>
      </c>
    </row>
    <row r="3415" ht="22.5" customHeight="1">
      <c r="Q3415" s="9" t="s">
        <v>3453</v>
      </c>
      <c r="R3415" s="10">
        <v>0.7617766494036493</v>
      </c>
      <c r="S3415" s="10">
        <v>0.035222653359884275</v>
      </c>
      <c r="T3415" s="10">
        <v>20.49183069852693</v>
      </c>
      <c r="U3415" s="11">
        <v>0.12495709670332371</v>
      </c>
      <c r="V3415" s="11">
        <v>0.27918416957477865</v>
      </c>
      <c r="W3415" s="11">
        <v>0.1836042850277388</v>
      </c>
      <c r="X3415" s="11">
        <v>0.17159054732045062</v>
      </c>
      <c r="Y3415" s="11">
        <v>0.053829107289487706</v>
      </c>
      <c r="Z3415" s="11">
        <v>0.1868347940842206</v>
      </c>
    </row>
    <row r="3416" ht="22.5" customHeight="1">
      <c r="Q3416" s="9" t="s">
        <v>3454</v>
      </c>
      <c r="R3416" s="10">
        <v>0.5468556632312402</v>
      </c>
      <c r="S3416" s="10">
        <v>0.024734913656860223</v>
      </c>
      <c r="T3416" s="10">
        <v>20.491507278444203</v>
      </c>
      <c r="U3416" s="11">
        <v>0.2950019261676335</v>
      </c>
      <c r="V3416" s="11">
        <v>0.21033426796881693</v>
      </c>
      <c r="W3416" s="11">
        <v>0.08904894039603682</v>
      </c>
      <c r="X3416" s="11">
        <v>0.18066441499385213</v>
      </c>
      <c r="Y3416" s="11">
        <v>0.027848485227346023</v>
      </c>
      <c r="Z3416" s="11">
        <v>0.19710196524631465</v>
      </c>
    </row>
    <row r="3417" ht="22.5" customHeight="1">
      <c r="Q3417" s="9" t="s">
        <v>3455</v>
      </c>
      <c r="R3417" s="10">
        <v>0.5821289444443604</v>
      </c>
      <c r="S3417" s="10">
        <v>0.026456470479807398</v>
      </c>
      <c r="T3417" s="10">
        <v>20.49135559704134</v>
      </c>
      <c r="U3417" s="11">
        <v>0.21454917868511547</v>
      </c>
      <c r="V3417" s="11">
        <v>0.12831902862679367</v>
      </c>
      <c r="W3417" s="11">
        <v>0.20252249072344222</v>
      </c>
      <c r="X3417" s="11">
        <v>0.19590141646343015</v>
      </c>
      <c r="Y3417" s="11">
        <v>0.040508398070107976</v>
      </c>
      <c r="Z3417" s="11">
        <v>0.21819948743111048</v>
      </c>
    </row>
    <row r="3418" ht="22.5" customHeight="1">
      <c r="Q3418" s="9" t="s">
        <v>3456</v>
      </c>
      <c r="R3418" s="10">
        <v>0.7163890655676749</v>
      </c>
      <c r="S3418" s="10">
        <v>0.03300853419881771</v>
      </c>
      <c r="T3418" s="10">
        <v>20.491339042613458</v>
      </c>
      <c r="U3418" s="11">
        <v>0.21254043830130048</v>
      </c>
      <c r="V3418" s="11">
        <v>0.1730239511922651</v>
      </c>
      <c r="W3418" s="11">
        <v>0.24908739450867928</v>
      </c>
      <c r="X3418" s="11">
        <v>0.24376551922930587</v>
      </c>
      <c r="Y3418" s="11">
        <v>0.028110304239225364</v>
      </c>
      <c r="Z3418" s="11">
        <v>0.09347239252922387</v>
      </c>
    </row>
    <row r="3419" ht="22.5" customHeight="1">
      <c r="Q3419" s="9" t="s">
        <v>3457</v>
      </c>
      <c r="R3419" s="10">
        <v>0.44518118490926784</v>
      </c>
      <c r="S3419" s="10">
        <v>0.019773303679036486</v>
      </c>
      <c r="T3419" s="10">
        <v>20.491324640850888</v>
      </c>
      <c r="U3419" s="11">
        <v>0.2712159487842505</v>
      </c>
      <c r="V3419" s="11">
        <v>0.0851006234499702</v>
      </c>
      <c r="W3419" s="11">
        <v>0.14241544062903172</v>
      </c>
      <c r="X3419" s="11">
        <v>0.09561553208060043</v>
      </c>
      <c r="Y3419" s="11">
        <v>0.24466349040081356</v>
      </c>
      <c r="Z3419" s="11">
        <v>0.16098896465533363</v>
      </c>
    </row>
    <row r="3420" ht="22.5" customHeight="1">
      <c r="Q3420" s="9" t="s">
        <v>3458</v>
      </c>
      <c r="R3420" s="10">
        <v>0.46978653197216147</v>
      </c>
      <c r="S3420" s="10">
        <v>0.020974150156149254</v>
      </c>
      <c r="T3420" s="10">
        <v>20.49124893130202</v>
      </c>
      <c r="U3420" s="11">
        <v>0.21285971253905503</v>
      </c>
      <c r="V3420" s="11">
        <v>0.08173054256697548</v>
      </c>
      <c r="W3420" s="11">
        <v>0.16300889164973664</v>
      </c>
      <c r="X3420" s="11">
        <v>0.19150991333549908</v>
      </c>
      <c r="Y3420" s="11">
        <v>0.12742324158358198</v>
      </c>
      <c r="Z3420" s="11">
        <v>0.2234676983251518</v>
      </c>
    </row>
    <row r="3421" ht="22.5" customHeight="1">
      <c r="Q3421" s="9" t="s">
        <v>3459</v>
      </c>
      <c r="R3421" s="10">
        <v>0.7209438948507204</v>
      </c>
      <c r="S3421" s="10">
        <v>0.033231094816684084</v>
      </c>
      <c r="T3421" s="10">
        <v>20.491166439356792</v>
      </c>
      <c r="U3421" s="11">
        <v>0.029764115112475908</v>
      </c>
      <c r="V3421" s="11">
        <v>0.286748434940133</v>
      </c>
      <c r="W3421" s="11">
        <v>0.11669635316462187</v>
      </c>
      <c r="X3421" s="11">
        <v>0.3764813324161002</v>
      </c>
      <c r="Y3421" s="11">
        <v>0.145077404603451</v>
      </c>
      <c r="Z3421" s="11">
        <v>0.04523235976321809</v>
      </c>
    </row>
    <row r="3422" ht="22.5" customHeight="1">
      <c r="Q3422" s="9" t="s">
        <v>3460</v>
      </c>
      <c r="R3422" s="10">
        <v>0.6008637716107827</v>
      </c>
      <c r="S3422" s="10">
        <v>0.027371249154232075</v>
      </c>
      <c r="T3422" s="10">
        <v>20.49098192232353</v>
      </c>
      <c r="U3422" s="11">
        <v>0.1689660723644939</v>
      </c>
      <c r="V3422" s="11">
        <v>0.21707509206910494</v>
      </c>
      <c r="W3422" s="11">
        <v>0.1333873172465482</v>
      </c>
      <c r="X3422" s="11">
        <v>0.06029932984028504</v>
      </c>
      <c r="Y3422" s="11">
        <v>0.18217710114560665</v>
      </c>
      <c r="Z3422" s="11">
        <v>0.2380950873339612</v>
      </c>
    </row>
    <row r="3423" ht="22.5" customHeight="1">
      <c r="Q3423" s="9" t="s">
        <v>3461</v>
      </c>
      <c r="R3423" s="10">
        <v>0.7849472454988006</v>
      </c>
      <c r="S3423" s="10">
        <v>0.03635517196011546</v>
      </c>
      <c r="T3423" s="10">
        <v>20.490818921612238</v>
      </c>
      <c r="U3423" s="11">
        <v>0.07792024516166099</v>
      </c>
      <c r="V3423" s="11">
        <v>0.2552294047946874</v>
      </c>
      <c r="W3423" s="11">
        <v>0.22929507125668389</v>
      </c>
      <c r="X3423" s="11">
        <v>0.1536184734284235</v>
      </c>
      <c r="Y3423" s="11">
        <v>0.07398969550287209</v>
      </c>
      <c r="Z3423" s="11">
        <v>0.20994710985567203</v>
      </c>
    </row>
    <row r="3424" ht="22.5" customHeight="1">
      <c r="Q3424" s="9" t="s">
        <v>3462</v>
      </c>
      <c r="R3424" s="10">
        <v>0.7899963178810059</v>
      </c>
      <c r="S3424" s="10">
        <v>0.03660181240001982</v>
      </c>
      <c r="T3424" s="10">
        <v>20.49068799337925</v>
      </c>
      <c r="U3424" s="11">
        <v>0.08976764769006548</v>
      </c>
      <c r="V3424" s="11">
        <v>0.23526249506269753</v>
      </c>
      <c r="W3424" s="11">
        <v>0.24386267630091332</v>
      </c>
      <c r="X3424" s="11">
        <v>0.12164968047030697</v>
      </c>
      <c r="Y3424" s="11">
        <v>0.26163861414650236</v>
      </c>
      <c r="Z3424" s="11">
        <v>0.0478188863295142</v>
      </c>
    </row>
    <row r="3425" ht="22.5" customHeight="1">
      <c r="Q3425" s="9" t="s">
        <v>3463</v>
      </c>
      <c r="R3425" s="10">
        <v>0.7340189004857762</v>
      </c>
      <c r="S3425" s="10">
        <v>0.03387046480976908</v>
      </c>
      <c r="T3425" s="10">
        <v>20.490386074820087</v>
      </c>
      <c r="U3425" s="11">
        <v>0.0777709638262651</v>
      </c>
      <c r="V3425" s="11">
        <v>0.2614755051721651</v>
      </c>
      <c r="W3425" s="11">
        <v>0.1813614015267902</v>
      </c>
      <c r="X3425" s="11">
        <v>0.10522475625101897</v>
      </c>
      <c r="Y3425" s="11">
        <v>0.21535255874302223</v>
      </c>
      <c r="Z3425" s="11">
        <v>0.15881481448073842</v>
      </c>
    </row>
    <row r="3426" ht="22.5" customHeight="1">
      <c r="Q3426" s="9" t="s">
        <v>3464</v>
      </c>
      <c r="R3426" s="10">
        <v>0.6045631773285521</v>
      </c>
      <c r="S3426" s="10">
        <v>0.027552869032008362</v>
      </c>
      <c r="T3426" s="10">
        <v>20.490177508291247</v>
      </c>
      <c r="U3426" s="11">
        <v>0.21017080295908055</v>
      </c>
      <c r="V3426" s="11">
        <v>0.22489876610262616</v>
      </c>
      <c r="W3426" s="11">
        <v>0.12628414106467994</v>
      </c>
      <c r="X3426" s="11">
        <v>0.09720206634784608</v>
      </c>
      <c r="Y3426" s="11">
        <v>0.10627258874095136</v>
      </c>
      <c r="Z3426" s="11">
        <v>0.23517163478481587</v>
      </c>
    </row>
    <row r="3427" ht="22.5" customHeight="1">
      <c r="Q3427" s="9" t="s">
        <v>3465</v>
      </c>
      <c r="R3427" s="10">
        <v>0.5545564759009487</v>
      </c>
      <c r="S3427" s="10">
        <v>0.025113076406461567</v>
      </c>
      <c r="T3427" s="10">
        <v>20.48958349716779</v>
      </c>
      <c r="U3427" s="11">
        <v>0.2842699947142543</v>
      </c>
      <c r="V3427" s="11">
        <v>0.21768596101657728</v>
      </c>
      <c r="W3427" s="11">
        <v>0.06968344546547907</v>
      </c>
      <c r="X3427" s="11">
        <v>0.27467344671648947</v>
      </c>
      <c r="Y3427" s="11">
        <v>0.10072063828766058</v>
      </c>
      <c r="Z3427" s="11">
        <v>0.052966513799539275</v>
      </c>
    </row>
    <row r="3428" ht="22.5" customHeight="1">
      <c r="Q3428" s="9" t="s">
        <v>3466</v>
      </c>
      <c r="R3428" s="10">
        <v>0.5528118214471291</v>
      </c>
      <c r="S3428" s="10">
        <v>0.025027991608500524</v>
      </c>
      <c r="T3428" s="10">
        <v>20.48953146016548</v>
      </c>
      <c r="U3428" s="11">
        <v>0.26551485080070447</v>
      </c>
      <c r="V3428" s="11">
        <v>0.10663487153708345</v>
      </c>
      <c r="W3428" s="11">
        <v>0.19542241985313716</v>
      </c>
      <c r="X3428" s="11">
        <v>0.21420115403973872</v>
      </c>
      <c r="Y3428" s="11">
        <v>0.08223635332641396</v>
      </c>
      <c r="Z3428" s="11">
        <v>0.1359903504429223</v>
      </c>
    </row>
    <row r="3429" ht="22.5" customHeight="1">
      <c r="Q3429" s="9" t="s">
        <v>3467</v>
      </c>
      <c r="R3429" s="10">
        <v>0.7687840482065796</v>
      </c>
      <c r="S3429" s="10">
        <v>0.03556902331699076</v>
      </c>
      <c r="T3429" s="10">
        <v>20.489290406195973</v>
      </c>
      <c r="U3429" s="11">
        <v>0.062339087607803295</v>
      </c>
      <c r="V3429" s="11">
        <v>0.29872927871220234</v>
      </c>
      <c r="W3429" s="11">
        <v>0.15523735658557508</v>
      </c>
      <c r="X3429" s="11">
        <v>0.30010665537583875</v>
      </c>
      <c r="Y3429" s="11">
        <v>0.04336904395034474</v>
      </c>
      <c r="Z3429" s="11">
        <v>0.14021857776823565</v>
      </c>
    </row>
    <row r="3430" ht="22.5" customHeight="1">
      <c r="Q3430" s="9" t="s">
        <v>3468</v>
      </c>
      <c r="R3430" s="10">
        <v>0.40003938242321607</v>
      </c>
      <c r="S3430" s="10">
        <v>0.017572153996333727</v>
      </c>
      <c r="T3430" s="10">
        <v>20.489200270970485</v>
      </c>
      <c r="U3430" s="11">
        <v>0.16323938897665835</v>
      </c>
      <c r="V3430" s="11">
        <v>0.1481718408675509</v>
      </c>
      <c r="W3430" s="11">
        <v>0.03402370781641977</v>
      </c>
      <c r="X3430" s="11">
        <v>0.32794423218922514</v>
      </c>
      <c r="Y3430" s="11">
        <v>0.022779253378889773</v>
      </c>
      <c r="Z3430" s="11">
        <v>0.303841576771256</v>
      </c>
    </row>
    <row r="3431" ht="22.5" customHeight="1">
      <c r="Q3431" s="9" t="s">
        <v>3469</v>
      </c>
      <c r="R3431" s="10">
        <v>0.6000860796204031</v>
      </c>
      <c r="S3431" s="10">
        <v>0.027336610229399302</v>
      </c>
      <c r="T3431" s="10">
        <v>20.4884978393574</v>
      </c>
      <c r="U3431" s="11">
        <v>0.20744270345557203</v>
      </c>
      <c r="V3431" s="11">
        <v>0.13716048823087124</v>
      </c>
      <c r="W3431" s="11">
        <v>0.206730233118603</v>
      </c>
      <c r="X3431" s="11">
        <v>0.15818863199339317</v>
      </c>
      <c r="Y3431" s="11">
        <v>0.11103130275774634</v>
      </c>
      <c r="Z3431" s="11">
        <v>0.17944664044381425</v>
      </c>
    </row>
    <row r="3432" ht="22.5" customHeight="1">
      <c r="Q3432" s="9" t="s">
        <v>3470</v>
      </c>
      <c r="R3432" s="10">
        <v>0.5862949043157383</v>
      </c>
      <c r="S3432" s="10">
        <v>0.026663801384864728</v>
      </c>
      <c r="T3432" s="10">
        <v>20.488260335821195</v>
      </c>
      <c r="U3432" s="11">
        <v>0.19680948697567507</v>
      </c>
      <c r="V3432" s="11">
        <v>0.11624664843825777</v>
      </c>
      <c r="W3432" s="11">
        <v>0.20631536344252316</v>
      </c>
      <c r="X3432" s="11">
        <v>0.20285676241226894</v>
      </c>
      <c r="Y3432" s="11">
        <v>0.20414995585309703</v>
      </c>
      <c r="Z3432" s="11">
        <v>0.07362178287817805</v>
      </c>
    </row>
    <row r="3433" ht="22.5" customHeight="1">
      <c r="Q3433" s="9" t="s">
        <v>3471</v>
      </c>
      <c r="R3433" s="10">
        <v>0.4229427003897276</v>
      </c>
      <c r="S3433" s="10">
        <v>0.018691107761977587</v>
      </c>
      <c r="T3433" s="10">
        <v>20.48796172309965</v>
      </c>
      <c r="U3433" s="11">
        <v>0.1740010833358256</v>
      </c>
      <c r="V3433" s="11">
        <v>0.1602228050722407</v>
      </c>
      <c r="W3433" s="11">
        <v>0.038454255406755816</v>
      </c>
      <c r="X3433" s="11">
        <v>0.25848735134546075</v>
      </c>
      <c r="Y3433" s="11">
        <v>0.13869185716261273</v>
      </c>
      <c r="Z3433" s="11">
        <v>0.23014264767710438</v>
      </c>
    </row>
    <row r="3434" ht="22.5" customHeight="1">
      <c r="Q3434" s="9" t="s">
        <v>3472</v>
      </c>
      <c r="R3434" s="10">
        <v>0.32441202462596586</v>
      </c>
      <c r="S3434" s="10">
        <v>0.013882010839172924</v>
      </c>
      <c r="T3434" s="10">
        <v>20.487811738584615</v>
      </c>
      <c r="U3434" s="11">
        <v>0.1306879886919809</v>
      </c>
      <c r="V3434" s="11">
        <v>0.0371419758499033</v>
      </c>
      <c r="W3434" s="11">
        <v>0.09895201335174529</v>
      </c>
      <c r="X3434" s="11">
        <v>0.24290881495022798</v>
      </c>
      <c r="Y3434" s="11">
        <v>0.14651719420680032</v>
      </c>
      <c r="Z3434" s="11">
        <v>0.3437920129493422</v>
      </c>
    </row>
    <row r="3435" ht="22.5" customHeight="1">
      <c r="Q3435" s="9" t="s">
        <v>3473</v>
      </c>
      <c r="R3435" s="10">
        <v>0.48669985597688414</v>
      </c>
      <c r="S3435" s="10">
        <v>0.021803217976134583</v>
      </c>
      <c r="T3435" s="10">
        <v>20.487794804685894</v>
      </c>
      <c r="U3435" s="11">
        <v>0.2034165055610078</v>
      </c>
      <c r="V3435" s="11">
        <v>0.07774297800724685</v>
      </c>
      <c r="W3435" s="11">
        <v>0.17285599493228762</v>
      </c>
      <c r="X3435" s="11">
        <v>0.26780559865484094</v>
      </c>
      <c r="Y3435" s="11">
        <v>0.0879187007727283</v>
      </c>
      <c r="Z3435" s="11">
        <v>0.1902602220718885</v>
      </c>
    </row>
    <row r="3436" ht="22.5" customHeight="1">
      <c r="Q3436" s="9" t="s">
        <v>3474</v>
      </c>
      <c r="R3436" s="10">
        <v>0.9249676790592497</v>
      </c>
      <c r="S3436" s="10">
        <v>0.04319746888390342</v>
      </c>
      <c r="T3436" s="10">
        <v>20.486563262251998</v>
      </c>
      <c r="U3436" s="11">
        <v>0.14544721912843325</v>
      </c>
      <c r="V3436" s="11">
        <v>0.32155611134188516</v>
      </c>
      <c r="W3436" s="11">
        <v>0.2516564780229654</v>
      </c>
      <c r="X3436" s="11">
        <v>0.21558469385005044</v>
      </c>
      <c r="Y3436" s="11">
        <v>0.0627575336532812</v>
      </c>
      <c r="Z3436" s="11">
        <v>0.002997964003384611</v>
      </c>
    </row>
    <row r="3437" ht="22.5" customHeight="1">
      <c r="Q3437" s="9" t="s">
        <v>3475</v>
      </c>
      <c r="R3437" s="10">
        <v>0.8704603623584534</v>
      </c>
      <c r="S3437" s="10">
        <v>0.040536970543999344</v>
      </c>
      <c r="T3437" s="10">
        <v>20.48649297699889</v>
      </c>
      <c r="U3437" s="11">
        <v>0.13966461595107896</v>
      </c>
      <c r="V3437" s="11">
        <v>0.31733629041784267</v>
      </c>
      <c r="W3437" s="11">
        <v>0.21671049838657527</v>
      </c>
      <c r="X3437" s="11">
        <v>0.22424812787524753</v>
      </c>
      <c r="Y3437" s="11">
        <v>0.040784038833206124</v>
      </c>
      <c r="Z3437" s="11">
        <v>0.0612564285360494</v>
      </c>
    </row>
    <row r="3438" ht="22.5" customHeight="1">
      <c r="Q3438" s="9" t="s">
        <v>3476</v>
      </c>
      <c r="R3438" s="10">
        <v>0.5758028162688162</v>
      </c>
      <c r="S3438" s="10">
        <v>0.026154014288332746</v>
      </c>
      <c r="T3438" s="10">
        <v>20.48644656846566</v>
      </c>
      <c r="U3438" s="11">
        <v>0.4870587864320367</v>
      </c>
      <c r="V3438" s="11">
        <v>0.20456145424090472</v>
      </c>
      <c r="W3438" s="11">
        <v>0.1178431925139396</v>
      </c>
      <c r="X3438" s="11">
        <v>0.08097432870318957</v>
      </c>
      <c r="Y3438" s="11">
        <v>0.04794523377725747</v>
      </c>
      <c r="Z3438" s="11">
        <v>0.06161700433267191</v>
      </c>
    </row>
    <row r="3439" ht="22.5" customHeight="1">
      <c r="Q3439" s="9" t="s">
        <v>3477</v>
      </c>
      <c r="R3439" s="10">
        <v>0.4427727442126334</v>
      </c>
      <c r="S3439" s="10">
        <v>0.01966060072966192</v>
      </c>
      <c r="T3439" s="10">
        <v>20.486288783891062</v>
      </c>
      <c r="U3439" s="11">
        <v>0.1989817660794272</v>
      </c>
      <c r="V3439" s="11">
        <v>0.1538378666239553</v>
      </c>
      <c r="W3439" s="11">
        <v>0.08134841918469748</v>
      </c>
      <c r="X3439" s="11">
        <v>0.042362892356749726</v>
      </c>
      <c r="Y3439" s="11">
        <v>0.21989995227666767</v>
      </c>
      <c r="Z3439" s="11">
        <v>0.30356910347850263</v>
      </c>
    </row>
    <row r="3440" ht="22.5" customHeight="1">
      <c r="Q3440" s="9" t="s">
        <v>3478</v>
      </c>
      <c r="R3440" s="10">
        <v>0.317375022441451</v>
      </c>
      <c r="S3440" s="10">
        <v>0.013539666844043651</v>
      </c>
      <c r="T3440" s="10">
        <v>20.486103951920605</v>
      </c>
      <c r="U3440" s="11">
        <v>0.12729298819671353</v>
      </c>
      <c r="V3440" s="11">
        <v>0.07385959877085926</v>
      </c>
      <c r="W3440" s="11">
        <v>0.04164076466265296</v>
      </c>
      <c r="X3440" s="11">
        <v>0.1985884844448404</v>
      </c>
      <c r="Y3440" s="11">
        <v>0.4155406226249203</v>
      </c>
      <c r="Z3440" s="11">
        <v>0.14307754130001368</v>
      </c>
    </row>
    <row r="3441" ht="22.5" customHeight="1">
      <c r="Q3441" s="9" t="s">
        <v>3479</v>
      </c>
      <c r="R3441" s="10">
        <v>0.6724942146153438</v>
      </c>
      <c r="S3441" s="10">
        <v>0.030874638718478217</v>
      </c>
      <c r="T3441" s="10">
        <v>20.485882292666346</v>
      </c>
      <c r="U3441" s="11">
        <v>0.31698777275990875</v>
      </c>
      <c r="V3441" s="11">
        <v>0.19496194590869137</v>
      </c>
      <c r="W3441" s="11">
        <v>0.2087734746995972</v>
      </c>
      <c r="X3441" s="11">
        <v>0.0945258464277129</v>
      </c>
      <c r="Y3441" s="11">
        <v>0.01766837705364274</v>
      </c>
      <c r="Z3441" s="11">
        <v>0.167082583150447</v>
      </c>
    </row>
    <row r="3442" ht="22.5" customHeight="1">
      <c r="Q3442" s="9" t="s">
        <v>3480</v>
      </c>
      <c r="R3442" s="10">
        <v>0.522331348251574</v>
      </c>
      <c r="S3442" s="10">
        <v>0.03523597554608081</v>
      </c>
      <c r="T3442" s="10">
        <v>20.48541052905468</v>
      </c>
      <c r="U3442" s="11">
        <v>0.22987654596862467</v>
      </c>
      <c r="V3442" s="11">
        <v>0.24404978000992983</v>
      </c>
      <c r="W3442" s="11">
        <v>0.2235216349802194</v>
      </c>
      <c r="X3442" s="11">
        <v>0.11660787470666815</v>
      </c>
      <c r="Y3442" s="11">
        <v>0.0353170647065269</v>
      </c>
      <c r="Z3442" s="11">
        <v>0.15062709962803103</v>
      </c>
    </row>
    <row r="3443" ht="22.5" customHeight="1">
      <c r="Q3443" s="9" t="s">
        <v>3481</v>
      </c>
      <c r="R3443" s="10">
        <v>0.449655338957702</v>
      </c>
      <c r="S3443" s="10">
        <v>0.01999772764892769</v>
      </c>
      <c r="T3443" s="10">
        <v>20.485094414198024</v>
      </c>
      <c r="U3443" s="11">
        <v>0.15766770515106732</v>
      </c>
      <c r="V3443" s="11">
        <v>0.1677888016915563</v>
      </c>
      <c r="W3443" s="11">
        <v>0.06190606309116723</v>
      </c>
      <c r="X3443" s="11">
        <v>0.13218991226920263</v>
      </c>
      <c r="Y3443" s="11">
        <v>0.22131967905296973</v>
      </c>
      <c r="Z3443" s="11">
        <v>0.2591278387440368</v>
      </c>
    </row>
    <row r="3444" ht="22.5" customHeight="1">
      <c r="Q3444" s="9" t="s">
        <v>3482</v>
      </c>
      <c r="R3444" s="10">
        <v>0.8631536153668545</v>
      </c>
      <c r="S3444" s="10">
        <v>0.04018335550517449</v>
      </c>
      <c r="T3444" s="10">
        <v>20.48493972238967</v>
      </c>
      <c r="U3444" s="11">
        <v>0.13332645716080074</v>
      </c>
      <c r="V3444" s="11">
        <v>0.3036941584251253</v>
      </c>
      <c r="W3444" s="11">
        <v>0.2288337940307878</v>
      </c>
      <c r="X3444" s="11">
        <v>0.18029691109577087</v>
      </c>
      <c r="Y3444" s="11">
        <v>0.08224461941483964</v>
      </c>
      <c r="Z3444" s="11">
        <v>0.07160405987267567</v>
      </c>
    </row>
    <row r="3445" ht="22.5" customHeight="1">
      <c r="Q3445" s="9" t="s">
        <v>3483</v>
      </c>
      <c r="R3445" s="10">
        <v>0.8348061138250868</v>
      </c>
      <c r="S3445" s="10">
        <v>0.03880056881427724</v>
      </c>
      <c r="T3445" s="10">
        <v>20.48439335076516</v>
      </c>
      <c r="U3445" s="11">
        <v>0.07616516688740987</v>
      </c>
      <c r="V3445" s="11">
        <v>0.29008639640984657</v>
      </c>
      <c r="W3445" s="11">
        <v>0.22468617936427282</v>
      </c>
      <c r="X3445" s="11">
        <v>0.16277700858065658</v>
      </c>
      <c r="Y3445" s="11">
        <v>0.12327806105835185</v>
      </c>
      <c r="Z3445" s="11">
        <v>0.12300718769946245</v>
      </c>
    </row>
    <row r="3446" ht="22.5" customHeight="1">
      <c r="Q3446" s="9" t="s">
        <v>3484</v>
      </c>
      <c r="R3446" s="10">
        <v>0.6475206426961855</v>
      </c>
      <c r="S3446" s="10">
        <v>0.029658774605040596</v>
      </c>
      <c r="T3446" s="10">
        <v>20.483673071001913</v>
      </c>
      <c r="U3446" s="11">
        <v>0.1644146630380067</v>
      </c>
      <c r="V3446" s="11">
        <v>0.23402265766778807</v>
      </c>
      <c r="W3446" s="11">
        <v>0.15045198546732108</v>
      </c>
      <c r="X3446" s="11">
        <v>0.07556716360754252</v>
      </c>
      <c r="Y3446" s="11">
        <v>0.15091950815369187</v>
      </c>
      <c r="Z3446" s="11">
        <v>0.2246240220656498</v>
      </c>
    </row>
    <row r="3447" ht="22.5" customHeight="1">
      <c r="Q3447" s="9" t="s">
        <v>3485</v>
      </c>
      <c r="R3447" s="10">
        <v>0.6708116189349286</v>
      </c>
      <c r="S3447" s="10">
        <v>0.030796242141130543</v>
      </c>
      <c r="T3447" s="10">
        <v>20.483395865121977</v>
      </c>
      <c r="U3447" s="11">
        <v>0.15553968286989517</v>
      </c>
      <c r="V3447" s="11">
        <v>0.2495603013214607</v>
      </c>
      <c r="W3447" s="11">
        <v>0.1504001897445363</v>
      </c>
      <c r="X3447" s="11">
        <v>0.14184986467485752</v>
      </c>
      <c r="Y3447" s="11">
        <v>0.04870029820271005</v>
      </c>
      <c r="Z3447" s="11">
        <v>0.2539496631865402</v>
      </c>
    </row>
    <row r="3448" ht="22.5" customHeight="1">
      <c r="Q3448" s="9" t="s">
        <v>3486</v>
      </c>
      <c r="R3448" s="10">
        <v>0.6228351211082678</v>
      </c>
      <c r="S3448" s="10">
        <v>0.028454422734321267</v>
      </c>
      <c r="T3448" s="10">
        <v>20.483111766145985</v>
      </c>
      <c r="U3448" s="11">
        <v>0.1911466158063892</v>
      </c>
      <c r="V3448" s="11">
        <v>0.1481499278201274</v>
      </c>
      <c r="W3448" s="11">
        <v>0.21421155718188511</v>
      </c>
      <c r="X3448" s="11">
        <v>0.18134481214057815</v>
      </c>
      <c r="Y3448" s="11">
        <v>0.04993011969174828</v>
      </c>
      <c r="Z3448" s="11">
        <v>0.2152169673592719</v>
      </c>
    </row>
    <row r="3449" ht="22.5" customHeight="1">
      <c r="Q3449" s="9" t="s">
        <v>3487</v>
      </c>
      <c r="R3449" s="10">
        <v>0.45310324712151256</v>
      </c>
      <c r="S3449" s="10">
        <v>0.020168046540197673</v>
      </c>
      <c r="T3449" s="10">
        <v>20.483057012891226</v>
      </c>
      <c r="U3449" s="11">
        <v>0.21207654870430218</v>
      </c>
      <c r="V3449" s="11">
        <v>0.17041820751109743</v>
      </c>
      <c r="W3449" s="11">
        <v>0.047611032531354104</v>
      </c>
      <c r="X3449" s="11">
        <v>0.20953205532337893</v>
      </c>
      <c r="Y3449" s="11">
        <v>0.23194129518738002</v>
      </c>
      <c r="Z3449" s="11">
        <v>0.1284208607424874</v>
      </c>
    </row>
    <row r="3450" ht="22.5" customHeight="1">
      <c r="Q3450" s="9" t="s">
        <v>3488</v>
      </c>
      <c r="R3450" s="10">
        <v>0.3067333968063738</v>
      </c>
      <c r="S3450" s="10">
        <v>0.013022360428322544</v>
      </c>
      <c r="T3450" s="10">
        <v>20.48272264268243</v>
      </c>
      <c r="U3450" s="11">
        <v>0.23793930213314496</v>
      </c>
      <c r="V3450" s="11">
        <v>0.08796481855344995</v>
      </c>
      <c r="W3450" s="11">
        <v>0.025155991140708628</v>
      </c>
      <c r="X3450" s="11">
        <v>0.1850392152522537</v>
      </c>
      <c r="Y3450" s="11">
        <v>0.2740439803470933</v>
      </c>
      <c r="Z3450" s="11">
        <v>0.18985669257334947</v>
      </c>
    </row>
    <row r="3451" ht="22.5" customHeight="1">
      <c r="Q3451" s="9" t="s">
        <v>3489</v>
      </c>
      <c r="R3451" s="10">
        <v>0.46283942333547656</v>
      </c>
      <c r="S3451" s="10">
        <v>0.020643875512133994</v>
      </c>
      <c r="T3451" s="10">
        <v>20.482560219225373</v>
      </c>
      <c r="U3451" s="11">
        <v>0.18335550871930162</v>
      </c>
      <c r="V3451" s="11">
        <v>0.0760012181711895</v>
      </c>
      <c r="W3451" s="11">
        <v>0.16071129569240641</v>
      </c>
      <c r="X3451" s="11">
        <v>0.203615282654969</v>
      </c>
      <c r="Y3451" s="11">
        <v>0.1708656825937748</v>
      </c>
      <c r="Z3451" s="11">
        <v>0.20545101216835854</v>
      </c>
    </row>
    <row r="3452" ht="22.5" customHeight="1">
      <c r="Q3452" s="9" t="s">
        <v>3490</v>
      </c>
      <c r="R3452" s="10">
        <v>0.3936445102188706</v>
      </c>
      <c r="S3452" s="10">
        <v>0.017266255444330345</v>
      </c>
      <c r="T3452" s="10">
        <v>20.48183008522531</v>
      </c>
      <c r="U3452" s="11">
        <v>0.09829293200018849</v>
      </c>
      <c r="V3452" s="11">
        <v>0.048147818427166256</v>
      </c>
      <c r="W3452" s="11">
        <v>0.12835471054467157</v>
      </c>
      <c r="X3452" s="11">
        <v>0.2626551027761567</v>
      </c>
      <c r="Y3452" s="11">
        <v>0.2714876362175156</v>
      </c>
      <c r="Z3452" s="11">
        <v>0.19106180003430137</v>
      </c>
    </row>
    <row r="3453" ht="22.5" customHeight="1">
      <c r="Q3453" s="9" t="s">
        <v>3491</v>
      </c>
      <c r="R3453" s="10">
        <v>0.7588228160046528</v>
      </c>
      <c r="S3453" s="10">
        <v>0.03509597097472835</v>
      </c>
      <c r="T3453" s="10">
        <v>20.48163353344056</v>
      </c>
      <c r="U3453" s="11">
        <v>0.09190317721325146</v>
      </c>
      <c r="V3453" s="11">
        <v>0.20673658860913557</v>
      </c>
      <c r="W3453" s="11">
        <v>0.25329026627906165</v>
      </c>
      <c r="X3453" s="11">
        <v>0.24461672292687967</v>
      </c>
      <c r="Y3453" s="11">
        <v>0.002185390611727579</v>
      </c>
      <c r="Z3453" s="11">
        <v>0.20126785435994407</v>
      </c>
    </row>
    <row r="3454" ht="22.5" customHeight="1">
      <c r="Q3454" s="9" t="s">
        <v>3492</v>
      </c>
      <c r="R3454" s="10">
        <v>0.6286494095911526</v>
      </c>
      <c r="S3454" s="10">
        <v>0.028740388119157603</v>
      </c>
      <c r="T3454" s="10">
        <v>20.48160961329447</v>
      </c>
      <c r="U3454" s="11">
        <v>0.2929979230627075</v>
      </c>
      <c r="V3454" s="11">
        <v>0.24069357966692695</v>
      </c>
      <c r="W3454" s="11">
        <v>0.1185831887424772</v>
      </c>
      <c r="X3454" s="11">
        <v>0.15378793903692187</v>
      </c>
      <c r="Y3454" s="11">
        <v>0.062472023002048876</v>
      </c>
      <c r="Z3454" s="11">
        <v>0.13146534648891772</v>
      </c>
    </row>
    <row r="3455" ht="22.5" customHeight="1">
      <c r="Q3455" s="9" t="s">
        <v>3493</v>
      </c>
      <c r="R3455" s="10">
        <v>0.693293831713562</v>
      </c>
      <c r="S3455" s="10">
        <v>0.03189740533664479</v>
      </c>
      <c r="T3455" s="10">
        <v>20.48109634055521</v>
      </c>
      <c r="U3455" s="11">
        <v>0.18738580453130652</v>
      </c>
      <c r="V3455" s="11">
        <v>0.23994071509144665</v>
      </c>
      <c r="W3455" s="11">
        <v>0.16973698230186446</v>
      </c>
      <c r="X3455" s="11">
        <v>0.048419302650414726</v>
      </c>
      <c r="Y3455" s="11">
        <v>0.29558684659802076</v>
      </c>
      <c r="Z3455" s="11">
        <v>0.058930348826946755</v>
      </c>
    </row>
    <row r="3456" ht="22.5" customHeight="1">
      <c r="Q3456" s="9" t="s">
        <v>3494</v>
      </c>
      <c r="R3456" s="10">
        <v>0.6142962568236956</v>
      </c>
      <c r="S3456" s="10">
        <v>0.028041092369171735</v>
      </c>
      <c r="T3456" s="10">
        <v>20.480523699393203</v>
      </c>
      <c r="U3456" s="11">
        <v>0.22969286765825483</v>
      </c>
      <c r="V3456" s="11">
        <v>0.13260219038250384</v>
      </c>
      <c r="W3456" s="11">
        <v>0.21511704339238957</v>
      </c>
      <c r="X3456" s="11">
        <v>0.18392259735178326</v>
      </c>
      <c r="Y3456" s="11">
        <v>0.14125766373963294</v>
      </c>
      <c r="Z3456" s="11">
        <v>0.09740763747543531</v>
      </c>
    </row>
    <row r="3457" ht="22.5" customHeight="1">
      <c r="Q3457" s="9" t="s">
        <v>3495</v>
      </c>
      <c r="R3457" s="10">
        <v>0.5797996356847434</v>
      </c>
      <c r="S3457" s="10">
        <v>0.026356951408837797</v>
      </c>
      <c r="T3457" s="10">
        <v>20.48035174142872</v>
      </c>
      <c r="U3457" s="11">
        <v>0.005113149817418027</v>
      </c>
      <c r="V3457" s="11">
        <v>0.2265905323814665</v>
      </c>
      <c r="W3457" s="11">
        <v>0.0942583129491679</v>
      </c>
      <c r="X3457" s="11">
        <v>0.21915015065978002</v>
      </c>
      <c r="Y3457" s="11">
        <v>0.19990992132034396</v>
      </c>
      <c r="Z3457" s="11">
        <v>0.25497793287182346</v>
      </c>
    </row>
    <row r="3458" ht="22.5" customHeight="1">
      <c r="Q3458" s="9" t="s">
        <v>3496</v>
      </c>
      <c r="R3458" s="10">
        <v>0.6808798024935643</v>
      </c>
      <c r="S3458" s="10">
        <v>0.03129257082816363</v>
      </c>
      <c r="T3458" s="10">
        <v>20.480254115675468</v>
      </c>
      <c r="U3458" s="11">
        <v>0.07078782622404786</v>
      </c>
      <c r="V3458" s="11">
        <v>0.2658873939606306</v>
      </c>
      <c r="W3458" s="11">
        <v>0.1290278298807023</v>
      </c>
      <c r="X3458" s="11">
        <v>0.23110405538738182</v>
      </c>
      <c r="Y3458" s="11">
        <v>0.10774511931720454</v>
      </c>
      <c r="Z3458" s="11">
        <v>0.19544777523003287</v>
      </c>
    </row>
    <row r="3459" ht="22.5" customHeight="1">
      <c r="Q3459" s="9" t="s">
        <v>3497</v>
      </c>
      <c r="R3459" s="10">
        <v>0.5735148759451606</v>
      </c>
      <c r="S3459" s="10">
        <v>0.0260503042244599</v>
      </c>
      <c r="T3459" s="10">
        <v>20.48017832529639</v>
      </c>
      <c r="U3459" s="11">
        <v>0.3452077477165896</v>
      </c>
      <c r="V3459" s="11">
        <v>0.19081682648278897</v>
      </c>
      <c r="W3459" s="11">
        <v>0.1346049261664222</v>
      </c>
      <c r="X3459" s="11">
        <v>0.003191787628375687</v>
      </c>
      <c r="Y3459" s="11">
        <v>0.2403651263433177</v>
      </c>
      <c r="Z3459" s="11">
        <v>0.08581358566250591</v>
      </c>
    </row>
    <row r="3460" ht="22.5" customHeight="1">
      <c r="Q3460" s="9" t="s">
        <v>3498</v>
      </c>
      <c r="R3460" s="10">
        <v>0.5899565696431478</v>
      </c>
      <c r="S3460" s="10">
        <v>0.026853177052498758</v>
      </c>
      <c r="T3460" s="10">
        <v>20.480130472754354</v>
      </c>
      <c r="U3460" s="11">
        <v>0.18459795120760775</v>
      </c>
      <c r="V3460" s="11">
        <v>0.14156271312952015</v>
      </c>
      <c r="W3460" s="11">
        <v>0.19473607175688484</v>
      </c>
      <c r="X3460" s="11">
        <v>0.09213468307500793</v>
      </c>
      <c r="Y3460" s="11">
        <v>0.2474150806194724</v>
      </c>
      <c r="Z3460" s="11">
        <v>0.13955350021150692</v>
      </c>
    </row>
    <row r="3461" ht="22.5" customHeight="1">
      <c r="Q3461" s="9" t="s">
        <v>3499</v>
      </c>
      <c r="R3461" s="10">
        <v>0.7831095445389857</v>
      </c>
      <c r="S3461" s="10">
        <v>0.03628732698208423</v>
      </c>
      <c r="T3461" s="10">
        <v>20.478486742930215</v>
      </c>
      <c r="U3461" s="11">
        <v>0.07544547192380512</v>
      </c>
      <c r="V3461" s="11">
        <v>0.22846912884697385</v>
      </c>
      <c r="W3461" s="11">
        <v>0.2519884297747397</v>
      </c>
      <c r="X3461" s="11">
        <v>0.222942768033358</v>
      </c>
      <c r="Y3461" s="11">
        <v>0.004466758450012891</v>
      </c>
      <c r="Z3461" s="11">
        <v>0.21668744297111062</v>
      </c>
    </row>
    <row r="3462" ht="22.5" customHeight="1">
      <c r="Q3462" s="9" t="s">
        <v>3500</v>
      </c>
      <c r="R3462" s="10">
        <v>0.7767509395697358</v>
      </c>
      <c r="S3462" s="10">
        <v>0.03597753462390818</v>
      </c>
      <c r="T3462" s="10">
        <v>20.47808298348887</v>
      </c>
      <c r="U3462" s="11">
        <v>0.21110381810568352</v>
      </c>
      <c r="V3462" s="11">
        <v>0.23767993098561835</v>
      </c>
      <c r="W3462" s="11">
        <v>0.23889045103086268</v>
      </c>
      <c r="X3462" s="11">
        <v>0.12873624239463174</v>
      </c>
      <c r="Y3462" s="11">
        <v>0.058662367178510734</v>
      </c>
      <c r="Z3462" s="11">
        <v>0.12492719030469286</v>
      </c>
    </row>
    <row r="3463" ht="22.5" customHeight="1">
      <c r="Q3463" s="9" t="s">
        <v>3501</v>
      </c>
      <c r="R3463" s="10">
        <v>0.7047763316265852</v>
      </c>
      <c r="S3463" s="10">
        <v>0.03246331525355249</v>
      </c>
      <c r="T3463" s="10">
        <v>20.477770875660582</v>
      </c>
      <c r="U3463" s="11">
        <v>0.25198502464880856</v>
      </c>
      <c r="V3463" s="11">
        <v>0.18984992009480292</v>
      </c>
      <c r="W3463" s="11">
        <v>0.23301397002827673</v>
      </c>
      <c r="X3463" s="11">
        <v>0.1559134425821758</v>
      </c>
      <c r="Y3463" s="11">
        <v>0.020741400430945283</v>
      </c>
      <c r="Z3463" s="11">
        <v>0.1484962422149907</v>
      </c>
    </row>
    <row r="3464" ht="22.5" customHeight="1">
      <c r="Q3464" s="9" t="s">
        <v>3502</v>
      </c>
      <c r="R3464" s="10">
        <v>0.8601612785964311</v>
      </c>
      <c r="S3464" s="10">
        <v>0.04005148956436376</v>
      </c>
      <c r="T3464" s="10">
        <v>20.477672304257524</v>
      </c>
      <c r="U3464" s="11">
        <v>0.16829386985491793</v>
      </c>
      <c r="V3464" s="11">
        <v>0.2670927664619271</v>
      </c>
      <c r="W3464" s="11">
        <v>0.2654258457018183</v>
      </c>
      <c r="X3464" s="11">
        <v>0.19756257706288768</v>
      </c>
      <c r="Y3464" s="11">
        <v>0.01962402167925531</v>
      </c>
      <c r="Z3464" s="11">
        <v>0.08200091923919373</v>
      </c>
    </row>
    <row r="3465" ht="22.5" customHeight="1">
      <c r="Q3465" s="9" t="s">
        <v>3503</v>
      </c>
      <c r="R3465" s="10">
        <v>0.7026466114373977</v>
      </c>
      <c r="S3465" s="10">
        <v>0.03235950543192125</v>
      </c>
      <c r="T3465" s="10">
        <v>20.477649537366705</v>
      </c>
      <c r="U3465" s="11">
        <v>0.1545139606946747</v>
      </c>
      <c r="V3465" s="11">
        <v>0.21874133905146487</v>
      </c>
      <c r="W3465" s="11">
        <v>0.20899911912451857</v>
      </c>
      <c r="X3465" s="11">
        <v>0.07962095587815558</v>
      </c>
      <c r="Y3465" s="11">
        <v>0.1247685716209556</v>
      </c>
      <c r="Z3465" s="11">
        <v>0.21335605363023077</v>
      </c>
    </row>
    <row r="3466" ht="22.5" customHeight="1">
      <c r="Q3466" s="9" t="s">
        <v>3504</v>
      </c>
      <c r="R3466" s="10">
        <v>0.6465955074090817</v>
      </c>
      <c r="S3466" s="10">
        <v>0.0296232337788233</v>
      </c>
      <c r="T3466" s="10">
        <v>20.477018543556756</v>
      </c>
      <c r="U3466" s="11">
        <v>0.17245162947881504</v>
      </c>
      <c r="V3466" s="11">
        <v>0.1799705588169951</v>
      </c>
      <c r="W3466" s="11">
        <v>0.20034591514641598</v>
      </c>
      <c r="X3466" s="11">
        <v>0.0524888396455308</v>
      </c>
      <c r="Y3466" s="11">
        <v>0.2712467330520599</v>
      </c>
      <c r="Z3466" s="11">
        <v>0.12349632386018317</v>
      </c>
    </row>
    <row r="3467" ht="22.5" customHeight="1">
      <c r="Q3467" s="9" t="s">
        <v>3505</v>
      </c>
      <c r="R3467" s="10">
        <v>0.6700081104903144</v>
      </c>
      <c r="S3467" s="10">
        <v>0.030767212001774208</v>
      </c>
      <c r="T3467" s="10">
        <v>20.476607059943703</v>
      </c>
      <c r="U3467" s="11">
        <v>0.36796211086037134</v>
      </c>
      <c r="V3467" s="11">
        <v>0.20264798075791302</v>
      </c>
      <c r="W3467" s="11">
        <v>0.19694268826974065</v>
      </c>
      <c r="X3467" s="11">
        <v>0.040256515601819975</v>
      </c>
      <c r="Y3467" s="11">
        <v>0.10530762387285325</v>
      </c>
      <c r="Z3467" s="11">
        <v>0.08688308063730182</v>
      </c>
    </row>
    <row r="3468" ht="22.5" customHeight="1">
      <c r="Q3468" s="9" t="s">
        <v>3506</v>
      </c>
      <c r="R3468" s="10">
        <v>0.7763703204524267</v>
      </c>
      <c r="S3468" s="10">
        <v>0.035961703228599914</v>
      </c>
      <c r="T3468" s="10">
        <v>20.476514023028813</v>
      </c>
      <c r="U3468" s="11">
        <v>0.14502075503159376</v>
      </c>
      <c r="V3468" s="11">
        <v>0.2440067753337785</v>
      </c>
      <c r="W3468" s="11">
        <v>0.22935905437500792</v>
      </c>
      <c r="X3468" s="11">
        <v>0.08791861090458987</v>
      </c>
      <c r="Y3468" s="11">
        <v>0.217890399325393</v>
      </c>
      <c r="Z3468" s="11">
        <v>0.07580440502963692</v>
      </c>
    </row>
    <row r="3469" ht="22.5" customHeight="1">
      <c r="Q3469" s="9" t="s">
        <v>3507</v>
      </c>
      <c r="R3469" s="10">
        <v>0.4084078931074085</v>
      </c>
      <c r="S3469" s="10">
        <v>0.017991737705492318</v>
      </c>
      <c r="T3469" s="10">
        <v>20.476504223099308</v>
      </c>
      <c r="U3469" s="11">
        <v>0.28696109412345144</v>
      </c>
      <c r="V3469" s="11">
        <v>0.051801009433552765</v>
      </c>
      <c r="W3469" s="11">
        <v>0.13613577709472208</v>
      </c>
      <c r="X3469" s="11">
        <v>0.2261145715513967</v>
      </c>
      <c r="Y3469" s="11">
        <v>0.1880002453211007</v>
      </c>
      <c r="Z3469" s="11">
        <v>0.11098730247577632</v>
      </c>
    </row>
    <row r="3470" ht="22.5" customHeight="1">
      <c r="Q3470" s="9" t="s">
        <v>3508</v>
      </c>
      <c r="R3470" s="10">
        <v>0.7201306929047099</v>
      </c>
      <c r="S3470" s="10">
        <v>0.03321533967502444</v>
      </c>
      <c r="T3470" s="10">
        <v>20.476403359382758</v>
      </c>
      <c r="U3470" s="11">
        <v>0.16152154748070355</v>
      </c>
      <c r="V3470" s="11">
        <v>0.19917597062486672</v>
      </c>
      <c r="W3470" s="11">
        <v>0.23247577918576953</v>
      </c>
      <c r="X3470" s="11">
        <v>0.10771482094710069</v>
      </c>
      <c r="Y3470" s="11">
        <v>0.20397974909053096</v>
      </c>
      <c r="Z3470" s="11">
        <v>0.09513213267102857</v>
      </c>
    </row>
    <row r="3471" ht="22.5" customHeight="1">
      <c r="Q3471" s="9" t="s">
        <v>3509</v>
      </c>
      <c r="R3471" s="10">
        <v>0.8630250651576472</v>
      </c>
      <c r="S3471" s="10">
        <v>0.040193990604521015</v>
      </c>
      <c r="T3471" s="10">
        <v>20.476321280352625</v>
      </c>
      <c r="U3471" s="11">
        <v>0.18679965488651723</v>
      </c>
      <c r="V3471" s="11">
        <v>0.3001073311148772</v>
      </c>
      <c r="W3471" s="11">
        <v>0.23302657251909825</v>
      </c>
      <c r="X3471" s="11">
        <v>0.16896446110782073</v>
      </c>
      <c r="Y3471" s="11">
        <v>0.05610704233018792</v>
      </c>
      <c r="Z3471" s="11">
        <v>0.0549949380414989</v>
      </c>
    </row>
    <row r="3472" ht="22.5" customHeight="1">
      <c r="Q3472" s="9" t="s">
        <v>3510</v>
      </c>
      <c r="R3472" s="10">
        <v>0.522331348251574</v>
      </c>
      <c r="S3472" s="10">
        <v>0.032951625403160184</v>
      </c>
      <c r="T3472" s="10">
        <v>20.476310513507574</v>
      </c>
      <c r="U3472" s="11">
        <v>0.26381682144421315</v>
      </c>
      <c r="V3472" s="11">
        <v>0.18913946395738246</v>
      </c>
      <c r="W3472" s="11">
        <v>0.23700829267875298</v>
      </c>
      <c r="X3472" s="11">
        <v>0.12988869746134643</v>
      </c>
      <c r="Y3472" s="11">
        <v>0.1151984512842836</v>
      </c>
      <c r="Z3472" s="11">
        <v>0.06494827317402142</v>
      </c>
    </row>
    <row r="3473" ht="22.5" customHeight="1">
      <c r="Q3473" s="9" t="s">
        <v>3511</v>
      </c>
      <c r="R3473" s="10">
        <v>0.4515790135885065</v>
      </c>
      <c r="S3473" s="10">
        <v>0.020100262922580662</v>
      </c>
      <c r="T3473" s="10">
        <v>20.476299995366634</v>
      </c>
      <c r="U3473" s="11">
        <v>0.2241823687381285</v>
      </c>
      <c r="V3473" s="11">
        <v>0.09180268778267187</v>
      </c>
      <c r="W3473" s="11">
        <v>0.14743341869900045</v>
      </c>
      <c r="X3473" s="11">
        <v>0.09443488064985328</v>
      </c>
      <c r="Y3473" s="11">
        <v>0.18146282519307705</v>
      </c>
      <c r="Z3473" s="11">
        <v>0.2606838189372689</v>
      </c>
    </row>
    <row r="3474" ht="22.5" customHeight="1">
      <c r="Q3474" s="9" t="s">
        <v>3512</v>
      </c>
      <c r="R3474" s="10">
        <v>0.48988277703746996</v>
      </c>
      <c r="S3474" s="10">
        <v>0.02197096643823319</v>
      </c>
      <c r="T3474" s="10">
        <v>20.476239782270024</v>
      </c>
      <c r="U3474" s="11">
        <v>0.20229899264218457</v>
      </c>
      <c r="V3474" s="11">
        <v>0.1900911877818067</v>
      </c>
      <c r="W3474" s="11">
        <v>0.0651560689607094</v>
      </c>
      <c r="X3474" s="11">
        <v>0.19680248462035094</v>
      </c>
      <c r="Y3474" s="11">
        <v>0.11070189610454394</v>
      </c>
      <c r="Z3474" s="11">
        <v>0.23494936989040444</v>
      </c>
    </row>
    <row r="3475" ht="22.5" customHeight="1">
      <c r="Q3475" s="9" t="s">
        <v>3513</v>
      </c>
      <c r="R3475" s="10">
        <v>0.7769891093996465</v>
      </c>
      <c r="S3475" s="10">
        <v>0.03599242672430711</v>
      </c>
      <c r="T3475" s="10">
        <v>20.476227264274144</v>
      </c>
      <c r="U3475" s="11">
        <v>0.19312746535298936</v>
      </c>
      <c r="V3475" s="11">
        <v>0.21737164711801638</v>
      </c>
      <c r="W3475" s="11">
        <v>0.2547567547123602</v>
      </c>
      <c r="X3475" s="11">
        <v>0.16832843911388873</v>
      </c>
      <c r="Y3475" s="11">
        <v>0.0765576374014393</v>
      </c>
      <c r="Z3475" s="11">
        <v>0.08985805630130599</v>
      </c>
    </row>
    <row r="3476" ht="22.5" customHeight="1">
      <c r="Q3476" s="9" t="s">
        <v>3514</v>
      </c>
      <c r="R3476" s="10">
        <v>0.5361319011441598</v>
      </c>
      <c r="S3476" s="10">
        <v>0.024229761303248897</v>
      </c>
      <c r="T3476" s="10">
        <v>20.47613655515603</v>
      </c>
      <c r="U3476" s="11">
        <v>0.25330785788882054</v>
      </c>
      <c r="V3476" s="11">
        <v>0.1241160646569875</v>
      </c>
      <c r="W3476" s="11">
        <v>0.17715902470659328</v>
      </c>
      <c r="X3476" s="11">
        <v>0.0847567212930755</v>
      </c>
      <c r="Y3476" s="11">
        <v>0.1587010747697219</v>
      </c>
      <c r="Z3476" s="11">
        <v>0.20195925668480114</v>
      </c>
    </row>
    <row r="3477" ht="22.5" customHeight="1">
      <c r="Q3477" s="9" t="s">
        <v>3515</v>
      </c>
      <c r="R3477" s="10">
        <v>0.5858730737124154</v>
      </c>
      <c r="S3477" s="10">
        <v>0.02665931625779343</v>
      </c>
      <c r="T3477" s="10">
        <v>20.4758842437618</v>
      </c>
      <c r="U3477" s="11">
        <v>0.23838566888450277</v>
      </c>
      <c r="V3477" s="11">
        <v>0.19671579641641374</v>
      </c>
      <c r="W3477" s="11">
        <v>0.1463644477711355</v>
      </c>
      <c r="X3477" s="11">
        <v>0.013637501500619507</v>
      </c>
      <c r="Y3477" s="11">
        <v>0.17970452266117856</v>
      </c>
      <c r="Z3477" s="11">
        <v>0.22519206276614995</v>
      </c>
    </row>
    <row r="3478" ht="22.5" customHeight="1">
      <c r="Q3478" s="9" t="s">
        <v>3516</v>
      </c>
      <c r="R3478" s="10">
        <v>0.7727950683435898</v>
      </c>
      <c r="S3478" s="10">
        <v>0.035788461783045795</v>
      </c>
      <c r="T3478" s="10">
        <v>20.475735246345224</v>
      </c>
      <c r="U3478" s="11">
        <v>0.2098095714869891</v>
      </c>
      <c r="V3478" s="11">
        <v>0.23887974668848627</v>
      </c>
      <c r="W3478" s="11">
        <v>0.23070061295180233</v>
      </c>
      <c r="X3478" s="11">
        <v>0.07755479804943945</v>
      </c>
      <c r="Y3478" s="11">
        <v>0.20794048255641628</v>
      </c>
      <c r="Z3478" s="11">
        <v>0.03511478826686662</v>
      </c>
    </row>
    <row r="3479" ht="22.5" customHeight="1">
      <c r="Q3479" s="9" t="s">
        <v>3517</v>
      </c>
      <c r="R3479" s="10">
        <v>0.6465380503537573</v>
      </c>
      <c r="S3479" s="10">
        <v>0.029622370881491562</v>
      </c>
      <c r="T3479" s="10">
        <v>20.475675386696683</v>
      </c>
      <c r="U3479" s="11">
        <v>0.15162477796122142</v>
      </c>
      <c r="V3479" s="11">
        <v>0.24065655515096418</v>
      </c>
      <c r="W3479" s="11">
        <v>0.13827144808889832</v>
      </c>
      <c r="X3479" s="11">
        <v>0.09780126257870292</v>
      </c>
      <c r="Y3479" s="11">
        <v>0.18119001746451044</v>
      </c>
      <c r="Z3479" s="11">
        <v>0.19045593875570274</v>
      </c>
    </row>
    <row r="3480" ht="22.5" customHeight="1">
      <c r="Q3480" s="9" t="s">
        <v>3518</v>
      </c>
      <c r="R3480" s="10">
        <v>0.7640733331750141</v>
      </c>
      <c r="S3480" s="10">
        <v>0.035362837395636386</v>
      </c>
      <c r="T3480" s="10">
        <v>20.475544003275072</v>
      </c>
      <c r="U3480" s="11">
        <v>0.2617285887957845</v>
      </c>
      <c r="V3480" s="11">
        <v>0.1988254915239312</v>
      </c>
      <c r="W3480" s="11">
        <v>0.2592093905176589</v>
      </c>
      <c r="X3480" s="11">
        <v>0.2083542564998318</v>
      </c>
      <c r="Y3480" s="11">
        <v>0.027717068629805296</v>
      </c>
      <c r="Z3480" s="11">
        <v>0.044165204032988306</v>
      </c>
    </row>
    <row r="3481" ht="22.5" customHeight="1">
      <c r="Q3481" s="9" t="s">
        <v>3519</v>
      </c>
      <c r="R3481" s="10">
        <v>0.8037429466432288</v>
      </c>
      <c r="S3481" s="10">
        <v>0.03730042509610279</v>
      </c>
      <c r="T3481" s="10">
        <v>20.475448863531206</v>
      </c>
      <c r="U3481" s="11">
        <v>0.018497770468552225</v>
      </c>
      <c r="V3481" s="11">
        <v>0.26581571445389746</v>
      </c>
      <c r="W3481" s="11">
        <v>0.23176530097738404</v>
      </c>
      <c r="X3481" s="11">
        <v>0.17592029987078645</v>
      </c>
      <c r="Y3481" s="11">
        <v>0.08091929882950562</v>
      </c>
      <c r="Z3481" s="11">
        <v>0.2270816153998742</v>
      </c>
    </row>
    <row r="3482" ht="22.5" customHeight="1">
      <c r="Q3482" s="9" t="s">
        <v>3520</v>
      </c>
      <c r="R3482" s="10">
        <v>0.7654667738305307</v>
      </c>
      <c r="S3482" s="10">
        <v>0.0354314768502515</v>
      </c>
      <c r="T3482" s="10">
        <v>20.475205617216073</v>
      </c>
      <c r="U3482" s="11">
        <v>0.1167050920974824</v>
      </c>
      <c r="V3482" s="11">
        <v>0.2641098613857817</v>
      </c>
      <c r="W3482" s="11">
        <v>0.20666700169342123</v>
      </c>
      <c r="X3482" s="11">
        <v>0.1328685090326162</v>
      </c>
      <c r="Y3482" s="11">
        <v>0.06889121100508398</v>
      </c>
      <c r="Z3482" s="11">
        <v>0.2107583247856146</v>
      </c>
    </row>
    <row r="3483" ht="22.5" customHeight="1">
      <c r="Q3483" s="9" t="s">
        <v>3521</v>
      </c>
      <c r="R3483" s="10">
        <v>0.6247855382483972</v>
      </c>
      <c r="S3483" s="10">
        <v>0.028561209045990892</v>
      </c>
      <c r="T3483" s="10">
        <v>20.474817340776507</v>
      </c>
      <c r="U3483" s="11">
        <v>0.18801305189978884</v>
      </c>
      <c r="V3483" s="11">
        <v>0.14224374834534992</v>
      </c>
      <c r="W3483" s="11">
        <v>0.21690273916351632</v>
      </c>
      <c r="X3483" s="11">
        <v>0.1714720459260912</v>
      </c>
      <c r="Y3483" s="11">
        <v>0.13781695346634365</v>
      </c>
      <c r="Z3483" s="11">
        <v>0.14355146119891002</v>
      </c>
    </row>
    <row r="3484" ht="22.5" customHeight="1">
      <c r="Q3484" s="9" t="s">
        <v>3522</v>
      </c>
      <c r="R3484" s="10">
        <v>0.666870755825902</v>
      </c>
      <c r="S3484" s="10">
        <v>0.030616954758742963</v>
      </c>
      <c r="T3484" s="10">
        <v>20.474627890511975</v>
      </c>
      <c r="U3484" s="11">
        <v>0.24303292049003666</v>
      </c>
      <c r="V3484" s="11">
        <v>0.2112198944424465</v>
      </c>
      <c r="W3484" s="11">
        <v>0.1873260274992381</v>
      </c>
      <c r="X3484" s="11">
        <v>0.02494209680633629</v>
      </c>
      <c r="Y3484" s="11">
        <v>0.20290293092940942</v>
      </c>
      <c r="Z3484" s="11">
        <v>0.13057612983253297</v>
      </c>
    </row>
    <row r="3485" ht="22.5" customHeight="1">
      <c r="Q3485" s="9" t="s">
        <v>3523</v>
      </c>
      <c r="R3485" s="10">
        <v>0.7032414975207514</v>
      </c>
      <c r="S3485" s="10">
        <v>0.032393642694149065</v>
      </c>
      <c r="T3485" s="10">
        <v>20.474433943192995</v>
      </c>
      <c r="U3485" s="11">
        <v>0.2399355034792542</v>
      </c>
      <c r="V3485" s="11">
        <v>0.2676483051498897</v>
      </c>
      <c r="W3485" s="11">
        <v>0.14724749295846795</v>
      </c>
      <c r="X3485" s="11">
        <v>0.17055725325752244</v>
      </c>
      <c r="Y3485" s="11">
        <v>0.04356193951828353</v>
      </c>
      <c r="Z3485" s="11">
        <v>0.13104950563658213</v>
      </c>
    </row>
    <row r="3486" ht="22.5" customHeight="1">
      <c r="Q3486" s="9" t="s">
        <v>3524</v>
      </c>
      <c r="R3486" s="10">
        <v>0.5842577979679179</v>
      </c>
      <c r="S3486" s="10">
        <v>0.026582705091037457</v>
      </c>
      <c r="T3486" s="10">
        <v>20.474131436360782</v>
      </c>
      <c r="U3486" s="11">
        <v>0.2062441558569223</v>
      </c>
      <c r="V3486" s="11">
        <v>0.2271100815609229</v>
      </c>
      <c r="W3486" s="11">
        <v>0.10105940640604927</v>
      </c>
      <c r="X3486" s="11">
        <v>0.17600093390940127</v>
      </c>
      <c r="Y3486" s="11">
        <v>0.07389701666911729</v>
      </c>
      <c r="Z3486" s="11">
        <v>0.21568840559758704</v>
      </c>
    </row>
    <row r="3487" ht="22.5" customHeight="1">
      <c r="Q3487" s="9" t="s">
        <v>3525</v>
      </c>
      <c r="R3487" s="10">
        <v>0.856234270262613</v>
      </c>
      <c r="S3487" s="10">
        <v>0.039867416851662986</v>
      </c>
      <c r="T3487" s="10">
        <v>20.473718508014283</v>
      </c>
      <c r="U3487" s="11">
        <v>2.8055265090980397E-4</v>
      </c>
      <c r="V3487" s="11">
        <v>0.2657926766769614</v>
      </c>
      <c r="W3487" s="11">
        <v>0.26514456358589755</v>
      </c>
      <c r="X3487" s="11">
        <v>0.2569929786691425</v>
      </c>
      <c r="Y3487" s="11">
        <v>0.01881140982428108</v>
      </c>
      <c r="Z3487" s="11">
        <v>0.19297781859280774</v>
      </c>
    </row>
    <row r="3488" ht="22.5" customHeight="1">
      <c r="Q3488" s="9" t="s">
        <v>3526</v>
      </c>
      <c r="R3488" s="10">
        <v>0.8772874004614813</v>
      </c>
      <c r="S3488" s="10">
        <v>0.04089579980384189</v>
      </c>
      <c r="T3488" s="10">
        <v>20.47367711299349</v>
      </c>
      <c r="U3488" s="11">
        <v>0.1691671657442639</v>
      </c>
      <c r="V3488" s="11">
        <v>0.2557098476553441</v>
      </c>
      <c r="W3488" s="11">
        <v>0.2840729975819248</v>
      </c>
      <c r="X3488" s="11">
        <v>0.22490103515575777</v>
      </c>
      <c r="Y3488" s="11">
        <v>0.04982218975797869</v>
      </c>
      <c r="Z3488" s="11">
        <v>0.01632676410473083</v>
      </c>
    </row>
    <row r="3489" ht="22.5" customHeight="1">
      <c r="Q3489" s="9" t="s">
        <v>3527</v>
      </c>
      <c r="R3489" s="10">
        <v>0.5786102033710773</v>
      </c>
      <c r="S3489" s="10">
        <v>0.026307740738626108</v>
      </c>
      <c r="T3489" s="10">
        <v>20.473449572211557</v>
      </c>
      <c r="U3489" s="11">
        <v>0.36861210990852894</v>
      </c>
      <c r="V3489" s="11">
        <v>0.1582222357321267</v>
      </c>
      <c r="W3489" s="11">
        <v>0.17854673495529702</v>
      </c>
      <c r="X3489" s="11">
        <v>0.061026467201883504</v>
      </c>
      <c r="Y3489" s="11">
        <v>0.03577462938633374</v>
      </c>
      <c r="Z3489" s="11">
        <v>0.19781782281583002</v>
      </c>
    </row>
    <row r="3490" ht="22.5" customHeight="1">
      <c r="Q3490" s="9" t="s">
        <v>3528</v>
      </c>
      <c r="R3490" s="10">
        <v>0.5995329834027828</v>
      </c>
      <c r="S3490" s="10">
        <v>0.0273299360241737</v>
      </c>
      <c r="T3490" s="10">
        <v>20.473263563729834</v>
      </c>
      <c r="U3490" s="11">
        <v>0.06046969815308679</v>
      </c>
      <c r="V3490" s="11">
        <v>0.2307382185895027</v>
      </c>
      <c r="W3490" s="11">
        <v>0.0936065152972584</v>
      </c>
      <c r="X3490" s="11">
        <v>0.20959848510180448</v>
      </c>
      <c r="Y3490" s="11">
        <v>0.3241771489546967</v>
      </c>
      <c r="Z3490" s="11">
        <v>0.08140993390365091</v>
      </c>
    </row>
    <row r="3491" ht="22.5" customHeight="1">
      <c r="Q3491" s="9" t="s">
        <v>3529</v>
      </c>
      <c r="R3491" s="10">
        <v>0.5340549392789659</v>
      </c>
      <c r="S3491" s="10">
        <v>0.024131758353448225</v>
      </c>
      <c r="T3491" s="10">
        <v>20.47322586455328</v>
      </c>
      <c r="U3491" s="11">
        <v>0.22398391896626105</v>
      </c>
      <c r="V3491" s="11">
        <v>0.20461075110390192</v>
      </c>
      <c r="W3491" s="11">
        <v>0.08655736972248254</v>
      </c>
      <c r="X3491" s="11">
        <v>0.13256725933956032</v>
      </c>
      <c r="Y3491" s="11">
        <v>0.15571773989437854</v>
      </c>
      <c r="Z3491" s="11">
        <v>0.19656296097341558</v>
      </c>
    </row>
    <row r="3492" ht="22.5" customHeight="1">
      <c r="Q3492" s="9" t="s">
        <v>3530</v>
      </c>
      <c r="R3492" s="10">
        <v>0.5881795276793151</v>
      </c>
      <c r="S3492" s="10">
        <v>0.026775743556745807</v>
      </c>
      <c r="T3492" s="10">
        <v>20.472989910347728</v>
      </c>
      <c r="U3492" s="11">
        <v>0.22354505130218702</v>
      </c>
      <c r="V3492" s="11">
        <v>0.2075147760545028</v>
      </c>
      <c r="W3492" s="11">
        <v>0.13627366235066962</v>
      </c>
      <c r="X3492" s="11">
        <v>0.03758345317752837</v>
      </c>
      <c r="Y3492" s="11">
        <v>0.15319894715853286</v>
      </c>
      <c r="Z3492" s="11">
        <v>0.2418841099565793</v>
      </c>
    </row>
    <row r="3493" ht="22.5" customHeight="1">
      <c r="Q3493" s="9" t="s">
        <v>3531</v>
      </c>
      <c r="R3493" s="10">
        <v>0.6104712641574708</v>
      </c>
      <c r="S3493" s="10">
        <v>0.027865128974638973</v>
      </c>
      <c r="T3493" s="10">
        <v>20.472586531958154</v>
      </c>
      <c r="U3493" s="11">
        <v>0.0543778689561508</v>
      </c>
      <c r="V3493" s="11">
        <v>0.21695365089805826</v>
      </c>
      <c r="W3493" s="11">
        <v>0.14371031522244473</v>
      </c>
      <c r="X3493" s="11">
        <v>0.06809492884688513</v>
      </c>
      <c r="Y3493" s="11">
        <v>0.21038437051003178</v>
      </c>
      <c r="Z3493" s="11">
        <v>0.3064788655664293</v>
      </c>
    </row>
    <row r="3494" ht="22.5" customHeight="1">
      <c r="Q3494" s="9" t="s">
        <v>3532</v>
      </c>
      <c r="R3494" s="10">
        <v>0.6613103989169323</v>
      </c>
      <c r="S3494" s="10">
        <v>0.03034861290498032</v>
      </c>
      <c r="T3494" s="10">
        <v>20.47244797850293</v>
      </c>
      <c r="U3494" s="11">
        <v>0.22143145401797165</v>
      </c>
      <c r="V3494" s="11">
        <v>0.19278533499941491</v>
      </c>
      <c r="W3494" s="11">
        <v>0.2049190462750574</v>
      </c>
      <c r="X3494" s="11">
        <v>0.07245521421986184</v>
      </c>
      <c r="Y3494" s="11">
        <v>0.10025880671340623</v>
      </c>
      <c r="Z3494" s="11">
        <v>0.20815014377428787</v>
      </c>
    </row>
    <row r="3495" ht="22.5" customHeight="1">
      <c r="Q3495" s="9" t="s">
        <v>3533</v>
      </c>
      <c r="R3495" s="10">
        <v>0.6140064131545124</v>
      </c>
      <c r="S3495" s="10">
        <v>0.028038550187020915</v>
      </c>
      <c r="T3495" s="10">
        <v>20.472043287752474</v>
      </c>
      <c r="U3495" s="11">
        <v>0.2275252308713094</v>
      </c>
      <c r="V3495" s="11">
        <v>0.22421649117591844</v>
      </c>
      <c r="W3495" s="11">
        <v>0.13734392172435028</v>
      </c>
      <c r="X3495" s="11">
        <v>0.08770198577896031</v>
      </c>
      <c r="Y3495" s="11">
        <v>0.06444343444746588</v>
      </c>
      <c r="Z3495" s="11">
        <v>0.2587689360019956</v>
      </c>
    </row>
    <row r="3496" ht="22.5" customHeight="1">
      <c r="Q3496" s="9" t="s">
        <v>3534</v>
      </c>
      <c r="R3496" s="10">
        <v>0.687689010143177</v>
      </c>
      <c r="S3496" s="10">
        <v>0.031638996373355044</v>
      </c>
      <c r="T3496" s="10">
        <v>20.471224892855066</v>
      </c>
      <c r="U3496" s="11">
        <v>0.05553405410056634</v>
      </c>
      <c r="V3496" s="11">
        <v>0.16143865639631713</v>
      </c>
      <c r="W3496" s="11">
        <v>0.2374179952244714</v>
      </c>
      <c r="X3496" s="11">
        <v>0.20930462255063995</v>
      </c>
      <c r="Y3496" s="11">
        <v>0.24438233105452642</v>
      </c>
      <c r="Z3496" s="11">
        <v>0.09192234067347868</v>
      </c>
    </row>
    <row r="3497" ht="22.5" customHeight="1">
      <c r="Q3497" s="9" t="s">
        <v>3535</v>
      </c>
      <c r="R3497" s="10">
        <v>0.649200324746956</v>
      </c>
      <c r="S3497" s="10">
        <v>0.02975940284350165</v>
      </c>
      <c r="T3497" s="10">
        <v>20.470851782564672</v>
      </c>
      <c r="U3497" s="11">
        <v>0.2712924241207184</v>
      </c>
      <c r="V3497" s="11">
        <v>0.1851133533346619</v>
      </c>
      <c r="W3497" s="11">
        <v>0.2018478833707375</v>
      </c>
      <c r="X3497" s="11">
        <v>0.05784029516383521</v>
      </c>
      <c r="Y3497" s="11">
        <v>0.12006252040701873</v>
      </c>
      <c r="Z3497" s="11">
        <v>0.16384352360302837</v>
      </c>
    </row>
    <row r="3498" ht="22.5" customHeight="1">
      <c r="Q3498" s="9" t="s">
        <v>3536</v>
      </c>
      <c r="R3498" s="10">
        <v>0.5466846047801346</v>
      </c>
      <c r="S3498" s="10">
        <v>0.024751734552858222</v>
      </c>
      <c r="T3498" s="10">
        <v>20.47067059878536</v>
      </c>
      <c r="U3498" s="11">
        <v>0.22872840963194443</v>
      </c>
      <c r="V3498" s="11">
        <v>0.15240682763650454</v>
      </c>
      <c r="W3498" s="11">
        <v>0.14730503616057075</v>
      </c>
      <c r="X3498" s="11">
        <v>0.016907463098180815</v>
      </c>
      <c r="Y3498" s="11">
        <v>0.4091274724410613</v>
      </c>
      <c r="Z3498" s="11">
        <v>0.0455247910317382</v>
      </c>
    </row>
    <row r="3499" ht="22.5" customHeight="1">
      <c r="Q3499" s="9" t="s">
        <v>3537</v>
      </c>
      <c r="R3499" s="10">
        <v>0.6591121615966331</v>
      </c>
      <c r="S3499" s="10">
        <v>0.030244466948249345</v>
      </c>
      <c r="T3499" s="10">
        <v>20.470261970759232</v>
      </c>
      <c r="U3499" s="11">
        <v>0.22755823802313732</v>
      </c>
      <c r="V3499" s="11">
        <v>0.23643073046486643</v>
      </c>
      <c r="W3499" s="11">
        <v>0.14669628665714457</v>
      </c>
      <c r="X3499" s="11">
        <v>0.05545115189443465</v>
      </c>
      <c r="Y3499" s="11">
        <v>0.27413734992527045</v>
      </c>
      <c r="Z3499" s="11">
        <v>0.05972624303514657</v>
      </c>
    </row>
    <row r="3500" ht="22.5" customHeight="1">
      <c r="Q3500" s="9" t="s">
        <v>3538</v>
      </c>
      <c r="R3500" s="10">
        <v>0.575935690394183</v>
      </c>
      <c r="S3500" s="10">
        <v>0.026181268748206404</v>
      </c>
      <c r="T3500" s="10">
        <v>20.470195525986426</v>
      </c>
      <c r="U3500" s="11">
        <v>0.30187336183416524</v>
      </c>
      <c r="V3500" s="11">
        <v>0.2270366978362045</v>
      </c>
      <c r="W3500" s="11">
        <v>0.07179888691719875</v>
      </c>
      <c r="X3500" s="11">
        <v>0.30545400369069436</v>
      </c>
      <c r="Y3500" s="11">
        <v>0.0835374996221428</v>
      </c>
      <c r="Z3500" s="11">
        <v>0.010299550099594405</v>
      </c>
    </row>
    <row r="3501" ht="22.5" customHeight="1">
      <c r="Q3501" s="9" t="s">
        <v>3539</v>
      </c>
      <c r="R3501" s="10">
        <v>0.6492990026738609</v>
      </c>
      <c r="S3501" s="10">
        <v>0.02976518406574899</v>
      </c>
      <c r="T3501" s="10">
        <v>20.470190989847953</v>
      </c>
      <c r="U3501" s="11">
        <v>0.21845944923775104</v>
      </c>
      <c r="V3501" s="11">
        <v>0.14721114799490187</v>
      </c>
      <c r="W3501" s="11">
        <v>0.2239160678142481</v>
      </c>
      <c r="X3501" s="11">
        <v>0.15985451708536344</v>
      </c>
      <c r="Y3501" s="11">
        <v>0.21598346994848597</v>
      </c>
      <c r="Z3501" s="11">
        <v>0.034575347919249586</v>
      </c>
    </row>
    <row r="3502" ht="22.5" customHeight="1">
      <c r="Q3502" s="9" t="s">
        <v>3540</v>
      </c>
      <c r="R3502" s="10">
        <v>0.595706884940947</v>
      </c>
      <c r="S3502" s="10">
        <v>0.027147377397262452</v>
      </c>
      <c r="T3502" s="10">
        <v>20.470002564482883</v>
      </c>
      <c r="U3502" s="11">
        <v>0.17474080219095908</v>
      </c>
      <c r="V3502" s="11">
        <v>0.22795778320698104</v>
      </c>
      <c r="W3502" s="11">
        <v>0.10636776461240612</v>
      </c>
      <c r="X3502" s="11">
        <v>0.12895544249470156</v>
      </c>
      <c r="Y3502" s="11">
        <v>0.21368108568651822</v>
      </c>
      <c r="Z3502" s="11">
        <v>0.148297121808434</v>
      </c>
    </row>
    <row r="3503" ht="22.5" customHeight="1">
      <c r="Q3503" s="9" t="s">
        <v>3541</v>
      </c>
      <c r="R3503" s="10">
        <v>0.4452550661007999</v>
      </c>
      <c r="S3503" s="10">
        <v>0.01979760695128412</v>
      </c>
      <c r="T3503" s="10">
        <v>20.46990159457197</v>
      </c>
      <c r="U3503" s="11">
        <v>0.1763351027214546</v>
      </c>
      <c r="V3503" s="11">
        <v>0.1534077967519595</v>
      </c>
      <c r="W3503" s="11">
        <v>0.08522846276067834</v>
      </c>
      <c r="X3503" s="11">
        <v>0.03461153256551556</v>
      </c>
      <c r="Y3503" s="11">
        <v>0.22900271483942286</v>
      </c>
      <c r="Z3503" s="11">
        <v>0.3214143903609691</v>
      </c>
    </row>
    <row r="3504" ht="22.5" customHeight="1">
      <c r="Q3504" s="9" t="s">
        <v>3542</v>
      </c>
      <c r="R3504" s="10">
        <v>0.5864075249174564</v>
      </c>
      <c r="S3504" s="10">
        <v>0.02669328520526651</v>
      </c>
      <c r="T3504" s="10">
        <v>20.469849279160726</v>
      </c>
      <c r="U3504" s="11">
        <v>0.17739540081601476</v>
      </c>
      <c r="V3504" s="11">
        <v>0.2111067631718895</v>
      </c>
      <c r="W3504" s="11">
        <v>0.12716251022198904</v>
      </c>
      <c r="X3504" s="11">
        <v>0.047124339508342515</v>
      </c>
      <c r="Y3504" s="11">
        <v>0.22515677808659204</v>
      </c>
      <c r="Z3504" s="11">
        <v>0.21205420819517218</v>
      </c>
    </row>
    <row r="3505" ht="22.5" customHeight="1">
      <c r="Q3505" s="9" t="s">
        <v>3543</v>
      </c>
      <c r="R3505" s="10">
        <v>0.6395035511164378</v>
      </c>
      <c r="S3505" s="10">
        <v>0.029287254444421477</v>
      </c>
      <c r="T3505" s="10">
        <v>20.46977644333707</v>
      </c>
      <c r="U3505" s="11">
        <v>0.14224102662016405</v>
      </c>
      <c r="V3505" s="11">
        <v>0.1330341183569695</v>
      </c>
      <c r="W3505" s="11">
        <v>0.2269939063999401</v>
      </c>
      <c r="X3505" s="11">
        <v>0.2360349478701522</v>
      </c>
      <c r="Y3505" s="11">
        <v>0.19615329784923963</v>
      </c>
      <c r="Z3505" s="11">
        <v>0.06554270290353462</v>
      </c>
    </row>
    <row r="3506" ht="22.5" customHeight="1">
      <c r="Q3506" s="9" t="s">
        <v>3544</v>
      </c>
      <c r="R3506" s="10">
        <v>0.5362154551872695</v>
      </c>
      <c r="S3506" s="10">
        <v>0.024243082033369195</v>
      </c>
      <c r="T3506" s="10">
        <v>20.46833214127881</v>
      </c>
      <c r="U3506" s="11">
        <v>0.20068452323505143</v>
      </c>
      <c r="V3506" s="11">
        <v>0.10232640598150926</v>
      </c>
      <c r="W3506" s="11">
        <v>0.19041276147902575</v>
      </c>
      <c r="X3506" s="11">
        <v>0.23602039776241396</v>
      </c>
      <c r="Y3506" s="11">
        <v>0.0537838965558374</v>
      </c>
      <c r="Z3506" s="11">
        <v>0.21677201498616225</v>
      </c>
    </row>
    <row r="3507" ht="22.5" customHeight="1">
      <c r="Q3507" s="9" t="s">
        <v>3545</v>
      </c>
      <c r="R3507" s="10">
        <v>0.6448275512502009</v>
      </c>
      <c r="S3507" s="10">
        <v>0.02954953390759537</v>
      </c>
      <c r="T3507" s="10">
        <v>20.46826028260083</v>
      </c>
      <c r="U3507" s="11">
        <v>0.06829747050805567</v>
      </c>
      <c r="V3507" s="11">
        <v>0.1640943156806201</v>
      </c>
      <c r="W3507" s="11">
        <v>0.21763051470134281</v>
      </c>
      <c r="X3507" s="11">
        <v>0.17105957034151312</v>
      </c>
      <c r="Y3507" s="11">
        <v>0.1058201724635376</v>
      </c>
      <c r="Z3507" s="11">
        <v>0.2730979563049307</v>
      </c>
    </row>
    <row r="3508" ht="22.5" customHeight="1">
      <c r="Q3508" s="9" t="s">
        <v>3546</v>
      </c>
      <c r="R3508" s="10">
        <v>0.5622273249796863</v>
      </c>
      <c r="S3508" s="10">
        <v>0.025514779449180697</v>
      </c>
      <c r="T3508" s="10">
        <v>20.46764017771886</v>
      </c>
      <c r="U3508" s="11">
        <v>0.31233782993902254</v>
      </c>
      <c r="V3508" s="11">
        <v>0.16062154910855186</v>
      </c>
      <c r="W3508" s="11">
        <v>0.16272582930821383</v>
      </c>
      <c r="X3508" s="11">
        <v>0.0026662603301108867</v>
      </c>
      <c r="Y3508" s="11">
        <v>0.20100906462111612</v>
      </c>
      <c r="Z3508" s="11">
        <v>0.16063946669298473</v>
      </c>
    </row>
    <row r="3509" ht="22.5" customHeight="1">
      <c r="Q3509" s="9" t="s">
        <v>3547</v>
      </c>
      <c r="R3509" s="10">
        <v>0.522331348251574</v>
      </c>
      <c r="S3509" s="10">
        <v>0.030276194946623366</v>
      </c>
      <c r="T3509" s="10">
        <v>20.467449127434854</v>
      </c>
      <c r="U3509" s="11">
        <v>0.18632255407500797</v>
      </c>
      <c r="V3509" s="11">
        <v>0.22305413873785154</v>
      </c>
      <c r="W3509" s="11">
        <v>0.1754215086171658</v>
      </c>
      <c r="X3509" s="11">
        <v>0.05648045512576561</v>
      </c>
      <c r="Y3509" s="11">
        <v>0.1079858242302374</v>
      </c>
      <c r="Z3509" s="11">
        <v>0.25073551921397164</v>
      </c>
    </row>
    <row r="3510" ht="22.5" customHeight="1">
      <c r="Q3510" s="9" t="s">
        <v>3548</v>
      </c>
      <c r="R3510" s="10">
        <v>0.6435807947540237</v>
      </c>
      <c r="S3510" s="10">
        <v>0.029489925554951245</v>
      </c>
      <c r="T3510" s="10">
        <v>20.46735566115001</v>
      </c>
      <c r="U3510" s="11">
        <v>0.01503701471114633</v>
      </c>
      <c r="V3510" s="11">
        <v>0.13217566118109617</v>
      </c>
      <c r="W3510" s="11">
        <v>0.2239834529130371</v>
      </c>
      <c r="X3510" s="11">
        <v>0.2647893119110596</v>
      </c>
      <c r="Y3510" s="11">
        <v>0.33250875157257154</v>
      </c>
      <c r="Z3510" s="11">
        <v>0.03150580771108923</v>
      </c>
    </row>
    <row r="3511" ht="22.5" customHeight="1">
      <c r="Q3511" s="9" t="s">
        <v>3549</v>
      </c>
      <c r="R3511" s="10">
        <v>0.522331348251574</v>
      </c>
      <c r="S3511" s="10">
        <v>0.0276785654623985</v>
      </c>
      <c r="T3511" s="10">
        <v>20.46683844133757</v>
      </c>
      <c r="U3511" s="11">
        <v>0.3033721443208206</v>
      </c>
      <c r="V3511" s="11">
        <v>0.1528616930677575</v>
      </c>
      <c r="W3511" s="11">
        <v>0.1992746675203637</v>
      </c>
      <c r="X3511" s="11">
        <v>0.08563036356061066</v>
      </c>
      <c r="Y3511" s="11">
        <v>0.1134715480299524</v>
      </c>
      <c r="Z3511" s="11">
        <v>0.14538958350049525</v>
      </c>
    </row>
    <row r="3512" ht="22.5" customHeight="1">
      <c r="Q3512" s="9" t="s">
        <v>3550</v>
      </c>
      <c r="R3512" s="10">
        <v>0.5079255134980805</v>
      </c>
      <c r="S3512" s="10">
        <v>0.02286281276923674</v>
      </c>
      <c r="T3512" s="10">
        <v>20.466664282345075</v>
      </c>
      <c r="U3512" s="11">
        <v>0.24253812319366308</v>
      </c>
      <c r="V3512" s="11">
        <v>0.19647463296898948</v>
      </c>
      <c r="W3512" s="11">
        <v>0.06384138791533314</v>
      </c>
      <c r="X3512" s="11">
        <v>0.20144727977705895</v>
      </c>
      <c r="Y3512" s="11">
        <v>0.1802667921316101</v>
      </c>
      <c r="Z3512" s="11">
        <v>0.11543178401334521</v>
      </c>
    </row>
    <row r="3513" ht="22.5" customHeight="1">
      <c r="Q3513" s="9" t="s">
        <v>3551</v>
      </c>
      <c r="R3513" s="10">
        <v>0.6639422996628528</v>
      </c>
      <c r="S3513" s="10">
        <v>0.030486065184681835</v>
      </c>
      <c r="T3513" s="10">
        <v>20.46647528577619</v>
      </c>
      <c r="U3513" s="11">
        <v>0.15938731820609411</v>
      </c>
      <c r="V3513" s="11">
        <v>0.24298985989428631</v>
      </c>
      <c r="W3513" s="11">
        <v>0.1548097380733606</v>
      </c>
      <c r="X3513" s="11">
        <v>0.1135427057911329</v>
      </c>
      <c r="Y3513" s="11">
        <v>0.0624077564098654</v>
      </c>
      <c r="Z3513" s="11">
        <v>0.2668626216252607</v>
      </c>
    </row>
    <row r="3514" ht="22.5" customHeight="1">
      <c r="Q3514" s="9" t="s">
        <v>3552</v>
      </c>
      <c r="R3514" s="10">
        <v>0.5522474959393686</v>
      </c>
      <c r="S3514" s="10">
        <v>0.025030496069728906</v>
      </c>
      <c r="T3514" s="10">
        <v>20.46493583316811</v>
      </c>
      <c r="U3514" s="11">
        <v>0.20287160669152496</v>
      </c>
      <c r="V3514" s="11">
        <v>0.19712014483283846</v>
      </c>
      <c r="W3514" s="11">
        <v>0.11123490929335117</v>
      </c>
      <c r="X3514" s="11">
        <v>0.04287867594380585</v>
      </c>
      <c r="Y3514" s="11">
        <v>0.288471521410052</v>
      </c>
      <c r="Z3514" s="11">
        <v>0.1574231418284274</v>
      </c>
    </row>
    <row r="3515" ht="22.5" customHeight="1">
      <c r="Q3515" s="9" t="s">
        <v>3553</v>
      </c>
      <c r="R3515" s="10">
        <v>0.7631867742653236</v>
      </c>
      <c r="S3515" s="10">
        <v>0.03533814623173451</v>
      </c>
      <c r="T3515" s="10">
        <v>20.464762625717032</v>
      </c>
      <c r="U3515" s="11">
        <v>0.10032264201315393</v>
      </c>
      <c r="V3515" s="11">
        <v>0.20783326914032074</v>
      </c>
      <c r="W3515" s="11">
        <v>0.2518526287675983</v>
      </c>
      <c r="X3515" s="11">
        <v>0.1584277743614678</v>
      </c>
      <c r="Y3515" s="11">
        <v>0.20110983534772314</v>
      </c>
      <c r="Z3515" s="11">
        <v>0.08045385036973612</v>
      </c>
    </row>
    <row r="3516" ht="22.5" customHeight="1">
      <c r="Q3516" s="9" t="s">
        <v>3554</v>
      </c>
      <c r="R3516" s="10">
        <v>0.6171172392938934</v>
      </c>
      <c r="S3516" s="10">
        <v>0.028200645828778865</v>
      </c>
      <c r="T3516" s="10">
        <v>20.464681652962113</v>
      </c>
      <c r="U3516" s="11">
        <v>0.14015612708326483</v>
      </c>
      <c r="V3516" s="11">
        <v>0.15782709533525469</v>
      </c>
      <c r="W3516" s="11">
        <v>0.20201526200494455</v>
      </c>
      <c r="X3516" s="11">
        <v>0.0894789139075586</v>
      </c>
      <c r="Y3516" s="11">
        <v>0.22584479326024964</v>
      </c>
      <c r="Z3516" s="11">
        <v>0.18467780840872766</v>
      </c>
    </row>
    <row r="3517" ht="22.5" customHeight="1">
      <c r="Q3517" s="9" t="s">
        <v>3555</v>
      </c>
      <c r="R3517" s="10">
        <v>0.8631311659198042</v>
      </c>
      <c r="S3517" s="10">
        <v>0.040222233816052055</v>
      </c>
      <c r="T3517" s="10">
        <v>20.464581099205525</v>
      </c>
      <c r="U3517" s="11">
        <v>0.21877614079663568</v>
      </c>
      <c r="V3517" s="11">
        <v>0.24956316731544306</v>
      </c>
      <c r="W3517" s="11">
        <v>0.2804979888800433</v>
      </c>
      <c r="X3517" s="11">
        <v>0.2118727455422294</v>
      </c>
      <c r="Y3517" s="11">
        <v>0.031349813640033274</v>
      </c>
      <c r="Z3517" s="11">
        <v>0.007940143825615274</v>
      </c>
    </row>
    <row r="3518" ht="22.5" customHeight="1">
      <c r="Q3518" s="9" t="s">
        <v>3556</v>
      </c>
      <c r="R3518" s="10">
        <v>0.6052315418324118</v>
      </c>
      <c r="S3518" s="10">
        <v>0.027620639133532902</v>
      </c>
      <c r="T3518" s="10">
        <v>20.464100743642497</v>
      </c>
      <c r="U3518" s="11">
        <v>0.012200257701911028</v>
      </c>
      <c r="V3518" s="11">
        <v>0.19282707060634907</v>
      </c>
      <c r="W3518" s="11">
        <v>0.16390163787900677</v>
      </c>
      <c r="X3518" s="11">
        <v>0.04442212628634736</v>
      </c>
      <c r="Y3518" s="11">
        <v>0.30232942121699713</v>
      </c>
      <c r="Z3518" s="11">
        <v>0.2843194863093885</v>
      </c>
    </row>
    <row r="3519" ht="22.5" customHeight="1">
      <c r="Q3519" s="9" t="s">
        <v>3557</v>
      </c>
      <c r="R3519" s="10">
        <v>0.6682341669388135</v>
      </c>
      <c r="S3519" s="10">
        <v>0.030699430981083374</v>
      </c>
      <c r="T3519" s="10">
        <v>20.464032943344257</v>
      </c>
      <c r="U3519" s="11">
        <v>0.12321737069944065</v>
      </c>
      <c r="V3519" s="11">
        <v>0.19884841638708264</v>
      </c>
      <c r="W3519" s="11">
        <v>0.20269510871395297</v>
      </c>
      <c r="X3519" s="11">
        <v>0.059374575493415675</v>
      </c>
      <c r="Y3519" s="11">
        <v>0.21013793788918494</v>
      </c>
      <c r="Z3519" s="11">
        <v>0.2057265908169232</v>
      </c>
    </row>
    <row r="3520" ht="22.5" customHeight="1">
      <c r="Q3520" s="9" t="s">
        <v>3558</v>
      </c>
      <c r="R3520" s="10">
        <v>0.8177334793399913</v>
      </c>
      <c r="S3520" s="10">
        <v>0.03800515142188987</v>
      </c>
      <c r="T3520" s="10">
        <v>20.46389634674733</v>
      </c>
      <c r="U3520" s="11">
        <v>0.07211648135131402</v>
      </c>
      <c r="V3520" s="11">
        <v>0.28339726137847104</v>
      </c>
      <c r="W3520" s="11">
        <v>0.2227970570776401</v>
      </c>
      <c r="X3520" s="11">
        <v>0.17941993474642196</v>
      </c>
      <c r="Y3520" s="11">
        <v>0.0458781404812706</v>
      </c>
      <c r="Z3520" s="11">
        <v>0.19639112496488229</v>
      </c>
    </row>
    <row r="3521" ht="22.5" customHeight="1">
      <c r="Q3521" s="9" t="s">
        <v>3559</v>
      </c>
      <c r="R3521" s="10">
        <v>0.5304512823206361</v>
      </c>
      <c r="S3521" s="10">
        <v>0.023967128509236133</v>
      </c>
      <c r="T3521" s="10">
        <v>20.46349783336091</v>
      </c>
      <c r="U3521" s="11">
        <v>0.1924612649897941</v>
      </c>
      <c r="V3521" s="11">
        <v>0.09735425788143665</v>
      </c>
      <c r="W3521" s="11">
        <v>0.18736803195370583</v>
      </c>
      <c r="X3521" s="11">
        <v>0.20440154273053587</v>
      </c>
      <c r="Y3521" s="11">
        <v>0.17251075858088794</v>
      </c>
      <c r="Z3521" s="11">
        <v>0.1459041438636395</v>
      </c>
    </row>
    <row r="3522" ht="22.5" customHeight="1">
      <c r="Q3522" s="9" t="s">
        <v>3560</v>
      </c>
      <c r="R3522" s="10">
        <v>0.7916012152403316</v>
      </c>
      <c r="S3522" s="10">
        <v>0.03672906207416719</v>
      </c>
      <c r="T3522" s="10">
        <v>20.46339255063522</v>
      </c>
      <c r="U3522" s="11">
        <v>0.2826305732311818</v>
      </c>
      <c r="V3522" s="11">
        <v>0.25724250099908635</v>
      </c>
      <c r="W3522" s="11">
        <v>0.22888030665736306</v>
      </c>
      <c r="X3522" s="11">
        <v>0.10368878747385184</v>
      </c>
      <c r="Y3522" s="11">
        <v>0.05692778077764698</v>
      </c>
      <c r="Z3522" s="11">
        <v>0.07063005086086994</v>
      </c>
    </row>
    <row r="3523" ht="22.5" customHeight="1">
      <c r="Q3523" s="9" t="s">
        <v>3561</v>
      </c>
      <c r="R3523" s="10">
        <v>0.7208409133889097</v>
      </c>
      <c r="S3523" s="10">
        <v>0.033271183291323794</v>
      </c>
      <c r="T3523" s="10">
        <v>20.463381402081186</v>
      </c>
      <c r="U3523" s="11">
        <v>0.23374766813895634</v>
      </c>
      <c r="V3523" s="11">
        <v>0.22737831408673792</v>
      </c>
      <c r="W3523" s="11">
        <v>0.21297071387999122</v>
      </c>
      <c r="X3523" s="11">
        <v>0.0874745311641422</v>
      </c>
      <c r="Y3523" s="11">
        <v>0.056545915683872135</v>
      </c>
      <c r="Z3523" s="11">
        <v>0.18188285704630014</v>
      </c>
    </row>
    <row r="3524" ht="22.5" customHeight="1">
      <c r="Q3524" s="9" t="s">
        <v>3562</v>
      </c>
      <c r="R3524" s="10">
        <v>0.606205729896145</v>
      </c>
      <c r="S3524" s="10">
        <v>0.02766936474295684</v>
      </c>
      <c r="T3524" s="10">
        <v>20.46327175040298</v>
      </c>
      <c r="U3524" s="11">
        <v>0.3561187333241764</v>
      </c>
      <c r="V3524" s="11">
        <v>0.12146353164091642</v>
      </c>
      <c r="W3524" s="11">
        <v>0.2143921860340027</v>
      </c>
      <c r="X3524" s="11">
        <v>0.2164031566931125</v>
      </c>
      <c r="Y3524" s="11">
        <v>0.07632037165279491</v>
      </c>
      <c r="Z3524" s="11">
        <v>0.015302020654997098</v>
      </c>
    </row>
    <row r="3525" ht="22.5" customHeight="1">
      <c r="Q3525" s="9" t="s">
        <v>3563</v>
      </c>
      <c r="R3525" s="10">
        <v>0.7925516054298317</v>
      </c>
      <c r="S3525" s="10">
        <v>0.036775916305066915</v>
      </c>
      <c r="T3525" s="10">
        <v>20.463163968157787</v>
      </c>
      <c r="U3525" s="11">
        <v>0.12882536831212396</v>
      </c>
      <c r="V3525" s="11">
        <v>0.23290068159617705</v>
      </c>
      <c r="W3525" s="11">
        <v>0.24920881929306793</v>
      </c>
      <c r="X3525" s="11">
        <v>0.12021746796177478</v>
      </c>
      <c r="Y3525" s="11">
        <v>0.22180448452679324</v>
      </c>
      <c r="Z3525" s="11">
        <v>0.04704317831006297</v>
      </c>
    </row>
    <row r="3526" ht="22.5" customHeight="1">
      <c r="Q3526" s="9" t="s">
        <v>3564</v>
      </c>
      <c r="R3526" s="10">
        <v>0.24430284496880558</v>
      </c>
      <c r="S3526" s="10">
        <v>0.00998397189760941</v>
      </c>
      <c r="T3526" s="10">
        <v>20.463082935732665</v>
      </c>
      <c r="U3526" s="11">
        <v>0.2817960740479588</v>
      </c>
      <c r="V3526" s="11">
        <v>0.027251484684277762</v>
      </c>
      <c r="W3526" s="11">
        <v>0.03713449573428412</v>
      </c>
      <c r="X3526" s="11">
        <v>0.2957210241167195</v>
      </c>
      <c r="Y3526" s="11">
        <v>0.11827844434556821</v>
      </c>
      <c r="Z3526" s="11">
        <v>0.2398184770711917</v>
      </c>
    </row>
    <row r="3527" ht="22.5" customHeight="1">
      <c r="Q3527" s="9" t="s">
        <v>3565</v>
      </c>
      <c r="R3527" s="10">
        <v>0.7113626597880981</v>
      </c>
      <c r="S3527" s="10">
        <v>0.032808657625136545</v>
      </c>
      <c r="T3527" s="10">
        <v>20.462972531790804</v>
      </c>
      <c r="U3527" s="11">
        <v>0.2568730447533405</v>
      </c>
      <c r="V3527" s="11">
        <v>0.25353772112554873</v>
      </c>
      <c r="W3527" s="11">
        <v>0.1711849347076998</v>
      </c>
      <c r="X3527" s="11">
        <v>0.06358748396781044</v>
      </c>
      <c r="Y3527" s="11">
        <v>0.18334052111067342</v>
      </c>
      <c r="Z3527" s="11">
        <v>0.07147629433492708</v>
      </c>
    </row>
    <row r="3528" ht="22.5" customHeight="1">
      <c r="Q3528" s="9" t="s">
        <v>3566</v>
      </c>
      <c r="R3528" s="10">
        <v>0.522331348251574</v>
      </c>
      <c r="S3528" s="10">
        <v>0.028305686024463907</v>
      </c>
      <c r="T3528" s="10">
        <v>20.46226016162635</v>
      </c>
      <c r="U3528" s="11">
        <v>0.1267672207476471</v>
      </c>
      <c r="V3528" s="11">
        <v>0.1339941259835016</v>
      </c>
      <c r="W3528" s="11">
        <v>0.21970306390831837</v>
      </c>
      <c r="X3528" s="11">
        <v>0.24979108110656037</v>
      </c>
      <c r="Y3528" s="11">
        <v>0.06410699412193492</v>
      </c>
      <c r="Z3528" s="11">
        <v>0.20563751413203765</v>
      </c>
    </row>
    <row r="3529" ht="22.5" customHeight="1">
      <c r="Q3529" s="9" t="s">
        <v>3567</v>
      </c>
      <c r="R3529" s="10">
        <v>0.5678024029115203</v>
      </c>
      <c r="S3529" s="10">
        <v>0.02579399078591978</v>
      </c>
      <c r="T3529" s="10">
        <v>20.462223441578992</v>
      </c>
      <c r="U3529" s="11">
        <v>0.16079868655641566</v>
      </c>
      <c r="V3529" s="11">
        <v>0.21814939978102268</v>
      </c>
      <c r="W3529" s="11">
        <v>0.09107493634171017</v>
      </c>
      <c r="X3529" s="11">
        <v>0.15024434941558518</v>
      </c>
      <c r="Y3529" s="11">
        <v>0.2539817018982704</v>
      </c>
      <c r="Z3529" s="11">
        <v>0.1257509260069959</v>
      </c>
    </row>
    <row r="3530" ht="22.5" customHeight="1">
      <c r="Q3530" s="9" t="s">
        <v>3568</v>
      </c>
      <c r="R3530" s="10">
        <v>0.5404197438143826</v>
      </c>
      <c r="S3530" s="10">
        <v>0.024455867993736106</v>
      </c>
      <c r="T3530" s="10">
        <v>20.462154274898577</v>
      </c>
      <c r="U3530" s="11">
        <v>0.29967822685584894</v>
      </c>
      <c r="V3530" s="11">
        <v>0.2017142159954874</v>
      </c>
      <c r="W3530" s="11">
        <v>0.09122215077912083</v>
      </c>
      <c r="X3530" s="11">
        <v>0.0951323691216603</v>
      </c>
      <c r="Y3530" s="11">
        <v>0.20971227053855185</v>
      </c>
      <c r="Z3530" s="11">
        <v>0.10254076670933084</v>
      </c>
    </row>
    <row r="3531" ht="22.5" customHeight="1">
      <c r="Q3531" s="9" t="s">
        <v>3569</v>
      </c>
      <c r="R3531" s="10">
        <v>0.45571515946593105</v>
      </c>
      <c r="S3531" s="10">
        <v>0.02031637038537021</v>
      </c>
      <c r="T3531" s="10">
        <v>20.462078195093692</v>
      </c>
      <c r="U3531" s="11">
        <v>0.2754416049723372</v>
      </c>
      <c r="V3531" s="11">
        <v>0.15003283224449745</v>
      </c>
      <c r="W3531" s="11">
        <v>0.09115017203136112</v>
      </c>
      <c r="X3531" s="11">
        <v>0.012572905808590383</v>
      </c>
      <c r="Y3531" s="11">
        <v>0.26838948179909505</v>
      </c>
      <c r="Z3531" s="11">
        <v>0.20241300314411867</v>
      </c>
    </row>
    <row r="3532" ht="22.5" customHeight="1">
      <c r="Q3532" s="9" t="s">
        <v>3570</v>
      </c>
      <c r="R3532" s="10">
        <v>0.7440906189422405</v>
      </c>
      <c r="S3532" s="10">
        <v>0.034410242876901954</v>
      </c>
      <c r="T3532" s="10">
        <v>20.46165792729306</v>
      </c>
      <c r="U3532" s="11">
        <v>0.042959472575154804</v>
      </c>
      <c r="V3532" s="11">
        <v>0.28017947046844693</v>
      </c>
      <c r="W3532" s="11">
        <v>0.1656335530302849</v>
      </c>
      <c r="X3532" s="11">
        <v>0.17310777953812878</v>
      </c>
      <c r="Y3532" s="11">
        <v>0.1652141883184216</v>
      </c>
      <c r="Z3532" s="11">
        <v>0.1729055360695629</v>
      </c>
    </row>
    <row r="3533" ht="22.5" customHeight="1">
      <c r="Q3533" s="9" t="s">
        <v>3571</v>
      </c>
      <c r="R3533" s="10">
        <v>0.7596447353643936</v>
      </c>
      <c r="S3533" s="10">
        <v>0.03517081458497598</v>
      </c>
      <c r="T3533" s="10">
        <v>20.461417907329515</v>
      </c>
      <c r="U3533" s="11">
        <v>0.18855382213036637</v>
      </c>
      <c r="V3533" s="11">
        <v>0.24807790584599043</v>
      </c>
      <c r="W3533" s="11">
        <v>0.2128008257944507</v>
      </c>
      <c r="X3533" s="11">
        <v>0.05961699472186584</v>
      </c>
      <c r="Y3533" s="11">
        <v>0.2368107659406747</v>
      </c>
      <c r="Z3533" s="11">
        <v>0.05413968556665201</v>
      </c>
    </row>
    <row r="3534" ht="22.5" customHeight="1">
      <c r="Q3534" s="9" t="s">
        <v>3572</v>
      </c>
      <c r="R3534" s="10">
        <v>0.3439051368410543</v>
      </c>
      <c r="S3534" s="10">
        <v>0.014852604417860482</v>
      </c>
      <c r="T3534" s="10">
        <v>20.461403824611647</v>
      </c>
      <c r="U3534" s="11">
        <v>0.2604777802883494</v>
      </c>
      <c r="V3534" s="11">
        <v>0.0870119623228294</v>
      </c>
      <c r="W3534" s="11">
        <v>0.060674307229351174</v>
      </c>
      <c r="X3534" s="11">
        <v>0.07815114542039253</v>
      </c>
      <c r="Y3534" s="11">
        <v>0.3549018693472073</v>
      </c>
      <c r="Z3534" s="11">
        <v>0.15878293539187016</v>
      </c>
    </row>
    <row r="3535" ht="22.5" customHeight="1">
      <c r="Q3535" s="9" t="s">
        <v>3573</v>
      </c>
      <c r="R3535" s="10">
        <v>0.7817095864334589</v>
      </c>
      <c r="S3535" s="10">
        <v>0.036249291636396945</v>
      </c>
      <c r="T3535" s="10">
        <v>20.461353945154837</v>
      </c>
      <c r="U3535" s="11">
        <v>0.16311973135035357</v>
      </c>
      <c r="V3535" s="11">
        <v>0.2279348460190727</v>
      </c>
      <c r="W3535" s="11">
        <v>0.24414449550655842</v>
      </c>
      <c r="X3535" s="11">
        <v>0.10015829915488655</v>
      </c>
      <c r="Y3535" s="11">
        <v>0.2642840983292688</v>
      </c>
      <c r="Z3535" s="11">
        <v>3.585296398599435E-4</v>
      </c>
    </row>
    <row r="3536" ht="22.5" customHeight="1">
      <c r="Q3536" s="9" t="s">
        <v>3574</v>
      </c>
      <c r="R3536" s="10">
        <v>0.5987249216992396</v>
      </c>
      <c r="S3536" s="10">
        <v>0.027306362912565593</v>
      </c>
      <c r="T3536" s="10">
        <v>20.46134534607429</v>
      </c>
      <c r="U3536" s="11">
        <v>0.13245346864023608</v>
      </c>
      <c r="V3536" s="11">
        <v>0.12365952064499737</v>
      </c>
      <c r="W3536" s="11">
        <v>0.21373788937407348</v>
      </c>
      <c r="X3536" s="11">
        <v>0.27426125189216344</v>
      </c>
      <c r="Y3536" s="11">
        <v>0.03891815546873368</v>
      </c>
      <c r="Z3536" s="11">
        <v>0.21696971397979598</v>
      </c>
    </row>
    <row r="3537" ht="22.5" customHeight="1">
      <c r="Q3537" s="9" t="s">
        <v>3575</v>
      </c>
      <c r="R3537" s="10">
        <v>0.7347293022009042</v>
      </c>
      <c r="S3537" s="10">
        <v>0.03395325990396522</v>
      </c>
      <c r="T3537" s="10">
        <v>20.461343157208017</v>
      </c>
      <c r="U3537" s="11">
        <v>0.198902431192438</v>
      </c>
      <c r="V3537" s="11">
        <v>0.20767211078884382</v>
      </c>
      <c r="W3537" s="11">
        <v>0.2368154866655495</v>
      </c>
      <c r="X3537" s="11">
        <v>0.11379695038461414</v>
      </c>
      <c r="Y3537" s="11">
        <v>0.13088456122109857</v>
      </c>
      <c r="Z3537" s="11">
        <v>0.11192845974745587</v>
      </c>
    </row>
    <row r="3538" ht="22.5" customHeight="1">
      <c r="Q3538" s="9" t="s">
        <v>3576</v>
      </c>
      <c r="R3538" s="10">
        <v>0.5828248329434982</v>
      </c>
      <c r="S3538" s="10">
        <v>0.026529482964056838</v>
      </c>
      <c r="T3538" s="10">
        <v>20.461191561062012</v>
      </c>
      <c r="U3538" s="11">
        <v>0.023548593120389573</v>
      </c>
      <c r="V3538" s="11">
        <v>0.22873968607018486</v>
      </c>
      <c r="W3538" s="11">
        <v>0.06541447295748323</v>
      </c>
      <c r="X3538" s="11">
        <v>0.40280465933391607</v>
      </c>
      <c r="Y3538" s="11">
        <v>0.24446504126295857</v>
      </c>
      <c r="Z3538" s="11">
        <v>0.035027547255067654</v>
      </c>
    </row>
    <row r="3539" ht="22.5" customHeight="1">
      <c r="Q3539" s="9" t="s">
        <v>3577</v>
      </c>
      <c r="R3539" s="10">
        <v>0.86532342225154</v>
      </c>
      <c r="S3539" s="10">
        <v>0.04033607999792625</v>
      </c>
      <c r="T3539" s="10">
        <v>20.461170800285284</v>
      </c>
      <c r="U3539" s="11">
        <v>0.16060760785275555</v>
      </c>
      <c r="V3539" s="11">
        <v>0.28824237268798025</v>
      </c>
      <c r="W3539" s="11">
        <v>0.24932586665688472</v>
      </c>
      <c r="X3539" s="11">
        <v>0.17839384113380266</v>
      </c>
      <c r="Y3539" s="11">
        <v>0.028934512057609618</v>
      </c>
      <c r="Z3539" s="11">
        <v>0.09449579961096728</v>
      </c>
    </row>
    <row r="3540" ht="22.5" customHeight="1">
      <c r="Q3540" s="9" t="s">
        <v>3578</v>
      </c>
      <c r="R3540" s="10">
        <v>0.7174631361998157</v>
      </c>
      <c r="S3540" s="10">
        <v>0.033111011046652775</v>
      </c>
      <c r="T3540" s="10">
        <v>20.460357892583925</v>
      </c>
      <c r="U3540" s="11">
        <v>0.07127764270400495</v>
      </c>
      <c r="V3540" s="11">
        <v>0.22168146559888607</v>
      </c>
      <c r="W3540" s="11">
        <v>0.21648196896048677</v>
      </c>
      <c r="X3540" s="11">
        <v>0.0985161568815979</v>
      </c>
      <c r="Y3540" s="11">
        <v>0.15672872887186812</v>
      </c>
      <c r="Z3540" s="11">
        <v>0.23531403698315614</v>
      </c>
    </row>
    <row r="3541" ht="22.5" customHeight="1">
      <c r="Q3541" s="9" t="s">
        <v>3579</v>
      </c>
      <c r="R3541" s="10">
        <v>0.522331348251574</v>
      </c>
      <c r="S3541" s="10">
        <v>0.024745302028146312</v>
      </c>
      <c r="T3541" s="10">
        <v>20.46022358423348</v>
      </c>
      <c r="U3541" s="11">
        <v>0.11760317869867011</v>
      </c>
      <c r="V3541" s="11">
        <v>0.21079020497731096</v>
      </c>
      <c r="W3541" s="11">
        <v>0.08883444529440945</v>
      </c>
      <c r="X3541" s="11">
        <v>0.1487496564665759</v>
      </c>
      <c r="Y3541" s="11">
        <v>0.20855131935734877</v>
      </c>
      <c r="Z3541" s="11">
        <v>0.2254711952056849</v>
      </c>
    </row>
    <row r="3542" ht="22.5" customHeight="1">
      <c r="Q3542" s="9" t="s">
        <v>3580</v>
      </c>
      <c r="R3542" s="10">
        <v>0.7130298684199008</v>
      </c>
      <c r="S3542" s="10">
        <v>0.032894589225453824</v>
      </c>
      <c r="T3542" s="10">
        <v>20.460199816056996</v>
      </c>
      <c r="U3542" s="11">
        <v>0.010532076636743716</v>
      </c>
      <c r="V3542" s="11">
        <v>0.1503539404643132</v>
      </c>
      <c r="W3542" s="11">
        <v>0.2556622228846155</v>
      </c>
      <c r="X3542" s="11">
        <v>0.3570340322505551</v>
      </c>
      <c r="Y3542" s="11">
        <v>0.17266965628541395</v>
      </c>
      <c r="Z3542" s="11">
        <v>0.05374807147835848</v>
      </c>
    </row>
    <row r="3543" ht="22.5" customHeight="1">
      <c r="Q3543" s="9" t="s">
        <v>3581</v>
      </c>
      <c r="R3543" s="10">
        <v>0.6082494043519648</v>
      </c>
      <c r="S3543" s="10">
        <v>0.02777451446924862</v>
      </c>
      <c r="T3543" s="10">
        <v>20.459382106611407</v>
      </c>
      <c r="U3543" s="11">
        <v>0.24427825799817163</v>
      </c>
      <c r="V3543" s="11">
        <v>0.1605744217793926</v>
      </c>
      <c r="W3543" s="11">
        <v>0.1920547456950885</v>
      </c>
      <c r="X3543" s="11">
        <v>0.044987756214482276</v>
      </c>
      <c r="Y3543" s="11">
        <v>0.23725022505857193</v>
      </c>
      <c r="Z3543" s="11">
        <v>0.12085459325429324</v>
      </c>
    </row>
    <row r="3544" ht="22.5" customHeight="1">
      <c r="Q3544" s="9" t="s">
        <v>3582</v>
      </c>
      <c r="R3544" s="10">
        <v>0.7122106608153163</v>
      </c>
      <c r="S3544" s="10">
        <v>0.0328564254778027</v>
      </c>
      <c r="T3544" s="10">
        <v>20.459032017023624</v>
      </c>
      <c r="U3544" s="11">
        <v>0.14307400584614574</v>
      </c>
      <c r="V3544" s="11">
        <v>0.18576230470181476</v>
      </c>
      <c r="W3544" s="11">
        <v>0.24155286468916384</v>
      </c>
      <c r="X3544" s="11">
        <v>0.21778313793341147</v>
      </c>
      <c r="Y3544" s="11">
        <v>0.00537325841788165</v>
      </c>
      <c r="Z3544" s="11">
        <v>0.20645442841158254</v>
      </c>
    </row>
    <row r="3545" ht="22.5" customHeight="1">
      <c r="Q3545" s="9" t="s">
        <v>3583</v>
      </c>
      <c r="R3545" s="10">
        <v>0.5996713298594513</v>
      </c>
      <c r="S3545" s="10">
        <v>0.02735588976491212</v>
      </c>
      <c r="T3545" s="10">
        <v>20.458896956709868</v>
      </c>
      <c r="U3545" s="11">
        <v>0.16203198276008143</v>
      </c>
      <c r="V3545" s="11">
        <v>0.22306711745711957</v>
      </c>
      <c r="W3545" s="11">
        <v>0.1077439905713166</v>
      </c>
      <c r="X3545" s="11">
        <v>0.11409450596623057</v>
      </c>
      <c r="Y3545" s="11">
        <v>0.3414413876496514</v>
      </c>
      <c r="Z3545" s="11">
        <v>0.05162101559560036</v>
      </c>
    </row>
    <row r="3546" ht="22.5" customHeight="1">
      <c r="Q3546" s="9" t="s">
        <v>3584</v>
      </c>
      <c r="R3546" s="10">
        <v>0.6580146156326935</v>
      </c>
      <c r="S3546" s="10">
        <v>0.030207914608919195</v>
      </c>
      <c r="T3546" s="10">
        <v>20.45869844488432</v>
      </c>
      <c r="U3546" s="11">
        <v>0.2759169981961833</v>
      </c>
      <c r="V3546" s="11">
        <v>0.26040239789499897</v>
      </c>
      <c r="W3546" s="11">
        <v>0.10359123544453117</v>
      </c>
      <c r="X3546" s="11">
        <v>0.2606345624661212</v>
      </c>
      <c r="Y3546" s="11">
        <v>0.09762850493902382</v>
      </c>
      <c r="Z3546" s="11">
        <v>0.0018263010591414827</v>
      </c>
    </row>
    <row r="3547" ht="22.5" customHeight="1">
      <c r="Q3547" s="9" t="s">
        <v>3585</v>
      </c>
      <c r="R3547" s="10">
        <v>0.4413970012587663</v>
      </c>
      <c r="S3547" s="10">
        <v>0.01961998043376362</v>
      </c>
      <c r="T3547" s="10">
        <v>20.458583157810416</v>
      </c>
      <c r="U3547" s="11">
        <v>0.3535386528314312</v>
      </c>
      <c r="V3547" s="11">
        <v>0.14994042583978043</v>
      </c>
      <c r="W3547" s="11">
        <v>0.07891785673034495</v>
      </c>
      <c r="X3547" s="11">
        <v>0.03786694444736829</v>
      </c>
      <c r="Y3547" s="11">
        <v>0.18861591225034566</v>
      </c>
      <c r="Z3547" s="11">
        <v>0.19112020790072945</v>
      </c>
    </row>
    <row r="3548" ht="22.5" customHeight="1">
      <c r="Q3548" s="9" t="s">
        <v>3586</v>
      </c>
      <c r="R3548" s="10">
        <v>0.8090105991360188</v>
      </c>
      <c r="S3548" s="10">
        <v>0.037588752507505076</v>
      </c>
      <c r="T3548" s="10">
        <v>20.45852942266376</v>
      </c>
      <c r="U3548" s="11">
        <v>0.009751836423672618</v>
      </c>
      <c r="V3548" s="11">
        <v>0.24743013958984167</v>
      </c>
      <c r="W3548" s="11">
        <v>0.251830180440255</v>
      </c>
      <c r="X3548" s="11">
        <v>0.18363699020430635</v>
      </c>
      <c r="Y3548" s="11">
        <v>0.11584072047465079</v>
      </c>
      <c r="Z3548" s="11">
        <v>0.19151013286727367</v>
      </c>
    </row>
    <row r="3549" ht="22.5" customHeight="1">
      <c r="Q3549" s="9" t="s">
        <v>3587</v>
      </c>
      <c r="R3549" s="10">
        <v>0.7770269195132987</v>
      </c>
      <c r="S3549" s="10">
        <v>0.036025919125835054</v>
      </c>
      <c r="T3549" s="10">
        <v>20.458240550058832</v>
      </c>
      <c r="U3549" s="11">
        <v>0.17503305695253624</v>
      </c>
      <c r="V3549" s="11">
        <v>0.2373414992853743</v>
      </c>
      <c r="W3549" s="11">
        <v>0.23547967238532522</v>
      </c>
      <c r="X3549" s="11">
        <v>0.0843557509984312</v>
      </c>
      <c r="Y3549" s="11">
        <v>0.22068220148984258</v>
      </c>
      <c r="Z3549" s="11">
        <v>0.0471078188884906</v>
      </c>
    </row>
    <row r="3550" ht="22.5" customHeight="1">
      <c r="Q3550" s="9" t="s">
        <v>3588</v>
      </c>
      <c r="R3550" s="10">
        <v>0.6857052847194473</v>
      </c>
      <c r="S3550" s="10">
        <v>0.03156291293852804</v>
      </c>
      <c r="T3550" s="10">
        <v>20.457721566353</v>
      </c>
      <c r="U3550" s="11">
        <v>0.2648560723081061</v>
      </c>
      <c r="V3550" s="11">
        <v>0.22855011078973164</v>
      </c>
      <c r="W3550" s="11">
        <v>0.17596487856729695</v>
      </c>
      <c r="X3550" s="11">
        <v>0.021181479251073616</v>
      </c>
      <c r="Y3550" s="11">
        <v>0.2897264828144833</v>
      </c>
      <c r="Z3550" s="11">
        <v>0.01972097626930836</v>
      </c>
    </row>
    <row r="3551" ht="22.5" customHeight="1">
      <c r="Q3551" s="9" t="s">
        <v>3589</v>
      </c>
      <c r="R3551" s="10">
        <v>0.5185626108472092</v>
      </c>
      <c r="S3551" s="10">
        <v>0.023393623674363043</v>
      </c>
      <c r="T3551" s="10">
        <v>20.456967997295077</v>
      </c>
      <c r="U3551" s="11">
        <v>0.3124958637268401</v>
      </c>
      <c r="V3551" s="11">
        <v>0.17613147538592308</v>
      </c>
      <c r="W3551" s="11">
        <v>0.10627457925374224</v>
      </c>
      <c r="X3551" s="11">
        <v>0.016194277143650213</v>
      </c>
      <c r="Y3551" s="11">
        <v>0.28566506936664665</v>
      </c>
      <c r="Z3551" s="11">
        <v>0.10323873512319767</v>
      </c>
    </row>
    <row r="3552" ht="22.5" customHeight="1">
      <c r="Q3552" s="9" t="s">
        <v>3590</v>
      </c>
      <c r="R3552" s="10">
        <v>0.522331348251574</v>
      </c>
      <c r="S3552" s="10">
        <v>0.036435796114053697</v>
      </c>
      <c r="T3552" s="10">
        <v>20.45685755234959</v>
      </c>
      <c r="U3552" s="11">
        <v>0.08072958557551671</v>
      </c>
      <c r="V3552" s="11">
        <v>0.2112581188712639</v>
      </c>
      <c r="W3552" s="11">
        <v>0.2652880968872281</v>
      </c>
      <c r="X3552" s="11">
        <v>0.26192641015356394</v>
      </c>
      <c r="Y3552" s="11">
        <v>0.01711700971301183</v>
      </c>
      <c r="Z3552" s="11">
        <v>0.1636807787994154</v>
      </c>
    </row>
    <row r="3553" ht="22.5" customHeight="1">
      <c r="Q3553" s="9" t="s">
        <v>3591</v>
      </c>
      <c r="R3553" s="10">
        <v>0.4587416243001972</v>
      </c>
      <c r="S3553" s="10">
        <v>0.02046981670663503</v>
      </c>
      <c r="T3553" s="10">
        <v>20.456540002357105</v>
      </c>
      <c r="U3553" s="11">
        <v>0.015652258752066984</v>
      </c>
      <c r="V3553" s="11">
        <v>0.17507055236945832</v>
      </c>
      <c r="W3553" s="11">
        <v>0.06810935122308308</v>
      </c>
      <c r="X3553" s="11">
        <v>0.22005621305349213</v>
      </c>
      <c r="Y3553" s="11">
        <v>0.06857837015075391</v>
      </c>
      <c r="Z3553" s="11">
        <v>0.45253325445114573</v>
      </c>
    </row>
    <row r="3554" ht="22.5" customHeight="1">
      <c r="Q3554" s="9" t="s">
        <v>3592</v>
      </c>
      <c r="R3554" s="10">
        <v>0.522331348251574</v>
      </c>
      <c r="S3554" s="10">
        <v>0.027824664694988743</v>
      </c>
      <c r="T3554" s="10">
        <v>20.45584273656186</v>
      </c>
      <c r="U3554" s="11">
        <v>0.2181331904531685</v>
      </c>
      <c r="V3554" s="11">
        <v>0.185405015068129</v>
      </c>
      <c r="W3554" s="11">
        <v>0.17477774100347113</v>
      </c>
      <c r="X3554" s="11">
        <v>0.01292019315929546</v>
      </c>
      <c r="Y3554" s="11">
        <v>0.2045261314978829</v>
      </c>
      <c r="Z3554" s="11">
        <v>0.2042377288180531</v>
      </c>
    </row>
    <row r="3555" ht="22.5" customHeight="1">
      <c r="Q3555" s="9" t="s">
        <v>3593</v>
      </c>
      <c r="R3555" s="10">
        <v>0.39463284128911397</v>
      </c>
      <c r="S3555" s="10">
        <v>0.017336536885795017</v>
      </c>
      <c r="T3555" s="10">
        <v>20.45580634848061</v>
      </c>
      <c r="U3555" s="11">
        <v>0.08447472741887303</v>
      </c>
      <c r="V3555" s="11">
        <v>0.1353384965265066</v>
      </c>
      <c r="W3555" s="11">
        <v>0.02010964287968096</v>
      </c>
      <c r="X3555" s="11">
        <v>0.39255771629447983</v>
      </c>
      <c r="Y3555" s="11">
        <v>0.282914709978967</v>
      </c>
      <c r="Z3555" s="11">
        <v>0.08460470690149269</v>
      </c>
    </row>
    <row r="3556" ht="22.5" customHeight="1">
      <c r="Q3556" s="9" t="s">
        <v>3594</v>
      </c>
      <c r="R3556" s="10">
        <v>0.48121951717283146</v>
      </c>
      <c r="S3556" s="10">
        <v>0.021569481661180882</v>
      </c>
      <c r="T3556" s="10">
        <v>20.45573111601031</v>
      </c>
      <c r="U3556" s="11">
        <v>0.18986638495823926</v>
      </c>
      <c r="V3556" s="11">
        <v>0.08178817765929908</v>
      </c>
      <c r="W3556" s="11">
        <v>0.16997826536390045</v>
      </c>
      <c r="X3556" s="11">
        <v>0.2694087783445988</v>
      </c>
      <c r="Y3556" s="11">
        <v>0.0212387100366882</v>
      </c>
      <c r="Z3556" s="11">
        <v>0.2677196836372742</v>
      </c>
    </row>
    <row r="3557" ht="22.5" customHeight="1">
      <c r="Q3557" s="9" t="s">
        <v>3595</v>
      </c>
      <c r="R3557" s="10">
        <v>0.6066119055365768</v>
      </c>
      <c r="S3557" s="10">
        <v>0.02770002471011321</v>
      </c>
      <c r="T3557" s="10">
        <v>20.455285201594357</v>
      </c>
      <c r="U3557" s="11">
        <v>0.2518711927250744</v>
      </c>
      <c r="V3557" s="11">
        <v>0.2256746107982287</v>
      </c>
      <c r="W3557" s="11">
        <v>0.12828105819403948</v>
      </c>
      <c r="X3557" s="11">
        <v>0.10766455094854133</v>
      </c>
      <c r="Y3557" s="11">
        <v>0.03842487508162828</v>
      </c>
      <c r="Z3557" s="11">
        <v>0.24808371225248774</v>
      </c>
    </row>
    <row r="3558" ht="22.5" customHeight="1">
      <c r="Q3558" s="9" t="s">
        <v>3596</v>
      </c>
      <c r="R3558" s="10">
        <v>0.7077015615215237</v>
      </c>
      <c r="S3558" s="10">
        <v>0.03264239350312927</v>
      </c>
      <c r="T3558" s="10">
        <v>20.455042962995783</v>
      </c>
      <c r="U3558" s="11">
        <v>0.16889947763221225</v>
      </c>
      <c r="V3558" s="11">
        <v>0.2278263491575793</v>
      </c>
      <c r="W3558" s="11">
        <v>0.20586001395613723</v>
      </c>
      <c r="X3558" s="11">
        <v>0.10157367456302163</v>
      </c>
      <c r="Y3558" s="11">
        <v>0.03747829408232059</v>
      </c>
      <c r="Z3558" s="11">
        <v>0.258362190608729</v>
      </c>
    </row>
    <row r="3559" ht="22.5" customHeight="1">
      <c r="Q3559" s="9" t="s">
        <v>3597</v>
      </c>
      <c r="R3559" s="10">
        <v>0.6874569207268769</v>
      </c>
      <c r="S3559" s="10">
        <v>0.03165313608976097</v>
      </c>
      <c r="T3559" s="10">
        <v>20.454747955805672</v>
      </c>
      <c r="U3559" s="11">
        <v>0.061005432251262905</v>
      </c>
      <c r="V3559" s="11">
        <v>0.27115045785042524</v>
      </c>
      <c r="W3559" s="11">
        <v>0.11068095132289459</v>
      </c>
      <c r="X3559" s="11">
        <v>0.284419536851135</v>
      </c>
      <c r="Y3559" s="11">
        <v>0.25894188972519444</v>
      </c>
      <c r="Z3559" s="11">
        <v>0.013801731999087694</v>
      </c>
    </row>
    <row r="3560" ht="22.5" customHeight="1">
      <c r="Q3560" s="9" t="s">
        <v>3598</v>
      </c>
      <c r="R3560" s="10">
        <v>0.6541482319618734</v>
      </c>
      <c r="S3560" s="10">
        <v>0.030025002982022094</v>
      </c>
      <c r="T3560" s="10">
        <v>20.45456023200409</v>
      </c>
      <c r="U3560" s="11">
        <v>0.2501279478306654</v>
      </c>
      <c r="V3560" s="11">
        <v>0.18422501651454282</v>
      </c>
      <c r="W3560" s="11">
        <v>0.2075816341512532</v>
      </c>
      <c r="X3560" s="11">
        <v>0.08207599597527267</v>
      </c>
      <c r="Y3560" s="11">
        <v>0.07571227123434346</v>
      </c>
      <c r="Z3560" s="11">
        <v>0.2002771342939224</v>
      </c>
    </row>
    <row r="3561" ht="22.5" customHeight="1">
      <c r="Q3561" s="9" t="s">
        <v>3599</v>
      </c>
      <c r="R3561" s="10">
        <v>0.7605688797532821</v>
      </c>
      <c r="S3561" s="10">
        <v>0.03522819145531764</v>
      </c>
      <c r="T3561" s="10">
        <v>20.454325072782396</v>
      </c>
      <c r="U3561" s="11">
        <v>0.14073888210244706</v>
      </c>
      <c r="V3561" s="11">
        <v>0.2584771688584172</v>
      </c>
      <c r="W3561" s="11">
        <v>0.2054634114832317</v>
      </c>
      <c r="X3561" s="11">
        <v>0.0773391527328645</v>
      </c>
      <c r="Y3561" s="11">
        <v>0.20036734435701586</v>
      </c>
      <c r="Z3561" s="11">
        <v>0.11761404046602378</v>
      </c>
    </row>
    <row r="3562" ht="22.5" customHeight="1">
      <c r="Q3562" s="9" t="s">
        <v>3600</v>
      </c>
      <c r="R3562" s="10">
        <v>0.7695298377407956</v>
      </c>
      <c r="S3562" s="10">
        <v>0.03566744143389789</v>
      </c>
      <c r="T3562" s="10">
        <v>20.453663296618174</v>
      </c>
      <c r="U3562" s="11">
        <v>0.0925618173865114</v>
      </c>
      <c r="V3562" s="11">
        <v>0.25403799164950414</v>
      </c>
      <c r="W3562" s="11">
        <v>0.22152299397310166</v>
      </c>
      <c r="X3562" s="11">
        <v>0.1360853524162894</v>
      </c>
      <c r="Y3562" s="11">
        <v>0.0632967822101267</v>
      </c>
      <c r="Z3562" s="11">
        <v>0.2324950623644666</v>
      </c>
    </row>
    <row r="3563" ht="22.5" customHeight="1">
      <c r="Q3563" s="9" t="s">
        <v>3601</v>
      </c>
      <c r="R3563" s="10">
        <v>0.7432224221028532</v>
      </c>
      <c r="S3563" s="10">
        <v>0.0343816057945254</v>
      </c>
      <c r="T3563" s="10">
        <v>20.453449042069686</v>
      </c>
      <c r="U3563" s="11">
        <v>0.08317731859179815</v>
      </c>
      <c r="V3563" s="11">
        <v>0.2270459491861384</v>
      </c>
      <c r="W3563" s="11">
        <v>0.22598818537113535</v>
      </c>
      <c r="X3563" s="11">
        <v>0.09405478655605265</v>
      </c>
      <c r="Y3563" s="11">
        <v>0.2083862629345455</v>
      </c>
      <c r="Z3563" s="11">
        <v>0.16134749736033</v>
      </c>
    </row>
    <row r="3564" ht="22.5" customHeight="1">
      <c r="Q3564" s="9" t="s">
        <v>3602</v>
      </c>
      <c r="R3564" s="10">
        <v>0.7329779861906066</v>
      </c>
      <c r="S3564" s="10">
        <v>0.03388076379199755</v>
      </c>
      <c r="T3564" s="10">
        <v>20.453434593298162</v>
      </c>
      <c r="U3564" s="11">
        <v>0.23275168614096978</v>
      </c>
      <c r="V3564" s="11">
        <v>0.21997344538618435</v>
      </c>
      <c r="W3564" s="11">
        <v>0.22488472071697727</v>
      </c>
      <c r="X3564" s="11">
        <v>0.07265537117975095</v>
      </c>
      <c r="Y3564" s="11">
        <v>0.14985567094856297</v>
      </c>
      <c r="Z3564" s="11">
        <v>0.09987910562755462</v>
      </c>
    </row>
    <row r="3565" ht="22.5" customHeight="1">
      <c r="Q3565" s="9" t="s">
        <v>3603</v>
      </c>
      <c r="R3565" s="10">
        <v>0.8181296847426952</v>
      </c>
      <c r="S3565" s="10">
        <v>0.03804401331419575</v>
      </c>
      <c r="T3565" s="10">
        <v>20.453406908370095</v>
      </c>
      <c r="U3565" s="11">
        <v>0.14867561706924093</v>
      </c>
      <c r="V3565" s="11">
        <v>0.22539439137018627</v>
      </c>
      <c r="W3565" s="11">
        <v>0.27362188743776106</v>
      </c>
      <c r="X3565" s="11">
        <v>0.23472558847213226</v>
      </c>
      <c r="Y3565" s="11">
        <v>0.029439319147808018</v>
      </c>
      <c r="Z3565" s="11">
        <v>0.08814319650287156</v>
      </c>
    </row>
    <row r="3566" ht="22.5" customHeight="1">
      <c r="Q3566" s="9" t="s">
        <v>3604</v>
      </c>
      <c r="R3566" s="10">
        <v>0.782644686234315</v>
      </c>
      <c r="S3566" s="10">
        <v>0.036309096632175616</v>
      </c>
      <c r="T3566" s="10">
        <v>20.45340576102943</v>
      </c>
      <c r="U3566" s="11">
        <v>0.1236546270136175</v>
      </c>
      <c r="V3566" s="11">
        <v>0.3058062051936367</v>
      </c>
      <c r="W3566" s="11">
        <v>0.15612681489967808</v>
      </c>
      <c r="X3566" s="11">
        <v>0.28019515049848637</v>
      </c>
      <c r="Y3566" s="11">
        <v>0.06001516507833189</v>
      </c>
      <c r="Z3566" s="11">
        <v>0.07420203731624944</v>
      </c>
    </row>
    <row r="3567" ht="22.5" customHeight="1">
      <c r="Q3567" s="9" t="s">
        <v>3605</v>
      </c>
      <c r="R3567" s="10">
        <v>0.3917360993878475</v>
      </c>
      <c r="S3567" s="10">
        <v>0.017197129792303482</v>
      </c>
      <c r="T3567" s="10">
        <v>20.453186295382025</v>
      </c>
      <c r="U3567" s="11">
        <v>0.16514173141726093</v>
      </c>
      <c r="V3567" s="11">
        <v>0.05915148803482967</v>
      </c>
      <c r="W3567" s="11">
        <v>0.12960838096421917</v>
      </c>
      <c r="X3567" s="11">
        <v>0.1781334812985947</v>
      </c>
      <c r="Y3567" s="11">
        <v>0.1821193318668057</v>
      </c>
      <c r="Z3567" s="11">
        <v>0.28584558641828967</v>
      </c>
    </row>
    <row r="3568" ht="22.5" customHeight="1">
      <c r="Q3568" s="9" t="s">
        <v>3606</v>
      </c>
      <c r="R3568" s="10">
        <v>0.7055066061649454</v>
      </c>
      <c r="S3568" s="10">
        <v>0.032538102756033235</v>
      </c>
      <c r="T3568" s="10">
        <v>20.45314722726256</v>
      </c>
      <c r="U3568" s="11">
        <v>0.24865488631133728</v>
      </c>
      <c r="V3568" s="11">
        <v>0.22253294318249897</v>
      </c>
      <c r="W3568" s="11">
        <v>0.20829118935663252</v>
      </c>
      <c r="X3568" s="11">
        <v>0.10016061599128022</v>
      </c>
      <c r="Y3568" s="11">
        <v>0.001462245836280308</v>
      </c>
      <c r="Z3568" s="11">
        <v>0.21889811932197062</v>
      </c>
    </row>
    <row r="3569" ht="22.5" customHeight="1">
      <c r="Q3569" s="9" t="s">
        <v>3607</v>
      </c>
      <c r="R3569" s="10">
        <v>0.704855627687367</v>
      </c>
      <c r="S3569" s="10">
        <v>0.032506362926466734</v>
      </c>
      <c r="T3569" s="10">
        <v>20.453091882083196</v>
      </c>
      <c r="U3569" s="11">
        <v>0.16706545965968153</v>
      </c>
      <c r="V3569" s="11">
        <v>0.25292226166646076</v>
      </c>
      <c r="W3569" s="11">
        <v>0.16226114950152057</v>
      </c>
      <c r="X3569" s="11">
        <v>0.07087075913328646</v>
      </c>
      <c r="Y3569" s="11">
        <v>0.3019631193234849</v>
      </c>
      <c r="Z3569" s="11">
        <v>0.044917250715565654</v>
      </c>
    </row>
    <row r="3570" ht="22.5" customHeight="1">
      <c r="Q3570" s="9" t="s">
        <v>3608</v>
      </c>
      <c r="R3570" s="10">
        <v>0.7798219275375395</v>
      </c>
      <c r="S3570" s="10">
        <v>0.03617292308245405</v>
      </c>
      <c r="T3570" s="10">
        <v>20.452367807024025</v>
      </c>
      <c r="U3570" s="11">
        <v>0.2193833171941553</v>
      </c>
      <c r="V3570" s="11">
        <v>0.2887131556037319</v>
      </c>
      <c r="W3570" s="11">
        <v>0.18146258265642787</v>
      </c>
      <c r="X3570" s="11">
        <v>0.13624683028290374</v>
      </c>
      <c r="Y3570" s="11">
        <v>0.12240940238392384</v>
      </c>
      <c r="Z3570" s="11">
        <v>0.05178471187885736</v>
      </c>
    </row>
    <row r="3571" ht="22.5" customHeight="1">
      <c r="Q3571" s="9" t="s">
        <v>3609</v>
      </c>
      <c r="R3571" s="10">
        <v>0.3725077909436861</v>
      </c>
      <c r="S3571" s="10">
        <v>0.01625785363125704</v>
      </c>
      <c r="T3571" s="10">
        <v>20.45213338028908</v>
      </c>
      <c r="U3571" s="11">
        <v>0.16869463839763166</v>
      </c>
      <c r="V3571" s="11">
        <v>0.04160678351620654</v>
      </c>
      <c r="W3571" s="11">
        <v>0.12169755616419252</v>
      </c>
      <c r="X3571" s="11">
        <v>0.25523053742846413</v>
      </c>
      <c r="Y3571" s="11">
        <v>0.20488874953242311</v>
      </c>
      <c r="Z3571" s="11">
        <v>0.20788173496108217</v>
      </c>
    </row>
    <row r="3572" ht="22.5" customHeight="1">
      <c r="Q3572" s="9" t="s">
        <v>3610</v>
      </c>
      <c r="R3572" s="10">
        <v>0.651710892357517</v>
      </c>
      <c r="S3572" s="10">
        <v>0.029909454362107166</v>
      </c>
      <c r="T3572" s="10">
        <v>20.452091333785905</v>
      </c>
      <c r="U3572" s="11">
        <v>0.23882041113739425</v>
      </c>
      <c r="V3572" s="11">
        <v>0.13463856255107692</v>
      </c>
      <c r="W3572" s="11">
        <v>0.23285107972452634</v>
      </c>
      <c r="X3572" s="11">
        <v>0.23885449779082027</v>
      </c>
      <c r="Y3572" s="11">
        <v>0.13909708121926975</v>
      </c>
      <c r="Z3572" s="11">
        <v>0.01573836757691243</v>
      </c>
    </row>
    <row r="3573" ht="22.5" customHeight="1">
      <c r="Q3573" s="9" t="s">
        <v>3611</v>
      </c>
      <c r="R3573" s="10">
        <v>0.4696340791310668</v>
      </c>
      <c r="S3573" s="10">
        <v>0.021006941967822053</v>
      </c>
      <c r="T3573" s="10">
        <v>20.45200485578388</v>
      </c>
      <c r="U3573" s="11">
        <v>0.018052350480285365</v>
      </c>
      <c r="V3573" s="11">
        <v>0.1824829276697719</v>
      </c>
      <c r="W3573" s="11">
        <v>0.05566546207152188</v>
      </c>
      <c r="X3573" s="11">
        <v>0.3178605407737741</v>
      </c>
      <c r="Y3573" s="11">
        <v>0.061469298758475455</v>
      </c>
      <c r="Z3573" s="11">
        <v>0.36446942024617135</v>
      </c>
    </row>
    <row r="3574" ht="22.5" customHeight="1">
      <c r="Q3574" s="9" t="s">
        <v>3612</v>
      </c>
      <c r="R3574" s="10">
        <v>0.7354428424403749</v>
      </c>
      <c r="S3574" s="10">
        <v>0.03400372371660172</v>
      </c>
      <c r="T3574" s="10">
        <v>20.45196132742477</v>
      </c>
      <c r="U3574" s="11">
        <v>0.16635676819252457</v>
      </c>
      <c r="V3574" s="11">
        <v>0.23671909994875814</v>
      </c>
      <c r="W3574" s="11">
        <v>0.2115210582075806</v>
      </c>
      <c r="X3574" s="11">
        <v>0.06297748104765769</v>
      </c>
      <c r="Y3574" s="11">
        <v>0.18405141292028235</v>
      </c>
      <c r="Z3574" s="11">
        <v>0.13837417968319676</v>
      </c>
    </row>
    <row r="3575" ht="22.5" customHeight="1">
      <c r="Q3575" s="9" t="s">
        <v>3613</v>
      </c>
      <c r="R3575" s="10">
        <v>0.7837518264668043</v>
      </c>
      <c r="S3575" s="10">
        <v>0.036365850879084484</v>
      </c>
      <c r="T3575" s="10">
        <v>20.45192972219349</v>
      </c>
      <c r="U3575" s="11">
        <v>0.2035389564172851</v>
      </c>
      <c r="V3575" s="11">
        <v>0.25268798806128695</v>
      </c>
      <c r="W3575" s="11">
        <v>0.2274145196305293</v>
      </c>
      <c r="X3575" s="11">
        <v>0.08035805959006927</v>
      </c>
      <c r="Y3575" s="11">
        <v>0.16460151135029433</v>
      </c>
      <c r="Z3575" s="11">
        <v>0.0713989649505351</v>
      </c>
    </row>
    <row r="3576" ht="22.5" customHeight="1">
      <c r="Q3576" s="9" t="s">
        <v>3614</v>
      </c>
      <c r="R3576" s="10">
        <v>0.26070556012827706</v>
      </c>
      <c r="S3576" s="10">
        <v>0.010791441861347758</v>
      </c>
      <c r="T3576" s="10">
        <v>20.451906516661975</v>
      </c>
      <c r="U3576" s="11">
        <v>0.28988218415288014</v>
      </c>
      <c r="V3576" s="11">
        <v>0.04763186414345078</v>
      </c>
      <c r="W3576" s="11">
        <v>0.017113808773467368</v>
      </c>
      <c r="X3576" s="11">
        <v>0.32310407845897765</v>
      </c>
      <c r="Y3576" s="11">
        <v>0.20851963740359503</v>
      </c>
      <c r="Z3576" s="11">
        <v>0.11374842706762908</v>
      </c>
    </row>
    <row r="3577" ht="22.5" customHeight="1">
      <c r="Q3577" s="9" t="s">
        <v>3615</v>
      </c>
      <c r="R3577" s="10">
        <v>0.641431742206262</v>
      </c>
      <c r="S3577" s="10">
        <v>0.029407257107930223</v>
      </c>
      <c r="T3577" s="10">
        <v>20.451813645825354</v>
      </c>
      <c r="U3577" s="11">
        <v>0.10345299518403679</v>
      </c>
      <c r="V3577" s="11">
        <v>0.16019917584815685</v>
      </c>
      <c r="W3577" s="11">
        <v>0.21367679660400254</v>
      </c>
      <c r="X3577" s="11">
        <v>0.11821699616457385</v>
      </c>
      <c r="Y3577" s="11">
        <v>0.2518940592622957</v>
      </c>
      <c r="Z3577" s="11">
        <v>0.15255997693693418</v>
      </c>
    </row>
    <row r="3578" ht="22.5" customHeight="1">
      <c r="Q3578" s="9" t="s">
        <v>3616</v>
      </c>
      <c r="R3578" s="10">
        <v>0.8346301261127257</v>
      </c>
      <c r="S3578" s="10">
        <v>0.03885412576383757</v>
      </c>
      <c r="T3578" s="10">
        <v>20.45162799293521</v>
      </c>
      <c r="U3578" s="11">
        <v>0.1827899097289025</v>
      </c>
      <c r="V3578" s="11">
        <v>0.22197472897211248</v>
      </c>
      <c r="W3578" s="11">
        <v>0.2842446608196603</v>
      </c>
      <c r="X3578" s="11">
        <v>0.2725793098912142</v>
      </c>
      <c r="Y3578" s="11">
        <v>0.00490287075853577</v>
      </c>
      <c r="Z3578" s="11">
        <v>0.03350851982957475</v>
      </c>
    </row>
    <row r="3579" ht="22.5" customHeight="1">
      <c r="Q3579" s="9" t="s">
        <v>3617</v>
      </c>
      <c r="R3579" s="10">
        <v>0.7455495892428093</v>
      </c>
      <c r="S3579" s="10">
        <v>0.034498953985444364</v>
      </c>
      <c r="T3579" s="10">
        <v>20.451332801002938</v>
      </c>
      <c r="U3579" s="11">
        <v>0.3006669433285591</v>
      </c>
      <c r="V3579" s="11">
        <v>0.22007448432101717</v>
      </c>
      <c r="W3579" s="11">
        <v>0.23056788028305106</v>
      </c>
      <c r="X3579" s="11">
        <v>0.07157418386226146</v>
      </c>
      <c r="Y3579" s="11">
        <v>0.14879289328722564</v>
      </c>
      <c r="Z3579" s="11">
        <v>0.028323614917885473</v>
      </c>
    </row>
    <row r="3580" ht="22.5" customHeight="1">
      <c r="Q3580" s="9" t="s">
        <v>3618</v>
      </c>
      <c r="R3580" s="10">
        <v>0.8754709022059551</v>
      </c>
      <c r="S3580" s="10">
        <v>0.040852173399380694</v>
      </c>
      <c r="T3580" s="10">
        <v>20.451075981642155</v>
      </c>
      <c r="U3580" s="11">
        <v>0.11978052253259112</v>
      </c>
      <c r="V3580" s="11">
        <v>0.2682097571008132</v>
      </c>
      <c r="W3580" s="11">
        <v>0.27431617406804276</v>
      </c>
      <c r="X3580" s="11">
        <v>0.19669587045174344</v>
      </c>
      <c r="Y3580" s="11">
        <v>0.07376512843628602</v>
      </c>
      <c r="Z3580" s="11">
        <v>0.06723254741052345</v>
      </c>
    </row>
    <row r="3581" ht="22.5" customHeight="1">
      <c r="Q3581" s="9" t="s">
        <v>3619</v>
      </c>
      <c r="R3581" s="10">
        <v>0.3843593937643158</v>
      </c>
      <c r="S3581" s="10">
        <v>0.016838313440792216</v>
      </c>
      <c r="T3581" s="10">
        <v>20.45094331894764</v>
      </c>
      <c r="U3581" s="11">
        <v>0.24565971330453854</v>
      </c>
      <c r="V3581" s="11">
        <v>0.12848575743570978</v>
      </c>
      <c r="W3581" s="11">
        <v>0.058080030924323726</v>
      </c>
      <c r="X3581" s="11">
        <v>0.0638303525843899</v>
      </c>
      <c r="Y3581" s="11">
        <v>0.23978782132673634</v>
      </c>
      <c r="Z3581" s="11">
        <v>0.2641563244243017</v>
      </c>
    </row>
    <row r="3582" ht="22.5" customHeight="1">
      <c r="Q3582" s="9" t="s">
        <v>3620</v>
      </c>
      <c r="R3582" s="10">
        <v>0.6037336526488328</v>
      </c>
      <c r="S3582" s="10">
        <v>0.027565674446787886</v>
      </c>
      <c r="T3582" s="10">
        <v>20.45056629167738</v>
      </c>
      <c r="U3582" s="11">
        <v>0.23360514570013238</v>
      </c>
      <c r="V3582" s="11">
        <v>0.15068034790237989</v>
      </c>
      <c r="W3582" s="11">
        <v>0.19825534782537776</v>
      </c>
      <c r="X3582" s="11">
        <v>0.07530916335727274</v>
      </c>
      <c r="Y3582" s="11">
        <v>0.20154822053694624</v>
      </c>
      <c r="Z3582" s="11">
        <v>0.140601774677891</v>
      </c>
    </row>
    <row r="3583" ht="22.5" customHeight="1">
      <c r="Q3583" s="9" t="s">
        <v>3621</v>
      </c>
      <c r="R3583" s="10">
        <v>0.522331348251574</v>
      </c>
      <c r="S3583" s="10">
        <v>0.022853371023212794</v>
      </c>
      <c r="T3583" s="10">
        <v>20.449272074942005</v>
      </c>
      <c r="U3583" s="11">
        <v>0.18992712824116537</v>
      </c>
      <c r="V3583" s="11">
        <v>0.19229083361307164</v>
      </c>
      <c r="W3583" s="11">
        <v>0.0724484753375772</v>
      </c>
      <c r="X3583" s="11">
        <v>0.14259145058982997</v>
      </c>
      <c r="Y3583" s="11">
        <v>0.26326559113559683</v>
      </c>
      <c r="Z3583" s="11">
        <v>0.13947652108275907</v>
      </c>
    </row>
    <row r="3584" ht="22.5" customHeight="1">
      <c r="Q3584" s="9" t="s">
        <v>3622</v>
      </c>
      <c r="R3584" s="10">
        <v>0.522331348251574</v>
      </c>
      <c r="S3584" s="10">
        <v>0.032561929839302985</v>
      </c>
      <c r="T3584" s="10">
        <v>20.44904951838204</v>
      </c>
      <c r="U3584" s="11">
        <v>0.1943000004244021</v>
      </c>
      <c r="V3584" s="11">
        <v>0.2071616754166987</v>
      </c>
      <c r="W3584" s="11">
        <v>0.21754063268869045</v>
      </c>
      <c r="X3584" s="11">
        <v>0.0598297485590681</v>
      </c>
      <c r="Y3584" s="11">
        <v>0.21304744130375078</v>
      </c>
      <c r="Z3584" s="11">
        <v>0.10812050160738998</v>
      </c>
    </row>
    <row r="3585" ht="22.5" customHeight="1">
      <c r="Q3585" s="9" t="s">
        <v>3623</v>
      </c>
      <c r="R3585" s="10">
        <v>0.8349474824301626</v>
      </c>
      <c r="S3585" s="10">
        <v>0.038875467327461236</v>
      </c>
      <c r="T3585" s="10">
        <v>20.448564019412306</v>
      </c>
      <c r="U3585" s="11">
        <v>0.044303177075990754</v>
      </c>
      <c r="V3585" s="11">
        <v>0.24012568116332472</v>
      </c>
      <c r="W3585" s="11">
        <v>0.2734377436172412</v>
      </c>
      <c r="X3585" s="11">
        <v>0.24964070773598296</v>
      </c>
      <c r="Y3585" s="11">
        <v>0.040157863702697166</v>
      </c>
      <c r="Z3585" s="11">
        <v>0.15233482670476312</v>
      </c>
    </row>
    <row r="3586" ht="22.5" customHeight="1">
      <c r="Q3586" s="9" t="s">
        <v>3624</v>
      </c>
      <c r="R3586" s="10">
        <v>0.41387735675174564</v>
      </c>
      <c r="S3586" s="10">
        <v>0.01828411969031517</v>
      </c>
      <c r="T3586" s="10">
        <v>20.44820112120481</v>
      </c>
      <c r="U3586" s="11">
        <v>0.14769754115944567</v>
      </c>
      <c r="V3586" s="11">
        <v>0.058562984524789245</v>
      </c>
      <c r="W3586" s="11">
        <v>0.14147569335261273</v>
      </c>
      <c r="X3586" s="11">
        <v>0.22776800324193228</v>
      </c>
      <c r="Y3586" s="11">
        <v>0.1734938081519294</v>
      </c>
      <c r="Z3586" s="11">
        <v>0.2510019695692906</v>
      </c>
    </row>
    <row r="3587" ht="22.5" customHeight="1">
      <c r="Q3587" s="9" t="s">
        <v>3625</v>
      </c>
      <c r="R3587" s="10">
        <v>0.8132135163742551</v>
      </c>
      <c r="S3587" s="10">
        <v>0.03781351654325135</v>
      </c>
      <c r="T3587" s="10">
        <v>20.44807219899393</v>
      </c>
      <c r="U3587" s="11">
        <v>0.0338583123250022</v>
      </c>
      <c r="V3587" s="11">
        <v>0.23195087567400832</v>
      </c>
      <c r="W3587" s="11">
        <v>0.2667382513429207</v>
      </c>
      <c r="X3587" s="11">
        <v>0.2245019346447709</v>
      </c>
      <c r="Y3587" s="11">
        <v>0.08390847747902834</v>
      </c>
      <c r="Z3587" s="11">
        <v>0.15904214853426957</v>
      </c>
    </row>
    <row r="3588" ht="22.5" customHeight="1">
      <c r="Q3588" s="9" t="s">
        <v>3626</v>
      </c>
      <c r="R3588" s="10">
        <v>0.6902142173281873</v>
      </c>
      <c r="S3588" s="10">
        <v>0.031798490088253896</v>
      </c>
      <c r="T3588" s="10">
        <v>20.447958866083745</v>
      </c>
      <c r="U3588" s="11">
        <v>0.14044345487757237</v>
      </c>
      <c r="V3588" s="11">
        <v>0.15421988234717174</v>
      </c>
      <c r="W3588" s="11">
        <v>0.24457767616807086</v>
      </c>
      <c r="X3588" s="11">
        <v>0.24016231356001863</v>
      </c>
      <c r="Y3588" s="11">
        <v>0.15611528260789445</v>
      </c>
      <c r="Z3588" s="11">
        <v>0.06448139043927197</v>
      </c>
    </row>
    <row r="3589" ht="22.5" customHeight="1">
      <c r="Q3589" s="9" t="s">
        <v>3627</v>
      </c>
      <c r="R3589" s="10">
        <v>0.7816286151208893</v>
      </c>
      <c r="S3589" s="10">
        <v>0.03626962872306205</v>
      </c>
      <c r="T3589" s="10">
        <v>20.447648383269073</v>
      </c>
      <c r="U3589" s="11">
        <v>0.18333560985065836</v>
      </c>
      <c r="V3589" s="11">
        <v>0.22616068775754106</v>
      </c>
      <c r="W3589" s="11">
        <v>0.24880518040798177</v>
      </c>
      <c r="X3589" s="11">
        <v>0.11220795048288024</v>
      </c>
      <c r="Y3589" s="11">
        <v>0.18824185630823387</v>
      </c>
      <c r="Z3589" s="11">
        <v>0.04124871519270465</v>
      </c>
    </row>
    <row r="3590" ht="22.5" customHeight="1">
      <c r="Q3590" s="9" t="s">
        <v>3628</v>
      </c>
      <c r="R3590" s="10">
        <v>0.7789201161797057</v>
      </c>
      <c r="S3590" s="10">
        <v>0.03613795781431389</v>
      </c>
      <c r="T3590" s="10">
        <v>20.447201803058906</v>
      </c>
      <c r="U3590" s="11">
        <v>0.09980178098014081</v>
      </c>
      <c r="V3590" s="11">
        <v>0.2686072611725313</v>
      </c>
      <c r="W3590" s="11">
        <v>0.21233317614499764</v>
      </c>
      <c r="X3590" s="11">
        <v>0.13892351274740486</v>
      </c>
      <c r="Y3590" s="11">
        <v>0.06383220910994689</v>
      </c>
      <c r="Z3590" s="11">
        <v>0.21650205984497853</v>
      </c>
    </row>
    <row r="3591" ht="22.5" customHeight="1">
      <c r="Q3591" s="9" t="s">
        <v>3629</v>
      </c>
      <c r="R3591" s="10">
        <v>0.8089191101829782</v>
      </c>
      <c r="S3591" s="10">
        <v>0.03760537436792624</v>
      </c>
      <c r="T3591" s="10">
        <v>20.44705372854344</v>
      </c>
      <c r="U3591" s="11">
        <v>0.23286675706416113</v>
      </c>
      <c r="V3591" s="11">
        <v>0.24229757085913878</v>
      </c>
      <c r="W3591" s="11">
        <v>0.25220248614835633</v>
      </c>
      <c r="X3591" s="11">
        <v>0.10865719457149338</v>
      </c>
      <c r="Y3591" s="11">
        <v>0.15470203060977658</v>
      </c>
      <c r="Z3591" s="11">
        <v>0.00927396074707383</v>
      </c>
    </row>
    <row r="3592" ht="22.5" customHeight="1">
      <c r="Q3592" s="9" t="s">
        <v>3630</v>
      </c>
      <c r="R3592" s="10">
        <v>0.5673885943177118</v>
      </c>
      <c r="S3592" s="10">
        <v>0.025793129188896327</v>
      </c>
      <c r="T3592" s="10">
        <v>20.44686359903734</v>
      </c>
      <c r="U3592" s="11">
        <v>0.15794345520434006</v>
      </c>
      <c r="V3592" s="11">
        <v>0.22379704313928378</v>
      </c>
      <c r="W3592" s="11">
        <v>0.08304697488921917</v>
      </c>
      <c r="X3592" s="11">
        <v>0.2116796123303661</v>
      </c>
      <c r="Y3592" s="11">
        <v>0.16844634327490884</v>
      </c>
      <c r="Z3592" s="11">
        <v>0.15508657116188207</v>
      </c>
    </row>
    <row r="3593" ht="22.5" customHeight="1">
      <c r="Q3593" s="9" t="s">
        <v>3631</v>
      </c>
      <c r="R3593" s="10">
        <v>0.6873851333271785</v>
      </c>
      <c r="S3593" s="10">
        <v>0.03166192006164811</v>
      </c>
      <c r="T3593" s="10">
        <v>20.44680588121856</v>
      </c>
      <c r="U3593" s="11">
        <v>0.12185032813942598</v>
      </c>
      <c r="V3593" s="11">
        <v>0.23945403582689312</v>
      </c>
      <c r="W3593" s="11">
        <v>0.17240913729868387</v>
      </c>
      <c r="X3593" s="11">
        <v>0.05333403909100719</v>
      </c>
      <c r="Y3593" s="11">
        <v>0.24631113820061792</v>
      </c>
      <c r="Z3593" s="11">
        <v>0.16664132144337204</v>
      </c>
    </row>
    <row r="3594" ht="22.5" customHeight="1">
      <c r="Q3594" s="9" t="s">
        <v>3632</v>
      </c>
      <c r="R3594" s="10">
        <v>0.7392226017885641</v>
      </c>
      <c r="S3594" s="10">
        <v>0.034198552656630514</v>
      </c>
      <c r="T3594" s="10">
        <v>20.445970588553454</v>
      </c>
      <c r="U3594" s="11">
        <v>0.11071055995644218</v>
      </c>
      <c r="V3594" s="11">
        <v>0.1886771402919542</v>
      </c>
      <c r="W3594" s="11">
        <v>0.25065475896303974</v>
      </c>
      <c r="X3594" s="11">
        <v>0.17345337576302586</v>
      </c>
      <c r="Y3594" s="11">
        <v>0.215921845913722</v>
      </c>
      <c r="Z3594" s="11">
        <v>0.06058231911181609</v>
      </c>
    </row>
    <row r="3595" ht="22.5" customHeight="1">
      <c r="Q3595" s="9" t="s">
        <v>3633</v>
      </c>
      <c r="R3595" s="10">
        <v>0.6254857214993642</v>
      </c>
      <c r="S3595" s="10">
        <v>0.028635977623696716</v>
      </c>
      <c r="T3595" s="10">
        <v>20.445808737288075</v>
      </c>
      <c r="U3595" s="11">
        <v>0.02030579114572202</v>
      </c>
      <c r="V3595" s="11">
        <v>0.21823651526167281</v>
      </c>
      <c r="W3595" s="11">
        <v>0.15209101081583698</v>
      </c>
      <c r="X3595" s="11">
        <v>0.06073030338927491</v>
      </c>
      <c r="Y3595" s="11">
        <v>0.26728371315872557</v>
      </c>
      <c r="Z3595" s="11">
        <v>0.28135266622876764</v>
      </c>
    </row>
    <row r="3596" ht="22.5" customHeight="1">
      <c r="Q3596" s="9" t="s">
        <v>3634</v>
      </c>
      <c r="R3596" s="10">
        <v>0.716498829093571</v>
      </c>
      <c r="S3596" s="10">
        <v>0.033087988083050524</v>
      </c>
      <c r="T3596" s="10">
        <v>20.445450699376632</v>
      </c>
      <c r="U3596" s="11">
        <v>0.1245442866681989</v>
      </c>
      <c r="V3596" s="11">
        <v>0.2792879571576405</v>
      </c>
      <c r="W3596" s="11">
        <v>0.13424961972554808</v>
      </c>
      <c r="X3596" s="11">
        <v>0.20619230078066464</v>
      </c>
      <c r="Y3596" s="11">
        <v>0.20814988742067608</v>
      </c>
      <c r="Z3596" s="11">
        <v>0.0475759482472719</v>
      </c>
    </row>
    <row r="3597" ht="22.5" customHeight="1">
      <c r="Q3597" s="9" t="s">
        <v>3635</v>
      </c>
      <c r="R3597" s="10">
        <v>0.6772779167141288</v>
      </c>
      <c r="S3597" s="10">
        <v>0.03117030253232075</v>
      </c>
      <c r="T3597" s="10">
        <v>20.445034694588863</v>
      </c>
      <c r="U3597" s="11">
        <v>0.02979546100859266</v>
      </c>
      <c r="V3597" s="11">
        <v>0.18445882202753583</v>
      </c>
      <c r="W3597" s="11">
        <v>0.22245338017149144</v>
      </c>
      <c r="X3597" s="11">
        <v>0.14630421753597364</v>
      </c>
      <c r="Y3597" s="11">
        <v>0.14816292702862224</v>
      </c>
      <c r="Z3597" s="11">
        <v>0.2688251922277843</v>
      </c>
    </row>
    <row r="3598" ht="22.5" customHeight="1">
      <c r="Q3598" s="9" t="s">
        <v>3636</v>
      </c>
      <c r="R3598" s="10">
        <v>0.5407696526494145</v>
      </c>
      <c r="S3598" s="10">
        <v>0.02449360737205968</v>
      </c>
      <c r="T3598" s="10">
        <v>20.44491221904095</v>
      </c>
      <c r="U3598" s="11">
        <v>0.18819366480701114</v>
      </c>
      <c r="V3598" s="11">
        <v>0.2085708584291661</v>
      </c>
      <c r="W3598" s="11">
        <v>0.07980445831823567</v>
      </c>
      <c r="X3598" s="11">
        <v>0.1595693791542395</v>
      </c>
      <c r="Y3598" s="11">
        <v>0.23597756582636814</v>
      </c>
      <c r="Z3598" s="11">
        <v>0.12788407346497957</v>
      </c>
    </row>
    <row r="3599" ht="22.5" customHeight="1">
      <c r="Q3599" s="9" t="s">
        <v>3637</v>
      </c>
      <c r="R3599" s="10">
        <v>0.7425944323248611</v>
      </c>
      <c r="S3599" s="10">
        <v>0.03436636886719796</v>
      </c>
      <c r="T3599" s="10">
        <v>20.444244052663766</v>
      </c>
      <c r="U3599" s="11">
        <v>0.051594332605061605</v>
      </c>
      <c r="V3599" s="11">
        <v>0.25315189707359925</v>
      </c>
      <c r="W3599" s="11">
        <v>0.19748485150560058</v>
      </c>
      <c r="X3599" s="11">
        <v>0.08067922515369212</v>
      </c>
      <c r="Y3599" s="11">
        <v>0.2649694513120969</v>
      </c>
      <c r="Z3599" s="11">
        <v>0.15212024234994967</v>
      </c>
    </row>
    <row r="3600" ht="22.5" customHeight="1">
      <c r="Q3600" s="9" t="s">
        <v>3638</v>
      </c>
      <c r="R3600" s="10">
        <v>0.6653040389253069</v>
      </c>
      <c r="S3600" s="10">
        <v>0.03058587467698105</v>
      </c>
      <c r="T3600" s="10">
        <v>20.444209803681407</v>
      </c>
      <c r="U3600" s="11">
        <v>0.26209379853223636</v>
      </c>
      <c r="V3600" s="11">
        <v>0.17005243009100401</v>
      </c>
      <c r="W3600" s="11">
        <v>0.21925747911064788</v>
      </c>
      <c r="X3600" s="11">
        <v>0.08774184809990115</v>
      </c>
      <c r="Y3600" s="11">
        <v>0.2124057210675807</v>
      </c>
      <c r="Z3600" s="11">
        <v>0.048448723098630055</v>
      </c>
    </row>
    <row r="3601" ht="22.5" customHeight="1">
      <c r="Q3601" s="9" t="s">
        <v>3639</v>
      </c>
      <c r="R3601" s="10">
        <v>0.465519883536613</v>
      </c>
      <c r="S3601" s="10">
        <v>0.020813806651733005</v>
      </c>
      <c r="T3601" s="10">
        <v>20.444116285724373</v>
      </c>
      <c r="U3601" s="11">
        <v>0.26631447192145935</v>
      </c>
      <c r="V3601" s="11">
        <v>0.1793226747951292</v>
      </c>
      <c r="W3601" s="11">
        <v>0.048432318336803164</v>
      </c>
      <c r="X3601" s="11">
        <v>0.2454627994639593</v>
      </c>
      <c r="Y3601" s="11">
        <v>0.1120882188161451</v>
      </c>
      <c r="Z3601" s="11">
        <v>0.148379516666504</v>
      </c>
    </row>
    <row r="3602" ht="22.5" customHeight="1">
      <c r="Q3602" s="9" t="s">
        <v>3640</v>
      </c>
      <c r="R3602" s="10">
        <v>0.5265447644599508</v>
      </c>
      <c r="S3602" s="10">
        <v>0.023798786903841518</v>
      </c>
      <c r="T3602" s="10">
        <v>20.444099374721258</v>
      </c>
      <c r="U3602" s="11">
        <v>0.22875567059506302</v>
      </c>
      <c r="V3602" s="11">
        <v>0.195474211621341</v>
      </c>
      <c r="W3602" s="11">
        <v>0.09923535555916989</v>
      </c>
      <c r="X3602" s="11">
        <v>0.07301910440455239</v>
      </c>
      <c r="Y3602" s="11">
        <v>0.14319312539186183</v>
      </c>
      <c r="Z3602" s="11">
        <v>0.26032253242801184</v>
      </c>
    </row>
    <row r="3603" ht="22.5" customHeight="1">
      <c r="Q3603" s="9" t="s">
        <v>3641</v>
      </c>
      <c r="R3603" s="10">
        <v>0.4156478792653257</v>
      </c>
      <c r="S3603" s="10">
        <v>0.01837464207354356</v>
      </c>
      <c r="T3603" s="10">
        <v>20.443820225820694</v>
      </c>
      <c r="U3603" s="11">
        <v>0.3303161034253225</v>
      </c>
      <c r="V3603" s="11">
        <v>0.12535579538317546</v>
      </c>
      <c r="W3603" s="11">
        <v>0.08426433045929381</v>
      </c>
      <c r="X3603" s="11">
        <v>0.010789660679203165</v>
      </c>
      <c r="Y3603" s="11">
        <v>0.2757400217822662</v>
      </c>
      <c r="Z3603" s="11">
        <v>0.17353408827073888</v>
      </c>
    </row>
    <row r="3604" ht="22.5" customHeight="1">
      <c r="Q3604" s="9" t="s">
        <v>3642</v>
      </c>
      <c r="R3604" s="10">
        <v>0.4955175291761143</v>
      </c>
      <c r="S3604" s="10">
        <v>0.022282946883277772</v>
      </c>
      <c r="T3604" s="10">
        <v>20.442427635904714</v>
      </c>
      <c r="U3604" s="11">
        <v>0.24774502361747694</v>
      </c>
      <c r="V3604" s="11">
        <v>0.0933968963279236</v>
      </c>
      <c r="W3604" s="11">
        <v>0.17088537262737294</v>
      </c>
      <c r="X3604" s="11">
        <v>0.14889733383944387</v>
      </c>
      <c r="Y3604" s="11">
        <v>0.16330536092614395</v>
      </c>
      <c r="Z3604" s="11">
        <v>0.17577001266163872</v>
      </c>
    </row>
    <row r="3605" ht="22.5" customHeight="1">
      <c r="Q3605" s="9" t="s">
        <v>3643</v>
      </c>
      <c r="R3605" s="10">
        <v>0.740810084436397</v>
      </c>
      <c r="S3605" s="10">
        <v>0.034282386893674556</v>
      </c>
      <c r="T3605" s="10">
        <v>20.442278030696382</v>
      </c>
      <c r="U3605" s="11">
        <v>0.07087670999034991</v>
      </c>
      <c r="V3605" s="11">
        <v>0.23713815921107345</v>
      </c>
      <c r="W3605" s="11">
        <v>0.2153901809970849</v>
      </c>
      <c r="X3605" s="11">
        <v>0.08142711500881557</v>
      </c>
      <c r="Y3605" s="11">
        <v>0.2163716168442052</v>
      </c>
      <c r="Z3605" s="11">
        <v>0.17879621794847095</v>
      </c>
    </row>
    <row r="3606" ht="22.5" customHeight="1">
      <c r="Q3606" s="9" t="s">
        <v>3644</v>
      </c>
      <c r="R3606" s="10">
        <v>0.6776724182581219</v>
      </c>
      <c r="S3606" s="10">
        <v>0.031193856324812728</v>
      </c>
      <c r="T3606" s="10">
        <v>20.442243870659045</v>
      </c>
      <c r="U3606" s="11">
        <v>0.10931261921727434</v>
      </c>
      <c r="V3606" s="11">
        <v>0.2681934607584372</v>
      </c>
      <c r="W3606" s="11">
        <v>0.11399301762142292</v>
      </c>
      <c r="X3606" s="11">
        <v>0.24687301341652276</v>
      </c>
      <c r="Y3606" s="11">
        <v>0.19038130678385834</v>
      </c>
      <c r="Z3606" s="11">
        <v>0.07124658220248462</v>
      </c>
    </row>
    <row r="3607" ht="22.5" customHeight="1">
      <c r="Q3607" s="9" t="s">
        <v>3645</v>
      </c>
      <c r="R3607" s="10">
        <v>0.4532252258693949</v>
      </c>
      <c r="S3607" s="10">
        <v>0.020214313652796665</v>
      </c>
      <c r="T3607" s="10">
        <v>20.44220906863315</v>
      </c>
      <c r="U3607" s="11">
        <v>0.24029907944466875</v>
      </c>
      <c r="V3607" s="11">
        <v>0.16733042275858825</v>
      </c>
      <c r="W3607" s="11">
        <v>0.06861991646906083</v>
      </c>
      <c r="X3607" s="11">
        <v>0.09465665115403182</v>
      </c>
      <c r="Y3607" s="11">
        <v>0.17929234785580106</v>
      </c>
      <c r="Z3607" s="11">
        <v>0.24980158231784924</v>
      </c>
    </row>
    <row r="3608" ht="22.5" customHeight="1">
      <c r="Q3608" s="9" t="s">
        <v>3646</v>
      </c>
      <c r="R3608" s="10">
        <v>0.820247201508544</v>
      </c>
      <c r="S3608" s="10">
        <v>0.0381686188652044</v>
      </c>
      <c r="T3608" s="10">
        <v>20.442112518245704</v>
      </c>
      <c r="U3608" s="11">
        <v>0.014782840841349986</v>
      </c>
      <c r="V3608" s="11">
        <v>0.27656291494080715</v>
      </c>
      <c r="W3608" s="11">
        <v>0.22942203320447505</v>
      </c>
      <c r="X3608" s="11">
        <v>0.13613448960809355</v>
      </c>
      <c r="Y3608" s="11">
        <v>0.20024889182917674</v>
      </c>
      <c r="Z3608" s="11">
        <v>0.1428488295760975</v>
      </c>
    </row>
    <row r="3609" ht="22.5" customHeight="1">
      <c r="Q3609" s="9" t="s">
        <v>3647</v>
      </c>
      <c r="R3609" s="10">
        <v>0.7003836922331013</v>
      </c>
      <c r="S3609" s="10">
        <v>0.03230508659352757</v>
      </c>
      <c r="T3609" s="10">
        <v>20.442096334309507</v>
      </c>
      <c r="U3609" s="11">
        <v>0.21470582491943607</v>
      </c>
      <c r="V3609" s="11">
        <v>0.2082088195614585</v>
      </c>
      <c r="W3609" s="11">
        <v>0.21796552770288982</v>
      </c>
      <c r="X3609" s="11">
        <v>0.09657797987659741</v>
      </c>
      <c r="Y3609" s="11">
        <v>0.05490158229335356</v>
      </c>
      <c r="Z3609" s="11">
        <v>0.2076402656462647</v>
      </c>
    </row>
    <row r="3610" ht="22.5" customHeight="1">
      <c r="Q3610" s="9" t="s">
        <v>3648</v>
      </c>
      <c r="R3610" s="10">
        <v>0.6938070483080839</v>
      </c>
      <c r="S3610" s="10">
        <v>0.03198358406004435</v>
      </c>
      <c r="T3610" s="10">
        <v>20.441956945183502</v>
      </c>
      <c r="U3610" s="11">
        <v>0.14382737804806794</v>
      </c>
      <c r="V3610" s="11">
        <v>0.16566413326940843</v>
      </c>
      <c r="W3610" s="11">
        <v>0.2394913730282081</v>
      </c>
      <c r="X3610" s="11">
        <v>0.17629544291062427</v>
      </c>
      <c r="Y3610" s="11">
        <v>0.21175131952552687</v>
      </c>
      <c r="Z3610" s="11">
        <v>0.0629703532181645</v>
      </c>
    </row>
    <row r="3611" ht="22.5" customHeight="1">
      <c r="Q3611" s="9" t="s">
        <v>3649</v>
      </c>
      <c r="R3611" s="10">
        <v>0.6619072398222676</v>
      </c>
      <c r="S3611" s="10">
        <v>0.030423325391681463</v>
      </c>
      <c r="T3611" s="10">
        <v>20.441790363663316</v>
      </c>
      <c r="U3611" s="11">
        <v>0.18198557872496243</v>
      </c>
      <c r="V3611" s="11">
        <v>0.20983733884274483</v>
      </c>
      <c r="W3611" s="11">
        <v>0.17982141401778748</v>
      </c>
      <c r="X3611" s="11">
        <v>0.0170436209537028</v>
      </c>
      <c r="Y3611" s="11">
        <v>0.3350355527158852</v>
      </c>
      <c r="Z3611" s="11">
        <v>0.07627649474491724</v>
      </c>
    </row>
    <row r="3612" ht="22.5" customHeight="1">
      <c r="Q3612" s="9" t="s">
        <v>3650</v>
      </c>
      <c r="R3612" s="10">
        <v>0.4636992755082343</v>
      </c>
      <c r="S3612" s="10">
        <v>0.02072763884679751</v>
      </c>
      <c r="T3612" s="10">
        <v>20.441270645435687</v>
      </c>
      <c r="U3612" s="11">
        <v>0.012497816469932182</v>
      </c>
      <c r="V3612" s="11">
        <v>0.09122460233787326</v>
      </c>
      <c r="W3612" s="11">
        <v>0.1547614074597481</v>
      </c>
      <c r="X3612" s="11">
        <v>0.16003662959262224</v>
      </c>
      <c r="Y3612" s="11">
        <v>0.24892523536617703</v>
      </c>
      <c r="Z3612" s="11">
        <v>0.33255430877364717</v>
      </c>
    </row>
    <row r="3613" ht="22.5" customHeight="1">
      <c r="Q3613" s="9" t="s">
        <v>3651</v>
      </c>
      <c r="R3613" s="10">
        <v>0.6914332086668789</v>
      </c>
      <c r="S3613" s="10">
        <v>0.03186895693024162</v>
      </c>
      <c r="T3613" s="10">
        <v>20.44099560876152</v>
      </c>
      <c r="U3613" s="11">
        <v>0.13370923086795702</v>
      </c>
      <c r="V3613" s="11">
        <v>0.18461198958077293</v>
      </c>
      <c r="W3613" s="11">
        <v>0.23070300488286777</v>
      </c>
      <c r="X3613" s="11">
        <v>0.14947391714656494</v>
      </c>
      <c r="Y3613" s="11">
        <v>0.09274561023648474</v>
      </c>
      <c r="Z3613" s="11">
        <v>0.20875624728535275</v>
      </c>
    </row>
    <row r="3614" ht="22.5" customHeight="1">
      <c r="Q3614" s="9" t="s">
        <v>3652</v>
      </c>
      <c r="R3614" s="10">
        <v>0.6314601236114092</v>
      </c>
      <c r="S3614" s="10">
        <v>0.028935088947935995</v>
      </c>
      <c r="T3614" s="10">
        <v>20.44092985771172</v>
      </c>
      <c r="U3614" s="11">
        <v>0.14516537386462564</v>
      </c>
      <c r="V3614" s="11">
        <v>0.14671005483732114</v>
      </c>
      <c r="W3614" s="11">
        <v>0.21988285932637797</v>
      </c>
      <c r="X3614" s="11">
        <v>0.1817231093239038</v>
      </c>
      <c r="Y3614" s="11">
        <v>0.1133059010346693</v>
      </c>
      <c r="Z3614" s="11">
        <v>0.19321270161310217</v>
      </c>
    </row>
    <row r="3615" ht="22.5" customHeight="1">
      <c r="Q3615" s="9" t="s">
        <v>3653</v>
      </c>
      <c r="R3615" s="10">
        <v>0.6135814135261577</v>
      </c>
      <c r="S3615" s="10">
        <v>0.028060723221699696</v>
      </c>
      <c r="T3615" s="10">
        <v>20.440720967683408</v>
      </c>
      <c r="U3615" s="11">
        <v>0.028667526077983514</v>
      </c>
      <c r="V3615" s="11">
        <v>0.1598227529116703</v>
      </c>
      <c r="W3615" s="11">
        <v>0.1919909234647314</v>
      </c>
      <c r="X3615" s="11">
        <v>0.08922277919700607</v>
      </c>
      <c r="Y3615" s="11">
        <v>0.38180898991413337</v>
      </c>
      <c r="Z3615" s="11">
        <v>0.14848702843447545</v>
      </c>
    </row>
    <row r="3616" ht="22.5" customHeight="1">
      <c r="Q3616" s="9" t="s">
        <v>3654</v>
      </c>
      <c r="R3616" s="10">
        <v>0.3509137394911511</v>
      </c>
      <c r="S3616" s="10">
        <v>0.015210581840353368</v>
      </c>
      <c r="T3616" s="10">
        <v>20.440621059366922</v>
      </c>
      <c r="U3616" s="11">
        <v>0.1476065643035681</v>
      </c>
      <c r="V3616" s="11">
        <v>0.10108587398300604</v>
      </c>
      <c r="W3616" s="11">
        <v>0.07782396140777592</v>
      </c>
      <c r="X3616" s="11">
        <v>0.05810531681311828</v>
      </c>
      <c r="Y3616" s="11">
        <v>0.10978036213370758</v>
      </c>
      <c r="Z3616" s="11">
        <v>0.5055979213588241</v>
      </c>
    </row>
    <row r="3617" ht="22.5" customHeight="1">
      <c r="Q3617" s="9" t="s">
        <v>3655</v>
      </c>
      <c r="R3617" s="10">
        <v>0.7561432188010334</v>
      </c>
      <c r="S3617" s="10">
        <v>0.035035630824190735</v>
      </c>
      <c r="T3617" s="10">
        <v>20.440425987893573</v>
      </c>
      <c r="U3617" s="11">
        <v>0.2075999121002441</v>
      </c>
      <c r="V3617" s="11">
        <v>0.2173044725333816</v>
      </c>
      <c r="W3617" s="11">
        <v>0.24431284018199248</v>
      </c>
      <c r="X3617" s="11">
        <v>0.1464037861145134</v>
      </c>
      <c r="Y3617" s="11">
        <v>0.03978304746557395</v>
      </c>
      <c r="Z3617" s="11">
        <v>0.14459594160429443</v>
      </c>
    </row>
    <row r="3618" ht="22.5" customHeight="1">
      <c r="Q3618" s="9" t="s">
        <v>3656</v>
      </c>
      <c r="R3618" s="10">
        <v>0.42680927726305945</v>
      </c>
      <c r="S3618" s="10">
        <v>0.018923988794510176</v>
      </c>
      <c r="T3618" s="10">
        <v>20.44015569145086</v>
      </c>
      <c r="U3618" s="11">
        <v>0.1717216196216979</v>
      </c>
      <c r="V3618" s="11">
        <v>0.15814536823545103</v>
      </c>
      <c r="W3618" s="11">
        <v>0.032724296140958155</v>
      </c>
      <c r="X3618" s="11">
        <v>0.281866829907681</v>
      </c>
      <c r="Y3618" s="11">
        <v>0.24462947558930281</v>
      </c>
      <c r="Z3618" s="11">
        <v>0.11091241050490924</v>
      </c>
    </row>
    <row r="3619" ht="22.5" customHeight="1">
      <c r="Q3619" s="9" t="s">
        <v>3657</v>
      </c>
      <c r="R3619" s="10">
        <v>0.7258162922682799</v>
      </c>
      <c r="S3619" s="10">
        <v>0.03355250135621257</v>
      </c>
      <c r="T3619" s="10">
        <v>20.440094316285435</v>
      </c>
      <c r="U3619" s="11">
        <v>0.23409047106569794</v>
      </c>
      <c r="V3619" s="11">
        <v>0.21767576283587467</v>
      </c>
      <c r="W3619" s="11">
        <v>0.22492841913659753</v>
      </c>
      <c r="X3619" s="11">
        <v>0.09252041261696253</v>
      </c>
      <c r="Y3619" s="11">
        <v>0.07290217551962759</v>
      </c>
      <c r="Z3619" s="11">
        <v>0.15788275882523978</v>
      </c>
    </row>
    <row r="3620" ht="22.5" customHeight="1">
      <c r="Q3620" s="9" t="s">
        <v>3658</v>
      </c>
      <c r="R3620" s="10">
        <v>0.6895845636198562</v>
      </c>
      <c r="S3620" s="10">
        <v>0.03178080303499763</v>
      </c>
      <c r="T3620" s="10">
        <v>20.439526430610364</v>
      </c>
      <c r="U3620" s="11">
        <v>0.02834672692150499</v>
      </c>
      <c r="V3620" s="11">
        <v>0.2083103574746255</v>
      </c>
      <c r="W3620" s="11">
        <v>0.2126660730167058</v>
      </c>
      <c r="X3620" s="11">
        <v>0.12058871326368442</v>
      </c>
      <c r="Y3620" s="11">
        <v>0.11170202679725771</v>
      </c>
      <c r="Z3620" s="11">
        <v>0.3183861025262216</v>
      </c>
    </row>
    <row r="3621" ht="22.5" customHeight="1">
      <c r="Q3621" s="9" t="s">
        <v>3659</v>
      </c>
      <c r="R3621" s="10">
        <v>0.32653448685985076</v>
      </c>
      <c r="S3621" s="10">
        <v>0.014018656343055472</v>
      </c>
      <c r="T3621" s="10">
        <v>20.43951145159454</v>
      </c>
      <c r="U3621" s="11">
        <v>0.22698162253185106</v>
      </c>
      <c r="V3621" s="11">
        <v>0.08432518340794783</v>
      </c>
      <c r="W3621" s="11">
        <v>0.06405689552203982</v>
      </c>
      <c r="X3621" s="11">
        <v>0.04714633833389349</v>
      </c>
      <c r="Y3621" s="11">
        <v>0.25398068009911984</v>
      </c>
      <c r="Z3621" s="11">
        <v>0.3235092801051481</v>
      </c>
    </row>
    <row r="3622" ht="22.5" customHeight="1">
      <c r="Q3622" s="9" t="s">
        <v>3660</v>
      </c>
      <c r="R3622" s="10">
        <v>0.5078864196822619</v>
      </c>
      <c r="S3622" s="10">
        <v>0.02289138745274134</v>
      </c>
      <c r="T3622" s="10">
        <v>20.439408517644505</v>
      </c>
      <c r="U3622" s="11">
        <v>0.29030921535120063</v>
      </c>
      <c r="V3622" s="11">
        <v>0.198071702899889</v>
      </c>
      <c r="W3622" s="11">
        <v>0.059273710178424484</v>
      </c>
      <c r="X3622" s="11">
        <v>0.24774281231318962</v>
      </c>
      <c r="Y3622" s="11">
        <v>0.09937337481957305</v>
      </c>
      <c r="Z3622" s="11">
        <v>0.10522918443772322</v>
      </c>
    </row>
    <row r="3623" ht="22.5" customHeight="1">
      <c r="Q3623" s="9" t="s">
        <v>3661</v>
      </c>
      <c r="R3623" s="10">
        <v>0.6563822254070701</v>
      </c>
      <c r="S3623" s="10">
        <v>0.03015697786600721</v>
      </c>
      <c r="T3623" s="10">
        <v>20.439124508621703</v>
      </c>
      <c r="U3623" s="11">
        <v>0.05345778488746368</v>
      </c>
      <c r="V3623" s="11">
        <v>0.16776623420017223</v>
      </c>
      <c r="W3623" s="11">
        <v>0.22152346116722918</v>
      </c>
      <c r="X3623" s="11">
        <v>0.15933484781384014</v>
      </c>
      <c r="Y3623" s="11">
        <v>0.14864882979155272</v>
      </c>
      <c r="Z3623" s="11">
        <v>0.24926884213974201</v>
      </c>
    </row>
    <row r="3624" ht="22.5" customHeight="1">
      <c r="Q3624" s="9" t="s">
        <v>3662</v>
      </c>
      <c r="R3624" s="10">
        <v>0.702298453326149</v>
      </c>
      <c r="S3624" s="10">
        <v>0.03240374222582395</v>
      </c>
      <c r="T3624" s="10">
        <v>20.43894957287787</v>
      </c>
      <c r="U3624" s="11">
        <v>0.06602428345972879</v>
      </c>
      <c r="V3624" s="11">
        <v>0.16684586007259317</v>
      </c>
      <c r="W3624" s="11">
        <v>0.24690573765548368</v>
      </c>
      <c r="X3624" s="11">
        <v>0.287813114892516</v>
      </c>
      <c r="Y3624" s="11">
        <v>0.033089354906499266</v>
      </c>
      <c r="Z3624" s="11">
        <v>0.1993216490131792</v>
      </c>
    </row>
    <row r="3625" ht="22.5" customHeight="1">
      <c r="Q3625" s="9" t="s">
        <v>3663</v>
      </c>
      <c r="R3625" s="10">
        <v>0.8656960464684458</v>
      </c>
      <c r="S3625" s="10">
        <v>0.040398402405604626</v>
      </c>
      <c r="T3625" s="10">
        <v>20.438829193747864</v>
      </c>
      <c r="U3625" s="11">
        <v>0.13078700627305914</v>
      </c>
      <c r="V3625" s="11">
        <v>0.2410615117583605</v>
      </c>
      <c r="W3625" s="11">
        <v>0.28938879357443276</v>
      </c>
      <c r="X3625" s="11">
        <v>0.25520145744695966</v>
      </c>
      <c r="Y3625" s="11">
        <v>0.04380236227471892</v>
      </c>
      <c r="Z3625" s="11">
        <v>0.039758868672469076</v>
      </c>
    </row>
    <row r="3626" ht="22.5" customHeight="1">
      <c r="Q3626" s="9" t="s">
        <v>3664</v>
      </c>
      <c r="R3626" s="10">
        <v>0.7498950112191002</v>
      </c>
      <c r="S3626" s="10">
        <v>0.03473328345481332</v>
      </c>
      <c r="T3626" s="10">
        <v>20.43846537407402</v>
      </c>
      <c r="U3626" s="11">
        <v>0.1203383740130386</v>
      </c>
      <c r="V3626" s="11">
        <v>0.25709177601055955</v>
      </c>
      <c r="W3626" s="11">
        <v>0.1985407440941689</v>
      </c>
      <c r="X3626" s="11">
        <v>0.06983166712535735</v>
      </c>
      <c r="Y3626" s="11">
        <v>0.2362713238933766</v>
      </c>
      <c r="Z3626" s="11">
        <v>0.11792611486349913</v>
      </c>
    </row>
    <row r="3627" ht="22.5" customHeight="1">
      <c r="Q3627" s="9" t="s">
        <v>3665</v>
      </c>
      <c r="R3627" s="10">
        <v>0.5185688689951883</v>
      </c>
      <c r="S3627" s="10">
        <v>0.023415303531043524</v>
      </c>
      <c r="T3627" s="10">
        <v>20.438294483806782</v>
      </c>
      <c r="U3627" s="11">
        <v>0.21795210599932968</v>
      </c>
      <c r="V3627" s="11">
        <v>0.20133343270161252</v>
      </c>
      <c r="W3627" s="11">
        <v>0.08052541620866586</v>
      </c>
      <c r="X3627" s="11">
        <v>0.18531779404869275</v>
      </c>
      <c r="Y3627" s="11">
        <v>0.037490098991558765</v>
      </c>
      <c r="Z3627" s="11">
        <v>0.2773811520501406</v>
      </c>
    </row>
    <row r="3628" ht="22.5" customHeight="1">
      <c r="Q3628" s="9" t="s">
        <v>3666</v>
      </c>
      <c r="R3628" s="10">
        <v>0.5829100410094761</v>
      </c>
      <c r="S3628" s="10">
        <v>0.02656342907129901</v>
      </c>
      <c r="T3628" s="10">
        <v>20.43825138509975</v>
      </c>
      <c r="U3628" s="11">
        <v>0.09578871628386414</v>
      </c>
      <c r="V3628" s="11">
        <v>0.21138523907855913</v>
      </c>
      <c r="W3628" s="11">
        <v>0.1281526336149659</v>
      </c>
      <c r="X3628" s="11">
        <v>0.05958964724745047</v>
      </c>
      <c r="Y3628" s="11">
        <v>0.21028026171579745</v>
      </c>
      <c r="Z3628" s="11">
        <v>0.29480350205936295</v>
      </c>
    </row>
    <row r="3629" ht="22.5" customHeight="1">
      <c r="Q3629" s="9" t="s">
        <v>3667</v>
      </c>
      <c r="R3629" s="10">
        <v>0.8710842872216216</v>
      </c>
      <c r="S3629" s="10">
        <v>0.04066345940799689</v>
      </c>
      <c r="T3629" s="10">
        <v>20.438110758923283</v>
      </c>
      <c r="U3629" s="11">
        <v>0.0029251437499813295</v>
      </c>
      <c r="V3629" s="11">
        <v>0.29393100276484346</v>
      </c>
      <c r="W3629" s="11">
        <v>0.24242369067120678</v>
      </c>
      <c r="X3629" s="11">
        <v>0.15136023147427108</v>
      </c>
      <c r="Y3629" s="11">
        <v>0.2660003347028595</v>
      </c>
      <c r="Z3629" s="11">
        <v>0.04335959663683775</v>
      </c>
    </row>
    <row r="3630" ht="22.5" customHeight="1">
      <c r="Q3630" s="9" t="s">
        <v>3668</v>
      </c>
      <c r="R3630" s="10">
        <v>0.8601936069129209</v>
      </c>
      <c r="S3630" s="10">
        <v>0.04013162168073835</v>
      </c>
      <c r="T3630" s="10">
        <v>20.437589426060562</v>
      </c>
      <c r="U3630" s="11">
        <v>0.20317198287395002</v>
      </c>
      <c r="V3630" s="11">
        <v>0.30458624003960644</v>
      </c>
      <c r="W3630" s="11">
        <v>0.22731036781583266</v>
      </c>
      <c r="X3630" s="11">
        <v>0.17421320176666316</v>
      </c>
      <c r="Y3630" s="11">
        <v>0.019752042286825387</v>
      </c>
      <c r="Z3630" s="11">
        <v>0.07096616521712222</v>
      </c>
    </row>
    <row r="3631" ht="22.5" customHeight="1">
      <c r="Q3631" s="9" t="s">
        <v>3669</v>
      </c>
      <c r="R3631" s="10">
        <v>0.28854814563914877</v>
      </c>
      <c r="S3631" s="10">
        <v>0.01216132427078874</v>
      </c>
      <c r="T3631" s="10">
        <v>20.437588876415088</v>
      </c>
      <c r="U3631" s="11">
        <v>0.23231764868277927</v>
      </c>
      <c r="V3631" s="11">
        <v>0.07698447103014411</v>
      </c>
      <c r="W3631" s="11">
        <v>0.030736685999511015</v>
      </c>
      <c r="X3631" s="11">
        <v>0.1433457725362514</v>
      </c>
      <c r="Y3631" s="11">
        <v>0.25263228043893565</v>
      </c>
      <c r="Z3631" s="11">
        <v>0.2639831413123785</v>
      </c>
    </row>
    <row r="3632" ht="22.5" customHeight="1">
      <c r="Q3632" s="9" t="s">
        <v>3670</v>
      </c>
      <c r="R3632" s="10">
        <v>0.6132506824811209</v>
      </c>
      <c r="S3632" s="10">
        <v>0.02804915799730725</v>
      </c>
      <c r="T3632" s="10">
        <v>20.43735796048329</v>
      </c>
      <c r="U3632" s="11">
        <v>0.2500041887650645</v>
      </c>
      <c r="V3632" s="11">
        <v>0.11744830948593095</v>
      </c>
      <c r="W3632" s="11">
        <v>0.2200743039572603</v>
      </c>
      <c r="X3632" s="11">
        <v>0.2415627639763568</v>
      </c>
      <c r="Y3632" s="11">
        <v>0.15996735213376545</v>
      </c>
      <c r="Z3632" s="11">
        <v>0.01094308168162205</v>
      </c>
    </row>
    <row r="3633" ht="22.5" customHeight="1">
      <c r="Q3633" s="9" t="s">
        <v>3671</v>
      </c>
      <c r="R3633" s="10">
        <v>0.537137246775952</v>
      </c>
      <c r="S3633" s="10">
        <v>0.024325044760425917</v>
      </c>
      <c r="T3633" s="10">
        <v>20.43725928039145</v>
      </c>
      <c r="U3633" s="11">
        <v>0.12719829636008884</v>
      </c>
      <c r="V3633" s="11">
        <v>0.11172842031888919</v>
      </c>
      <c r="W3633" s="11">
        <v>0.18153597307017413</v>
      </c>
      <c r="X3633" s="11">
        <v>0.13350810957435097</v>
      </c>
      <c r="Y3633" s="11">
        <v>0.29122494714065034</v>
      </c>
      <c r="Z3633" s="11">
        <v>0.15480425353584656</v>
      </c>
    </row>
    <row r="3634" ht="22.5" customHeight="1">
      <c r="Q3634" s="9" t="s">
        <v>3672</v>
      </c>
      <c r="R3634" s="10">
        <v>0.7099058544691549</v>
      </c>
      <c r="S3634" s="10">
        <v>0.032778863880218785</v>
      </c>
      <c r="T3634" s="10">
        <v>20.43712853859545</v>
      </c>
      <c r="U3634" s="11">
        <v>0.022465291267056767</v>
      </c>
      <c r="V3634" s="11">
        <v>0.1789538035347869</v>
      </c>
      <c r="W3634" s="11">
        <v>0.2442576322414025</v>
      </c>
      <c r="X3634" s="11">
        <v>0.23233049609928533</v>
      </c>
      <c r="Y3634" s="11">
        <v>0.1058255697222918</v>
      </c>
      <c r="Z3634" s="11">
        <v>0.21616720713517676</v>
      </c>
    </row>
    <row r="3635" ht="22.5" customHeight="1">
      <c r="Q3635" s="9" t="s">
        <v>3673</v>
      </c>
      <c r="R3635" s="10">
        <v>0.7935945056887139</v>
      </c>
      <c r="S3635" s="10">
        <v>0.03687443921605285</v>
      </c>
      <c r="T3635" s="10">
        <v>20.436771967521757</v>
      </c>
      <c r="U3635" s="11">
        <v>0.024295440682586874</v>
      </c>
      <c r="V3635" s="11">
        <v>0.25398108974365896</v>
      </c>
      <c r="W3635" s="11">
        <v>0.2340450671353608</v>
      </c>
      <c r="X3635" s="11">
        <v>0.11839017939453642</v>
      </c>
      <c r="Y3635" s="11">
        <v>0.2181125765359669</v>
      </c>
      <c r="Z3635" s="11">
        <v>0.15117564650789017</v>
      </c>
    </row>
    <row r="3636" ht="22.5" customHeight="1">
      <c r="Q3636" s="9" t="s">
        <v>3674</v>
      </c>
      <c r="R3636" s="10">
        <v>0.7492119343880479</v>
      </c>
      <c r="S3636" s="10">
        <v>0.034702778260601246</v>
      </c>
      <c r="T3636" s="10">
        <v>20.436748005079185</v>
      </c>
      <c r="U3636" s="11">
        <v>0.04118229264569207</v>
      </c>
      <c r="V3636" s="11">
        <v>0.25253186105869696</v>
      </c>
      <c r="W3636" s="11">
        <v>0.20654211175972578</v>
      </c>
      <c r="X3636" s="11">
        <v>0.09473138872911416</v>
      </c>
      <c r="Y3636" s="11">
        <v>0.19878517991373817</v>
      </c>
      <c r="Z3636" s="11">
        <v>0.20622716589303264</v>
      </c>
    </row>
    <row r="3637" ht="22.5" customHeight="1">
      <c r="Q3637" s="9" t="s">
        <v>3675</v>
      </c>
      <c r="R3637" s="10">
        <v>0.6664761146835343</v>
      </c>
      <c r="S3637" s="10">
        <v>0.03065469912039852</v>
      </c>
      <c r="T3637" s="10">
        <v>20.436544238226073</v>
      </c>
      <c r="U3637" s="11">
        <v>0.21569053100746816</v>
      </c>
      <c r="V3637" s="11">
        <v>0.1784600664336156</v>
      </c>
      <c r="W3637" s="11">
        <v>0.2143546680855077</v>
      </c>
      <c r="X3637" s="11">
        <v>0.0673506701422264</v>
      </c>
      <c r="Y3637" s="11">
        <v>0.2422984263774783</v>
      </c>
      <c r="Z3637" s="11">
        <v>0.08184563795370371</v>
      </c>
    </row>
    <row r="3638" ht="22.5" customHeight="1">
      <c r="Q3638" s="9" t="s">
        <v>3676</v>
      </c>
      <c r="R3638" s="10">
        <v>0.7073135650267331</v>
      </c>
      <c r="S3638" s="10">
        <v>0.03265298583633052</v>
      </c>
      <c r="T3638" s="10">
        <v>20.436525112024015</v>
      </c>
      <c r="U3638" s="11">
        <v>0.0680529717294164</v>
      </c>
      <c r="V3638" s="11">
        <v>0.2296073025350091</v>
      </c>
      <c r="W3638" s="11">
        <v>0.20165767762078687</v>
      </c>
      <c r="X3638" s="11">
        <v>0.07059637458129706</v>
      </c>
      <c r="Y3638" s="11">
        <v>0.19685735149808292</v>
      </c>
      <c r="Z3638" s="11">
        <v>0.2332283220354076</v>
      </c>
    </row>
    <row r="3639" ht="22.5" customHeight="1">
      <c r="Q3639" s="9" t="s">
        <v>3677</v>
      </c>
      <c r="R3639" s="10">
        <v>0.5119894533442831</v>
      </c>
      <c r="S3639" s="10">
        <v>0.023095794874960163</v>
      </c>
      <c r="T3639" s="10">
        <v>20.43616406794474</v>
      </c>
      <c r="U3639" s="11">
        <v>0.0951623573677726</v>
      </c>
      <c r="V3639" s="11">
        <v>0.2024715321155795</v>
      </c>
      <c r="W3639" s="11">
        <v>0.06689708121773459</v>
      </c>
      <c r="X3639" s="11">
        <v>0.2741579903648859</v>
      </c>
      <c r="Y3639" s="11">
        <v>0.07007137364730709</v>
      </c>
      <c r="Z3639" s="11">
        <v>0.29123966528672024</v>
      </c>
    </row>
    <row r="3640" ht="22.5" customHeight="1">
      <c r="Q3640" s="9" t="s">
        <v>3678</v>
      </c>
      <c r="R3640" s="10">
        <v>0.647798868185439</v>
      </c>
      <c r="S3640" s="10">
        <v>0.029741388204152255</v>
      </c>
      <c r="T3640" s="10">
        <v>20.436129746646557</v>
      </c>
      <c r="U3640" s="11">
        <v>0.16230288631897596</v>
      </c>
      <c r="V3640" s="11">
        <v>0.24898347570562443</v>
      </c>
      <c r="W3640" s="11">
        <v>0.12700764143762258</v>
      </c>
      <c r="X3640" s="11">
        <v>0.13766722912005483</v>
      </c>
      <c r="Y3640" s="11">
        <v>0.14761876673596025</v>
      </c>
      <c r="Z3640" s="11">
        <v>0.17642000068176208</v>
      </c>
    </row>
    <row r="3641" ht="22.5" customHeight="1">
      <c r="Q3641" s="9" t="s">
        <v>3679</v>
      </c>
      <c r="R3641" s="10">
        <v>0.7269252617081988</v>
      </c>
      <c r="S3641" s="10">
        <v>0.03361342711957971</v>
      </c>
      <c r="T3641" s="10">
        <v>20.436037636521363</v>
      </c>
      <c r="U3641" s="11">
        <v>0.2071156789385009</v>
      </c>
      <c r="V3641" s="11">
        <v>0.28838351120148037</v>
      </c>
      <c r="W3641" s="11">
        <v>0.12848239065878736</v>
      </c>
      <c r="X3641" s="11">
        <v>0.28615299349116385</v>
      </c>
      <c r="Y3641" s="11">
        <v>0.054101570058814726</v>
      </c>
      <c r="Z3641" s="11">
        <v>0.03576385565125269</v>
      </c>
    </row>
    <row r="3642" ht="22.5" customHeight="1">
      <c r="Q3642" s="9" t="s">
        <v>3680</v>
      </c>
      <c r="R3642" s="10">
        <v>0.6510688017568745</v>
      </c>
      <c r="S3642" s="10">
        <v>0.029901570288804715</v>
      </c>
      <c r="T3642" s="10">
        <v>20.436010411990353</v>
      </c>
      <c r="U3642" s="11">
        <v>0.013879559405770998</v>
      </c>
      <c r="V3642" s="11">
        <v>0.19297317364899053</v>
      </c>
      <c r="W3642" s="11">
        <v>0.19706472212832896</v>
      </c>
      <c r="X3642" s="11">
        <v>0.07214255264930336</v>
      </c>
      <c r="Y3642" s="11">
        <v>0.256466535924221</v>
      </c>
      <c r="Z3642" s="11">
        <v>0.2674734562433851</v>
      </c>
    </row>
    <row r="3643" ht="22.5" customHeight="1">
      <c r="Q3643" s="9" t="s">
        <v>3681</v>
      </c>
      <c r="R3643" s="10">
        <v>0.7281546428266039</v>
      </c>
      <c r="S3643" s="10">
        <v>0.03367419148099191</v>
      </c>
      <c r="T3643" s="10">
        <v>20.43566935274591</v>
      </c>
      <c r="U3643" s="11">
        <v>0.07432735448926392</v>
      </c>
      <c r="V3643" s="11">
        <v>0.21892751345227668</v>
      </c>
      <c r="W3643" s="11">
        <v>0.22604293585598184</v>
      </c>
      <c r="X3643" s="11">
        <v>0.10682624237445561</v>
      </c>
      <c r="Y3643" s="11">
        <v>0.15572559947161094</v>
      </c>
      <c r="Z3643" s="11">
        <v>0.21815035435641114</v>
      </c>
    </row>
    <row r="3644" ht="22.5" customHeight="1">
      <c r="Q3644" s="9" t="s">
        <v>3682</v>
      </c>
      <c r="R3644" s="10">
        <v>0.6975815194299307</v>
      </c>
      <c r="S3644" s="10">
        <v>0.032178147916065276</v>
      </c>
      <c r="T3644" s="10">
        <v>20.435654691661924</v>
      </c>
      <c r="U3644" s="11">
        <v>0.2946148815036038</v>
      </c>
      <c r="V3644" s="11">
        <v>0.18132025658313045</v>
      </c>
      <c r="W3644" s="11">
        <v>0.2342936891351905</v>
      </c>
      <c r="X3644" s="11">
        <v>0.1441236513284913</v>
      </c>
      <c r="Y3644" s="11">
        <v>0.04306412652691753</v>
      </c>
      <c r="Z3644" s="11">
        <v>0.10258339492266635</v>
      </c>
    </row>
    <row r="3645" ht="22.5" customHeight="1">
      <c r="Q3645" s="9" t="s">
        <v>3683</v>
      </c>
      <c r="R3645" s="10">
        <v>0.6285892546615973</v>
      </c>
      <c r="S3645" s="10">
        <v>0.028802445484174446</v>
      </c>
      <c r="T3645" s="10">
        <v>20.43539167481451</v>
      </c>
      <c r="U3645" s="11">
        <v>0.20471373222730888</v>
      </c>
      <c r="V3645" s="11">
        <v>0.2471047005267656</v>
      </c>
      <c r="W3645" s="11">
        <v>0.10694271103203026</v>
      </c>
      <c r="X3645" s="11">
        <v>0.1908792075643878</v>
      </c>
      <c r="Y3645" s="11">
        <v>0.1267505511226595</v>
      </c>
      <c r="Z3645" s="11">
        <v>0.12360909752684797</v>
      </c>
    </row>
    <row r="3646" ht="22.5" customHeight="1">
      <c r="Q3646" s="9" t="s">
        <v>3684</v>
      </c>
      <c r="R3646" s="10">
        <v>0.7089502787085517</v>
      </c>
      <c r="S3646" s="10">
        <v>0.0327349096704991</v>
      </c>
      <c r="T3646" s="10">
        <v>20.43537878802866</v>
      </c>
      <c r="U3646" s="11">
        <v>0.1588802434177697</v>
      </c>
      <c r="V3646" s="11">
        <v>0.181336519157967</v>
      </c>
      <c r="W3646" s="11">
        <v>0.24165026409597615</v>
      </c>
      <c r="X3646" s="11">
        <v>0.1692473302925837</v>
      </c>
      <c r="Y3646" s="11">
        <v>0.11158604959865885</v>
      </c>
      <c r="Z3646" s="11">
        <v>0.13729959343704456</v>
      </c>
    </row>
    <row r="3647" ht="22.5" customHeight="1">
      <c r="Q3647" s="9" t="s">
        <v>3685</v>
      </c>
      <c r="R3647" s="10">
        <v>0.43026420797493986</v>
      </c>
      <c r="S3647" s="10">
        <v>0.01909761564879659</v>
      </c>
      <c r="T3647" s="10">
        <v>20.43523208089759</v>
      </c>
      <c r="U3647" s="11">
        <v>0.25463117350164416</v>
      </c>
      <c r="V3647" s="11">
        <v>0.10183572742290277</v>
      </c>
      <c r="W3647" s="11">
        <v>0.12223177995709418</v>
      </c>
      <c r="X3647" s="11">
        <v>0.0203263577572637</v>
      </c>
      <c r="Y3647" s="11">
        <v>0.2801532654620101</v>
      </c>
      <c r="Z3647" s="11">
        <v>0.22082169589908524</v>
      </c>
    </row>
    <row r="3648" ht="22.5" customHeight="1">
      <c r="Q3648" s="9" t="s">
        <v>3686</v>
      </c>
      <c r="R3648" s="10">
        <v>0.9224881054141109</v>
      </c>
      <c r="S3648" s="10">
        <v>0.04318488312539252</v>
      </c>
      <c r="T3648" s="10">
        <v>20.435116215359436</v>
      </c>
      <c r="U3648" s="11">
        <v>0.05533993191252406</v>
      </c>
      <c r="V3648" s="11">
        <v>0.28718985544420983</v>
      </c>
      <c r="W3648" s="11">
        <v>0.28525564962927336</v>
      </c>
      <c r="X3648" s="11">
        <v>0.2019068791783925</v>
      </c>
      <c r="Y3648" s="11">
        <v>0.16346861051063485</v>
      </c>
      <c r="Z3648" s="11">
        <v>0.006839073324965147</v>
      </c>
    </row>
    <row r="3649" ht="22.5" customHeight="1">
      <c r="Q3649" s="9" t="s">
        <v>3687</v>
      </c>
      <c r="R3649" s="10">
        <v>0.7412794122209713</v>
      </c>
      <c r="S3649" s="10">
        <v>0.034317568283105636</v>
      </c>
      <c r="T3649" s="10">
        <v>20.43499721296417</v>
      </c>
      <c r="U3649" s="11">
        <v>0.07114246170491653</v>
      </c>
      <c r="V3649" s="11">
        <v>0.24857111825113468</v>
      </c>
      <c r="W3649" s="11">
        <v>0.208674556433341</v>
      </c>
      <c r="X3649" s="11">
        <v>0.12165912854628458</v>
      </c>
      <c r="Y3649" s="11">
        <v>0.07525169924134419</v>
      </c>
      <c r="Z3649" s="11">
        <v>0.274701035822979</v>
      </c>
    </row>
    <row r="3650" ht="22.5" customHeight="1">
      <c r="Q3650" s="9" t="s">
        <v>3688</v>
      </c>
      <c r="R3650" s="10">
        <v>0.6657361963200418</v>
      </c>
      <c r="S3650" s="10">
        <v>0.03062225745658686</v>
      </c>
      <c r="T3650" s="10">
        <v>20.434032246223104</v>
      </c>
      <c r="U3650" s="11">
        <v>0.22575526209736402</v>
      </c>
      <c r="V3650" s="11">
        <v>0.1820473919126093</v>
      </c>
      <c r="W3650" s="11">
        <v>0.21550566266296992</v>
      </c>
      <c r="X3650" s="11">
        <v>0.0818170750000102</v>
      </c>
      <c r="Y3650" s="11">
        <v>0.13382204356302252</v>
      </c>
      <c r="Z3650" s="11">
        <v>0.161052564764024</v>
      </c>
    </row>
    <row r="3651" ht="22.5" customHeight="1">
      <c r="Q3651" s="9" t="s">
        <v>3689</v>
      </c>
      <c r="R3651" s="10">
        <v>0.7461652529233559</v>
      </c>
      <c r="S3651" s="10">
        <v>0.03456045269870557</v>
      </c>
      <c r="T3651" s="10">
        <v>20.432754717643054</v>
      </c>
      <c r="U3651" s="11">
        <v>0.22341639943418662</v>
      </c>
      <c r="V3651" s="11">
        <v>0.24017607144510358</v>
      </c>
      <c r="W3651" s="11">
        <v>0.21775071534567592</v>
      </c>
      <c r="X3651" s="11">
        <v>0.08144074643539075</v>
      </c>
      <c r="Y3651" s="11">
        <v>0.08118609631237315</v>
      </c>
      <c r="Z3651" s="11">
        <v>0.15602997102727</v>
      </c>
    </row>
    <row r="3652" ht="22.5" customHeight="1">
      <c r="Q3652" s="9" t="s">
        <v>3690</v>
      </c>
      <c r="R3652" s="10">
        <v>0.6299828010926816</v>
      </c>
      <c r="S3652" s="10">
        <v>0.028875020386651757</v>
      </c>
      <c r="T3652" s="10">
        <v>20.43229037391145</v>
      </c>
      <c r="U3652" s="11">
        <v>0.13846581931207658</v>
      </c>
      <c r="V3652" s="11">
        <v>0.12495457268570474</v>
      </c>
      <c r="W3652" s="11">
        <v>0.22532231717052104</v>
      </c>
      <c r="X3652" s="11">
        <v>0.24914968887255728</v>
      </c>
      <c r="Y3652" s="11">
        <v>0.21791201038712257</v>
      </c>
      <c r="Z3652" s="11">
        <v>0.04419559157201774</v>
      </c>
    </row>
    <row r="3653" ht="22.5" customHeight="1">
      <c r="Q3653" s="9" t="s">
        <v>3691</v>
      </c>
      <c r="R3653" s="10">
        <v>0.6734932064380202</v>
      </c>
      <c r="S3653" s="10">
        <v>0.031005398467386022</v>
      </c>
      <c r="T3653" s="10">
        <v>20.431706662450395</v>
      </c>
      <c r="U3653" s="11">
        <v>0.2458066339791699</v>
      </c>
      <c r="V3653" s="11">
        <v>0.2689004466740439</v>
      </c>
      <c r="W3653" s="11">
        <v>0.10532510769575706</v>
      </c>
      <c r="X3653" s="11">
        <v>0.3174263040778597</v>
      </c>
      <c r="Y3653" s="11">
        <v>0.026457812096626527</v>
      </c>
      <c r="Z3653" s="11">
        <v>0.036083695476542894</v>
      </c>
    </row>
    <row r="3654" ht="22.5" customHeight="1">
      <c r="Q3654" s="9" t="s">
        <v>3692</v>
      </c>
      <c r="R3654" s="10">
        <v>0.7640110565973235</v>
      </c>
      <c r="S3654" s="10">
        <v>0.03543574500288843</v>
      </c>
      <c r="T3654" s="10">
        <v>20.431658951668943</v>
      </c>
      <c r="U3654" s="11">
        <v>0.18402106830232695</v>
      </c>
      <c r="V3654" s="11">
        <v>0.220136360267812</v>
      </c>
      <c r="W3654" s="11">
        <v>0.24741741137135453</v>
      </c>
      <c r="X3654" s="11">
        <v>0.15698078476858152</v>
      </c>
      <c r="Y3654" s="11">
        <v>0.034107351120878183</v>
      </c>
      <c r="Z3654" s="11">
        <v>0.15733702416904682</v>
      </c>
    </row>
    <row r="3655" ht="22.5" customHeight="1">
      <c r="Q3655" s="9" t="s">
        <v>3693</v>
      </c>
      <c r="R3655" s="10">
        <v>0.4929886318790922</v>
      </c>
      <c r="S3655" s="10">
        <v>0.022170927985246457</v>
      </c>
      <c r="T3655" s="10">
        <v>20.431649598994298</v>
      </c>
      <c r="U3655" s="11">
        <v>0.2516762865530154</v>
      </c>
      <c r="V3655" s="11">
        <v>0.0997177692682507</v>
      </c>
      <c r="W3655" s="11">
        <v>0.16907510901689646</v>
      </c>
      <c r="X3655" s="11">
        <v>0.1478685583058737</v>
      </c>
      <c r="Y3655" s="11">
        <v>0.07093582606011856</v>
      </c>
      <c r="Z3655" s="11">
        <v>0.26072645079584533</v>
      </c>
    </row>
    <row r="3656" ht="22.5" customHeight="1">
      <c r="Q3656" s="9" t="s">
        <v>3694</v>
      </c>
      <c r="R3656" s="10">
        <v>0.5502765891277742</v>
      </c>
      <c r="S3656" s="10">
        <v>0.024975062244095562</v>
      </c>
      <c r="T3656" s="10">
        <v>20.431444139780286</v>
      </c>
      <c r="U3656" s="11">
        <v>0.11464527001116942</v>
      </c>
      <c r="V3656" s="11">
        <v>0.2186892214535587</v>
      </c>
      <c r="W3656" s="11">
        <v>0.059555889077808344</v>
      </c>
      <c r="X3656" s="11">
        <v>0.3677349620350124</v>
      </c>
      <c r="Y3656" s="11">
        <v>0.1376082178411496</v>
      </c>
      <c r="Z3656" s="11">
        <v>0.10176643958130152</v>
      </c>
    </row>
    <row r="3657" ht="22.5" customHeight="1">
      <c r="Q3657" s="9" t="s">
        <v>3695</v>
      </c>
      <c r="R3657" s="10">
        <v>0.7493670470909758</v>
      </c>
      <c r="S3657" s="10">
        <v>0.034719526198798874</v>
      </c>
      <c r="T3657" s="10">
        <v>20.431357358658783</v>
      </c>
      <c r="U3657" s="11">
        <v>0.2993295252282848</v>
      </c>
      <c r="V3657" s="11">
        <v>0.24719706336178565</v>
      </c>
      <c r="W3657" s="11">
        <v>0.20974789273276534</v>
      </c>
      <c r="X3657" s="11">
        <v>0.058664448289436406</v>
      </c>
      <c r="Y3657" s="11">
        <v>0.10727270617814288</v>
      </c>
      <c r="Z3657" s="11">
        <v>0.07778836420958474</v>
      </c>
    </row>
    <row r="3658" ht="22.5" customHeight="1">
      <c r="Q3658" s="9" t="s">
        <v>3696</v>
      </c>
      <c r="R3658" s="10">
        <v>0.9227071263080217</v>
      </c>
      <c r="S3658" s="10">
        <v>0.04320463338263835</v>
      </c>
      <c r="T3658" s="10">
        <v>20.430844036804967</v>
      </c>
      <c r="U3658" s="11">
        <v>0.08016080884712344</v>
      </c>
      <c r="V3658" s="11">
        <v>0.2819757404457778</v>
      </c>
      <c r="W3658" s="11">
        <v>0.29088727362330885</v>
      </c>
      <c r="X3658" s="11">
        <v>0.21737922747357832</v>
      </c>
      <c r="Y3658" s="11">
        <v>0.11683156837167334</v>
      </c>
      <c r="Z3658" s="11">
        <v>0.012765381238538228</v>
      </c>
    </row>
    <row r="3659" ht="22.5" customHeight="1">
      <c r="Q3659" s="9" t="s">
        <v>3697</v>
      </c>
      <c r="R3659" s="10">
        <v>0.8694863846500962</v>
      </c>
      <c r="S3659" s="10">
        <v>0.040600505595708485</v>
      </c>
      <c r="T3659" s="10">
        <v>20.430444707017976</v>
      </c>
      <c r="U3659" s="11">
        <v>0.16853312796747735</v>
      </c>
      <c r="V3659" s="11">
        <v>0.2674604977102806</v>
      </c>
      <c r="W3659" s="11">
        <v>0.2723865807918624</v>
      </c>
      <c r="X3659" s="11">
        <v>0.20056328226842368</v>
      </c>
      <c r="Y3659" s="11">
        <v>0.007418218083745634</v>
      </c>
      <c r="Z3659" s="11">
        <v>0.08363829317821049</v>
      </c>
    </row>
    <row r="3660" ht="22.5" customHeight="1">
      <c r="Q3660" s="9" t="s">
        <v>3698</v>
      </c>
      <c r="R3660" s="10">
        <v>0.6023678813239544</v>
      </c>
      <c r="S3660" s="10">
        <v>0.027526386658134127</v>
      </c>
      <c r="T3660" s="10">
        <v>20.430138118319753</v>
      </c>
      <c r="U3660" s="11">
        <v>0.06553397717717058</v>
      </c>
      <c r="V3660" s="11">
        <v>0.1712799699485773</v>
      </c>
      <c r="W3660" s="11">
        <v>0.18022163400309252</v>
      </c>
      <c r="X3660" s="11">
        <v>0.0418250424277453</v>
      </c>
      <c r="Y3660" s="11">
        <v>0.3246879357489137</v>
      </c>
      <c r="Z3660" s="11">
        <v>0.21645144069450062</v>
      </c>
    </row>
    <row r="3661" ht="22.5" customHeight="1">
      <c r="Q3661" s="9" t="s">
        <v>3699</v>
      </c>
      <c r="R3661" s="10">
        <v>0.6785501902751893</v>
      </c>
      <c r="S3661" s="10">
        <v>0.031255335949260374</v>
      </c>
      <c r="T3661" s="10">
        <v>20.43011763853077</v>
      </c>
      <c r="U3661" s="11">
        <v>0.15555557360871225</v>
      </c>
      <c r="V3661" s="11">
        <v>0.23774750389186183</v>
      </c>
      <c r="W3661" s="11">
        <v>0.17553882077285718</v>
      </c>
      <c r="X3661" s="11">
        <v>0.1091129685708479</v>
      </c>
      <c r="Y3661" s="11">
        <v>0.012305442129397708</v>
      </c>
      <c r="Z3661" s="11">
        <v>0.30973969102632304</v>
      </c>
    </row>
    <row r="3662" ht="22.5" customHeight="1">
      <c r="Q3662" s="9" t="s">
        <v>3700</v>
      </c>
      <c r="R3662" s="10">
        <v>0.8018869814372517</v>
      </c>
      <c r="S3662" s="10">
        <v>0.03729257925394977</v>
      </c>
      <c r="T3662" s="10">
        <v>20.42998893289361</v>
      </c>
      <c r="U3662" s="11">
        <v>0.11932749014508501</v>
      </c>
      <c r="V3662" s="11">
        <v>0.20199866017069207</v>
      </c>
      <c r="W3662" s="11">
        <v>0.2791980930922325</v>
      </c>
      <c r="X3662" s="11">
        <v>0.280022110363935</v>
      </c>
      <c r="Y3662" s="11">
        <v>0.0644002861206911</v>
      </c>
      <c r="Z3662" s="11">
        <v>0.055053360107364356</v>
      </c>
    </row>
    <row r="3663" ht="22.5" customHeight="1">
      <c r="Q3663" s="9" t="s">
        <v>3701</v>
      </c>
      <c r="R3663" s="10">
        <v>0.560931125443359</v>
      </c>
      <c r="S3663" s="10">
        <v>0.025498493794479243</v>
      </c>
      <c r="T3663" s="10">
        <v>20.42987831524964</v>
      </c>
      <c r="U3663" s="11">
        <v>0.11518322041197294</v>
      </c>
      <c r="V3663" s="11">
        <v>0.2105681704880301</v>
      </c>
      <c r="W3663" s="11">
        <v>0.08782283186057639</v>
      </c>
      <c r="X3663" s="11">
        <v>0.1538556948476541</v>
      </c>
      <c r="Y3663" s="11">
        <v>0.36524144841403566</v>
      </c>
      <c r="Z3663" s="11">
        <v>0.0673286339777308</v>
      </c>
    </row>
    <row r="3664" ht="22.5" customHeight="1">
      <c r="Q3664" s="9" t="s">
        <v>3702</v>
      </c>
      <c r="R3664" s="10">
        <v>0.5032175986642919</v>
      </c>
      <c r="S3664" s="10">
        <v>0.022674399268317588</v>
      </c>
      <c r="T3664" s="10">
        <v>20.42910126009535</v>
      </c>
      <c r="U3664" s="11">
        <v>0.15193698286680088</v>
      </c>
      <c r="V3664" s="11">
        <v>0.18867072802449064</v>
      </c>
      <c r="W3664" s="11">
        <v>0.07733734602402612</v>
      </c>
      <c r="X3664" s="11">
        <v>0.1155398693504698</v>
      </c>
      <c r="Y3664" s="11">
        <v>0.2845738873320465</v>
      </c>
      <c r="Z3664" s="11">
        <v>0.1819411864021662</v>
      </c>
    </row>
    <row r="3665" ht="22.5" customHeight="1">
      <c r="Q3665" s="9" t="s">
        <v>3703</v>
      </c>
      <c r="R3665" s="10">
        <v>0.9579654013627849</v>
      </c>
      <c r="S3665" s="10">
        <v>0.04493435350186705</v>
      </c>
      <c r="T3665" s="10">
        <v>20.42903324122918</v>
      </c>
      <c r="U3665" s="11">
        <v>0.009696430084889593</v>
      </c>
      <c r="V3665" s="11">
        <v>0.29068891311488726</v>
      </c>
      <c r="W3665" s="11">
        <v>0.30566906155527235</v>
      </c>
      <c r="X3665" s="11">
        <v>0.3187215143633478</v>
      </c>
      <c r="Y3665" s="11">
        <v>0.011925265240128508</v>
      </c>
      <c r="Z3665" s="11">
        <v>0.06329881564147447</v>
      </c>
    </row>
    <row r="3666" ht="22.5" customHeight="1">
      <c r="Q3666" s="9" t="s">
        <v>3704</v>
      </c>
      <c r="R3666" s="10">
        <v>0.7093487628567318</v>
      </c>
      <c r="S3666" s="10">
        <v>0.03276477592574045</v>
      </c>
      <c r="T3666" s="10">
        <v>20.428913183284806</v>
      </c>
      <c r="U3666" s="11">
        <v>0.1227845764659501</v>
      </c>
      <c r="V3666" s="11">
        <v>0.27410822601237544</v>
      </c>
      <c r="W3666" s="11">
        <v>0.13901450030258505</v>
      </c>
      <c r="X3666" s="11">
        <v>0.17116181435121222</v>
      </c>
      <c r="Y3666" s="11">
        <v>0.2106808126741815</v>
      </c>
      <c r="Z3666" s="11">
        <v>0.08225007019369575</v>
      </c>
    </row>
    <row r="3667" ht="22.5" customHeight="1">
      <c r="Q3667" s="9" t="s">
        <v>3705</v>
      </c>
      <c r="R3667" s="10">
        <v>0.522331348251574</v>
      </c>
      <c r="S3667" s="10">
        <v>0.013614119856077436</v>
      </c>
      <c r="T3667" s="10">
        <v>20.42852253753876</v>
      </c>
      <c r="U3667" s="11">
        <v>0.06354868928112126</v>
      </c>
      <c r="V3667" s="11">
        <v>0.10048372400501634</v>
      </c>
      <c r="W3667" s="11">
        <v>0.015134025114053208</v>
      </c>
      <c r="X3667" s="11">
        <v>0.3119277500395459</v>
      </c>
      <c r="Y3667" s="11">
        <v>0.24370875102673017</v>
      </c>
      <c r="Z3667" s="11">
        <v>0.26519706053353304</v>
      </c>
    </row>
    <row r="3668" ht="22.5" customHeight="1">
      <c r="Q3668" s="9" t="s">
        <v>3706</v>
      </c>
      <c r="R3668" s="10">
        <v>0.6525160765760815</v>
      </c>
      <c r="S3668" s="10">
        <v>0.029983585386428643</v>
      </c>
      <c r="T3668" s="10">
        <v>20.428380017998858</v>
      </c>
      <c r="U3668" s="11">
        <v>0.061911916795633924</v>
      </c>
      <c r="V3668" s="11">
        <v>0.18781130427695886</v>
      </c>
      <c r="W3668" s="11">
        <v>0.20527135200098154</v>
      </c>
      <c r="X3668" s="11">
        <v>0.08852569212100575</v>
      </c>
      <c r="Y3668" s="11">
        <v>0.16737198950642454</v>
      </c>
      <c r="Z3668" s="11">
        <v>0.2891077452989955</v>
      </c>
    </row>
    <row r="3669" ht="22.5" customHeight="1">
      <c r="Q3669" s="9" t="s">
        <v>3707</v>
      </c>
      <c r="R3669" s="10">
        <v>0.5937763477067959</v>
      </c>
      <c r="S3669" s="10">
        <v>0.02710849128279625</v>
      </c>
      <c r="T3669" s="10">
        <v>20.428150793409763</v>
      </c>
      <c r="U3669" s="11">
        <v>0.2534235726012534</v>
      </c>
      <c r="V3669" s="11">
        <v>0.1727660900378128</v>
      </c>
      <c r="W3669" s="11">
        <v>0.17306277607350626</v>
      </c>
      <c r="X3669" s="11">
        <v>0.001675643833049093</v>
      </c>
      <c r="Y3669" s="11">
        <v>0.24858044910648502</v>
      </c>
      <c r="Z3669" s="11">
        <v>0.1504914683478934</v>
      </c>
    </row>
    <row r="3670" ht="22.5" customHeight="1">
      <c r="Q3670" s="9" t="s">
        <v>3708</v>
      </c>
      <c r="R3670" s="10">
        <v>0.6432434537909673</v>
      </c>
      <c r="S3670" s="10">
        <v>0.029530898311935998</v>
      </c>
      <c r="T3670" s="10">
        <v>20.427534828737134</v>
      </c>
      <c r="U3670" s="11">
        <v>0.08353866664581015</v>
      </c>
      <c r="V3670" s="11">
        <v>0.16770049449037092</v>
      </c>
      <c r="W3670" s="11">
        <v>0.21495731648003605</v>
      </c>
      <c r="X3670" s="11">
        <v>0.13715554404409167</v>
      </c>
      <c r="Y3670" s="11">
        <v>0.12528845751240061</v>
      </c>
      <c r="Z3670" s="11">
        <v>0.27135952082729065</v>
      </c>
    </row>
    <row r="3671" ht="22.5" customHeight="1">
      <c r="Q3671" s="9" t="s">
        <v>3709</v>
      </c>
      <c r="R3671" s="10">
        <v>0.27562329612366154</v>
      </c>
      <c r="S3671" s="10">
        <v>0.011534613605697614</v>
      </c>
      <c r="T3671" s="10">
        <v>20.427497979409864</v>
      </c>
      <c r="U3671" s="11">
        <v>0.24804671497628883</v>
      </c>
      <c r="V3671" s="11">
        <v>0.02409850831031972</v>
      </c>
      <c r="W3671" s="11">
        <v>0.04335092134328079</v>
      </c>
      <c r="X3671" s="11">
        <v>0.37542338013359866</v>
      </c>
      <c r="Y3671" s="11">
        <v>0.2731268256794486</v>
      </c>
      <c r="Z3671" s="11">
        <v>0.03595364955706339</v>
      </c>
    </row>
    <row r="3672" ht="22.5" customHeight="1">
      <c r="Q3672" s="9" t="s">
        <v>3710</v>
      </c>
      <c r="R3672" s="10">
        <v>0.522331348251574</v>
      </c>
      <c r="S3672" s="10">
        <v>0.03177103009672943</v>
      </c>
      <c r="T3672" s="10">
        <v>20.42745699739283</v>
      </c>
      <c r="U3672" s="11">
        <v>0.21200514585862845</v>
      </c>
      <c r="V3672" s="11">
        <v>0.23085075773717226</v>
      </c>
      <c r="W3672" s="11">
        <v>0.1839767540869029</v>
      </c>
      <c r="X3672" s="11">
        <v>0.028606507846481655</v>
      </c>
      <c r="Y3672" s="11">
        <v>0.20614340845257623</v>
      </c>
      <c r="Z3672" s="11">
        <v>0.13841742601823867</v>
      </c>
    </row>
    <row r="3673" ht="22.5" customHeight="1">
      <c r="Q3673" s="9" t="s">
        <v>3711</v>
      </c>
      <c r="R3673" s="10">
        <v>0.6309432376902981</v>
      </c>
      <c r="S3673" s="10">
        <v>0.028929582946464534</v>
      </c>
      <c r="T3673" s="10">
        <v>20.426953225833383</v>
      </c>
      <c r="U3673" s="11">
        <v>0.17863901025735549</v>
      </c>
      <c r="V3673" s="11">
        <v>0.2060770716215097</v>
      </c>
      <c r="W3673" s="11">
        <v>0.16929004573783918</v>
      </c>
      <c r="X3673" s="11">
        <v>0.011850061789585658</v>
      </c>
      <c r="Y3673" s="11">
        <v>0.2333110678720412</v>
      </c>
      <c r="Z3673" s="11">
        <v>0.2008327427216688</v>
      </c>
    </row>
    <row r="3674" ht="22.5" customHeight="1">
      <c r="Q3674" s="9" t="s">
        <v>3712</v>
      </c>
      <c r="R3674" s="10">
        <v>0.45124903600692895</v>
      </c>
      <c r="S3674" s="10">
        <v>0.020132951785966618</v>
      </c>
      <c r="T3674" s="10">
        <v>20.426663729140014</v>
      </c>
      <c r="U3674" s="11">
        <v>0.35689011630823164</v>
      </c>
      <c r="V3674" s="11">
        <v>0.11067293883575777</v>
      </c>
      <c r="W3674" s="11">
        <v>0.11984747592069632</v>
      </c>
      <c r="X3674" s="11">
        <v>0.01580823371005502</v>
      </c>
      <c r="Y3674" s="11">
        <v>0.3294334584983564</v>
      </c>
      <c r="Z3674" s="11">
        <v>0.06734777672690287</v>
      </c>
    </row>
    <row r="3675" ht="22.5" customHeight="1">
      <c r="Q3675" s="9" t="s">
        <v>3713</v>
      </c>
      <c r="R3675" s="10">
        <v>0.5351236314947253</v>
      </c>
      <c r="S3675" s="10">
        <v>0.02423929840204812</v>
      </c>
      <c r="T3675" s="10">
        <v>20.426483608654674</v>
      </c>
      <c r="U3675" s="11">
        <v>0.06532899150756291</v>
      </c>
      <c r="V3675" s="11">
        <v>0.18777635524132302</v>
      </c>
      <c r="W3675" s="11">
        <v>0.1217961739257309</v>
      </c>
      <c r="X3675" s="11">
        <v>0.042332259238753236</v>
      </c>
      <c r="Y3675" s="11">
        <v>0.2090447492249511</v>
      </c>
      <c r="Z3675" s="11">
        <v>0.37372147086167884</v>
      </c>
    </row>
    <row r="3676" ht="22.5" customHeight="1">
      <c r="Q3676" s="9" t="s">
        <v>3714</v>
      </c>
      <c r="R3676" s="10">
        <v>0.6187214088239182</v>
      </c>
      <c r="S3676" s="10">
        <v>0.028332075914366966</v>
      </c>
      <c r="T3676" s="10">
        <v>20.42636799975724</v>
      </c>
      <c r="U3676" s="11">
        <v>0.190983412153484</v>
      </c>
      <c r="V3676" s="11">
        <v>0.23792910406151516</v>
      </c>
      <c r="W3676" s="11">
        <v>0.10663684923244558</v>
      </c>
      <c r="X3676" s="11">
        <v>0.14241169371639378</v>
      </c>
      <c r="Y3676" s="11">
        <v>0.2619083575474078</v>
      </c>
      <c r="Z3676" s="11">
        <v>0.06013058328875368</v>
      </c>
    </row>
    <row r="3677" ht="22.5" customHeight="1">
      <c r="Q3677" s="9" t="s">
        <v>3715</v>
      </c>
      <c r="R3677" s="10">
        <v>0.6757907213655295</v>
      </c>
      <c r="S3677" s="10">
        <v>0.031126573499830737</v>
      </c>
      <c r="T3677" s="10">
        <v>20.42597850897359</v>
      </c>
      <c r="U3677" s="11">
        <v>0.08245025165930094</v>
      </c>
      <c r="V3677" s="11">
        <v>0.25302015061638106</v>
      </c>
      <c r="W3677" s="11">
        <v>0.15240639176663592</v>
      </c>
      <c r="X3677" s="11">
        <v>0.14671512800948464</v>
      </c>
      <c r="Y3677" s="11">
        <v>0.06714889995026595</v>
      </c>
      <c r="Z3677" s="11">
        <v>0.2982591779979316</v>
      </c>
    </row>
    <row r="3678" ht="22.5" customHeight="1">
      <c r="Q3678" s="9" t="s">
        <v>3716</v>
      </c>
      <c r="R3678" s="10">
        <v>0.7611295975833267</v>
      </c>
      <c r="S3678" s="10">
        <v>0.035304601134839006</v>
      </c>
      <c r="T3678" s="10">
        <v>20.425938104472937</v>
      </c>
      <c r="U3678" s="11">
        <v>0.07035602993215097</v>
      </c>
      <c r="V3678" s="11">
        <v>0.22728342839535237</v>
      </c>
      <c r="W3678" s="11">
        <v>0.23172250987329399</v>
      </c>
      <c r="X3678" s="11">
        <v>0.08829220937550016</v>
      </c>
      <c r="Y3678" s="11">
        <v>0.32681239184772454</v>
      </c>
      <c r="Z3678" s="11">
        <v>0.055533430575977975</v>
      </c>
    </row>
    <row r="3679" ht="22.5" customHeight="1">
      <c r="Q3679" s="9" t="s">
        <v>3717</v>
      </c>
      <c r="R3679" s="10">
        <v>0.6849115720665296</v>
      </c>
      <c r="S3679" s="10">
        <v>0.031573291163910014</v>
      </c>
      <c r="T3679" s="10">
        <v>20.425858321786187</v>
      </c>
      <c r="U3679" s="11">
        <v>0.22921188938983872</v>
      </c>
      <c r="V3679" s="11">
        <v>0.2557274987359839</v>
      </c>
      <c r="W3679" s="11">
        <v>0.1500309251499558</v>
      </c>
      <c r="X3679" s="11">
        <v>0.09709674145531168</v>
      </c>
      <c r="Y3679" s="11">
        <v>0.1341721808852058</v>
      </c>
      <c r="Z3679" s="11">
        <v>0.13376076438370413</v>
      </c>
    </row>
    <row r="3680" ht="22.5" customHeight="1">
      <c r="Q3680" s="9" t="s">
        <v>3718</v>
      </c>
      <c r="R3680" s="10">
        <v>0.6197005307908972</v>
      </c>
      <c r="S3680" s="10">
        <v>0.028380828826597253</v>
      </c>
      <c r="T3680" s="10">
        <v>20.425778765404747</v>
      </c>
      <c r="U3680" s="11">
        <v>0.20847597569064555</v>
      </c>
      <c r="V3680" s="11">
        <v>0.20327687902635183</v>
      </c>
      <c r="W3680" s="11">
        <v>0.1651295499875565</v>
      </c>
      <c r="X3680" s="11">
        <v>0.009185744397641075</v>
      </c>
      <c r="Y3680" s="11">
        <v>0.19991677808980335</v>
      </c>
      <c r="Z3680" s="11">
        <v>0.21401507280800167</v>
      </c>
    </row>
    <row r="3681" ht="22.5" customHeight="1">
      <c r="Q3681" s="9" t="s">
        <v>3719</v>
      </c>
      <c r="R3681" s="10">
        <v>0.655389574619078</v>
      </c>
      <c r="S3681" s="10">
        <v>0.030128125422626866</v>
      </c>
      <c r="T3681" s="10">
        <v>20.425750556551627</v>
      </c>
      <c r="U3681" s="11">
        <v>0.27026061502929416</v>
      </c>
      <c r="V3681" s="11">
        <v>0.21394975097666138</v>
      </c>
      <c r="W3681" s="11">
        <v>0.17804020171709012</v>
      </c>
      <c r="X3681" s="11">
        <v>0.01344284898644241</v>
      </c>
      <c r="Y3681" s="11">
        <v>0.1758990494026929</v>
      </c>
      <c r="Z3681" s="11">
        <v>0.14840753388781905</v>
      </c>
    </row>
    <row r="3682" ht="22.5" customHeight="1">
      <c r="Q3682" s="9" t="s">
        <v>3720</v>
      </c>
      <c r="R3682" s="10">
        <v>0.4953974992175024</v>
      </c>
      <c r="S3682" s="10">
        <v>0.022295778639158468</v>
      </c>
      <c r="T3682" s="10">
        <v>20.425278999571685</v>
      </c>
      <c r="U3682" s="11">
        <v>0.15459461974129976</v>
      </c>
      <c r="V3682" s="11">
        <v>0.1897544757439477</v>
      </c>
      <c r="W3682" s="11">
        <v>0.06395301336064052</v>
      </c>
      <c r="X3682" s="11">
        <v>0.17585458683880517</v>
      </c>
      <c r="Y3682" s="11">
        <v>0.2610866477943388</v>
      </c>
      <c r="Z3682" s="11">
        <v>0.154756656520968</v>
      </c>
    </row>
    <row r="3683" ht="22.5" customHeight="1">
      <c r="Q3683" s="9" t="s">
        <v>3721</v>
      </c>
      <c r="R3683" s="10">
        <v>0.7325467207406994</v>
      </c>
      <c r="S3683" s="10">
        <v>0.03390687832506702</v>
      </c>
      <c r="T3683" s="10">
        <v>20.424962572526365</v>
      </c>
      <c r="U3683" s="11">
        <v>0.2814578295827043</v>
      </c>
      <c r="V3683" s="11">
        <v>0.24044599636014455</v>
      </c>
      <c r="W3683" s="11">
        <v>0.2010720074811791</v>
      </c>
      <c r="X3683" s="11">
        <v>0.029607202023646292</v>
      </c>
      <c r="Y3683" s="11">
        <v>0.21969479964790445</v>
      </c>
      <c r="Z3683" s="11">
        <v>0.027722164904421212</v>
      </c>
    </row>
    <row r="3684" ht="22.5" customHeight="1">
      <c r="Q3684" s="9" t="s">
        <v>3722</v>
      </c>
      <c r="R3684" s="10">
        <v>0.6934192679752075</v>
      </c>
      <c r="S3684" s="10">
        <v>0.031991353528042984</v>
      </c>
      <c r="T3684" s="10">
        <v>20.424870970289927</v>
      </c>
      <c r="U3684" s="11">
        <v>0.19201325042131637</v>
      </c>
      <c r="V3684" s="11">
        <v>0.2647377161860144</v>
      </c>
      <c r="W3684" s="11">
        <v>0.13629798194303702</v>
      </c>
      <c r="X3684" s="11">
        <v>0.1336855753773933</v>
      </c>
      <c r="Y3684" s="11">
        <v>0.23894040976127284</v>
      </c>
      <c r="Z3684" s="11">
        <v>0.034325066310965956</v>
      </c>
    </row>
    <row r="3685" ht="22.5" customHeight="1">
      <c r="Q3685" s="9" t="s">
        <v>3723</v>
      </c>
      <c r="R3685" s="10">
        <v>0.6877503798379884</v>
      </c>
      <c r="S3685" s="10">
        <v>0.03171437368535078</v>
      </c>
      <c r="T3685" s="10">
        <v>20.42450487165671</v>
      </c>
      <c r="U3685" s="11">
        <v>9.495649488923537E-4</v>
      </c>
      <c r="V3685" s="11">
        <v>0.1361567720869014</v>
      </c>
      <c r="W3685" s="11">
        <v>0.24763415587333157</v>
      </c>
      <c r="X3685" s="11">
        <v>0.3609670573565309</v>
      </c>
      <c r="Y3685" s="11">
        <v>0.2315229285809281</v>
      </c>
      <c r="Z3685" s="11">
        <v>0.022769521153415826</v>
      </c>
    </row>
    <row r="3686" ht="22.5" customHeight="1">
      <c r="Q3686" s="9" t="s">
        <v>3724</v>
      </c>
      <c r="R3686" s="10">
        <v>0.7610269016445318</v>
      </c>
      <c r="S3686" s="10">
        <v>0.035303025095659565</v>
      </c>
      <c r="T3686" s="10">
        <v>20.423940999129293</v>
      </c>
      <c r="U3686" s="11">
        <v>0.16473745310603843</v>
      </c>
      <c r="V3686" s="11">
        <v>0.1841052951320036</v>
      </c>
      <c r="W3686" s="11">
        <v>0.2674257119825026</v>
      </c>
      <c r="X3686" s="11">
        <v>0.25324435695609593</v>
      </c>
      <c r="Y3686" s="11">
        <v>0.08592565627555702</v>
      </c>
      <c r="Z3686" s="11">
        <v>0.04456152654780241</v>
      </c>
    </row>
    <row r="3687" ht="22.5" customHeight="1">
      <c r="Q3687" s="9" t="s">
        <v>3725</v>
      </c>
      <c r="R3687" s="10">
        <v>0.7249118515248278</v>
      </c>
      <c r="S3687" s="10">
        <v>0.03353504004352246</v>
      </c>
      <c r="T3687" s="10">
        <v>20.423767218883153</v>
      </c>
      <c r="U3687" s="11">
        <v>0.1932104466476353</v>
      </c>
      <c r="V3687" s="11">
        <v>0.2764695565087944</v>
      </c>
      <c r="W3687" s="11">
        <v>0.14970320056596634</v>
      </c>
      <c r="X3687" s="11">
        <v>0.13973805452845672</v>
      </c>
      <c r="Y3687" s="11">
        <v>0.19247384063833825</v>
      </c>
      <c r="Z3687" s="11">
        <v>0.048404901110809</v>
      </c>
    </row>
    <row r="3688" ht="22.5" customHeight="1">
      <c r="Q3688" s="9" t="s">
        <v>3726</v>
      </c>
      <c r="R3688" s="10">
        <v>0.4445919562910723</v>
      </c>
      <c r="S3688" s="10">
        <v>0.01980991928981032</v>
      </c>
      <c r="T3688" s="10">
        <v>20.423705436255023</v>
      </c>
      <c r="U3688" s="11">
        <v>0.05685479348068981</v>
      </c>
      <c r="V3688" s="11">
        <v>0.0727457408173198</v>
      </c>
      <c r="W3688" s="11">
        <v>0.15304245727789467</v>
      </c>
      <c r="X3688" s="11">
        <v>0.21703585757629948</v>
      </c>
      <c r="Y3688" s="11">
        <v>0.2081421218199208</v>
      </c>
      <c r="Z3688" s="11">
        <v>0.2921790290278753</v>
      </c>
    </row>
    <row r="3689" ht="22.5" customHeight="1">
      <c r="Q3689" s="9" t="s">
        <v>3727</v>
      </c>
      <c r="R3689" s="10">
        <v>0.6679662698304619</v>
      </c>
      <c r="S3689" s="10">
        <v>0.030747042642724424</v>
      </c>
      <c r="T3689" s="10">
        <v>20.423631538399533</v>
      </c>
      <c r="U3689" s="11">
        <v>0.08750185113129488</v>
      </c>
      <c r="V3689" s="11">
        <v>0.25396836303336123</v>
      </c>
      <c r="W3689" s="11">
        <v>0.1272959378735221</v>
      </c>
      <c r="X3689" s="11">
        <v>0.14489390822676326</v>
      </c>
      <c r="Y3689" s="11">
        <v>0.31739066481241524</v>
      </c>
      <c r="Z3689" s="11">
        <v>0.06894927492264341</v>
      </c>
    </row>
    <row r="3690" ht="22.5" customHeight="1">
      <c r="Q3690" s="9" t="s">
        <v>3728</v>
      </c>
      <c r="R3690" s="10">
        <v>0.6244861482060712</v>
      </c>
      <c r="S3690" s="10">
        <v>0.028618470514064704</v>
      </c>
      <c r="T3690" s="10">
        <v>20.423388731372707</v>
      </c>
      <c r="U3690" s="11">
        <v>0.2113087844355989</v>
      </c>
      <c r="V3690" s="11">
        <v>0.20833337069727764</v>
      </c>
      <c r="W3690" s="11">
        <v>0.16399969273249915</v>
      </c>
      <c r="X3690" s="11">
        <v>0.014930760616323249</v>
      </c>
      <c r="Y3690" s="11">
        <v>0.17839813667877136</v>
      </c>
      <c r="Z3690" s="11">
        <v>0.22302925483952987</v>
      </c>
    </row>
    <row r="3691" ht="22.5" customHeight="1">
      <c r="Q3691" s="9" t="s">
        <v>3729</v>
      </c>
      <c r="R3691" s="10">
        <v>0.8032075113981558</v>
      </c>
      <c r="S3691" s="10">
        <v>0.03736971850166521</v>
      </c>
      <c r="T3691" s="10">
        <v>20.42315387963511</v>
      </c>
      <c r="U3691" s="11">
        <v>0.2904486623570991</v>
      </c>
      <c r="V3691" s="11">
        <v>0.2516533212431635</v>
      </c>
      <c r="W3691" s="11">
        <v>0.24233493972813533</v>
      </c>
      <c r="X3691" s="11">
        <v>0.10011566523555286</v>
      </c>
      <c r="Y3691" s="11">
        <v>0.07075029597902785</v>
      </c>
      <c r="Z3691" s="11">
        <v>0.04469711545702147</v>
      </c>
    </row>
    <row r="3692" ht="22.5" customHeight="1">
      <c r="Q3692" s="9" t="s">
        <v>3730</v>
      </c>
      <c r="R3692" s="10">
        <v>0.40580052118947385</v>
      </c>
      <c r="S3692" s="10">
        <v>0.01791135208317023</v>
      </c>
      <c r="T3692" s="10">
        <v>20.422831257567957</v>
      </c>
      <c r="U3692" s="11">
        <v>0.2814621003152736</v>
      </c>
      <c r="V3692" s="11">
        <v>0.1509203475135208</v>
      </c>
      <c r="W3692" s="11">
        <v>0.03467748568848836</v>
      </c>
      <c r="X3692" s="11">
        <v>0.26154637938731307</v>
      </c>
      <c r="Y3692" s="11">
        <v>0.06586814399313513</v>
      </c>
      <c r="Z3692" s="11">
        <v>0.2055255431022691</v>
      </c>
    </row>
    <row r="3693" ht="22.5" customHeight="1">
      <c r="Q3693" s="9" t="s">
        <v>3731</v>
      </c>
      <c r="R3693" s="10">
        <v>0.8360200430067111</v>
      </c>
      <c r="S3693" s="10">
        <v>0.03897698458029987</v>
      </c>
      <c r="T3693" s="10">
        <v>20.422822636952866</v>
      </c>
      <c r="U3693" s="11">
        <v>0.015969476508338312</v>
      </c>
      <c r="V3693" s="11">
        <v>0.30835716193631085</v>
      </c>
      <c r="W3693" s="11">
        <v>0.2051049901771212</v>
      </c>
      <c r="X3693" s="11">
        <v>0.21027348989822456</v>
      </c>
      <c r="Y3693" s="11">
        <v>0.09895263203425202</v>
      </c>
      <c r="Z3693" s="11">
        <v>0.1613422494457531</v>
      </c>
    </row>
    <row r="3694" ht="22.5" customHeight="1">
      <c r="Q3694" s="9" t="s">
        <v>3732</v>
      </c>
      <c r="R3694" s="10">
        <v>0.7266834655966314</v>
      </c>
      <c r="S3694" s="10">
        <v>0.03362360340097733</v>
      </c>
      <c r="T3694" s="10">
        <v>20.422661349160208</v>
      </c>
      <c r="U3694" s="11">
        <v>0.016117201847819094</v>
      </c>
      <c r="V3694" s="11">
        <v>0.2563176694329517</v>
      </c>
      <c r="W3694" s="11">
        <v>0.18387993294934782</v>
      </c>
      <c r="X3694" s="11">
        <v>0.09292162520795488</v>
      </c>
      <c r="Y3694" s="11">
        <v>0.2493483448418987</v>
      </c>
      <c r="Z3694" s="11">
        <v>0.20141522572002782</v>
      </c>
    </row>
    <row r="3695" ht="22.5" customHeight="1">
      <c r="Q3695" s="9" t="s">
        <v>3733</v>
      </c>
      <c r="R3695" s="10">
        <v>0.7840229125769297</v>
      </c>
      <c r="S3695" s="10">
        <v>0.03643137568088513</v>
      </c>
      <c r="T3695" s="10">
        <v>20.422586264490274</v>
      </c>
      <c r="U3695" s="11">
        <v>0.05150907724301636</v>
      </c>
      <c r="V3695" s="11">
        <v>0.22315592419414898</v>
      </c>
      <c r="W3695" s="11">
        <v>0.25609825903334277</v>
      </c>
      <c r="X3695" s="11">
        <v>0.16981161437578712</v>
      </c>
      <c r="Y3695" s="11">
        <v>0.14847132105189545</v>
      </c>
      <c r="Z3695" s="11">
        <v>0.15095380410180934</v>
      </c>
    </row>
    <row r="3696" ht="22.5" customHeight="1">
      <c r="Q3696" s="9" t="s">
        <v>3734</v>
      </c>
      <c r="R3696" s="10">
        <v>0.40639449776117686</v>
      </c>
      <c r="S3696" s="10">
        <v>0.017940882213591653</v>
      </c>
      <c r="T3696" s="10">
        <v>20.422323350610025</v>
      </c>
      <c r="U3696" s="11">
        <v>0.27967595403702683</v>
      </c>
      <c r="V3696" s="11">
        <v>0.13431646377115844</v>
      </c>
      <c r="W3696" s="11">
        <v>0.06845883370964402</v>
      </c>
      <c r="X3696" s="11">
        <v>0.03895412514154606</v>
      </c>
      <c r="Y3696" s="11">
        <v>0.2562429937503754</v>
      </c>
      <c r="Z3696" s="11">
        <v>0.22235162959024923</v>
      </c>
    </row>
    <row r="3697" ht="22.5" customHeight="1">
      <c r="Q3697" s="9" t="s">
        <v>3735</v>
      </c>
      <c r="R3697" s="10">
        <v>0.6091143868159459</v>
      </c>
      <c r="S3697" s="10">
        <v>0.027868290228254298</v>
      </c>
      <c r="T3697" s="10">
        <v>20.421575279812057</v>
      </c>
      <c r="U3697" s="11">
        <v>0.0080744865095964</v>
      </c>
      <c r="V3697" s="11">
        <v>0.23989383974214334</v>
      </c>
      <c r="W3697" s="11">
        <v>0.09538281639086361</v>
      </c>
      <c r="X3697" s="11">
        <v>0.238660785864259</v>
      </c>
      <c r="Y3697" s="11">
        <v>0.2508574733295896</v>
      </c>
      <c r="Z3697" s="11">
        <v>0.16713059816354808</v>
      </c>
    </row>
    <row r="3698" ht="22.5" customHeight="1">
      <c r="Q3698" s="9" t="s">
        <v>3736</v>
      </c>
      <c r="R3698" s="10">
        <v>0.522331348251574</v>
      </c>
      <c r="S3698" s="10">
        <v>0.022990351344058066</v>
      </c>
      <c r="T3698" s="10">
        <v>20.42129491152401</v>
      </c>
      <c r="U3698" s="11">
        <v>0.2724982005231572</v>
      </c>
      <c r="V3698" s="11">
        <v>0.19603876415562885</v>
      </c>
      <c r="W3698" s="11">
        <v>0.04371176702659451</v>
      </c>
      <c r="X3698" s="11">
        <v>0.44355693712754896</v>
      </c>
      <c r="Y3698" s="11">
        <v>0.012913258496999317</v>
      </c>
      <c r="Z3698" s="11">
        <v>0.031281072670071</v>
      </c>
    </row>
    <row r="3699" ht="22.5" customHeight="1">
      <c r="Q3699" s="9" t="s">
        <v>3737</v>
      </c>
      <c r="R3699" s="10">
        <v>0.6370808499184781</v>
      </c>
      <c r="S3699" s="10">
        <v>0.029238390932908098</v>
      </c>
      <c r="T3699" s="10">
        <v>20.4211254746737</v>
      </c>
      <c r="U3699" s="11">
        <v>0.18684580298232725</v>
      </c>
      <c r="V3699" s="11">
        <v>0.24449387855703025</v>
      </c>
      <c r="W3699" s="11">
        <v>0.12381879221365513</v>
      </c>
      <c r="X3699" s="11">
        <v>0.1241255106749941</v>
      </c>
      <c r="Y3699" s="11">
        <v>0.15424136516274023</v>
      </c>
      <c r="Z3699" s="11">
        <v>0.16647465040925305</v>
      </c>
    </row>
    <row r="3700" ht="22.5" customHeight="1">
      <c r="Q3700" s="9" t="s">
        <v>3738</v>
      </c>
      <c r="R3700" s="10">
        <v>0.5716172021565268</v>
      </c>
      <c r="S3700" s="10">
        <v>0.026033260583501562</v>
      </c>
      <c r="T3700" s="10">
        <v>20.420692231438586</v>
      </c>
      <c r="U3700" s="11">
        <v>0.10731309583671456</v>
      </c>
      <c r="V3700" s="11">
        <v>0.13653700144463174</v>
      </c>
      <c r="W3700" s="11">
        <v>0.188414503275919</v>
      </c>
      <c r="X3700" s="11">
        <v>0.09114145478863614</v>
      </c>
      <c r="Y3700" s="11">
        <v>0.2805294904472258</v>
      </c>
      <c r="Z3700" s="11">
        <v>0.19606445420687263</v>
      </c>
    </row>
    <row r="3701" ht="22.5" customHeight="1">
      <c r="Q3701" s="9" t="s">
        <v>3739</v>
      </c>
      <c r="R3701" s="10">
        <v>0.9082393993695794</v>
      </c>
      <c r="S3701" s="10">
        <v>0.04251791900743563</v>
      </c>
      <c r="T3701" s="10">
        <v>20.420552549096765</v>
      </c>
      <c r="U3701" s="11">
        <v>0.04542876644027716</v>
      </c>
      <c r="V3701" s="11">
        <v>0.2744739127338767</v>
      </c>
      <c r="W3701" s="11">
        <v>0.29017170419916183</v>
      </c>
      <c r="X3701" s="11">
        <v>0.25448706139686406</v>
      </c>
      <c r="Y3701" s="11">
        <v>0.04666496164744403</v>
      </c>
      <c r="Z3701" s="11">
        <v>0.08877359358237613</v>
      </c>
    </row>
    <row r="3702" ht="22.5" customHeight="1">
      <c r="Q3702" s="9" t="s">
        <v>3740</v>
      </c>
      <c r="R3702" s="10">
        <v>0.5708715831946802</v>
      </c>
      <c r="S3702" s="10">
        <v>0.025997372049144474</v>
      </c>
      <c r="T3702" s="10">
        <v>20.420201787747626</v>
      </c>
      <c r="U3702" s="11">
        <v>0.2552142747355915</v>
      </c>
      <c r="V3702" s="11">
        <v>0.2198860051386593</v>
      </c>
      <c r="W3702" s="11">
        <v>0.1017307539675908</v>
      </c>
      <c r="X3702" s="11">
        <v>0.13890741410657648</v>
      </c>
      <c r="Y3702" s="11">
        <v>0.0650325455292977</v>
      </c>
      <c r="Z3702" s="11">
        <v>0.21922900652228422</v>
      </c>
    </row>
    <row r="3703" ht="22.5" customHeight="1">
      <c r="Q3703" s="9" t="s">
        <v>3741</v>
      </c>
      <c r="R3703" s="10">
        <v>0.6480148971284828</v>
      </c>
      <c r="S3703" s="10">
        <v>0.029775405549459052</v>
      </c>
      <c r="T3703" s="10">
        <v>20.420037474167298</v>
      </c>
      <c r="U3703" s="11">
        <v>0.2623336051279766</v>
      </c>
      <c r="V3703" s="11">
        <v>0.19346732378167786</v>
      </c>
      <c r="W3703" s="11">
        <v>0.1966640286375416</v>
      </c>
      <c r="X3703" s="11">
        <v>0.050912618519225565</v>
      </c>
      <c r="Y3703" s="11">
        <v>0.07847378502904759</v>
      </c>
      <c r="Z3703" s="11">
        <v>0.21814863890453096</v>
      </c>
    </row>
    <row r="3704" ht="22.5" customHeight="1">
      <c r="Q3704" s="9" t="s">
        <v>3742</v>
      </c>
      <c r="R3704" s="10">
        <v>0.4672266178694053</v>
      </c>
      <c r="S3704" s="10">
        <v>0.020922090679905202</v>
      </c>
      <c r="T3704" s="10">
        <v>20.419881760656867</v>
      </c>
      <c r="U3704" s="11">
        <v>0.25957027862407733</v>
      </c>
      <c r="V3704" s="11">
        <v>0.08445039217050188</v>
      </c>
      <c r="W3704" s="11">
        <v>0.161270821492786</v>
      </c>
      <c r="X3704" s="11">
        <v>0.16273061166847508</v>
      </c>
      <c r="Y3704" s="11">
        <v>0.10429476195276549</v>
      </c>
      <c r="Z3704" s="11">
        <v>0.22768313409139423</v>
      </c>
    </row>
    <row r="3705" ht="22.5" customHeight="1">
      <c r="Q3705" s="9" t="s">
        <v>3743</v>
      </c>
      <c r="R3705" s="10">
        <v>0.7806929073562848</v>
      </c>
      <c r="S3705" s="10">
        <v>0.03627400728413385</v>
      </c>
      <c r="T3705" s="10">
        <v>20.419384645166065</v>
      </c>
      <c r="U3705" s="11">
        <v>0.11362506354841014</v>
      </c>
      <c r="V3705" s="11">
        <v>0.26704502122135315</v>
      </c>
      <c r="W3705" s="11">
        <v>0.21424298554603727</v>
      </c>
      <c r="X3705" s="11">
        <v>0.10122866409412948</v>
      </c>
      <c r="Y3705" s="11">
        <v>0.13654000383245313</v>
      </c>
      <c r="Z3705" s="11">
        <v>0.1673182617576168</v>
      </c>
    </row>
    <row r="3706" ht="22.5" customHeight="1">
      <c r="Q3706" s="9" t="s">
        <v>3744</v>
      </c>
      <c r="R3706" s="10">
        <v>0.9270058936539135</v>
      </c>
      <c r="S3706" s="10">
        <v>0.04343983710141486</v>
      </c>
      <c r="T3706" s="10">
        <v>20.41918093714544</v>
      </c>
      <c r="U3706" s="11">
        <v>0.11373576703631318</v>
      </c>
      <c r="V3706" s="11">
        <v>0.2800367507140817</v>
      </c>
      <c r="W3706" s="11">
        <v>0.2964104441948775</v>
      </c>
      <c r="X3706" s="11">
        <v>0.24601095486749264</v>
      </c>
      <c r="Y3706" s="11">
        <v>0.03523132100768296</v>
      </c>
      <c r="Z3706" s="11">
        <v>0.028574762179551915</v>
      </c>
    </row>
    <row r="3707" ht="22.5" customHeight="1">
      <c r="Q3707" s="9" t="s">
        <v>3745</v>
      </c>
      <c r="R3707" s="10">
        <v>0.7940081163718035</v>
      </c>
      <c r="S3707" s="10">
        <v>0.036926476265145516</v>
      </c>
      <c r="T3707" s="10">
        <v>20.419173250048317</v>
      </c>
      <c r="U3707" s="11">
        <v>0.16577143716802065</v>
      </c>
      <c r="V3707" s="11">
        <v>0.2944476605800455</v>
      </c>
      <c r="W3707" s="11">
        <v>0.18490446919006015</v>
      </c>
      <c r="X3707" s="11">
        <v>0.13066740933494675</v>
      </c>
      <c r="Y3707" s="11">
        <v>0.18585668233187727</v>
      </c>
      <c r="Z3707" s="11">
        <v>0.038352341395049734</v>
      </c>
    </row>
    <row r="3708" ht="22.5" customHeight="1">
      <c r="Q3708" s="9" t="s">
        <v>3746</v>
      </c>
      <c r="R3708" s="10">
        <v>0.5331359681156721</v>
      </c>
      <c r="S3708" s="10">
        <v>0.02415091042807442</v>
      </c>
      <c r="T3708" s="10">
        <v>20.418939053428904</v>
      </c>
      <c r="U3708" s="11">
        <v>0.20577705151888592</v>
      </c>
      <c r="V3708" s="11">
        <v>0.10428278165455913</v>
      </c>
      <c r="W3708" s="11">
        <v>0.1889871581552041</v>
      </c>
      <c r="X3708" s="11">
        <v>0.2124855530978428</v>
      </c>
      <c r="Y3708" s="11">
        <v>0.05342478417722126</v>
      </c>
      <c r="Z3708" s="11">
        <v>0.2350426713962867</v>
      </c>
    </row>
    <row r="3709" ht="22.5" customHeight="1">
      <c r="Q3709" s="9" t="s">
        <v>3747</v>
      </c>
      <c r="R3709" s="10">
        <v>0.7737885600715529</v>
      </c>
      <c r="S3709" s="10">
        <v>0.03593735032150497</v>
      </c>
      <c r="T3709" s="10">
        <v>20.418549322832312</v>
      </c>
      <c r="U3709" s="11">
        <v>0.04188130948150195</v>
      </c>
      <c r="V3709" s="11">
        <v>0.21128578528655192</v>
      </c>
      <c r="W3709" s="11">
        <v>0.25986587431352265</v>
      </c>
      <c r="X3709" s="11">
        <v>0.22241197861217327</v>
      </c>
      <c r="Y3709" s="11">
        <v>0.07535666499728805</v>
      </c>
      <c r="Z3709" s="11">
        <v>0.18919838730896216</v>
      </c>
    </row>
    <row r="3710" ht="22.5" customHeight="1">
      <c r="Q3710" s="9" t="s">
        <v>3748</v>
      </c>
      <c r="R3710" s="10">
        <v>0.8913410357759115</v>
      </c>
      <c r="S3710" s="10">
        <v>0.04169457830147761</v>
      </c>
      <c r="T3710" s="10">
        <v>20.418506924813794</v>
      </c>
      <c r="U3710" s="11">
        <v>0.14048584107689177</v>
      </c>
      <c r="V3710" s="11">
        <v>0.287114110266468</v>
      </c>
      <c r="W3710" s="11">
        <v>0.2682377429042124</v>
      </c>
      <c r="X3710" s="11">
        <v>0.17205173503502355</v>
      </c>
      <c r="Y3710" s="11">
        <v>0.07501375089909698</v>
      </c>
      <c r="Z3710" s="11">
        <v>0.05709681981830717</v>
      </c>
    </row>
    <row r="3711" ht="22.5" customHeight="1">
      <c r="Q3711" s="9" t="s">
        <v>3749</v>
      </c>
      <c r="R3711" s="10">
        <v>0.7195311826472661</v>
      </c>
      <c r="S3711" s="10">
        <v>0.03328033056207986</v>
      </c>
      <c r="T3711" s="10">
        <v>20.418402436829602</v>
      </c>
      <c r="U3711" s="11">
        <v>0.10201691455514555</v>
      </c>
      <c r="V3711" s="11">
        <v>0.2701786476185883</v>
      </c>
      <c r="W3711" s="11">
        <v>0.1582584707738559</v>
      </c>
      <c r="X3711" s="11">
        <v>0.12303933714569264</v>
      </c>
      <c r="Y3711" s="11">
        <v>0.20987816326611883</v>
      </c>
      <c r="Z3711" s="11">
        <v>0.13662846664059877</v>
      </c>
    </row>
    <row r="3712" ht="22.5" customHeight="1">
      <c r="Q3712" s="9" t="s">
        <v>3750</v>
      </c>
      <c r="R3712" s="10">
        <v>0.7294375222194025</v>
      </c>
      <c r="S3712" s="10">
        <v>0.03376567206169483</v>
      </c>
      <c r="T3712" s="10">
        <v>20.418297049136147</v>
      </c>
      <c r="U3712" s="11">
        <v>0.1406611582046271</v>
      </c>
      <c r="V3712" s="11">
        <v>0.2543784565398694</v>
      </c>
      <c r="W3712" s="11">
        <v>0.1938788190773349</v>
      </c>
      <c r="X3712" s="11">
        <v>0.1153581642966725</v>
      </c>
      <c r="Y3712" s="11">
        <v>0.03487030641336847</v>
      </c>
      <c r="Z3712" s="11">
        <v>0.2608530954681275</v>
      </c>
    </row>
    <row r="3713" ht="22.5" customHeight="1">
      <c r="Q3713" s="9" t="s">
        <v>3751</v>
      </c>
      <c r="R3713" s="10">
        <v>0.5930734357191659</v>
      </c>
      <c r="S3713" s="10">
        <v>0.027087557258296133</v>
      </c>
      <c r="T3713" s="10">
        <v>20.41798861541033</v>
      </c>
      <c r="U3713" s="11">
        <v>0.29413778093612336</v>
      </c>
      <c r="V3713" s="11">
        <v>0.10376154534625616</v>
      </c>
      <c r="W3713" s="11">
        <v>0.21575445311112187</v>
      </c>
      <c r="X3713" s="11">
        <v>0.3061321927940244</v>
      </c>
      <c r="Y3713" s="11">
        <v>0.06158829532578319</v>
      </c>
      <c r="Z3713" s="11">
        <v>0.018625732486691166</v>
      </c>
    </row>
    <row r="3714" ht="22.5" customHeight="1">
      <c r="Q3714" s="9" t="s">
        <v>3752</v>
      </c>
      <c r="R3714" s="10">
        <v>0.7814568961235863</v>
      </c>
      <c r="S3714" s="10">
        <v>0.03631447669669044</v>
      </c>
      <c r="T3714" s="10">
        <v>20.4176671005467</v>
      </c>
      <c r="U3714" s="11">
        <v>0.05459786467586906</v>
      </c>
      <c r="V3714" s="11">
        <v>0.24611294560377037</v>
      </c>
      <c r="W3714" s="11">
        <v>0.23748925034540305</v>
      </c>
      <c r="X3714" s="11">
        <v>0.1393749246485938</v>
      </c>
      <c r="Y3714" s="11">
        <v>0.10098341040166241</v>
      </c>
      <c r="Z3714" s="11">
        <v>0.22144160432470122</v>
      </c>
    </row>
    <row r="3715" ht="22.5" customHeight="1">
      <c r="Q3715" s="9" t="s">
        <v>3753</v>
      </c>
      <c r="R3715" s="10">
        <v>0.522331348251574</v>
      </c>
      <c r="S3715" s="10">
        <v>0.032058619026371006</v>
      </c>
      <c r="T3715" s="10">
        <v>20.417402981753778</v>
      </c>
      <c r="U3715" s="11">
        <v>0.11331880608547303</v>
      </c>
      <c r="V3715" s="11">
        <v>0.26447823505319584</v>
      </c>
      <c r="W3715" s="11">
        <v>0.14695225351362465</v>
      </c>
      <c r="X3715" s="11">
        <v>0.13708090287257524</v>
      </c>
      <c r="Y3715" s="11">
        <v>0.16077037192371424</v>
      </c>
      <c r="Z3715" s="11">
        <v>0.177399430551417</v>
      </c>
    </row>
    <row r="3716" ht="22.5" customHeight="1">
      <c r="Q3716" s="9" t="s">
        <v>3754</v>
      </c>
      <c r="R3716" s="10">
        <v>0.810190937586097</v>
      </c>
      <c r="S3716" s="10">
        <v>0.03772228748533565</v>
      </c>
      <c r="T3716" s="10">
        <v>20.41739748379535</v>
      </c>
      <c r="U3716" s="11">
        <v>0.009572034935759319</v>
      </c>
      <c r="V3716" s="11">
        <v>0.2318318453509018</v>
      </c>
      <c r="W3716" s="11">
        <v>0.2664798711116249</v>
      </c>
      <c r="X3716" s="11">
        <v>0.2549596542334492</v>
      </c>
      <c r="Y3716" s="11">
        <v>0.021158996501334185</v>
      </c>
      <c r="Z3716" s="11">
        <v>0.21599759786693065</v>
      </c>
    </row>
    <row r="3717" ht="22.5" customHeight="1">
      <c r="Q3717" s="9" t="s">
        <v>3755</v>
      </c>
      <c r="R3717" s="10">
        <v>0.5651987476039172</v>
      </c>
      <c r="S3717" s="10">
        <v>0.025723157685532724</v>
      </c>
      <c r="T3717" s="10">
        <v>20.41735132305707</v>
      </c>
      <c r="U3717" s="11">
        <v>0.315970351756324</v>
      </c>
      <c r="V3717" s="11">
        <v>0.18914766525781745</v>
      </c>
      <c r="W3717" s="11">
        <v>0.1390734728330432</v>
      </c>
      <c r="X3717" s="11">
        <v>0.0014450219213311283</v>
      </c>
      <c r="Y3717" s="11">
        <v>0.1445115990334009</v>
      </c>
      <c r="Z3717" s="11">
        <v>0.20985188919808329</v>
      </c>
    </row>
    <row r="3718" ht="22.5" customHeight="1">
      <c r="Q3718" s="9" t="s">
        <v>3756</v>
      </c>
      <c r="R3718" s="10">
        <v>0.7065492035302573</v>
      </c>
      <c r="S3718" s="10">
        <v>0.03264856171624401</v>
      </c>
      <c r="T3718" s="10">
        <v>20.4158826144743</v>
      </c>
      <c r="U3718" s="11">
        <v>0.2020950686660183</v>
      </c>
      <c r="V3718" s="11">
        <v>0.21305723837719215</v>
      </c>
      <c r="W3718" s="11">
        <v>0.2163839025173551</v>
      </c>
      <c r="X3718" s="11">
        <v>0.06137204846580642</v>
      </c>
      <c r="Y3718" s="11">
        <v>0.14264948536617508</v>
      </c>
      <c r="Z3718" s="11">
        <v>0.16444225660745285</v>
      </c>
    </row>
    <row r="3719" ht="22.5" customHeight="1">
      <c r="Q3719" s="9" t="s">
        <v>3757</v>
      </c>
      <c r="R3719" s="10">
        <v>0.5877232998530336</v>
      </c>
      <c r="S3719" s="10">
        <v>0.026828405138732667</v>
      </c>
      <c r="T3719" s="10">
        <v>20.415797995471422</v>
      </c>
      <c r="U3719" s="11">
        <v>0.21009073353771837</v>
      </c>
      <c r="V3719" s="11">
        <v>0.13596767622373163</v>
      </c>
      <c r="W3719" s="11">
        <v>0.2031134507875157</v>
      </c>
      <c r="X3719" s="11">
        <v>0.16401117579335955</v>
      </c>
      <c r="Y3719" s="11">
        <v>0.04058774137368687</v>
      </c>
      <c r="Z3719" s="11">
        <v>0.24622922228398783</v>
      </c>
    </row>
    <row r="3720" ht="22.5" customHeight="1">
      <c r="Q3720" s="9" t="s">
        <v>3758</v>
      </c>
      <c r="R3720" s="10">
        <v>0.7521769370357922</v>
      </c>
      <c r="S3720" s="10">
        <v>0.03488451758900772</v>
      </c>
      <c r="T3720" s="10">
        <v>20.415272626851593</v>
      </c>
      <c r="U3720" s="11">
        <v>0.09968953504747333</v>
      </c>
      <c r="V3720" s="11">
        <v>0.23062132912150965</v>
      </c>
      <c r="W3720" s="11">
        <v>0.23076329458338665</v>
      </c>
      <c r="X3720" s="11">
        <v>0.09617609793796425</v>
      </c>
      <c r="Y3720" s="11">
        <v>0.16584443084338657</v>
      </c>
      <c r="Z3720" s="11">
        <v>0.17690531246627952</v>
      </c>
    </row>
    <row r="3721" ht="22.5" customHeight="1">
      <c r="Q3721" s="9" t="s">
        <v>3759</v>
      </c>
      <c r="R3721" s="10">
        <v>0.7367726640603999</v>
      </c>
      <c r="S3721" s="10">
        <v>0.034130172093102734</v>
      </c>
      <c r="T3721" s="10">
        <v>20.41515238070565</v>
      </c>
      <c r="U3721" s="11">
        <v>0.09069662145579371</v>
      </c>
      <c r="V3721" s="11">
        <v>0.1781534711546271</v>
      </c>
      <c r="W3721" s="11">
        <v>0.25820978985844223</v>
      </c>
      <c r="X3721" s="11">
        <v>0.23907946876804276</v>
      </c>
      <c r="Y3721" s="11">
        <v>0.13399771842128147</v>
      </c>
      <c r="Z3721" s="11">
        <v>0.09986293034181266</v>
      </c>
    </row>
    <row r="3722" ht="22.5" customHeight="1">
      <c r="Q3722" s="9" t="s">
        <v>3760</v>
      </c>
      <c r="R3722" s="10">
        <v>0.5538072684840035</v>
      </c>
      <c r="S3722" s="10">
        <v>0.025168315052571177</v>
      </c>
      <c r="T3722" s="10">
        <v>20.414845706229084</v>
      </c>
      <c r="U3722" s="11">
        <v>0.27390174261171196</v>
      </c>
      <c r="V3722" s="11">
        <v>0.20677744764945555</v>
      </c>
      <c r="W3722" s="11">
        <v>0.10301728482082916</v>
      </c>
      <c r="X3722" s="11">
        <v>0.07130518672924673</v>
      </c>
      <c r="Y3722" s="11">
        <v>0.17331692033784132</v>
      </c>
      <c r="Z3722" s="11">
        <v>0.1716814178509153</v>
      </c>
    </row>
    <row r="3723" ht="22.5" customHeight="1">
      <c r="Q3723" s="9" t="s">
        <v>3761</v>
      </c>
      <c r="R3723" s="10">
        <v>0.7405105418330065</v>
      </c>
      <c r="S3723" s="10">
        <v>0.03431413924291814</v>
      </c>
      <c r="T3723" s="10">
        <v>20.414632489363115</v>
      </c>
      <c r="U3723" s="11">
        <v>0.26373632242468004</v>
      </c>
      <c r="V3723" s="11">
        <v>0.20140061640316728</v>
      </c>
      <c r="W3723" s="11">
        <v>0.2429052952651709</v>
      </c>
      <c r="X3723" s="11">
        <v>0.10176283548180631</v>
      </c>
      <c r="Y3723" s="11">
        <v>0.16961486290387215</v>
      </c>
      <c r="Z3723" s="11">
        <v>0.02058006752130336</v>
      </c>
    </row>
    <row r="3724" ht="22.5" customHeight="1">
      <c r="Q3724" s="9" t="s">
        <v>3762</v>
      </c>
      <c r="R3724" s="10">
        <v>0.6294442079818793</v>
      </c>
      <c r="S3724" s="10">
        <v>0.028873764871760722</v>
      </c>
      <c r="T3724" s="10">
        <v>20.414525455887837</v>
      </c>
      <c r="U3724" s="11">
        <v>0.059449660935027474</v>
      </c>
      <c r="V3724" s="11">
        <v>0.14313015230491669</v>
      </c>
      <c r="W3724" s="11">
        <v>0.2197866178423142</v>
      </c>
      <c r="X3724" s="11">
        <v>0.1910646096078857</v>
      </c>
      <c r="Y3724" s="11">
        <v>0.19223768371162708</v>
      </c>
      <c r="Z3724" s="11">
        <v>0.1943312755982287</v>
      </c>
    </row>
    <row r="3725" ht="22.5" customHeight="1">
      <c r="Q3725" s="9" t="s">
        <v>3763</v>
      </c>
      <c r="R3725" s="10">
        <v>0.7065590060667436</v>
      </c>
      <c r="S3725" s="10">
        <v>0.03265194129820554</v>
      </c>
      <c r="T3725" s="10">
        <v>20.41406971729965</v>
      </c>
      <c r="U3725" s="11">
        <v>0.19288872002057197</v>
      </c>
      <c r="V3725" s="11">
        <v>0.22633435050928488</v>
      </c>
      <c r="W3725" s="11">
        <v>0.2051812116988661</v>
      </c>
      <c r="X3725" s="11">
        <v>0.05568373993528204</v>
      </c>
      <c r="Y3725" s="11">
        <v>0.12262850397313392</v>
      </c>
      <c r="Z3725" s="11">
        <v>0.19728347386286113</v>
      </c>
    </row>
    <row r="3726" ht="22.5" customHeight="1">
      <c r="Q3726" s="9" t="s">
        <v>3764</v>
      </c>
      <c r="R3726" s="10">
        <v>0.7577196087422006</v>
      </c>
      <c r="S3726" s="10">
        <v>0.03515912919298647</v>
      </c>
      <c r="T3726" s="10">
        <v>20.41346373519885</v>
      </c>
      <c r="U3726" s="11">
        <v>0.15659267267304</v>
      </c>
      <c r="V3726" s="11">
        <v>0.23467425032491696</v>
      </c>
      <c r="W3726" s="11">
        <v>0.23288036214963967</v>
      </c>
      <c r="X3726" s="11">
        <v>0.12767617913739188</v>
      </c>
      <c r="Y3726" s="11">
        <v>0.034819900123949914</v>
      </c>
      <c r="Z3726" s="11">
        <v>0.21335663559106152</v>
      </c>
    </row>
    <row r="3727" ht="22.5" customHeight="1">
      <c r="Q3727" s="9" t="s">
        <v>3765</v>
      </c>
      <c r="R3727" s="10">
        <v>0.716002327851779</v>
      </c>
      <c r="S3727" s="10">
        <v>0.033116340690845146</v>
      </c>
      <c r="T3727" s="10">
        <v>20.412953658211897</v>
      </c>
      <c r="U3727" s="11">
        <v>0.2558220305710728</v>
      </c>
      <c r="V3727" s="11">
        <v>0.25652067452905275</v>
      </c>
      <c r="W3727" s="11">
        <v>0.17781496276547684</v>
      </c>
      <c r="X3727" s="11">
        <v>0.08971982846734082</v>
      </c>
      <c r="Y3727" s="11">
        <v>0.04975501861169072</v>
      </c>
      <c r="Z3727" s="11">
        <v>0.17036748505536606</v>
      </c>
    </row>
    <row r="3728" ht="22.5" customHeight="1">
      <c r="Q3728" s="9" t="s">
        <v>3766</v>
      </c>
      <c r="R3728" s="10">
        <v>0.6062843669910538</v>
      </c>
      <c r="S3728" s="10">
        <v>0.027741588567704735</v>
      </c>
      <c r="T3728" s="10">
        <v>20.41283128430113</v>
      </c>
      <c r="U3728" s="11">
        <v>0.19042636529951887</v>
      </c>
      <c r="V3728" s="11">
        <v>0.14321062612281996</v>
      </c>
      <c r="W3728" s="11">
        <v>0.20688966991273441</v>
      </c>
      <c r="X3728" s="11">
        <v>0.11783570547892405</v>
      </c>
      <c r="Y3728" s="11">
        <v>0.1707690156890973</v>
      </c>
      <c r="Z3728" s="11">
        <v>0.17086861749690524</v>
      </c>
    </row>
    <row r="3729" ht="22.5" customHeight="1">
      <c r="Q3729" s="9" t="s">
        <v>3767</v>
      </c>
      <c r="R3729" s="10">
        <v>0.764364570879935</v>
      </c>
      <c r="S3729" s="10">
        <v>0.03548637169604057</v>
      </c>
      <c r="T3729" s="10">
        <v>20.41247206348675</v>
      </c>
      <c r="U3729" s="11">
        <v>0.07511382181594087</v>
      </c>
      <c r="V3729" s="11">
        <v>0.24309927805749146</v>
      </c>
      <c r="W3729" s="11">
        <v>0.2283048215610329</v>
      </c>
      <c r="X3729" s="11">
        <v>0.10495933277412522</v>
      </c>
      <c r="Y3729" s="11">
        <v>0.14532295073894777</v>
      </c>
      <c r="Z3729" s="11">
        <v>0.20319979505246186</v>
      </c>
    </row>
    <row r="3730" ht="22.5" customHeight="1">
      <c r="Q3730" s="9" t="s">
        <v>3768</v>
      </c>
      <c r="R3730" s="10">
        <v>0.5307453362799038</v>
      </c>
      <c r="S3730" s="10">
        <v>0.024041892089490043</v>
      </c>
      <c r="T3730" s="10">
        <v>20.4120929606216</v>
      </c>
      <c r="U3730" s="11">
        <v>0.21482020427640797</v>
      </c>
      <c r="V3730" s="11">
        <v>0.09654494206020661</v>
      </c>
      <c r="W3730" s="11">
        <v>0.18897700379588117</v>
      </c>
      <c r="X3730" s="11">
        <v>0.20571694227657503</v>
      </c>
      <c r="Y3730" s="11">
        <v>0.14609690575204057</v>
      </c>
      <c r="Z3730" s="11">
        <v>0.14784400183888874</v>
      </c>
    </row>
    <row r="3731" ht="22.5" customHeight="1">
      <c r="Q3731" s="9" t="s">
        <v>3769</v>
      </c>
      <c r="R3731" s="10">
        <v>0.6260130043938689</v>
      </c>
      <c r="S3731" s="10">
        <v>0.028709643626979916</v>
      </c>
      <c r="T3731" s="10">
        <v>20.411712942447064</v>
      </c>
      <c r="U3731" s="11">
        <v>0.04179891181425378</v>
      </c>
      <c r="V3731" s="11">
        <v>0.1452434755227773</v>
      </c>
      <c r="W3731" s="11">
        <v>0.21577662300690775</v>
      </c>
      <c r="X3731" s="11">
        <v>0.17009179759525142</v>
      </c>
      <c r="Y3731" s="11">
        <v>0.23359303129089382</v>
      </c>
      <c r="Z3731" s="11">
        <v>0.19349616076991594</v>
      </c>
    </row>
    <row r="3732" ht="22.5" customHeight="1">
      <c r="Q3732" s="9" t="s">
        <v>3770</v>
      </c>
      <c r="R3732" s="10">
        <v>0.5315654992170644</v>
      </c>
      <c r="S3732" s="10">
        <v>0.02408266703468114</v>
      </c>
      <c r="T3732" s="10">
        <v>20.411588903719313</v>
      </c>
      <c r="U3732" s="11">
        <v>0.1800756747727324</v>
      </c>
      <c r="V3732" s="11">
        <v>0.08325849205895472</v>
      </c>
      <c r="W3732" s="11">
        <v>0.19192137360274206</v>
      </c>
      <c r="X3732" s="11">
        <v>0.2908331380084711</v>
      </c>
      <c r="Y3732" s="11">
        <v>0.17499288949581462</v>
      </c>
      <c r="Z3732" s="11">
        <v>0.07891843206128521</v>
      </c>
    </row>
    <row r="3733" ht="22.5" customHeight="1">
      <c r="Q3733" s="9" t="s">
        <v>3771</v>
      </c>
      <c r="R3733" s="10">
        <v>0.5702309630595649</v>
      </c>
      <c r="S3733" s="10">
        <v>0.025978266506600813</v>
      </c>
      <c r="T3733" s="10">
        <v>20.41055983950425</v>
      </c>
      <c r="U3733" s="11">
        <v>0.3334568930997545</v>
      </c>
      <c r="V3733" s="11">
        <v>0.2026036825792112</v>
      </c>
      <c r="W3733" s="11">
        <v>0.12811827600322875</v>
      </c>
      <c r="X3733" s="11">
        <v>0.04618806859173482</v>
      </c>
      <c r="Y3733" s="11">
        <v>0.05716674264880716</v>
      </c>
      <c r="Z3733" s="11">
        <v>0.2324663370772636</v>
      </c>
    </row>
    <row r="3734" ht="22.5" customHeight="1">
      <c r="Q3734" s="9" t="s">
        <v>3772</v>
      </c>
      <c r="R3734" s="10">
        <v>0.7904994388324929</v>
      </c>
      <c r="S3734" s="10">
        <v>0.036770551577557736</v>
      </c>
      <c r="T3734" s="10">
        <v>20.410339432888655</v>
      </c>
      <c r="U3734" s="11">
        <v>0.19243956245068738</v>
      </c>
      <c r="V3734" s="11">
        <v>0.2099946825980287</v>
      </c>
      <c r="W3734" s="11">
        <v>0.2694421158779541</v>
      </c>
      <c r="X3734" s="11">
        <v>0.23182632966512257</v>
      </c>
      <c r="Y3734" s="11">
        <v>0.0022042251336838086</v>
      </c>
      <c r="Z3734" s="11">
        <v>0.0940930842745235</v>
      </c>
    </row>
    <row r="3735" ht="22.5" customHeight="1">
      <c r="Q3735" s="9" t="s">
        <v>3773</v>
      </c>
      <c r="R3735" s="10">
        <v>0.8057326636306983</v>
      </c>
      <c r="S3735" s="10">
        <v>0.03751694590188851</v>
      </c>
      <c r="T3735" s="10">
        <v>20.410314465180203</v>
      </c>
      <c r="U3735" s="11">
        <v>0.06559033913787128</v>
      </c>
      <c r="V3735" s="11">
        <v>0.23927555369711168</v>
      </c>
      <c r="W3735" s="11">
        <v>0.2535367868208578</v>
      </c>
      <c r="X3735" s="11">
        <v>0.12524957727758954</v>
      </c>
      <c r="Y3735" s="11">
        <v>0.24162759466531825</v>
      </c>
      <c r="Z3735" s="11">
        <v>0.07472014840125145</v>
      </c>
    </row>
    <row r="3736" ht="22.5" customHeight="1">
      <c r="Q3736" s="9" t="s">
        <v>3774</v>
      </c>
      <c r="R3736" s="10">
        <v>0.6332766215883775</v>
      </c>
      <c r="S3736" s="10">
        <v>0.029068337960888473</v>
      </c>
      <c r="T3736" s="10">
        <v>20.409719413150928</v>
      </c>
      <c r="U3736" s="11">
        <v>0.18311469717582965</v>
      </c>
      <c r="V3736" s="11">
        <v>0.23776921956734481</v>
      </c>
      <c r="W3736" s="11">
        <v>0.13738712050428076</v>
      </c>
      <c r="X3736" s="11">
        <v>0.1330294728472549</v>
      </c>
      <c r="Y3736" s="11">
        <v>0.013581447381739884</v>
      </c>
      <c r="Z3736" s="11">
        <v>0.29511804252355</v>
      </c>
    </row>
    <row r="3737" ht="22.5" customHeight="1">
      <c r="Q3737" s="9" t="s">
        <v>3775</v>
      </c>
      <c r="R3737" s="10">
        <v>0.3434439634819939</v>
      </c>
      <c r="S3737" s="10">
        <v>0.014868509991295676</v>
      </c>
      <c r="T3737" s="10">
        <v>20.4084984749404</v>
      </c>
      <c r="U3737" s="11">
        <v>0.20579440309113076</v>
      </c>
      <c r="V3737" s="11">
        <v>0.12001544569659409</v>
      </c>
      <c r="W3737" s="11">
        <v>0.03157633889902531</v>
      </c>
      <c r="X3737" s="11">
        <v>0.23333685074186028</v>
      </c>
      <c r="Y3737" s="11">
        <v>0.031777713175703076</v>
      </c>
      <c r="Z3737" s="11">
        <v>0.3774992483956866</v>
      </c>
    </row>
    <row r="3738" ht="22.5" customHeight="1">
      <c r="Q3738" s="9" t="s">
        <v>3776</v>
      </c>
      <c r="R3738" s="10">
        <v>0.766254311838507</v>
      </c>
      <c r="S3738" s="10">
        <v>0.03558620327626735</v>
      </c>
      <c r="T3738" s="10">
        <v>20.408311226695268</v>
      </c>
      <c r="U3738" s="11">
        <v>0.21030386459981706</v>
      </c>
      <c r="V3738" s="11">
        <v>0.1868644333154211</v>
      </c>
      <c r="W3738" s="11">
        <v>0.2693219470741717</v>
      </c>
      <c r="X3738" s="11">
        <v>0.266686899195165</v>
      </c>
      <c r="Y3738" s="11">
        <v>0.014680225024487466</v>
      </c>
      <c r="Z3738" s="11">
        <v>0.052142630790937894</v>
      </c>
    </row>
    <row r="3739" ht="22.5" customHeight="1">
      <c r="Q3739" s="9" t="s">
        <v>3777</v>
      </c>
      <c r="R3739" s="10">
        <v>0.7343498828847559</v>
      </c>
      <c r="S3739" s="10">
        <v>0.03402315027199582</v>
      </c>
      <c r="T3739" s="10">
        <v>20.40815965993219</v>
      </c>
      <c r="U3739" s="11">
        <v>0.05275965675496583</v>
      </c>
      <c r="V3739" s="11">
        <v>0.21768380684066813</v>
      </c>
      <c r="W3739" s="11">
        <v>0.23158578151778986</v>
      </c>
      <c r="X3739" s="11">
        <v>0.11626285034283107</v>
      </c>
      <c r="Y3739" s="11">
        <v>0.15894350027181958</v>
      </c>
      <c r="Z3739" s="11">
        <v>0.22276440427192556</v>
      </c>
    </row>
    <row r="3740" ht="22.5" customHeight="1">
      <c r="Q3740" s="9" t="s">
        <v>3778</v>
      </c>
      <c r="R3740" s="10">
        <v>0.5022772416303108</v>
      </c>
      <c r="S3740" s="10">
        <v>0.02265202872203423</v>
      </c>
      <c r="T3740" s="10">
        <v>20.40776335325063</v>
      </c>
      <c r="U3740" s="11">
        <v>0.22994867005187541</v>
      </c>
      <c r="V3740" s="11">
        <v>0.19459194639598323</v>
      </c>
      <c r="W3740" s="11">
        <v>0.06363112281504102</v>
      </c>
      <c r="X3740" s="11">
        <v>0.18382256972193486</v>
      </c>
      <c r="Y3740" s="11">
        <v>0.19484422631436044</v>
      </c>
      <c r="Z3740" s="11">
        <v>0.1331614647008051</v>
      </c>
    </row>
    <row r="3741" ht="22.5" customHeight="1">
      <c r="Q3741" s="9" t="s">
        <v>3779</v>
      </c>
      <c r="R3741" s="10">
        <v>0.633409990170714</v>
      </c>
      <c r="S3741" s="10">
        <v>0.029078421948568866</v>
      </c>
      <c r="T3741" s="10">
        <v>20.407228123323915</v>
      </c>
      <c r="U3741" s="11">
        <v>0.055512964406894204</v>
      </c>
      <c r="V3741" s="11">
        <v>0.23295885058150112</v>
      </c>
      <c r="W3741" s="11">
        <v>0.1319782326463318</v>
      </c>
      <c r="X3741" s="11">
        <v>0.08835837060076235</v>
      </c>
      <c r="Y3741" s="11">
        <v>0.33404267156381384</v>
      </c>
      <c r="Z3741" s="11">
        <v>0.1571489102006966</v>
      </c>
    </row>
    <row r="3742" ht="22.5" customHeight="1">
      <c r="Q3742" s="9" t="s">
        <v>3780</v>
      </c>
      <c r="R3742" s="10">
        <v>0.5942296402021748</v>
      </c>
      <c r="S3742" s="10">
        <v>0.027158571661202044</v>
      </c>
      <c r="T3742" s="10">
        <v>20.407171890925742</v>
      </c>
      <c r="U3742" s="11">
        <v>0.053476242254432683</v>
      </c>
      <c r="V3742" s="11">
        <v>0.08410237434066938</v>
      </c>
      <c r="W3742" s="11">
        <v>0.21367583560696818</v>
      </c>
      <c r="X3742" s="11">
        <v>0.5828868250120598</v>
      </c>
      <c r="Y3742" s="11">
        <v>0.05677854455661968</v>
      </c>
      <c r="Z3742" s="11">
        <v>0.009080178229250398</v>
      </c>
    </row>
    <row r="3743" ht="22.5" customHeight="1">
      <c r="Q3743" s="9" t="s">
        <v>3781</v>
      </c>
      <c r="R3743" s="10">
        <v>0.5149639375282077</v>
      </c>
      <c r="S3743" s="10">
        <v>0.02327437051177326</v>
      </c>
      <c r="T3743" s="10">
        <v>20.40716578297784</v>
      </c>
      <c r="U3743" s="11">
        <v>0.1140906741685032</v>
      </c>
      <c r="V3743" s="11">
        <v>0.10828129877009778</v>
      </c>
      <c r="W3743" s="11">
        <v>0.1744105683869378</v>
      </c>
      <c r="X3743" s="11">
        <v>0.12214690374065985</v>
      </c>
      <c r="Y3743" s="11">
        <v>0.2454165008601398</v>
      </c>
      <c r="Z3743" s="11">
        <v>0.23565405407366166</v>
      </c>
    </row>
    <row r="3744" ht="22.5" customHeight="1">
      <c r="Q3744" s="9" t="s">
        <v>3782</v>
      </c>
      <c r="R3744" s="10">
        <v>0.42960361663360525</v>
      </c>
      <c r="S3744" s="10">
        <v>0.01909186451758342</v>
      </c>
      <c r="T3744" s="10">
        <v>20.40678720901168</v>
      </c>
      <c r="U3744" s="11">
        <v>0.27617717491957905</v>
      </c>
      <c r="V3744" s="11">
        <v>0.1615115762204148</v>
      </c>
      <c r="W3744" s="11">
        <v>0.04074062727168469</v>
      </c>
      <c r="X3744" s="11">
        <v>0.21568737246364855</v>
      </c>
      <c r="Y3744" s="11">
        <v>0.1582852496296934</v>
      </c>
      <c r="Z3744" s="11">
        <v>0.14759799949497945</v>
      </c>
    </row>
    <row r="3745" ht="22.5" customHeight="1">
      <c r="Q3745" s="9" t="s">
        <v>3783</v>
      </c>
      <c r="R3745" s="10">
        <v>0.5719988386022231</v>
      </c>
      <c r="S3745" s="10">
        <v>0.026070322181884695</v>
      </c>
      <c r="T3745" s="10">
        <v>20.40630088460853</v>
      </c>
      <c r="U3745" s="11">
        <v>0.09784148511705555</v>
      </c>
      <c r="V3745" s="11">
        <v>0.1080049329077938</v>
      </c>
      <c r="W3745" s="11">
        <v>0.20322031333319138</v>
      </c>
      <c r="X3745" s="11">
        <v>0.228863559816849</v>
      </c>
      <c r="Y3745" s="11">
        <v>0.24676749247610377</v>
      </c>
      <c r="Z3745" s="11">
        <v>0.11530221634900654</v>
      </c>
    </row>
    <row r="3746" ht="22.5" customHeight="1">
      <c r="Q3746" s="9" t="s">
        <v>3784</v>
      </c>
      <c r="R3746" s="10">
        <v>0.522331348251574</v>
      </c>
      <c r="S3746" s="10">
        <v>0.042590042521166924</v>
      </c>
      <c r="T3746" s="10">
        <v>20.406059770530362</v>
      </c>
      <c r="U3746" s="11">
        <v>0.1199078329262647</v>
      </c>
      <c r="V3746" s="11">
        <v>0.29314190665071743</v>
      </c>
      <c r="W3746" s="11">
        <v>0.2729024287937235</v>
      </c>
      <c r="X3746" s="11">
        <v>0.16166445259282014</v>
      </c>
      <c r="Y3746" s="11">
        <v>0.13769708480830029</v>
      </c>
      <c r="Z3746" s="11">
        <v>0.01468629422817392</v>
      </c>
    </row>
    <row r="3747" ht="22.5" customHeight="1">
      <c r="Q3747" s="9" t="s">
        <v>3785</v>
      </c>
      <c r="R3747" s="10">
        <v>0.5873317080857917</v>
      </c>
      <c r="S3747" s="10">
        <v>0.026822131945246287</v>
      </c>
      <c r="T3747" s="10">
        <v>20.405973291127435</v>
      </c>
      <c r="U3747" s="11">
        <v>0.13612431997413235</v>
      </c>
      <c r="V3747" s="11">
        <v>0.1775370122696487</v>
      </c>
      <c r="W3747" s="11">
        <v>0.1672859703289231</v>
      </c>
      <c r="X3747" s="11">
        <v>0.007377951698455497</v>
      </c>
      <c r="Y3747" s="11">
        <v>0.27092145292366837</v>
      </c>
      <c r="Z3747" s="11">
        <v>0.24075329280517205</v>
      </c>
    </row>
    <row r="3748" ht="22.5" customHeight="1">
      <c r="Q3748" s="9" t="s">
        <v>3786</v>
      </c>
      <c r="R3748" s="10">
        <v>0.6755666402871698</v>
      </c>
      <c r="S3748" s="10">
        <v>0.03114611504648277</v>
      </c>
      <c r="T3748" s="10">
        <v>20.40596842780051</v>
      </c>
      <c r="U3748" s="11">
        <v>0.24182061829156457</v>
      </c>
      <c r="V3748" s="11">
        <v>0.22899905979278518</v>
      </c>
      <c r="W3748" s="11">
        <v>0.18150564499475697</v>
      </c>
      <c r="X3748" s="11">
        <v>0.056123134031077854</v>
      </c>
      <c r="Y3748" s="11">
        <v>0.058940100842441</v>
      </c>
      <c r="Z3748" s="11">
        <v>0.23261144204737438</v>
      </c>
    </row>
    <row r="3749" ht="22.5" customHeight="1">
      <c r="Q3749" s="9" t="s">
        <v>3787</v>
      </c>
      <c r="R3749" s="10">
        <v>0.8612907921950163</v>
      </c>
      <c r="S3749" s="10">
        <v>0.040247596122149065</v>
      </c>
      <c r="T3749" s="10">
        <v>20.405958897581048</v>
      </c>
      <c r="U3749" s="11">
        <v>0.18965095428700102</v>
      </c>
      <c r="V3749" s="11">
        <v>0.27484310964279574</v>
      </c>
      <c r="W3749" s="11">
        <v>0.25994360306195585</v>
      </c>
      <c r="X3749" s="11">
        <v>0.1339411642773719</v>
      </c>
      <c r="Y3749" s="11">
        <v>0.09505931739969702</v>
      </c>
      <c r="Z3749" s="11">
        <v>0.046561851331178614</v>
      </c>
    </row>
    <row r="3750" ht="22.5" customHeight="1">
      <c r="Q3750" s="9" t="s">
        <v>3788</v>
      </c>
      <c r="R3750" s="10">
        <v>0.6732740163416423</v>
      </c>
      <c r="S3750" s="10">
        <v>0.031034128214504637</v>
      </c>
      <c r="T3750" s="10">
        <v>20.40572920123674</v>
      </c>
      <c r="U3750" s="11">
        <v>0.20729566745088812</v>
      </c>
      <c r="V3750" s="11">
        <v>0.177401595459875</v>
      </c>
      <c r="W3750" s="11">
        <v>0.22604098345836762</v>
      </c>
      <c r="X3750" s="11">
        <v>0.15476123773636175</v>
      </c>
      <c r="Y3750" s="11">
        <v>0.012867418591733607</v>
      </c>
      <c r="Z3750" s="11">
        <v>0.22163309730277395</v>
      </c>
    </row>
    <row r="3751" ht="22.5" customHeight="1">
      <c r="Q3751" s="9" t="s">
        <v>3789</v>
      </c>
      <c r="R3751" s="10">
        <v>0.403409226445437</v>
      </c>
      <c r="S3751" s="10">
        <v>0.01780946135771751</v>
      </c>
      <c r="T3751" s="10">
        <v>20.40540245131884</v>
      </c>
      <c r="U3751" s="11">
        <v>0.1777324486038943</v>
      </c>
      <c r="V3751" s="11">
        <v>0.15073982897784377</v>
      </c>
      <c r="W3751" s="11">
        <v>0.032904131488529685</v>
      </c>
      <c r="X3751" s="11">
        <v>0.3305155989883689</v>
      </c>
      <c r="Y3751" s="11">
        <v>0.0196956686378188</v>
      </c>
      <c r="Z3751" s="11">
        <v>0.2884123233035446</v>
      </c>
    </row>
    <row r="3752" ht="22.5" customHeight="1">
      <c r="Q3752" s="9" t="s">
        <v>3790</v>
      </c>
      <c r="R3752" s="10">
        <v>0.8069581383206339</v>
      </c>
      <c r="S3752" s="10">
        <v>0.03758701192734519</v>
      </c>
      <c r="T3752" s="10">
        <v>20.40487123060343</v>
      </c>
      <c r="U3752" s="11">
        <v>0.053461304209738325</v>
      </c>
      <c r="V3752" s="11">
        <v>0.3052289850667312</v>
      </c>
      <c r="W3752" s="11">
        <v>0.18641279237788158</v>
      </c>
      <c r="X3752" s="11">
        <v>0.22778516335788304</v>
      </c>
      <c r="Y3752" s="11">
        <v>0.04698759340725747</v>
      </c>
      <c r="Z3752" s="11">
        <v>0.18012416158050845</v>
      </c>
    </row>
    <row r="3753" ht="22.5" customHeight="1">
      <c r="Q3753" s="9" t="s">
        <v>3791</v>
      </c>
      <c r="R3753" s="10">
        <v>0.529380929502596</v>
      </c>
      <c r="S3753" s="10">
        <v>0.023983669998603716</v>
      </c>
      <c r="T3753" s="10">
        <v>20.40475579972068</v>
      </c>
      <c r="U3753" s="11">
        <v>0.09339086374019073</v>
      </c>
      <c r="V3753" s="11">
        <v>0.18965957109379514</v>
      </c>
      <c r="W3753" s="11">
        <v>0.11454956045367955</v>
      </c>
      <c r="X3753" s="11">
        <v>0.04459427246209069</v>
      </c>
      <c r="Y3753" s="11">
        <v>0.19829972398003604</v>
      </c>
      <c r="Z3753" s="11">
        <v>0.35950600827020784</v>
      </c>
    </row>
    <row r="3754" ht="22.5" customHeight="1">
      <c r="Q3754" s="9" t="s">
        <v>3792</v>
      </c>
      <c r="R3754" s="10">
        <v>0.7448613766835199</v>
      </c>
      <c r="S3754" s="10">
        <v>0.03454547551901252</v>
      </c>
      <c r="T3754" s="10">
        <v>20.40386956884096</v>
      </c>
      <c r="U3754" s="11">
        <v>0.03753210264709104</v>
      </c>
      <c r="V3754" s="11">
        <v>0.26617412266084584</v>
      </c>
      <c r="W3754" s="11">
        <v>0.1857939101813769</v>
      </c>
      <c r="X3754" s="11">
        <v>0.09605773635413584</v>
      </c>
      <c r="Y3754" s="11">
        <v>0.24311319549468907</v>
      </c>
      <c r="Z3754" s="11">
        <v>0.17132893266186147</v>
      </c>
    </row>
    <row r="3755" ht="22.5" customHeight="1">
      <c r="Q3755" s="9" t="s">
        <v>3793</v>
      </c>
      <c r="R3755" s="10">
        <v>0.6255072573605988</v>
      </c>
      <c r="S3755" s="10">
        <v>0.028696086398907035</v>
      </c>
      <c r="T3755" s="10">
        <v>20.40373203583954</v>
      </c>
      <c r="U3755" s="11">
        <v>0.0033902442311535335</v>
      </c>
      <c r="V3755" s="11">
        <v>0.20608383600164992</v>
      </c>
      <c r="W3755" s="11">
        <v>0.15774976535041713</v>
      </c>
      <c r="X3755" s="11">
        <v>0.046799070419730235</v>
      </c>
      <c r="Y3755" s="11">
        <v>0.4024314672846955</v>
      </c>
      <c r="Z3755" s="11">
        <v>0.18354561671235373</v>
      </c>
    </row>
    <row r="3756" ht="22.5" customHeight="1">
      <c r="Q3756" s="9" t="s">
        <v>3794</v>
      </c>
      <c r="R3756" s="10">
        <v>0.73435974488425</v>
      </c>
      <c r="S3756" s="10">
        <v>0.03403126874759402</v>
      </c>
      <c r="T3756" s="10">
        <v>20.403580895976457</v>
      </c>
      <c r="U3756" s="11">
        <v>0.03298250665587628</v>
      </c>
      <c r="V3756" s="11">
        <v>0.28390101119490413</v>
      </c>
      <c r="W3756" s="11">
        <v>0.15460774090217996</v>
      </c>
      <c r="X3756" s="11">
        <v>0.219172317168418</v>
      </c>
      <c r="Y3756" s="11">
        <v>0.08787652042277595</v>
      </c>
      <c r="Z3756" s="11">
        <v>0.2214599036558456</v>
      </c>
    </row>
    <row r="3757" ht="22.5" customHeight="1">
      <c r="Q3757" s="9" t="s">
        <v>3795</v>
      </c>
      <c r="R3757" s="10">
        <v>0.9080097853917302</v>
      </c>
      <c r="S3757" s="10">
        <v>0.04254213101161467</v>
      </c>
      <c r="T3757" s="10">
        <v>20.403533268108966</v>
      </c>
      <c r="U3757" s="11">
        <v>0.02925461698502141</v>
      </c>
      <c r="V3757" s="11">
        <v>0.3249399470931351</v>
      </c>
      <c r="W3757" s="11">
        <v>0.23951597777611602</v>
      </c>
      <c r="X3757" s="11">
        <v>0.21401003981075337</v>
      </c>
      <c r="Y3757" s="11">
        <v>0.09862213222068691</v>
      </c>
      <c r="Z3757" s="11">
        <v>0.09365728611428711</v>
      </c>
    </row>
    <row r="3758" ht="22.5" customHeight="1">
      <c r="Q3758" s="9" t="s">
        <v>3796</v>
      </c>
      <c r="R3758" s="10">
        <v>0.7723897601284543</v>
      </c>
      <c r="S3758" s="10">
        <v>0.03589671585560929</v>
      </c>
      <c r="T3758" s="10">
        <v>20.402695418556227</v>
      </c>
      <c r="U3758" s="11">
        <v>0.28624820653942845</v>
      </c>
      <c r="V3758" s="11">
        <v>0.2615995124109336</v>
      </c>
      <c r="W3758" s="11">
        <v>0.21208096880192412</v>
      </c>
      <c r="X3758" s="11">
        <v>0.07100950355291583</v>
      </c>
      <c r="Y3758" s="11">
        <v>0.08766192423108932</v>
      </c>
      <c r="Z3758" s="11">
        <v>0.08139988446370852</v>
      </c>
    </row>
    <row r="3759" ht="22.5" customHeight="1">
      <c r="Q3759" s="9" t="s">
        <v>3797</v>
      </c>
      <c r="R3759" s="10">
        <v>0.8099916328269656</v>
      </c>
      <c r="S3759" s="10">
        <v>0.03773991151185777</v>
      </c>
      <c r="T3759" s="10">
        <v>20.402581828657347</v>
      </c>
      <c r="U3759" s="11">
        <v>0.20482203099114865</v>
      </c>
      <c r="V3759" s="11">
        <v>0.2698706986938244</v>
      </c>
      <c r="W3759" s="11">
        <v>0.22861816275205998</v>
      </c>
      <c r="X3759" s="11">
        <v>0.07699591032449085</v>
      </c>
      <c r="Y3759" s="11">
        <v>0.17093167038071014</v>
      </c>
      <c r="Z3759" s="11">
        <v>0.04876152685776597</v>
      </c>
    </row>
    <row r="3760" ht="22.5" customHeight="1">
      <c r="Q3760" s="9" t="s">
        <v>3798</v>
      </c>
      <c r="R3760" s="10">
        <v>0.720064418503937</v>
      </c>
      <c r="S3760" s="10">
        <v>0.033334298951642534</v>
      </c>
      <c r="T3760" s="10">
        <v>20.401341557849893</v>
      </c>
      <c r="U3760" s="11">
        <v>0.17856615088555172</v>
      </c>
      <c r="V3760" s="11">
        <v>0.18553214814277633</v>
      </c>
      <c r="W3760" s="11">
        <v>0.24568527137793988</v>
      </c>
      <c r="X3760" s="11">
        <v>0.16093563644481212</v>
      </c>
      <c r="Y3760" s="11">
        <v>0.1086753433221764</v>
      </c>
      <c r="Z3760" s="11">
        <v>0.12060544982674361</v>
      </c>
    </row>
    <row r="3761" ht="22.5" customHeight="1">
      <c r="Q3761" s="9" t="s">
        <v>3799</v>
      </c>
      <c r="R3761" s="10">
        <v>0.567506984181399</v>
      </c>
      <c r="S3761" s="10">
        <v>0.025856720725168727</v>
      </c>
      <c r="T3761" s="10">
        <v>20.40115565265505</v>
      </c>
      <c r="U3761" s="11">
        <v>0.13043279998428736</v>
      </c>
      <c r="V3761" s="11">
        <v>0.11653777829631269</v>
      </c>
      <c r="W3761" s="11">
        <v>0.2023314348773481</v>
      </c>
      <c r="X3761" s="11">
        <v>0.23897776364135426</v>
      </c>
      <c r="Y3761" s="11">
        <v>0.04873858473033291</v>
      </c>
      <c r="Z3761" s="11">
        <v>0.26298163847036465</v>
      </c>
    </row>
    <row r="3762" ht="22.5" customHeight="1">
      <c r="Q3762" s="9" t="s">
        <v>3800</v>
      </c>
      <c r="R3762" s="10">
        <v>0.6957871794044774</v>
      </c>
      <c r="S3762" s="10">
        <v>0.03214462417304425</v>
      </c>
      <c r="T3762" s="10">
        <v>20.40114626552099</v>
      </c>
      <c r="U3762" s="11">
        <v>0.09671235708160973</v>
      </c>
      <c r="V3762" s="11">
        <v>0.21129531544301763</v>
      </c>
      <c r="W3762" s="11">
        <v>0.21003629592041845</v>
      </c>
      <c r="X3762" s="11">
        <v>0.055482521747029445</v>
      </c>
      <c r="Y3762" s="11">
        <v>0.23533884817818146</v>
      </c>
      <c r="Z3762" s="11">
        <v>0.19113466162974327</v>
      </c>
    </row>
    <row r="3763" ht="22.5" customHeight="1">
      <c r="Q3763" s="9" t="s">
        <v>3801</v>
      </c>
      <c r="R3763" s="10">
        <v>0.5798836212327974</v>
      </c>
      <c r="S3763" s="10">
        <v>0.026463565558029735</v>
      </c>
      <c r="T3763" s="10">
        <v>20.401015881587526</v>
      </c>
      <c r="U3763" s="11">
        <v>0.18635511454573994</v>
      </c>
      <c r="V3763" s="11">
        <v>0.12075124758506262</v>
      </c>
      <c r="W3763" s="11">
        <v>0.2011660518217586</v>
      </c>
      <c r="X3763" s="11">
        <v>0.1490414167721115</v>
      </c>
      <c r="Y3763" s="11">
        <v>0.25143382296499367</v>
      </c>
      <c r="Z3763" s="11">
        <v>0.09125234631033373</v>
      </c>
    </row>
    <row r="3764" ht="22.5" customHeight="1">
      <c r="Q3764" s="9" t="s">
        <v>3802</v>
      </c>
      <c r="R3764" s="10">
        <v>0.7480797724842083</v>
      </c>
      <c r="S3764" s="10">
        <v>0.03470892097054844</v>
      </c>
      <c r="T3764" s="10">
        <v>20.400512395214914</v>
      </c>
      <c r="U3764" s="11">
        <v>0.16436876330130532</v>
      </c>
      <c r="V3764" s="11">
        <v>0.18391925142675797</v>
      </c>
      <c r="W3764" s="11">
        <v>0.26078167211795433</v>
      </c>
      <c r="X3764" s="11">
        <v>0.20744927433154445</v>
      </c>
      <c r="Y3764" s="11">
        <v>0.13300315204045773</v>
      </c>
      <c r="Z3764" s="11">
        <v>0.050477886781980175</v>
      </c>
    </row>
    <row r="3765" ht="22.5" customHeight="1">
      <c r="Q3765" s="9" t="s">
        <v>3803</v>
      </c>
      <c r="R3765" s="10">
        <v>0.4529041949537692</v>
      </c>
      <c r="S3765" s="10">
        <v>0.0202399387586915</v>
      </c>
      <c r="T3765" s="10">
        <v>20.4004666158616</v>
      </c>
      <c r="U3765" s="11">
        <v>0.1692399911888851</v>
      </c>
      <c r="V3765" s="11">
        <v>0.11934544587152641</v>
      </c>
      <c r="W3765" s="11">
        <v>0.12745726076022568</v>
      </c>
      <c r="X3765" s="11">
        <v>0.005882192226543206</v>
      </c>
      <c r="Y3765" s="11">
        <v>0.27523027695282615</v>
      </c>
      <c r="Z3765" s="11">
        <v>0.30284483299999354</v>
      </c>
    </row>
    <row r="3766" ht="22.5" customHeight="1">
      <c r="Q3766" s="9" t="s">
        <v>3804</v>
      </c>
      <c r="R3766" s="10">
        <v>0.40666668884011054</v>
      </c>
      <c r="S3766" s="10">
        <v>0.01797351201794778</v>
      </c>
      <c r="T3766" s="10">
        <v>20.40039189191121</v>
      </c>
      <c r="U3766" s="11">
        <v>0.16436805967877047</v>
      </c>
      <c r="V3766" s="11">
        <v>0.09047141653808734</v>
      </c>
      <c r="W3766" s="11">
        <v>0.12192465440702159</v>
      </c>
      <c r="X3766" s="11">
        <v>0.04834434894717887</v>
      </c>
      <c r="Y3766" s="11">
        <v>0.22577174564575989</v>
      </c>
      <c r="Z3766" s="11">
        <v>0.3491197747831818</v>
      </c>
    </row>
    <row r="3767" ht="22.5" customHeight="1">
      <c r="Q3767" s="9" t="s">
        <v>3805</v>
      </c>
      <c r="R3767" s="10">
        <v>0.47066903448180253</v>
      </c>
      <c r="S3767" s="10">
        <v>0.02111092185643273</v>
      </c>
      <c r="T3767" s="10">
        <v>20.400295042093244</v>
      </c>
      <c r="U3767" s="11">
        <v>0.027457445507086294</v>
      </c>
      <c r="V3767" s="11">
        <v>0.15939597318446677</v>
      </c>
      <c r="W3767" s="11">
        <v>0.09421622621728504</v>
      </c>
      <c r="X3767" s="11">
        <v>0.050425993632436515</v>
      </c>
      <c r="Y3767" s="11">
        <v>0.3576509082294294</v>
      </c>
      <c r="Z3767" s="11">
        <v>0.310853453229296</v>
      </c>
    </row>
    <row r="3768" ht="22.5" customHeight="1">
      <c r="Q3768" s="9" t="s">
        <v>3806</v>
      </c>
      <c r="R3768" s="10">
        <v>0.30899080614915064</v>
      </c>
      <c r="S3768" s="10">
        <v>0.013186048806990175</v>
      </c>
      <c r="T3768" s="10">
        <v>20.39965194172143</v>
      </c>
      <c r="U3768" s="11">
        <v>0.38579751452490035</v>
      </c>
      <c r="V3768" s="11">
        <v>0.07998525279597735</v>
      </c>
      <c r="W3768" s="11">
        <v>0.03986406960403745</v>
      </c>
      <c r="X3768" s="11">
        <v>0.1189324368574083</v>
      </c>
      <c r="Y3768" s="11">
        <v>0.22121034783799226</v>
      </c>
      <c r="Z3768" s="11">
        <v>0.15421037837968432</v>
      </c>
    </row>
    <row r="3769" ht="22.5" customHeight="1">
      <c r="Q3769" s="9" t="s">
        <v>3807</v>
      </c>
      <c r="R3769" s="10">
        <v>0.7909237642411028</v>
      </c>
      <c r="S3769" s="10">
        <v>0.03681099204314273</v>
      </c>
      <c r="T3769" s="10">
        <v>20.399443822677068</v>
      </c>
      <c r="U3769" s="11">
        <v>0.23571157047853766</v>
      </c>
      <c r="V3769" s="11">
        <v>0.2363147545471138</v>
      </c>
      <c r="W3769" s="11">
        <v>0.24720038112560616</v>
      </c>
      <c r="X3769" s="11">
        <v>0.08631344194929533</v>
      </c>
      <c r="Y3769" s="11">
        <v>0.16647947680983202</v>
      </c>
      <c r="Z3769" s="11">
        <v>0.027980375089615095</v>
      </c>
    </row>
    <row r="3770" ht="22.5" customHeight="1">
      <c r="Q3770" s="9" t="s">
        <v>3808</v>
      </c>
      <c r="R3770" s="10">
        <v>0.8210887180789308</v>
      </c>
      <c r="S3770" s="10">
        <v>0.03828971712775535</v>
      </c>
      <c r="T3770" s="10">
        <v>20.39943819571175</v>
      </c>
      <c r="U3770" s="11">
        <v>0.06479551324537437</v>
      </c>
      <c r="V3770" s="11">
        <v>0.2595826413909962</v>
      </c>
      <c r="W3770" s="11">
        <v>0.24880748283486684</v>
      </c>
      <c r="X3770" s="11">
        <v>0.1266943054077131</v>
      </c>
      <c r="Y3770" s="11">
        <v>0.16749411479530088</v>
      </c>
      <c r="Z3770" s="11">
        <v>0.13262594232574867</v>
      </c>
    </row>
    <row r="3771" ht="22.5" customHeight="1">
      <c r="Q3771" s="9" t="s">
        <v>3809</v>
      </c>
      <c r="R3771" s="10">
        <v>0.6046786425867056</v>
      </c>
      <c r="S3771" s="10">
        <v>0.02768133367870601</v>
      </c>
      <c r="T3771" s="10">
        <v>20.39925710014063</v>
      </c>
      <c r="U3771" s="11">
        <v>0.1831577781791488</v>
      </c>
      <c r="V3771" s="11">
        <v>0.23999457351402262</v>
      </c>
      <c r="W3771" s="11">
        <v>0.09912398246003327</v>
      </c>
      <c r="X3771" s="11">
        <v>0.23284765363051566</v>
      </c>
      <c r="Y3771" s="11">
        <v>0.03435099219693832</v>
      </c>
      <c r="Z3771" s="11">
        <v>0.21052502001934145</v>
      </c>
    </row>
    <row r="3772" ht="22.5" customHeight="1">
      <c r="Q3772" s="9" t="s">
        <v>3810</v>
      </c>
      <c r="R3772" s="10">
        <v>0.7384706336257406</v>
      </c>
      <c r="S3772" s="10">
        <v>0.034242308326360354</v>
      </c>
      <c r="T3772" s="10">
        <v>20.397884014380104</v>
      </c>
      <c r="U3772" s="11">
        <v>0.0553414885243866</v>
      </c>
      <c r="V3772" s="11">
        <v>0.25524493905385776</v>
      </c>
      <c r="W3772" s="11">
        <v>0.1958585376165952</v>
      </c>
      <c r="X3772" s="11">
        <v>0.07740851391794494</v>
      </c>
      <c r="Y3772" s="11">
        <v>0.21888791624941875</v>
      </c>
      <c r="Z3772" s="11">
        <v>0.1972586046377968</v>
      </c>
    </row>
    <row r="3773" ht="22.5" customHeight="1">
      <c r="Q3773" s="9" t="s">
        <v>3811</v>
      </c>
      <c r="R3773" s="10">
        <v>0.7994791913985455</v>
      </c>
      <c r="S3773" s="10">
        <v>0.03723446508129754</v>
      </c>
      <c r="T3773" s="10">
        <v>20.39720967496921</v>
      </c>
      <c r="U3773" s="11">
        <v>0.19626112815904284</v>
      </c>
      <c r="V3773" s="11">
        <v>0.2351369003331191</v>
      </c>
      <c r="W3773" s="11">
        <v>0.25437615582322515</v>
      </c>
      <c r="X3773" s="11">
        <v>0.10762960081526086</v>
      </c>
      <c r="Y3773" s="11">
        <v>0.16177364869986652</v>
      </c>
      <c r="Z3773" s="11">
        <v>0.044822566169485635</v>
      </c>
    </row>
    <row r="3774" ht="22.5" customHeight="1">
      <c r="Q3774" s="9" t="s">
        <v>3812</v>
      </c>
      <c r="R3774" s="10">
        <v>0.6776941060026124</v>
      </c>
      <c r="S3774" s="10">
        <v>0.03126414057806944</v>
      </c>
      <c r="T3774" s="10">
        <v>20.396981788456053</v>
      </c>
      <c r="U3774" s="11">
        <v>0.182154815678445</v>
      </c>
      <c r="V3774" s="11">
        <v>0.22023471821321383</v>
      </c>
      <c r="W3774" s="11">
        <v>0.17771491237939926</v>
      </c>
      <c r="X3774" s="11">
        <v>0.01645662259642371</v>
      </c>
      <c r="Y3774" s="11">
        <v>0.3744764949586184</v>
      </c>
      <c r="Z3774" s="11">
        <v>0.028962436173899826</v>
      </c>
    </row>
    <row r="3775" ht="22.5" customHeight="1">
      <c r="Q3775" s="9" t="s">
        <v>3813</v>
      </c>
      <c r="R3775" s="10">
        <v>0.49887077305758093</v>
      </c>
      <c r="S3775" s="10">
        <v>0.022496999279799333</v>
      </c>
      <c r="T3775" s="10">
        <v>20.396976830132786</v>
      </c>
      <c r="U3775" s="11">
        <v>0.2296946298484322</v>
      </c>
      <c r="V3775" s="11">
        <v>0.13286420026723675</v>
      </c>
      <c r="W3775" s="11">
        <v>0.1476203764980853</v>
      </c>
      <c r="X3775" s="11">
        <v>0.0035506766763788227</v>
      </c>
      <c r="Y3775" s="11">
        <v>0.22774768209248447</v>
      </c>
      <c r="Z3775" s="11">
        <v>0.2585224346173825</v>
      </c>
    </row>
    <row r="3776" ht="22.5" customHeight="1">
      <c r="Q3776" s="9" t="s">
        <v>3814</v>
      </c>
      <c r="R3776" s="10">
        <v>0.4165532947613503</v>
      </c>
      <c r="S3776" s="10">
        <v>0.018461298136038067</v>
      </c>
      <c r="T3776" s="10">
        <v>20.396902318926607</v>
      </c>
      <c r="U3776" s="11">
        <v>0.19646051582434257</v>
      </c>
      <c r="V3776" s="11">
        <v>0.15798960369069978</v>
      </c>
      <c r="W3776" s="11">
        <v>0.03906774314330516</v>
      </c>
      <c r="X3776" s="11">
        <v>0.2238313125247066</v>
      </c>
      <c r="Y3776" s="11">
        <v>0.144669143225785</v>
      </c>
      <c r="Z3776" s="11">
        <v>0.2379816815911609</v>
      </c>
    </row>
    <row r="3777" ht="22.5" customHeight="1">
      <c r="Q3777" s="9" t="s">
        <v>3815</v>
      </c>
      <c r="R3777" s="10">
        <v>0.39956572553085085</v>
      </c>
      <c r="S3777" s="10">
        <v>0.017628487212540414</v>
      </c>
      <c r="T3777" s="10">
        <v>20.396856587618355</v>
      </c>
      <c r="U3777" s="11">
        <v>0.09414557837869487</v>
      </c>
      <c r="V3777" s="11">
        <v>0.10696279578939742</v>
      </c>
      <c r="W3777" s="11">
        <v>0.10609654808357312</v>
      </c>
      <c r="X3777" s="11">
        <v>0.02576953852588232</v>
      </c>
      <c r="Y3777" s="11">
        <v>0.22744785599410813</v>
      </c>
      <c r="Z3777" s="11">
        <v>0.4395776832283441</v>
      </c>
    </row>
    <row r="3778" ht="22.5" customHeight="1">
      <c r="Q3778" s="9" t="s">
        <v>3816</v>
      </c>
      <c r="R3778" s="10">
        <v>0.7652100473159756</v>
      </c>
      <c r="S3778" s="10">
        <v>0.03555598855152395</v>
      </c>
      <c r="T3778" s="10">
        <v>20.39628419457607</v>
      </c>
      <c r="U3778" s="11">
        <v>0.2533391833074579</v>
      </c>
      <c r="V3778" s="11">
        <v>0.21142853655798263</v>
      </c>
      <c r="W3778" s="11">
        <v>0.25420414829180754</v>
      </c>
      <c r="X3778" s="11">
        <v>0.16250621483277927</v>
      </c>
      <c r="Y3778" s="11">
        <v>0.01676886803591472</v>
      </c>
      <c r="Z3778" s="11">
        <v>0.10175304897405787</v>
      </c>
    </row>
    <row r="3779" ht="22.5" customHeight="1">
      <c r="Q3779" s="9" t="s">
        <v>3817</v>
      </c>
      <c r="R3779" s="10">
        <v>0.5825491638789064</v>
      </c>
      <c r="S3779" s="10">
        <v>0.026600545916479326</v>
      </c>
      <c r="T3779" s="10">
        <v>20.396166514116214</v>
      </c>
      <c r="U3779" s="11">
        <v>0.08599821867876252</v>
      </c>
      <c r="V3779" s="11">
        <v>0.22763283064963494</v>
      </c>
      <c r="W3779" s="11">
        <v>0.09709466542444532</v>
      </c>
      <c r="X3779" s="11">
        <v>0.1627964574249555</v>
      </c>
      <c r="Y3779" s="11">
        <v>0.21673568810635926</v>
      </c>
      <c r="Z3779" s="11">
        <v>0.20974213971584238</v>
      </c>
    </row>
    <row r="3780" ht="22.5" customHeight="1">
      <c r="Q3780" s="9" t="s">
        <v>3818</v>
      </c>
      <c r="R3780" s="10">
        <v>0.26377183739830284</v>
      </c>
      <c r="S3780" s="10">
        <v>0.01097141445606618</v>
      </c>
      <c r="T3780" s="10">
        <v>20.395896836672474</v>
      </c>
      <c r="U3780" s="11">
        <v>0.10895525405475866</v>
      </c>
      <c r="V3780" s="11">
        <v>0.033088737933901845</v>
      </c>
      <c r="W3780" s="11">
        <v>0.04359736430298518</v>
      </c>
      <c r="X3780" s="11">
        <v>0.27164821380100546</v>
      </c>
      <c r="Y3780" s="11">
        <v>0.3143967039723509</v>
      </c>
      <c r="Z3780" s="11">
        <v>0.22831372593499807</v>
      </c>
    </row>
    <row r="3781" ht="22.5" customHeight="1">
      <c r="Q3781" s="9" t="s">
        <v>3819</v>
      </c>
      <c r="R3781" s="10">
        <v>0.6465250284901104</v>
      </c>
      <c r="S3781" s="10">
        <v>0.02973933119047736</v>
      </c>
      <c r="T3781" s="10">
        <v>20.394709773578292</v>
      </c>
      <c r="U3781" s="11">
        <v>0.13323537727525872</v>
      </c>
      <c r="V3781" s="11">
        <v>0.25885250531889986</v>
      </c>
      <c r="W3781" s="11">
        <v>0.09419488622146965</v>
      </c>
      <c r="X3781" s="11">
        <v>0.28607490479810804</v>
      </c>
      <c r="Y3781" s="11">
        <v>0.1920832424802369</v>
      </c>
      <c r="Z3781" s="11">
        <v>0.03555908390602679</v>
      </c>
    </row>
    <row r="3782" ht="22.5" customHeight="1">
      <c r="Q3782" s="9" t="s">
        <v>3820</v>
      </c>
      <c r="R3782" s="10">
        <v>0.7908095948597982</v>
      </c>
      <c r="S3782" s="10">
        <v>0.03681407056261258</v>
      </c>
      <c r="T3782" s="10">
        <v>20.394636707800007</v>
      </c>
      <c r="U3782" s="11">
        <v>0.01527878805625837</v>
      </c>
      <c r="V3782" s="11">
        <v>0.30849863390928195</v>
      </c>
      <c r="W3782" s="11">
        <v>0.15706914093378913</v>
      </c>
      <c r="X3782" s="11">
        <v>0.2504421454399862</v>
      </c>
      <c r="Y3782" s="11">
        <v>0.22544029177288752</v>
      </c>
      <c r="Z3782" s="11">
        <v>0.04327099988779684</v>
      </c>
    </row>
    <row r="3783" ht="22.5" customHeight="1">
      <c r="Q3783" s="9" t="s">
        <v>3821</v>
      </c>
      <c r="R3783" s="10">
        <v>0.8184968849917059</v>
      </c>
      <c r="S3783" s="10">
        <v>0.03817201348344996</v>
      </c>
      <c r="T3783" s="10">
        <v>20.39444121356697</v>
      </c>
      <c r="U3783" s="11">
        <v>0.2647389094883261</v>
      </c>
      <c r="V3783" s="11">
        <v>0.26200976363863315</v>
      </c>
      <c r="W3783" s="11">
        <v>0.2425435962147579</v>
      </c>
      <c r="X3783" s="11">
        <v>0.08384352569325336</v>
      </c>
      <c r="Y3783" s="11">
        <v>0.12200261516655449</v>
      </c>
      <c r="Z3783" s="11">
        <v>0.024861589798474883</v>
      </c>
    </row>
    <row r="3784" ht="22.5" customHeight="1">
      <c r="Q3784" s="9" t="s">
        <v>3822</v>
      </c>
      <c r="R3784" s="10">
        <v>0.7323742714210562</v>
      </c>
      <c r="S3784" s="10">
        <v>0.03395024647695631</v>
      </c>
      <c r="T3784" s="10">
        <v>20.39379218913784</v>
      </c>
      <c r="U3784" s="11">
        <v>0.26359156807529477</v>
      </c>
      <c r="V3784" s="11">
        <v>0.26563314805448285</v>
      </c>
      <c r="W3784" s="11">
        <v>0.17746788898844812</v>
      </c>
      <c r="X3784" s="11">
        <v>0.08219359714731873</v>
      </c>
      <c r="Y3784" s="11">
        <v>0.09649965489240507</v>
      </c>
      <c r="Z3784" s="11">
        <v>0.11461414284205045</v>
      </c>
    </row>
    <row r="3785" ht="22.5" customHeight="1">
      <c r="Q3785" s="9" t="s">
        <v>3823</v>
      </c>
      <c r="R3785" s="10">
        <v>0.637139986703348</v>
      </c>
      <c r="S3785" s="10">
        <v>0.029280850372534688</v>
      </c>
      <c r="T3785" s="10">
        <v>20.39353294409314</v>
      </c>
      <c r="U3785" s="11">
        <v>0.11013441536401511</v>
      </c>
      <c r="V3785" s="11">
        <v>0.14150181919023724</v>
      </c>
      <c r="W3785" s="11">
        <v>0.22692268189657785</v>
      </c>
      <c r="X3785" s="11">
        <v>0.24855196172890784</v>
      </c>
      <c r="Y3785" s="11">
        <v>0.05293536577706249</v>
      </c>
      <c r="Z3785" s="11">
        <v>0.21995375604319953</v>
      </c>
    </row>
    <row r="3786" ht="22.5" customHeight="1">
      <c r="Q3786" s="9" t="s">
        <v>3824</v>
      </c>
      <c r="R3786" s="10">
        <v>0.6235527481414909</v>
      </c>
      <c r="S3786" s="10">
        <v>0.0286150284797725</v>
      </c>
      <c r="T3786" s="10">
        <v>20.393226187211198</v>
      </c>
      <c r="U3786" s="11">
        <v>0.32968783935494855</v>
      </c>
      <c r="V3786" s="11">
        <v>0.24041256851827011</v>
      </c>
      <c r="W3786" s="11">
        <v>0.11066291612400682</v>
      </c>
      <c r="X3786" s="11">
        <v>0.1332825747782423</v>
      </c>
      <c r="Y3786" s="11">
        <v>0.13361829841967424</v>
      </c>
      <c r="Z3786" s="11">
        <v>0.05233580280485802</v>
      </c>
    </row>
    <row r="3787" ht="22.5" customHeight="1">
      <c r="Q3787" s="9" t="s">
        <v>3825</v>
      </c>
      <c r="R3787" s="10">
        <v>0.9942344161229942</v>
      </c>
      <c r="S3787" s="10">
        <v>0.046792023569488306</v>
      </c>
      <c r="T3787" s="10">
        <v>20.3931000057288</v>
      </c>
      <c r="U3787" s="11">
        <v>0.07078839588168673</v>
      </c>
      <c r="V3787" s="11">
        <v>0.35243928377263084</v>
      </c>
      <c r="W3787" s="11">
        <v>0.26961059748298855</v>
      </c>
      <c r="X3787" s="11">
        <v>0.2752533042206845</v>
      </c>
      <c r="Y3787" s="11">
        <v>0.017948023907220098</v>
      </c>
      <c r="Z3787" s="11">
        <v>0.013960394734789282</v>
      </c>
    </row>
    <row r="3788" ht="22.5" customHeight="1">
      <c r="Q3788" s="9" t="s">
        <v>3826</v>
      </c>
      <c r="R3788" s="10">
        <v>0.4731576655931894</v>
      </c>
      <c r="S3788" s="10">
        <v>0.021240428074975105</v>
      </c>
      <c r="T3788" s="10">
        <v>20.393076074748418</v>
      </c>
      <c r="U3788" s="11">
        <v>0.22163790845218984</v>
      </c>
      <c r="V3788" s="11">
        <v>0.09016706527887276</v>
      </c>
      <c r="W3788" s="11">
        <v>0.16303295637376258</v>
      </c>
      <c r="X3788" s="11">
        <v>0.14577492729743222</v>
      </c>
      <c r="Y3788" s="11">
        <v>0.11704159436785758</v>
      </c>
      <c r="Z3788" s="11">
        <v>0.2623455482298851</v>
      </c>
    </row>
    <row r="3789" ht="22.5" customHeight="1">
      <c r="Q3789" s="9" t="s">
        <v>3827</v>
      </c>
      <c r="R3789" s="10">
        <v>0.2610128431482515</v>
      </c>
      <c r="S3789" s="10">
        <v>0.010837945573027903</v>
      </c>
      <c r="T3789" s="10">
        <v>20.392503510838814</v>
      </c>
      <c r="U3789" s="11">
        <v>0.17932483234113003</v>
      </c>
      <c r="V3789" s="11">
        <v>0.04072308517784408</v>
      </c>
      <c r="W3789" s="11">
        <v>0.019587011082858843</v>
      </c>
      <c r="X3789" s="11">
        <v>0.3771129854597687</v>
      </c>
      <c r="Y3789" s="11">
        <v>0.2603326645495039</v>
      </c>
      <c r="Z3789" s="11">
        <v>0.12291942138889446</v>
      </c>
    </row>
    <row r="3790" ht="22.5" customHeight="1">
      <c r="Q3790" s="9" t="s">
        <v>3828</v>
      </c>
      <c r="R3790" s="10">
        <v>0.6326187009914896</v>
      </c>
      <c r="S3790" s="10">
        <v>0.029061103274261393</v>
      </c>
      <c r="T3790" s="10">
        <v>20.392161144011194</v>
      </c>
      <c r="U3790" s="11">
        <v>0.3742312539401451</v>
      </c>
      <c r="V3790" s="11">
        <v>0.14217562795047484</v>
      </c>
      <c r="W3790" s="11">
        <v>0.2204681574582204</v>
      </c>
      <c r="X3790" s="11">
        <v>0.17404520222401013</v>
      </c>
      <c r="Y3790" s="11">
        <v>0.025955351415197694</v>
      </c>
      <c r="Z3790" s="11">
        <v>0.06312440701195195</v>
      </c>
    </row>
    <row r="3791" ht="22.5" customHeight="1">
      <c r="Q3791" s="9" t="s">
        <v>3829</v>
      </c>
      <c r="R3791" s="10">
        <v>0.6476448825871137</v>
      </c>
      <c r="S3791" s="10">
        <v>0.029798699380397642</v>
      </c>
      <c r="T3791" s="10">
        <v>20.39165786500193</v>
      </c>
      <c r="U3791" s="11">
        <v>0.0886614016882564</v>
      </c>
      <c r="V3791" s="11">
        <v>0.1990240092149677</v>
      </c>
      <c r="W3791" s="11">
        <v>0.18645494791642167</v>
      </c>
      <c r="X3791" s="11">
        <v>0.026152269203304362</v>
      </c>
      <c r="Y3791" s="11">
        <v>0.3086508037897721</v>
      </c>
      <c r="Z3791" s="11">
        <v>0.19105656818727765</v>
      </c>
    </row>
    <row r="3792" ht="22.5" customHeight="1">
      <c r="Q3792" s="9" t="s">
        <v>3830</v>
      </c>
      <c r="R3792" s="10">
        <v>0.6196719111530835</v>
      </c>
      <c r="S3792" s="10">
        <v>0.02842759925973323</v>
      </c>
      <c r="T3792" s="10">
        <v>20.391166551097754</v>
      </c>
      <c r="U3792" s="11">
        <v>0.15236852930927958</v>
      </c>
      <c r="V3792" s="11">
        <v>0.15152621994462936</v>
      </c>
      <c r="W3792" s="11">
        <v>0.20914578111494603</v>
      </c>
      <c r="X3792" s="11">
        <v>0.10388191279052447</v>
      </c>
      <c r="Y3792" s="11">
        <v>0.209119906734525</v>
      </c>
      <c r="Z3792" s="11">
        <v>0.17395765010609568</v>
      </c>
    </row>
    <row r="3793" ht="22.5" customHeight="1">
      <c r="Q3793" s="9" t="s">
        <v>3831</v>
      </c>
      <c r="R3793" s="10">
        <v>0.8401104281677829</v>
      </c>
      <c r="S3793" s="10">
        <v>0.03923914700752095</v>
      </c>
      <c r="T3793" s="10">
        <v>20.390617258179084</v>
      </c>
      <c r="U3793" s="11">
        <v>0.1873772019461777</v>
      </c>
      <c r="V3793" s="11">
        <v>0.23099116039610723</v>
      </c>
      <c r="W3793" s="11">
        <v>0.2830251829975243</v>
      </c>
      <c r="X3793" s="11">
        <v>0.21313419809181483</v>
      </c>
      <c r="Y3793" s="11">
        <v>0.052549477158200554</v>
      </c>
      <c r="Z3793" s="11">
        <v>0.032922779410175185</v>
      </c>
    </row>
    <row r="3794" ht="22.5" customHeight="1">
      <c r="Q3794" s="9" t="s">
        <v>3832</v>
      </c>
      <c r="R3794" s="10">
        <v>0.719508711325543</v>
      </c>
      <c r="S3794" s="10">
        <v>0.03332512618149329</v>
      </c>
      <c r="T3794" s="10">
        <v>20.39028172391137</v>
      </c>
      <c r="U3794" s="11">
        <v>0.15520926680497868</v>
      </c>
      <c r="V3794" s="11">
        <v>0.2361520345527084</v>
      </c>
      <c r="W3794" s="11">
        <v>0.20253966524679717</v>
      </c>
      <c r="X3794" s="11">
        <v>0.0418839049802943</v>
      </c>
      <c r="Y3794" s="11">
        <v>0.20137133139110447</v>
      </c>
      <c r="Z3794" s="11">
        <v>0.16284379702411705</v>
      </c>
    </row>
    <row r="3795" ht="22.5" customHeight="1">
      <c r="Q3795" s="9" t="s">
        <v>3833</v>
      </c>
      <c r="R3795" s="10">
        <v>0.7964261564431518</v>
      </c>
      <c r="S3795" s="10">
        <v>0.03709742586857811</v>
      </c>
      <c r="T3795" s="10">
        <v>20.39025993671039</v>
      </c>
      <c r="U3795" s="11">
        <v>0.0433963506066458</v>
      </c>
      <c r="V3795" s="11">
        <v>0.25383196625144794</v>
      </c>
      <c r="W3795" s="11">
        <v>0.23815828761269095</v>
      </c>
      <c r="X3795" s="11">
        <v>0.10994437128959306</v>
      </c>
      <c r="Y3795" s="11">
        <v>0.19379513779489754</v>
      </c>
      <c r="Z3795" s="11">
        <v>0.1608738864447247</v>
      </c>
    </row>
    <row r="3796" ht="22.5" customHeight="1">
      <c r="Q3796" s="9" t="s">
        <v>3834</v>
      </c>
      <c r="R3796" s="10">
        <v>0.6046615438638294</v>
      </c>
      <c r="S3796" s="10">
        <v>0.027693034103509085</v>
      </c>
      <c r="T3796" s="10">
        <v>20.39002088948712</v>
      </c>
      <c r="U3796" s="11">
        <v>0.18740010018335887</v>
      </c>
      <c r="V3796" s="11">
        <v>0.20428504565949296</v>
      </c>
      <c r="W3796" s="11">
        <v>0.15720070728532898</v>
      </c>
      <c r="X3796" s="11">
        <v>0.020854099840708483</v>
      </c>
      <c r="Y3796" s="11">
        <v>0.13683252022571304</v>
      </c>
      <c r="Z3796" s="11">
        <v>0.2934275268053975</v>
      </c>
    </row>
    <row r="3797" ht="22.5" customHeight="1">
      <c r="Q3797" s="9" t="s">
        <v>3835</v>
      </c>
      <c r="R3797" s="10">
        <v>0.522331348251574</v>
      </c>
      <c r="S3797" s="10">
        <v>0.029234342507481602</v>
      </c>
      <c r="T3797" s="10">
        <v>20.389918891826625</v>
      </c>
      <c r="U3797" s="11">
        <v>0.35660681580109843</v>
      </c>
      <c r="V3797" s="11">
        <v>0.13775153838272722</v>
      </c>
      <c r="W3797" s="11">
        <v>0.22306804623504445</v>
      </c>
      <c r="X3797" s="11">
        <v>0.1660367467501811</v>
      </c>
      <c r="Y3797" s="11">
        <v>0.11644945342778963</v>
      </c>
      <c r="Z3797" s="11">
        <v>8.739940315921178E-5</v>
      </c>
    </row>
    <row r="3798" ht="22.5" customHeight="1">
      <c r="Q3798" s="9" t="s">
        <v>3836</v>
      </c>
      <c r="R3798" s="10">
        <v>0.3297957529514687</v>
      </c>
      <c r="S3798" s="10">
        <v>0.014212697775429663</v>
      </c>
      <c r="T3798" s="10">
        <v>20.389918756483787</v>
      </c>
      <c r="U3798" s="11">
        <v>0.22467490241223778</v>
      </c>
      <c r="V3798" s="11">
        <v>0.10837563102267071</v>
      </c>
      <c r="W3798" s="11">
        <v>0.01930225350995406</v>
      </c>
      <c r="X3798" s="11">
        <v>0.23134031491639978</v>
      </c>
      <c r="Y3798" s="11">
        <v>0.2186463711913586</v>
      </c>
      <c r="Z3798" s="11">
        <v>0.19766052694737896</v>
      </c>
    </row>
    <row r="3799" ht="22.5" customHeight="1">
      <c r="Q3799" s="9" t="s">
        <v>3837</v>
      </c>
      <c r="R3799" s="10">
        <v>0.9303816557949631</v>
      </c>
      <c r="S3799" s="10">
        <v>0.04367016740218241</v>
      </c>
      <c r="T3799" s="10">
        <v>20.388785039337094</v>
      </c>
      <c r="U3799" s="11">
        <v>0.016597092004732684</v>
      </c>
      <c r="V3799" s="11">
        <v>0.3182759287600738</v>
      </c>
      <c r="W3799" s="11">
        <v>0.2650758187721169</v>
      </c>
      <c r="X3799" s="11">
        <v>0.2441998325940938</v>
      </c>
      <c r="Y3799" s="11">
        <v>0.024354459975202674</v>
      </c>
      <c r="Z3799" s="11">
        <v>0.13149686789378007</v>
      </c>
    </row>
    <row r="3800" ht="22.5" customHeight="1">
      <c r="Q3800" s="9" t="s">
        <v>3838</v>
      </c>
      <c r="R3800" s="10">
        <v>0.6052520829758365</v>
      </c>
      <c r="S3800" s="10">
        <v>0.027724455258371326</v>
      </c>
      <c r="T3800" s="10">
        <v>20.388212417813335</v>
      </c>
      <c r="U3800" s="11">
        <v>0.1101195842069977</v>
      </c>
      <c r="V3800" s="11">
        <v>0.11601154951218694</v>
      </c>
      <c r="W3800" s="11">
        <v>0.2172929348402107</v>
      </c>
      <c r="X3800" s="11">
        <v>0.2483535275775481</v>
      </c>
      <c r="Y3800" s="11">
        <v>0.22954039710436985</v>
      </c>
      <c r="Z3800" s="11">
        <v>0.07868200675868663</v>
      </c>
    </row>
    <row r="3801" ht="22.5" customHeight="1">
      <c r="Q3801" s="9" t="s">
        <v>3839</v>
      </c>
      <c r="R3801" s="10">
        <v>0.3340618114637763</v>
      </c>
      <c r="S3801" s="10">
        <v>0.014423147265990114</v>
      </c>
      <c r="T3801" s="10">
        <v>20.38818615942279</v>
      </c>
      <c r="U3801" s="11">
        <v>0.21340176218585558</v>
      </c>
      <c r="V3801" s="11">
        <v>0.06576437056200399</v>
      </c>
      <c r="W3801" s="11">
        <v>0.07732552237492035</v>
      </c>
      <c r="X3801" s="11">
        <v>0.08703537750736079</v>
      </c>
      <c r="Y3801" s="11">
        <v>0.35181182789533566</v>
      </c>
      <c r="Z3801" s="11">
        <v>0.20466113947452363</v>
      </c>
    </row>
    <row r="3802" ht="22.5" customHeight="1">
      <c r="Q3802" s="9" t="s">
        <v>3840</v>
      </c>
      <c r="R3802" s="10">
        <v>0.7654779474938467</v>
      </c>
      <c r="S3802" s="10">
        <v>0.035583520075984004</v>
      </c>
      <c r="T3802" s="10">
        <v>20.38803204249277</v>
      </c>
      <c r="U3802" s="11">
        <v>0.12298911578476532</v>
      </c>
      <c r="V3802" s="11">
        <v>0.18167541562727563</v>
      </c>
      <c r="W3802" s="11">
        <v>0.2709261802926983</v>
      </c>
      <c r="X3802" s="11">
        <v>0.25584559968697024</v>
      </c>
      <c r="Y3802" s="11">
        <v>0.1439611078226329</v>
      </c>
      <c r="Z3802" s="11">
        <v>0.024602580785657524</v>
      </c>
    </row>
    <row r="3803" ht="22.5" customHeight="1">
      <c r="Q3803" s="9" t="s">
        <v>3841</v>
      </c>
      <c r="R3803" s="10">
        <v>0.4492676788264487</v>
      </c>
      <c r="S3803" s="10">
        <v>0.020074171910616518</v>
      </c>
      <c r="T3803" s="10">
        <v>20.387773934027212</v>
      </c>
      <c r="U3803" s="11">
        <v>0.21154465446473633</v>
      </c>
      <c r="V3803" s="11">
        <v>0.1681998137552415</v>
      </c>
      <c r="W3803" s="11">
        <v>0.058182849039324996</v>
      </c>
      <c r="X3803" s="11">
        <v>0.12858675611935522</v>
      </c>
      <c r="Y3803" s="11">
        <v>0.22896581944909702</v>
      </c>
      <c r="Z3803" s="11">
        <v>0.20452010717224497</v>
      </c>
    </row>
    <row r="3804" ht="22.5" customHeight="1">
      <c r="Q3804" s="9" t="s">
        <v>3842</v>
      </c>
      <c r="R3804" s="10">
        <v>0.8012835461401305</v>
      </c>
      <c r="S3804" s="10">
        <v>0.03734034674135094</v>
      </c>
      <c r="T3804" s="10">
        <v>20.387693542681546</v>
      </c>
      <c r="U3804" s="11">
        <v>0.1318029404823565</v>
      </c>
      <c r="V3804" s="11">
        <v>0.23051550844566382</v>
      </c>
      <c r="W3804" s="11">
        <v>0.26292845613158555</v>
      </c>
      <c r="X3804" s="11">
        <v>0.18632387629593639</v>
      </c>
      <c r="Y3804" s="11">
        <v>0.033531671618704975</v>
      </c>
      <c r="Z3804" s="11">
        <v>0.15489754702575279</v>
      </c>
    </row>
    <row r="3805" ht="22.5" customHeight="1">
      <c r="Q3805" s="9" t="s">
        <v>3843</v>
      </c>
      <c r="R3805" s="10">
        <v>0.8635731143725043</v>
      </c>
      <c r="S3805" s="10">
        <v>0.04039619189823134</v>
      </c>
      <c r="T3805" s="10">
        <v>20.38739484274414</v>
      </c>
      <c r="U3805" s="11">
        <v>0.25293693534694667</v>
      </c>
      <c r="V3805" s="11">
        <v>0.26803800259721666</v>
      </c>
      <c r="W3805" s="11">
        <v>0.2683344190549098</v>
      </c>
      <c r="X3805" s="11">
        <v>0.1577583522541678</v>
      </c>
      <c r="Y3805" s="11">
        <v>0.010509962557980184</v>
      </c>
      <c r="Z3805" s="11">
        <v>0.04242232818877899</v>
      </c>
    </row>
    <row r="3806" ht="22.5" customHeight="1">
      <c r="Q3806" s="9" t="s">
        <v>3844</v>
      </c>
      <c r="R3806" s="10">
        <v>0.8264237082260483</v>
      </c>
      <c r="S3806" s="10">
        <v>0.038574789377810025</v>
      </c>
      <c r="T3806" s="10">
        <v>20.386986446604812</v>
      </c>
      <c r="U3806" s="11">
        <v>0.04080257798941443</v>
      </c>
      <c r="V3806" s="11">
        <v>0.24935613375830348</v>
      </c>
      <c r="W3806" s="11">
        <v>0.2634790119768504</v>
      </c>
      <c r="X3806" s="11">
        <v>0.1927472095900827</v>
      </c>
      <c r="Y3806" s="11">
        <v>0.06458805474884728</v>
      </c>
      <c r="Z3806" s="11">
        <v>0.1890270119365016</v>
      </c>
    </row>
    <row r="3807" ht="22.5" customHeight="1">
      <c r="Q3807" s="9" t="s">
        <v>3845</v>
      </c>
      <c r="R3807" s="10">
        <v>0.8605092762587669</v>
      </c>
      <c r="S3807" s="10">
        <v>0.040246872300426596</v>
      </c>
      <c r="T3807" s="10">
        <v>20.386907835570366</v>
      </c>
      <c r="U3807" s="11">
        <v>0.17121910096811932</v>
      </c>
      <c r="V3807" s="11">
        <v>0.27022264526026984</v>
      </c>
      <c r="W3807" s="11">
        <v>0.2647375215433576</v>
      </c>
      <c r="X3807" s="11">
        <v>0.14068441567776196</v>
      </c>
      <c r="Y3807" s="11">
        <v>0.08933397789326972</v>
      </c>
      <c r="Z3807" s="11">
        <v>0.06380233865722171</v>
      </c>
    </row>
    <row r="3808" ht="22.5" customHeight="1">
      <c r="Q3808" s="9" t="s">
        <v>3846</v>
      </c>
      <c r="R3808" s="10">
        <v>0.5360805682138249</v>
      </c>
      <c r="S3808" s="10">
        <v>0.024333357371840104</v>
      </c>
      <c r="T3808" s="10">
        <v>20.386852526479416</v>
      </c>
      <c r="U3808" s="11">
        <v>0.3760577280255143</v>
      </c>
      <c r="V3808" s="11">
        <v>0.18585435426810554</v>
      </c>
      <c r="W3808" s="11">
        <v>0.11130707816376663</v>
      </c>
      <c r="X3808" s="11">
        <v>0.010875278811114317</v>
      </c>
      <c r="Y3808" s="11">
        <v>0.21626631573603866</v>
      </c>
      <c r="Z3808" s="11">
        <v>0.09963924499546067</v>
      </c>
    </row>
    <row r="3809" ht="22.5" customHeight="1">
      <c r="Q3809" s="9" t="s">
        <v>3847</v>
      </c>
      <c r="R3809" s="10">
        <v>0.7416980631571773</v>
      </c>
      <c r="S3809" s="10">
        <v>0.03441999618133948</v>
      </c>
      <c r="T3809" s="10">
        <v>20.386349244791525</v>
      </c>
      <c r="U3809" s="11">
        <v>0.25265903836753373</v>
      </c>
      <c r="V3809" s="11">
        <v>0.22600574009951446</v>
      </c>
      <c r="W3809" s="11">
        <v>0.22967826162788454</v>
      </c>
      <c r="X3809" s="11">
        <v>0.10734922970258005</v>
      </c>
      <c r="Y3809" s="11">
        <v>0.007487856281800613</v>
      </c>
      <c r="Z3809" s="11">
        <v>0.1768198739206865</v>
      </c>
    </row>
    <row r="3810" ht="22.5" customHeight="1">
      <c r="Q3810" s="9" t="s">
        <v>3848</v>
      </c>
      <c r="R3810" s="10">
        <v>0.499239174315318</v>
      </c>
      <c r="S3810" s="10">
        <v>0.022526878922885796</v>
      </c>
      <c r="T3810" s="10">
        <v>20.386276140933216</v>
      </c>
      <c r="U3810" s="11">
        <v>0.04392488608829529</v>
      </c>
      <c r="V3810" s="11">
        <v>0.09528143372046954</v>
      </c>
      <c r="W3810" s="11">
        <v>0.17215604366869156</v>
      </c>
      <c r="X3810" s="11">
        <v>0.17776265871375002</v>
      </c>
      <c r="Y3810" s="11">
        <v>0.25495741871054944</v>
      </c>
      <c r="Z3810" s="11">
        <v>0.2559175590982442</v>
      </c>
    </row>
    <row r="3811" ht="22.5" customHeight="1">
      <c r="Q3811" s="9" t="s">
        <v>3849</v>
      </c>
      <c r="R3811" s="10">
        <v>0.7715688372425619</v>
      </c>
      <c r="S3811" s="10">
        <v>0.03588566497023513</v>
      </c>
      <c r="T3811" s="10">
        <v>20.38610230155555</v>
      </c>
      <c r="U3811" s="11">
        <v>0.19772262498634727</v>
      </c>
      <c r="V3811" s="11">
        <v>0.270569714583241</v>
      </c>
      <c r="W3811" s="11">
        <v>0.1971550024476678</v>
      </c>
      <c r="X3811" s="11">
        <v>0.05777343410749733</v>
      </c>
      <c r="Y3811" s="11">
        <v>0.24454341724939482</v>
      </c>
      <c r="Z3811" s="11">
        <v>0.032235806625851654</v>
      </c>
    </row>
    <row r="3812" ht="22.5" customHeight="1">
      <c r="Q3812" s="9" t="s">
        <v>3850</v>
      </c>
      <c r="R3812" s="10">
        <v>0.6246378224270428</v>
      </c>
      <c r="S3812" s="10">
        <v>0.028678773374932447</v>
      </c>
      <c r="T3812" s="10">
        <v>20.385733196597005</v>
      </c>
      <c r="U3812" s="11">
        <v>0.24875191517418202</v>
      </c>
      <c r="V3812" s="11">
        <v>0.1541124723767531</v>
      </c>
      <c r="W3812" s="11">
        <v>0.20888400812116772</v>
      </c>
      <c r="X3812" s="11">
        <v>0.08153871281483903</v>
      </c>
      <c r="Y3812" s="11">
        <v>0.19481506894755743</v>
      </c>
      <c r="Z3812" s="11">
        <v>0.11189782256550068</v>
      </c>
    </row>
    <row r="3813" ht="22.5" customHeight="1">
      <c r="Q3813" s="9" t="s">
        <v>3851</v>
      </c>
      <c r="R3813" s="10">
        <v>0.6498715172816586</v>
      </c>
      <c r="S3813" s="10">
        <v>0.02991754466185071</v>
      </c>
      <c r="T3813" s="10">
        <v>20.385079195998824</v>
      </c>
      <c r="U3813" s="11">
        <v>0.14859912951502352</v>
      </c>
      <c r="V3813" s="11">
        <v>0.15793824073730978</v>
      </c>
      <c r="W3813" s="11">
        <v>0.21609311623655375</v>
      </c>
      <c r="X3813" s="11">
        <v>0.10420759599105901</v>
      </c>
      <c r="Y3813" s="11">
        <v>0.3282604530699293</v>
      </c>
      <c r="Z3813" s="11">
        <v>0.04490146445012449</v>
      </c>
    </row>
    <row r="3814" ht="22.5" customHeight="1">
      <c r="Q3814" s="9" t="s">
        <v>3852</v>
      </c>
      <c r="R3814" s="10">
        <v>0.8359004788370907</v>
      </c>
      <c r="S3814" s="10">
        <v>0.03904344470392524</v>
      </c>
      <c r="T3814" s="10">
        <v>20.38499637705058</v>
      </c>
      <c r="U3814" s="11">
        <v>0.09692330930517973</v>
      </c>
      <c r="V3814" s="11">
        <v>0.32798221455471527</v>
      </c>
      <c r="W3814" s="11">
        <v>0.16901811031005062</v>
      </c>
      <c r="X3814" s="11">
        <v>0.2812707267813413</v>
      </c>
      <c r="Y3814" s="11">
        <v>0.11954996008452949</v>
      </c>
      <c r="Z3814" s="11">
        <v>0.005255678964183762</v>
      </c>
    </row>
    <row r="3815" ht="22.5" customHeight="1">
      <c r="Q3815" s="9" t="s">
        <v>3853</v>
      </c>
      <c r="R3815" s="10">
        <v>0.6898226194306856</v>
      </c>
      <c r="S3815" s="10">
        <v>0.03187810645964555</v>
      </c>
      <c r="T3815" s="10">
        <v>20.384605348291156</v>
      </c>
      <c r="U3815" s="11">
        <v>0.07481917865687265</v>
      </c>
      <c r="V3815" s="11">
        <v>0.15064374580175113</v>
      </c>
      <c r="W3815" s="11">
        <v>0.2442890194951394</v>
      </c>
      <c r="X3815" s="11">
        <v>0.23724745587702226</v>
      </c>
      <c r="Y3815" s="11">
        <v>0.26142300488525494</v>
      </c>
      <c r="Z3815" s="11">
        <v>0.031577595283959585</v>
      </c>
    </row>
    <row r="3816" ht="22.5" customHeight="1">
      <c r="Q3816" s="9" t="s">
        <v>3854</v>
      </c>
      <c r="R3816" s="10">
        <v>0.5929249941825712</v>
      </c>
      <c r="S3816" s="10">
        <v>0.027124709246877567</v>
      </c>
      <c r="T3816" s="10">
        <v>20.384550084945907</v>
      </c>
      <c r="U3816" s="11">
        <v>0.24950072896448283</v>
      </c>
      <c r="V3816" s="11">
        <v>0.2176551177379135</v>
      </c>
      <c r="W3816" s="11">
        <v>0.12809566596239158</v>
      </c>
      <c r="X3816" s="11">
        <v>0.05187362178950395</v>
      </c>
      <c r="Y3816" s="11">
        <v>0.12188963644502808</v>
      </c>
      <c r="Z3816" s="11">
        <v>0.23098522910068012</v>
      </c>
    </row>
    <row r="3817" ht="22.5" customHeight="1">
      <c r="Q3817" s="9" t="s">
        <v>3855</v>
      </c>
      <c r="R3817" s="10">
        <v>0.643977253547324</v>
      </c>
      <c r="S3817" s="10">
        <v>0.02962957213667191</v>
      </c>
      <c r="T3817" s="10">
        <v>20.384271860604894</v>
      </c>
      <c r="U3817" s="11">
        <v>0.23407370990600687</v>
      </c>
      <c r="V3817" s="11">
        <v>0.24634750083671245</v>
      </c>
      <c r="W3817" s="11">
        <v>0.11874785338458639</v>
      </c>
      <c r="X3817" s="11">
        <v>0.1149847676941696</v>
      </c>
      <c r="Y3817" s="11">
        <v>0.24792283989922786</v>
      </c>
      <c r="Z3817" s="11">
        <v>0.03792332827929693</v>
      </c>
    </row>
    <row r="3818" ht="22.5" customHeight="1">
      <c r="Q3818" s="9" t="s">
        <v>3856</v>
      </c>
      <c r="R3818" s="10">
        <v>0.8331975541254897</v>
      </c>
      <c r="S3818" s="10">
        <v>0.03891294028939762</v>
      </c>
      <c r="T3818" s="10">
        <v>20.383901813289796</v>
      </c>
      <c r="U3818" s="11">
        <v>0.003059255838441157</v>
      </c>
      <c r="V3818" s="11">
        <v>0.2593457754411289</v>
      </c>
      <c r="W3818" s="11">
        <v>0.2574227219665874</v>
      </c>
      <c r="X3818" s="11">
        <v>0.15557285832191978</v>
      </c>
      <c r="Y3818" s="11">
        <v>0.1681129913789836</v>
      </c>
      <c r="Z3818" s="11">
        <v>0.1564863970529393</v>
      </c>
    </row>
    <row r="3819" ht="22.5" customHeight="1">
      <c r="Q3819" s="9" t="s">
        <v>3857</v>
      </c>
      <c r="R3819" s="10">
        <v>0.9716833029237425</v>
      </c>
      <c r="S3819" s="10">
        <v>0.04570709613807402</v>
      </c>
      <c r="T3819" s="10">
        <v>20.383778048582922</v>
      </c>
      <c r="U3819" s="11">
        <v>0.008926604278971548</v>
      </c>
      <c r="V3819" s="11">
        <v>0.2984172956054839</v>
      </c>
      <c r="W3819" s="11">
        <v>0.308235124109058</v>
      </c>
      <c r="X3819" s="11">
        <v>0.2607280287345099</v>
      </c>
      <c r="Y3819" s="11">
        <v>0.11051524507664151</v>
      </c>
      <c r="Z3819" s="11">
        <v>0.013177702195335119</v>
      </c>
    </row>
    <row r="3820" ht="22.5" customHeight="1">
      <c r="Q3820" s="9" t="s">
        <v>3858</v>
      </c>
      <c r="R3820" s="10">
        <v>0.6964282625180178</v>
      </c>
      <c r="S3820" s="10">
        <v>0.03220402441899432</v>
      </c>
      <c r="T3820" s="10">
        <v>20.383423325528483</v>
      </c>
      <c r="U3820" s="11">
        <v>0.0574114816156939</v>
      </c>
      <c r="V3820" s="11">
        <v>0.19577222150666748</v>
      </c>
      <c r="W3820" s="11">
        <v>0.22460148171963581</v>
      </c>
      <c r="X3820" s="11">
        <v>0.09891401958142261</v>
      </c>
      <c r="Y3820" s="11">
        <v>0.2152741225790007</v>
      </c>
      <c r="Z3820" s="11">
        <v>0.2080266729975795</v>
      </c>
    </row>
    <row r="3821" ht="22.5" customHeight="1">
      <c r="Q3821" s="9" t="s">
        <v>3859</v>
      </c>
      <c r="R3821" s="10">
        <v>0.5552082224339305</v>
      </c>
      <c r="S3821" s="10">
        <v>0.02527595998106017</v>
      </c>
      <c r="T3821" s="10">
        <v>20.3833295676994</v>
      </c>
      <c r="U3821" s="11">
        <v>0.02914384538526735</v>
      </c>
      <c r="V3821" s="11">
        <v>0.22166966547768419</v>
      </c>
      <c r="W3821" s="11">
        <v>0.07932012381417071</v>
      </c>
      <c r="X3821" s="11">
        <v>0.2668728877503783</v>
      </c>
      <c r="Y3821" s="11">
        <v>0.12216894519554472</v>
      </c>
      <c r="Z3821" s="11">
        <v>0.28082453237695476</v>
      </c>
    </row>
    <row r="3822" ht="22.5" customHeight="1">
      <c r="Q3822" s="9" t="s">
        <v>3860</v>
      </c>
      <c r="R3822" s="10">
        <v>0.6529300438070226</v>
      </c>
      <c r="S3822" s="10">
        <v>0.030070405857957894</v>
      </c>
      <c r="T3822" s="10">
        <v>20.38316498627555</v>
      </c>
      <c r="U3822" s="11">
        <v>0.17173606138137998</v>
      </c>
      <c r="V3822" s="11">
        <v>0.20044529948528933</v>
      </c>
      <c r="W3822" s="11">
        <v>0.1926258968129857</v>
      </c>
      <c r="X3822" s="11">
        <v>0.022898356430893236</v>
      </c>
      <c r="Y3822" s="11">
        <v>0.2014249559655412</v>
      </c>
      <c r="Z3822" s="11">
        <v>0.2108694299239106</v>
      </c>
    </row>
    <row r="3823" ht="22.5" customHeight="1">
      <c r="Q3823" s="9" t="s">
        <v>3861</v>
      </c>
      <c r="R3823" s="10">
        <v>0.7121145331342268</v>
      </c>
      <c r="S3823" s="10">
        <v>0.03297402747581895</v>
      </c>
      <c r="T3823" s="10">
        <v>20.383149544808038</v>
      </c>
      <c r="U3823" s="11">
        <v>0.12414126831983532</v>
      </c>
      <c r="V3823" s="11">
        <v>0.21000347179563816</v>
      </c>
      <c r="W3823" s="11">
        <v>0.22227728036826278</v>
      </c>
      <c r="X3823" s="11">
        <v>0.06714215260982737</v>
      </c>
      <c r="Y3823" s="11">
        <v>0.20924380890691757</v>
      </c>
      <c r="Z3823" s="11">
        <v>0.16719201799951885</v>
      </c>
    </row>
    <row r="3824" ht="22.5" customHeight="1">
      <c r="Q3824" s="9" t="s">
        <v>3862</v>
      </c>
      <c r="R3824" s="10">
        <v>0.6816540546254606</v>
      </c>
      <c r="S3824" s="10">
        <v>0.03147995322803264</v>
      </c>
      <c r="T3824" s="10">
        <v>20.38294180354985</v>
      </c>
      <c r="U3824" s="11">
        <v>0.04359780834554254</v>
      </c>
      <c r="V3824" s="11">
        <v>0.15299472480455278</v>
      </c>
      <c r="W3824" s="11">
        <v>0.23866874870892443</v>
      </c>
      <c r="X3824" s="11">
        <v>0.21638093762799485</v>
      </c>
      <c r="Y3824" s="11">
        <v>0.28359516017553354</v>
      </c>
      <c r="Z3824" s="11">
        <v>0.06476262033745182</v>
      </c>
    </row>
    <row r="3825" ht="22.5" customHeight="1">
      <c r="Q3825" s="9" t="s">
        <v>3863</v>
      </c>
      <c r="R3825" s="10">
        <v>0.49078327101128566</v>
      </c>
      <c r="S3825" s="10">
        <v>0.02211586041681306</v>
      </c>
      <c r="T3825" s="10">
        <v>20.382805032925074</v>
      </c>
      <c r="U3825" s="11">
        <v>0.19591577565501592</v>
      </c>
      <c r="V3825" s="11">
        <v>0.09193014882793743</v>
      </c>
      <c r="W3825" s="11">
        <v>0.17259401381697786</v>
      </c>
      <c r="X3825" s="11">
        <v>0.18615339762014987</v>
      </c>
      <c r="Y3825" s="11">
        <v>0.0838278882627542</v>
      </c>
      <c r="Z3825" s="11">
        <v>0.26957877581716466</v>
      </c>
    </row>
    <row r="3826" ht="22.5" customHeight="1">
      <c r="Q3826" s="9" t="s">
        <v>3864</v>
      </c>
      <c r="R3826" s="10">
        <v>0.4436939987673397</v>
      </c>
      <c r="S3826" s="10">
        <v>0.019805621429846317</v>
      </c>
      <c r="T3826" s="10">
        <v>20.382798903698536</v>
      </c>
      <c r="U3826" s="11">
        <v>0.26292864469749627</v>
      </c>
      <c r="V3826" s="11">
        <v>0.09194973126678765</v>
      </c>
      <c r="W3826" s="11">
        <v>0.1373596922610958</v>
      </c>
      <c r="X3826" s="11">
        <v>0.0553322325974734</v>
      </c>
      <c r="Y3826" s="11">
        <v>0.2802683283070129</v>
      </c>
      <c r="Z3826" s="11">
        <v>0.17216137087013414</v>
      </c>
    </row>
    <row r="3827" ht="22.5" customHeight="1">
      <c r="Q3827" s="9" t="s">
        <v>3865</v>
      </c>
      <c r="R3827" s="10">
        <v>0.522331348251574</v>
      </c>
      <c r="S3827" s="10">
        <v>0.03385872631553028</v>
      </c>
      <c r="T3827" s="10">
        <v>20.382615424812553</v>
      </c>
      <c r="U3827" s="11">
        <v>0.039729237740958975</v>
      </c>
      <c r="V3827" s="11">
        <v>0.28100223276091923</v>
      </c>
      <c r="W3827" s="11">
        <v>0.15569720386461947</v>
      </c>
      <c r="X3827" s="11">
        <v>0.18368895841204894</v>
      </c>
      <c r="Y3827" s="11">
        <v>0.13178494194739318</v>
      </c>
      <c r="Z3827" s="11">
        <v>0.2080974252740601</v>
      </c>
    </row>
    <row r="3828" ht="22.5" customHeight="1">
      <c r="Q3828" s="9" t="s">
        <v>3866</v>
      </c>
      <c r="R3828" s="10">
        <v>0.7412849343874881</v>
      </c>
      <c r="S3828" s="10">
        <v>0.034407334498060965</v>
      </c>
      <c r="T3828" s="10">
        <v>20.38184429622147</v>
      </c>
      <c r="U3828" s="11">
        <v>0.18529348787433528</v>
      </c>
      <c r="V3828" s="11">
        <v>0.23639202820850966</v>
      </c>
      <c r="W3828" s="11">
        <v>0.22155392763105283</v>
      </c>
      <c r="X3828" s="11">
        <v>0.10822508566126499</v>
      </c>
      <c r="Y3828" s="11">
        <v>0.01379916074055487</v>
      </c>
      <c r="Z3828" s="11">
        <v>0.23473630988428237</v>
      </c>
    </row>
    <row r="3829" ht="22.5" customHeight="1">
      <c r="Q3829" s="9" t="s">
        <v>3867</v>
      </c>
      <c r="R3829" s="10">
        <v>0.6899188024980992</v>
      </c>
      <c r="S3829" s="10">
        <v>0.03188747136071567</v>
      </c>
      <c r="T3829" s="10">
        <v>20.381635004736626</v>
      </c>
      <c r="U3829" s="11">
        <v>0.08998556345390749</v>
      </c>
      <c r="V3829" s="11">
        <v>0.2728236532410097</v>
      </c>
      <c r="W3829" s="11">
        <v>0.12703562055417048</v>
      </c>
      <c r="X3829" s="11">
        <v>0.21678231999607758</v>
      </c>
      <c r="Y3829" s="11">
        <v>0.1383274212712</v>
      </c>
      <c r="Z3829" s="11">
        <v>0.1550454214836347</v>
      </c>
    </row>
    <row r="3830" ht="22.5" customHeight="1">
      <c r="Q3830" s="9" t="s">
        <v>3868</v>
      </c>
      <c r="R3830" s="10">
        <v>0.7752632625853447</v>
      </c>
      <c r="S3830" s="10">
        <v>0.0360763621898687</v>
      </c>
      <c r="T3830" s="10">
        <v>20.3807484445266</v>
      </c>
      <c r="U3830" s="11">
        <v>0.07140138630264754</v>
      </c>
      <c r="V3830" s="11">
        <v>0.2876539016445592</v>
      </c>
      <c r="W3830" s="11">
        <v>0.18441914949396626</v>
      </c>
      <c r="X3830" s="11">
        <v>0.13546519514590766</v>
      </c>
      <c r="Y3830" s="11">
        <v>0.16263733824651197</v>
      </c>
      <c r="Z3830" s="11">
        <v>0.15842302916640744</v>
      </c>
    </row>
    <row r="3831" ht="22.5" customHeight="1">
      <c r="Q3831" s="9" t="s">
        <v>3869</v>
      </c>
      <c r="R3831" s="10">
        <v>0.9275515001725226</v>
      </c>
      <c r="S3831" s="10">
        <v>0.04355031801248691</v>
      </c>
      <c r="T3831" s="10">
        <v>20.379908590289524</v>
      </c>
      <c r="U3831" s="11">
        <v>0.05423357487038652</v>
      </c>
      <c r="V3831" s="11">
        <v>0.3135036567244645</v>
      </c>
      <c r="W3831" s="11">
        <v>0.26752438952148755</v>
      </c>
      <c r="X3831" s="11">
        <v>0.1946929323438</v>
      </c>
      <c r="Y3831" s="11">
        <v>0.09331799965953365</v>
      </c>
      <c r="Z3831" s="11">
        <v>0.07672744688032777</v>
      </c>
    </row>
    <row r="3832" ht="22.5" customHeight="1">
      <c r="Q3832" s="9" t="s">
        <v>3870</v>
      </c>
      <c r="R3832" s="10">
        <v>0.6640438346264212</v>
      </c>
      <c r="S3832" s="10">
        <v>0.0306214575240341</v>
      </c>
      <c r="T3832" s="10">
        <v>20.37929886703215</v>
      </c>
      <c r="U3832" s="11">
        <v>0.2038848203813493</v>
      </c>
      <c r="V3832" s="11">
        <v>0.253037767250482</v>
      </c>
      <c r="W3832" s="11">
        <v>0.1274133421514288</v>
      </c>
      <c r="X3832" s="11">
        <v>0.11094122464285733</v>
      </c>
      <c r="Y3832" s="11">
        <v>0.26527801747236823</v>
      </c>
      <c r="Z3832" s="11">
        <v>0.03944482810151434</v>
      </c>
    </row>
    <row r="3833" ht="22.5" customHeight="1">
      <c r="Q3833" s="9" t="s">
        <v>3871</v>
      </c>
      <c r="R3833" s="10">
        <v>0.6776848589408855</v>
      </c>
      <c r="S3833" s="10">
        <v>0.03129108130777033</v>
      </c>
      <c r="T3833" s="10">
        <v>20.37912505064288</v>
      </c>
      <c r="U3833" s="11">
        <v>0.23711233159683553</v>
      </c>
      <c r="V3833" s="11">
        <v>0.17640071612792296</v>
      </c>
      <c r="W3833" s="11">
        <v>0.22295505517618192</v>
      </c>
      <c r="X3833" s="11">
        <v>0.07431286953223794</v>
      </c>
      <c r="Y3833" s="11">
        <v>0.23848266163380524</v>
      </c>
      <c r="Z3833" s="11">
        <v>0.0507363659330165</v>
      </c>
    </row>
    <row r="3834" ht="22.5" customHeight="1">
      <c r="Q3834" s="9" t="s">
        <v>3872</v>
      </c>
      <c r="R3834" s="10">
        <v>0.7144443433328441</v>
      </c>
      <c r="S3834" s="10">
        <v>0.033094981565081213</v>
      </c>
      <c r="T3834" s="10">
        <v>20.37905179087502</v>
      </c>
      <c r="U3834" s="11">
        <v>0.23385586203261158</v>
      </c>
      <c r="V3834" s="11">
        <v>0.24054072939739363</v>
      </c>
      <c r="W3834" s="11">
        <v>0.1943051463705436</v>
      </c>
      <c r="X3834" s="11">
        <v>0.033662603659788466</v>
      </c>
      <c r="Y3834" s="11">
        <v>0.1566142499688902</v>
      </c>
      <c r="Z3834" s="11">
        <v>0.1410214085707725</v>
      </c>
    </row>
    <row r="3835" ht="22.5" customHeight="1">
      <c r="Q3835" s="9" t="s">
        <v>3873</v>
      </c>
      <c r="R3835" s="10">
        <v>0.8418857323711973</v>
      </c>
      <c r="S3835" s="10">
        <v>0.039349004462939416</v>
      </c>
      <c r="T3835" s="10">
        <v>20.3788061049028</v>
      </c>
      <c r="U3835" s="11">
        <v>0.15480388817240484</v>
      </c>
      <c r="V3835" s="11">
        <v>0.2716386323504204</v>
      </c>
      <c r="W3835" s="11">
        <v>0.248664275462529</v>
      </c>
      <c r="X3835" s="11">
        <v>0.09273402100700356</v>
      </c>
      <c r="Y3835" s="11">
        <v>0.20098130847418125</v>
      </c>
      <c r="Z3835" s="11">
        <v>0.031177874533461023</v>
      </c>
    </row>
    <row r="3836" ht="22.5" customHeight="1">
      <c r="Q3836" s="9" t="s">
        <v>3874</v>
      </c>
      <c r="R3836" s="10">
        <v>0.5979329935989334</v>
      </c>
      <c r="S3836" s="10">
        <v>0.027378799717567483</v>
      </c>
      <c r="T3836" s="10">
        <v>20.37828536511548</v>
      </c>
      <c r="U3836" s="11">
        <v>0.23092177881672188</v>
      </c>
      <c r="V3836" s="11">
        <v>0.2396616145067379</v>
      </c>
      <c r="W3836" s="11">
        <v>0.08419103726095134</v>
      </c>
      <c r="X3836" s="11">
        <v>0.2903419322738911</v>
      </c>
      <c r="Y3836" s="11">
        <v>0.03479932918079796</v>
      </c>
      <c r="Z3836" s="11">
        <v>0.12008430796089978</v>
      </c>
    </row>
    <row r="3837" ht="22.5" customHeight="1">
      <c r="Q3837" s="9" t="s">
        <v>3875</v>
      </c>
      <c r="R3837" s="10">
        <v>0.5298073557237455</v>
      </c>
      <c r="S3837" s="10">
        <v>0.02403593628937153</v>
      </c>
      <c r="T3837" s="10">
        <v>20.37812672770038</v>
      </c>
      <c r="U3837" s="11">
        <v>0.21899789815085038</v>
      </c>
      <c r="V3837" s="11">
        <v>0.11774688154908514</v>
      </c>
      <c r="W3837" s="11">
        <v>0.17548161831332706</v>
      </c>
      <c r="X3837" s="11">
        <v>0.0742300290222897</v>
      </c>
      <c r="Y3837" s="11">
        <v>0.2539981633194763</v>
      </c>
      <c r="Z3837" s="11">
        <v>0.1595454096449714</v>
      </c>
    </row>
    <row r="3838" ht="22.5" customHeight="1">
      <c r="Q3838" s="9" t="s">
        <v>3876</v>
      </c>
      <c r="R3838" s="10">
        <v>0.6641411142479273</v>
      </c>
      <c r="S3838" s="10">
        <v>0.030628629974903832</v>
      </c>
      <c r="T3838" s="10">
        <v>20.377702651386286</v>
      </c>
      <c r="U3838" s="11">
        <v>0.27023800610888726</v>
      </c>
      <c r="V3838" s="11">
        <v>0.22934745107441643</v>
      </c>
      <c r="W3838" s="11">
        <v>0.16697658524091982</v>
      </c>
      <c r="X3838" s="11">
        <v>0.013801496961175613</v>
      </c>
      <c r="Y3838" s="11">
        <v>0.19364390450452842</v>
      </c>
      <c r="Z3838" s="11">
        <v>0.12599255611007257</v>
      </c>
    </row>
    <row r="3839" ht="22.5" customHeight="1">
      <c r="Q3839" s="9" t="s">
        <v>3877</v>
      </c>
      <c r="R3839" s="10">
        <v>0.5525491791344203</v>
      </c>
      <c r="S3839" s="10">
        <v>0.025153098412448092</v>
      </c>
      <c r="T3839" s="10">
        <v>20.37717861751629</v>
      </c>
      <c r="U3839" s="11">
        <v>0.2410760552698628</v>
      </c>
      <c r="V3839" s="11">
        <v>0.21186824341676905</v>
      </c>
      <c r="W3839" s="11">
        <v>0.10076395838092445</v>
      </c>
      <c r="X3839" s="11">
        <v>0.13018989174832243</v>
      </c>
      <c r="Y3839" s="11">
        <v>0.03530689392231479</v>
      </c>
      <c r="Z3839" s="11">
        <v>0.2807949572618066</v>
      </c>
    </row>
    <row r="3840" ht="22.5" customHeight="1">
      <c r="Q3840" s="9" t="s">
        <v>3878</v>
      </c>
      <c r="R3840" s="10">
        <v>0.6533104772698716</v>
      </c>
      <c r="S3840" s="10">
        <v>0.03009840972208324</v>
      </c>
      <c r="T3840" s="10">
        <v>20.376839937157374</v>
      </c>
      <c r="U3840" s="11">
        <v>0.16492157596291931</v>
      </c>
      <c r="V3840" s="11">
        <v>0.14851485914920018</v>
      </c>
      <c r="W3840" s="11">
        <v>0.22528817863487777</v>
      </c>
      <c r="X3840" s="11">
        <v>0.14681853141917137</v>
      </c>
      <c r="Y3840" s="11">
        <v>0.282443252974238</v>
      </c>
      <c r="Z3840" s="11">
        <v>0.032013601859593364</v>
      </c>
    </row>
    <row r="3841" ht="22.5" customHeight="1">
      <c r="Q3841" s="9" t="s">
        <v>3879</v>
      </c>
      <c r="R3841" s="10">
        <v>0.7150255977348614</v>
      </c>
      <c r="S3841" s="10">
        <v>0.03312710683529308</v>
      </c>
      <c r="T3841" s="10">
        <v>20.376835233184327</v>
      </c>
      <c r="U3841" s="11">
        <v>0.03514390056013134</v>
      </c>
      <c r="V3841" s="11">
        <v>0.2855179775261657</v>
      </c>
      <c r="W3841" s="11">
        <v>0.12795670164576647</v>
      </c>
      <c r="X3841" s="11">
        <v>0.2958739205857323</v>
      </c>
      <c r="Y3841" s="11">
        <v>0.09258111938377796</v>
      </c>
      <c r="Z3841" s="11">
        <v>0.1629263802984263</v>
      </c>
    </row>
    <row r="3842" ht="22.5" customHeight="1">
      <c r="Q3842" s="9" t="s">
        <v>3880</v>
      </c>
      <c r="R3842" s="10">
        <v>0.6402864287940745</v>
      </c>
      <c r="S3842" s="10">
        <v>0.029459617557682047</v>
      </c>
      <c r="T3842" s="10">
        <v>20.376585935601888</v>
      </c>
      <c r="U3842" s="11">
        <v>0.04656923849692142</v>
      </c>
      <c r="V3842" s="11">
        <v>0.24385639857845468</v>
      </c>
      <c r="W3842" s="11">
        <v>0.1362202690903757</v>
      </c>
      <c r="X3842" s="11">
        <v>0.14631125205973175</v>
      </c>
      <c r="Y3842" s="11">
        <v>0.08986225089417382</v>
      </c>
      <c r="Z3842" s="11">
        <v>0.33718059088034275</v>
      </c>
    </row>
    <row r="3843" ht="22.5" customHeight="1">
      <c r="Q3843" s="9" t="s">
        <v>3881</v>
      </c>
      <c r="R3843" s="10">
        <v>0.7138309565569255</v>
      </c>
      <c r="S3843" s="10">
        <v>0.033068965764974596</v>
      </c>
      <c r="T3843" s="10">
        <v>20.37653555136647</v>
      </c>
      <c r="U3843" s="11">
        <v>0.0770235069383545</v>
      </c>
      <c r="V3843" s="11">
        <v>0.17577977207606296</v>
      </c>
      <c r="W3843" s="11">
        <v>0.24852120202879244</v>
      </c>
      <c r="X3843" s="11">
        <v>0.2008742196281311</v>
      </c>
      <c r="Y3843" s="11">
        <v>0.1495127394246321</v>
      </c>
      <c r="Z3843" s="11">
        <v>0.14828855990402684</v>
      </c>
    </row>
    <row r="3844" ht="22.5" customHeight="1">
      <c r="Q3844" s="9" t="s">
        <v>3882</v>
      </c>
      <c r="R3844" s="10">
        <v>0.56500652258791</v>
      </c>
      <c r="S3844" s="10">
        <v>0.025765932637282555</v>
      </c>
      <c r="T3844" s="10">
        <v>20.375995310499288</v>
      </c>
      <c r="U3844" s="11">
        <v>0.17184652549131796</v>
      </c>
      <c r="V3844" s="11">
        <v>0.11105934848481104</v>
      </c>
      <c r="W3844" s="11">
        <v>0.20067369321793438</v>
      </c>
      <c r="X3844" s="11">
        <v>0.18523681155754668</v>
      </c>
      <c r="Y3844" s="11">
        <v>0.19215296426207465</v>
      </c>
      <c r="Z3844" s="11">
        <v>0.13903065698631525</v>
      </c>
    </row>
    <row r="3845" ht="22.5" customHeight="1">
      <c r="Q3845" s="9" t="s">
        <v>3883</v>
      </c>
      <c r="R3845" s="10">
        <v>0.5464221052951436</v>
      </c>
      <c r="S3845" s="10">
        <v>0.024854061542930742</v>
      </c>
      <c r="T3845" s="10">
        <v>20.375828893011874</v>
      </c>
      <c r="U3845" s="11">
        <v>0.09145085102498439</v>
      </c>
      <c r="V3845" s="11">
        <v>0.21240323209958453</v>
      </c>
      <c r="W3845" s="11">
        <v>0.08270109851709265</v>
      </c>
      <c r="X3845" s="11">
        <v>0.1630641333418268</v>
      </c>
      <c r="Y3845" s="11">
        <v>0.2637567458267402</v>
      </c>
      <c r="Z3845" s="11">
        <v>0.18662393918977147</v>
      </c>
    </row>
    <row r="3846" ht="22.5" customHeight="1">
      <c r="Q3846" s="9" t="s">
        <v>3884</v>
      </c>
      <c r="R3846" s="10">
        <v>0.5983296800066249</v>
      </c>
      <c r="S3846" s="10">
        <v>0.027401711219856264</v>
      </c>
      <c r="T3846" s="10">
        <v>20.375723089952103</v>
      </c>
      <c r="U3846" s="11">
        <v>0.10470748198605781</v>
      </c>
      <c r="V3846" s="11">
        <v>0.15135587919177568</v>
      </c>
      <c r="W3846" s="11">
        <v>0.2018152412546659</v>
      </c>
      <c r="X3846" s="11">
        <v>0.13786506841805</v>
      </c>
      <c r="Y3846" s="11">
        <v>0.07035180604038697</v>
      </c>
      <c r="Z3846" s="11">
        <v>0.3339045231090636</v>
      </c>
    </row>
    <row r="3847" ht="22.5" customHeight="1">
      <c r="Q3847" s="9" t="s">
        <v>3885</v>
      </c>
      <c r="R3847" s="10">
        <v>0.6724224716535248</v>
      </c>
      <c r="S3847" s="10">
        <v>0.031039571875777133</v>
      </c>
      <c r="T3847" s="10">
        <v>20.37471631968799</v>
      </c>
      <c r="U3847" s="11">
        <v>0.10722841379401965</v>
      </c>
      <c r="V3847" s="11">
        <v>0.15355114649053242</v>
      </c>
      <c r="W3847" s="11">
        <v>0.2384237467359118</v>
      </c>
      <c r="X3847" s="11">
        <v>0.21469082487169522</v>
      </c>
      <c r="Y3847" s="11">
        <v>0.14196542806964993</v>
      </c>
      <c r="Z3847" s="11">
        <v>0.1441404400381909</v>
      </c>
    </row>
    <row r="3848" ht="22.5" customHeight="1">
      <c r="Q3848" s="9" t="s">
        <v>3886</v>
      </c>
      <c r="R3848" s="10">
        <v>0.602730896756506</v>
      </c>
      <c r="S3848" s="10">
        <v>0.027619954991045973</v>
      </c>
      <c r="T3848" s="10">
        <v>20.374070013471634</v>
      </c>
      <c r="U3848" s="11">
        <v>0.2399784563887236</v>
      </c>
      <c r="V3848" s="11">
        <v>0.23472471051722024</v>
      </c>
      <c r="W3848" s="11">
        <v>0.10931775166696928</v>
      </c>
      <c r="X3848" s="11">
        <v>0.1521266307126874</v>
      </c>
      <c r="Y3848" s="11">
        <v>0.05629147494776513</v>
      </c>
      <c r="Z3848" s="11">
        <v>0.20756097576663446</v>
      </c>
    </row>
    <row r="3849" ht="22.5" customHeight="1">
      <c r="Q3849" s="9" t="s">
        <v>3887</v>
      </c>
      <c r="R3849" s="10">
        <v>0.4826637887038232</v>
      </c>
      <c r="S3849" s="10">
        <v>0.021726902631189662</v>
      </c>
      <c r="T3849" s="10">
        <v>20.37399422356527</v>
      </c>
      <c r="U3849" s="11">
        <v>0.19275570836307426</v>
      </c>
      <c r="V3849" s="11">
        <v>0.18771345745383464</v>
      </c>
      <c r="W3849" s="11">
        <v>0.062140790516696784</v>
      </c>
      <c r="X3849" s="11">
        <v>0.17291067754621067</v>
      </c>
      <c r="Y3849" s="11">
        <v>0.16407067744033926</v>
      </c>
      <c r="Z3849" s="11">
        <v>0.22040868867984437</v>
      </c>
    </row>
    <row r="3850" ht="22.5" customHeight="1">
      <c r="Q3850" s="9" t="s">
        <v>3888</v>
      </c>
      <c r="R3850" s="10">
        <v>0.8242919779467248</v>
      </c>
      <c r="S3850" s="10">
        <v>0.038495249760513474</v>
      </c>
      <c r="T3850" s="10">
        <v>20.373733975645294</v>
      </c>
      <c r="U3850" s="11">
        <v>0.16024613809129296</v>
      </c>
      <c r="V3850" s="11">
        <v>0.24744249181879158</v>
      </c>
      <c r="W3850" s="11">
        <v>0.2631737258694017</v>
      </c>
      <c r="X3850" s="11">
        <v>0.15215318343009537</v>
      </c>
      <c r="Y3850" s="11">
        <v>0.06020711915373042</v>
      </c>
      <c r="Z3850" s="11">
        <v>0.11677734163668799</v>
      </c>
    </row>
    <row r="3851" ht="22.5" customHeight="1">
      <c r="Q3851" s="9" t="s">
        <v>3889</v>
      </c>
      <c r="R3851" s="10">
        <v>0.4158092358756666</v>
      </c>
      <c r="S3851" s="10">
        <v>0.01844591100382059</v>
      </c>
      <c r="T3851" s="10">
        <v>20.373579586165604</v>
      </c>
      <c r="U3851" s="11">
        <v>0.10213771061540909</v>
      </c>
      <c r="V3851" s="11">
        <v>0.1254036056029058</v>
      </c>
      <c r="W3851" s="11">
        <v>0.10571093377989192</v>
      </c>
      <c r="X3851" s="11">
        <v>0.06075032549708675</v>
      </c>
      <c r="Y3851" s="11">
        <v>0.06191546057351934</v>
      </c>
      <c r="Z3851" s="11">
        <v>0.5440819639311871</v>
      </c>
    </row>
    <row r="3852" ht="22.5" customHeight="1">
      <c r="Q3852" s="9" t="s">
        <v>3890</v>
      </c>
      <c r="R3852" s="10">
        <v>0.6637704517138646</v>
      </c>
      <c r="S3852" s="10">
        <v>0.030616905062258802</v>
      </c>
      <c r="T3852" s="10">
        <v>20.3733999385451</v>
      </c>
      <c r="U3852" s="11">
        <v>0.250930311295405</v>
      </c>
      <c r="V3852" s="11">
        <v>0.19435744842432987</v>
      </c>
      <c r="W3852" s="11">
        <v>0.20176064340222985</v>
      </c>
      <c r="X3852" s="11">
        <v>0.01790043840847842</v>
      </c>
      <c r="Y3852" s="11">
        <v>0.2233132818181842</v>
      </c>
      <c r="Z3852" s="11">
        <v>0.11173787665137279</v>
      </c>
    </row>
    <row r="3853" ht="22.5" customHeight="1">
      <c r="Q3853" s="9" t="s">
        <v>3891</v>
      </c>
      <c r="R3853" s="10">
        <v>0.5060762499551997</v>
      </c>
      <c r="S3853" s="10">
        <v>0.022877115354726012</v>
      </c>
      <c r="T3853" s="10">
        <v>20.37303404421207</v>
      </c>
      <c r="U3853" s="11">
        <v>0.3410517574995237</v>
      </c>
      <c r="V3853" s="11">
        <v>0.08984939531937962</v>
      </c>
      <c r="W3853" s="11">
        <v>0.1781644354964152</v>
      </c>
      <c r="X3853" s="11">
        <v>0.18982431047217319</v>
      </c>
      <c r="Y3853" s="11">
        <v>0.07695807623976414</v>
      </c>
      <c r="Z3853" s="11">
        <v>0.12415202497274412</v>
      </c>
    </row>
    <row r="3854" ht="22.5" customHeight="1">
      <c r="Q3854" s="9" t="s">
        <v>3892</v>
      </c>
      <c r="R3854" s="10">
        <v>0.4347473920224001</v>
      </c>
      <c r="S3854" s="10">
        <v>0.01937598756329072</v>
      </c>
      <c r="T3854" s="10">
        <v>20.373020509688963</v>
      </c>
      <c r="U3854" s="11">
        <v>0.2051918351266611</v>
      </c>
      <c r="V3854" s="11">
        <v>0.06298785077039572</v>
      </c>
      <c r="W3854" s="11">
        <v>0.1497068722522334</v>
      </c>
      <c r="X3854" s="11">
        <v>0.2029245348658545</v>
      </c>
      <c r="Y3854" s="11">
        <v>0.21023004725375521</v>
      </c>
      <c r="Z3854" s="11">
        <v>0.16895885973110003</v>
      </c>
    </row>
    <row r="3855" ht="22.5" customHeight="1">
      <c r="Q3855" s="9" t="s">
        <v>3893</v>
      </c>
      <c r="R3855" s="10">
        <v>0.8404011162297722</v>
      </c>
      <c r="S3855" s="10">
        <v>0.03928770990574954</v>
      </c>
      <c r="T3855" s="10">
        <v>20.37281170498151</v>
      </c>
      <c r="U3855" s="11">
        <v>0.1539482976432465</v>
      </c>
      <c r="V3855" s="11">
        <v>0.2845727861351207</v>
      </c>
      <c r="W3855" s="11">
        <v>0.23843488801168292</v>
      </c>
      <c r="X3855" s="11">
        <v>0.11784645269995331</v>
      </c>
      <c r="Y3855" s="11">
        <v>0.09511634322880964</v>
      </c>
      <c r="Z3855" s="11">
        <v>0.11008123228118677</v>
      </c>
    </row>
    <row r="3856" ht="22.5" customHeight="1">
      <c r="Q3856" s="9" t="s">
        <v>3894</v>
      </c>
      <c r="R3856" s="10">
        <v>0.7181707004080795</v>
      </c>
      <c r="S3856" s="10">
        <v>0.03328851947724222</v>
      </c>
      <c r="T3856" s="10">
        <v>20.37251013436367</v>
      </c>
      <c r="U3856" s="11">
        <v>0.10186088867172986</v>
      </c>
      <c r="V3856" s="11">
        <v>0.20634202205045063</v>
      </c>
      <c r="W3856" s="11">
        <v>0.23245401948918057</v>
      </c>
      <c r="X3856" s="11">
        <v>0.11836692885827094</v>
      </c>
      <c r="Y3856" s="11">
        <v>0.10666476835958304</v>
      </c>
      <c r="Z3856" s="11">
        <v>0.23431137257078502</v>
      </c>
    </row>
    <row r="3857" ht="22.5" customHeight="1">
      <c r="Q3857" s="9" t="s">
        <v>3895</v>
      </c>
      <c r="R3857" s="10">
        <v>0.6703990746048731</v>
      </c>
      <c r="S3857" s="10">
        <v>0.030945297345918905</v>
      </c>
      <c r="T3857" s="10">
        <v>20.371401430014398</v>
      </c>
      <c r="U3857" s="11">
        <v>0.020204693640841247</v>
      </c>
      <c r="V3857" s="11">
        <v>0.1554916860851812</v>
      </c>
      <c r="W3857" s="11">
        <v>0.22890933448986836</v>
      </c>
      <c r="X3857" s="11">
        <v>0.1807761773091898</v>
      </c>
      <c r="Y3857" s="11">
        <v>0.3502625776922996</v>
      </c>
      <c r="Z3857" s="11">
        <v>0.06435553078261975</v>
      </c>
    </row>
    <row r="3858" ht="22.5" customHeight="1">
      <c r="Q3858" s="9" t="s">
        <v>3896</v>
      </c>
      <c r="R3858" s="10">
        <v>0.7853046687177008</v>
      </c>
      <c r="S3858" s="10">
        <v>0.03658673429073683</v>
      </c>
      <c r="T3858" s="10">
        <v>20.37089899292815</v>
      </c>
      <c r="U3858" s="11">
        <v>0.03642038770816375</v>
      </c>
      <c r="V3858" s="11">
        <v>0.21476843480930669</v>
      </c>
      <c r="W3858" s="11">
        <v>0.26422982103541126</v>
      </c>
      <c r="X3858" s="11">
        <v>0.19544622797535885</v>
      </c>
      <c r="Y3858" s="11">
        <v>0.13494397196902655</v>
      </c>
      <c r="Z3858" s="11">
        <v>0.15419115650273282</v>
      </c>
    </row>
    <row r="3859" ht="22.5" customHeight="1">
      <c r="Q3859" s="9" t="s">
        <v>3897</v>
      </c>
      <c r="R3859" s="10">
        <v>0.522331348251574</v>
      </c>
      <c r="S3859" s="10">
        <v>0.04075711768513539</v>
      </c>
      <c r="T3859" s="10">
        <v>20.3705842532335</v>
      </c>
      <c r="U3859" s="11">
        <v>0.10888796659429367</v>
      </c>
      <c r="V3859" s="11">
        <v>0.3225694612477952</v>
      </c>
      <c r="W3859" s="11">
        <v>0.21361839872446814</v>
      </c>
      <c r="X3859" s="11">
        <v>0.18413273187633183</v>
      </c>
      <c r="Y3859" s="11">
        <v>0.10192847871652316</v>
      </c>
      <c r="Z3859" s="11">
        <v>0.06886296284058818</v>
      </c>
    </row>
    <row r="3860" ht="22.5" customHeight="1">
      <c r="Q3860" s="9" t="s">
        <v>3898</v>
      </c>
      <c r="R3860" s="10">
        <v>0.6941027704511645</v>
      </c>
      <c r="S3860" s="10">
        <v>0.03211021726740646</v>
      </c>
      <c r="T3860" s="10">
        <v>20.370549504662268</v>
      </c>
      <c r="U3860" s="11">
        <v>0.29091183614480826</v>
      </c>
      <c r="V3860" s="11">
        <v>0.1714376834266561</v>
      </c>
      <c r="W3860" s="11">
        <v>0.23603357420434581</v>
      </c>
      <c r="X3860" s="11">
        <v>0.11326526649392456</v>
      </c>
      <c r="Y3860" s="11">
        <v>0.1850835239260623</v>
      </c>
      <c r="Z3860" s="11">
        <v>0.0032681158042030052</v>
      </c>
    </row>
    <row r="3861" ht="22.5" customHeight="1">
      <c r="Q3861" s="9" t="s">
        <v>3899</v>
      </c>
      <c r="R3861" s="10">
        <v>0.24956556604847296</v>
      </c>
      <c r="S3861" s="10">
        <v>0.010287942875715538</v>
      </c>
      <c r="T3861" s="10">
        <v>20.370016492135456</v>
      </c>
      <c r="U3861" s="11">
        <v>0.33746975642273264</v>
      </c>
      <c r="V3861" s="11">
        <v>0.030896208973741453</v>
      </c>
      <c r="W3861" s="11">
        <v>0.03290095996673182</v>
      </c>
      <c r="X3861" s="11">
        <v>0.3390566970413291</v>
      </c>
      <c r="Y3861" s="11">
        <v>0.05632943704736372</v>
      </c>
      <c r="Z3861" s="11">
        <v>0.20334694054810126</v>
      </c>
    </row>
    <row r="3862" ht="22.5" customHeight="1">
      <c r="Q3862" s="9" t="s">
        <v>3900</v>
      </c>
      <c r="R3862" s="10">
        <v>0.6570129660906512</v>
      </c>
      <c r="S3862" s="10">
        <v>0.0302903332047181</v>
      </c>
      <c r="T3862" s="10">
        <v>20.36996298193721</v>
      </c>
      <c r="U3862" s="11">
        <v>0.18942955314286725</v>
      </c>
      <c r="V3862" s="11">
        <v>0.2575696668715203</v>
      </c>
      <c r="W3862" s="11">
        <v>0.11729590391320284</v>
      </c>
      <c r="X3862" s="11">
        <v>0.16109757483550602</v>
      </c>
      <c r="Y3862" s="11">
        <v>0.1869261278058497</v>
      </c>
      <c r="Z3862" s="11">
        <v>0.08768117343105397</v>
      </c>
    </row>
    <row r="3863" ht="22.5" customHeight="1">
      <c r="Q3863" s="9" t="s">
        <v>3901</v>
      </c>
      <c r="R3863" s="10">
        <v>0.6895491434211887</v>
      </c>
      <c r="S3863" s="10">
        <v>0.03188825988460811</v>
      </c>
      <c r="T3863" s="10">
        <v>20.36953868827174</v>
      </c>
      <c r="U3863" s="11">
        <v>0.2650414482829947</v>
      </c>
      <c r="V3863" s="11">
        <v>0.23321761607955796</v>
      </c>
      <c r="W3863" s="11">
        <v>0.18014438818209985</v>
      </c>
      <c r="X3863" s="11">
        <v>0.00969357368240746</v>
      </c>
      <c r="Y3863" s="11">
        <v>0.22522681703650557</v>
      </c>
      <c r="Z3863" s="11">
        <v>0.08667615673643464</v>
      </c>
    </row>
    <row r="3864" ht="22.5" customHeight="1">
      <c r="Q3864" s="9" t="s">
        <v>3902</v>
      </c>
      <c r="R3864" s="10">
        <v>0.6745158213304644</v>
      </c>
      <c r="S3864" s="10">
        <v>0.031152162465612192</v>
      </c>
      <c r="T3864" s="10">
        <v>20.368275301301626</v>
      </c>
      <c r="U3864" s="11">
        <v>0.08040571016031582</v>
      </c>
      <c r="V3864" s="11">
        <v>0.2606174109225229</v>
      </c>
      <c r="W3864" s="11">
        <v>0.13859830322669608</v>
      </c>
      <c r="X3864" s="11">
        <v>0.15566148742878355</v>
      </c>
      <c r="Y3864" s="11">
        <v>0.1191825311214115</v>
      </c>
      <c r="Z3864" s="11">
        <v>0.24553455714027025</v>
      </c>
    </row>
    <row r="3865" ht="22.5" customHeight="1">
      <c r="Q3865" s="9" t="s">
        <v>3903</v>
      </c>
      <c r="R3865" s="10">
        <v>0.7817842056937399</v>
      </c>
      <c r="S3865" s="10">
        <v>0.03641875928389227</v>
      </c>
      <c r="T3865" s="10">
        <v>20.368189918590254</v>
      </c>
      <c r="U3865" s="11">
        <v>0.02902108694812675</v>
      </c>
      <c r="V3865" s="11">
        <v>0.2456078257530019</v>
      </c>
      <c r="W3865" s="11">
        <v>0.23519996778276553</v>
      </c>
      <c r="X3865" s="11">
        <v>0.09456651630846691</v>
      </c>
      <c r="Y3865" s="11">
        <v>0.24358344336506257</v>
      </c>
      <c r="Z3865" s="11">
        <v>0.15202115984257636</v>
      </c>
    </row>
    <row r="3866" ht="22.5" customHeight="1">
      <c r="Q3866" s="9" t="s">
        <v>3904</v>
      </c>
      <c r="R3866" s="10">
        <v>0.7437594579440298</v>
      </c>
      <c r="S3866" s="10">
        <v>0.03455254891134158</v>
      </c>
      <c r="T3866" s="10">
        <v>20.36780151154136</v>
      </c>
      <c r="U3866" s="11">
        <v>0.24352671702643014</v>
      </c>
      <c r="V3866" s="11">
        <v>0.22470211085983893</v>
      </c>
      <c r="W3866" s="11">
        <v>0.23211308108481696</v>
      </c>
      <c r="X3866" s="11">
        <v>0.09139327069691093</v>
      </c>
      <c r="Y3866" s="11">
        <v>0.04956820652580792</v>
      </c>
      <c r="Z3866" s="11">
        <v>0.15869661380619512</v>
      </c>
    </row>
    <row r="3867" ht="22.5" customHeight="1">
      <c r="Q3867" s="9" t="s">
        <v>3905</v>
      </c>
      <c r="R3867" s="10">
        <v>0.6745175977712318</v>
      </c>
      <c r="S3867" s="10">
        <v>0.031153078241005674</v>
      </c>
      <c r="T3867" s="10">
        <v>20.36773357876523</v>
      </c>
      <c r="U3867" s="11">
        <v>0.20236420803136576</v>
      </c>
      <c r="V3867" s="11">
        <v>0.18520034253546772</v>
      </c>
      <c r="W3867" s="11">
        <v>0.2167191372599134</v>
      </c>
      <c r="X3867" s="11">
        <v>0.05421836084194325</v>
      </c>
      <c r="Y3867" s="11">
        <v>0.22812465515541164</v>
      </c>
      <c r="Z3867" s="11">
        <v>0.11337329617589822</v>
      </c>
    </row>
    <row r="3868" ht="22.5" customHeight="1">
      <c r="Q3868" s="9" t="s">
        <v>3906</v>
      </c>
      <c r="R3868" s="10">
        <v>0.6707103882077543</v>
      </c>
      <c r="S3868" s="10">
        <v>0.030966398077765078</v>
      </c>
      <c r="T3868" s="10">
        <v>20.367573478318928</v>
      </c>
      <c r="U3868" s="11">
        <v>0.25086657964534237</v>
      </c>
      <c r="V3868" s="11">
        <v>0.1618071400682733</v>
      </c>
      <c r="W3868" s="11">
        <v>0.22809329746072474</v>
      </c>
      <c r="X3868" s="11">
        <v>0.10925920205000506</v>
      </c>
      <c r="Y3868" s="11">
        <v>0.23335752918966085</v>
      </c>
      <c r="Z3868" s="11">
        <v>0.016616251585993645</v>
      </c>
    </row>
    <row r="3869" ht="22.5" customHeight="1">
      <c r="Q3869" s="9" t="s">
        <v>3907</v>
      </c>
      <c r="R3869" s="10">
        <v>0.7430393381429606</v>
      </c>
      <c r="S3869" s="10">
        <v>0.03451807895892271</v>
      </c>
      <c r="T3869" s="10">
        <v>20.367278810028598</v>
      </c>
      <c r="U3869" s="11">
        <v>0.029723466146043872</v>
      </c>
      <c r="V3869" s="11">
        <v>0.18111546770992085</v>
      </c>
      <c r="W3869" s="11">
        <v>0.2608820151247986</v>
      </c>
      <c r="X3869" s="11">
        <v>0.2457517359725242</v>
      </c>
      <c r="Y3869" s="11">
        <v>0.15114440542748045</v>
      </c>
      <c r="Z3869" s="11">
        <v>0.13138290961923202</v>
      </c>
    </row>
    <row r="3870" ht="22.5" customHeight="1">
      <c r="Q3870" s="9" t="s">
        <v>3908</v>
      </c>
      <c r="R3870" s="10">
        <v>0.24677980227193738</v>
      </c>
      <c r="S3870" s="10">
        <v>0.010152629017034953</v>
      </c>
      <c r="T3870" s="10">
        <v>20.36711889353826</v>
      </c>
      <c r="U3870" s="11">
        <v>0.2867298913353554</v>
      </c>
      <c r="V3870" s="11">
        <v>0.04343318687747477</v>
      </c>
      <c r="W3870" s="11">
        <v>0.03332261861634938</v>
      </c>
      <c r="X3870" s="11">
        <v>0.19578025035430596</v>
      </c>
      <c r="Y3870" s="11">
        <v>0.14208202833309116</v>
      </c>
      <c r="Z3870" s="11">
        <v>0.2986520244834233</v>
      </c>
    </row>
    <row r="3871" ht="22.5" customHeight="1">
      <c r="Q3871" s="9" t="s">
        <v>3909</v>
      </c>
      <c r="R3871" s="10">
        <v>0.83759199469634</v>
      </c>
      <c r="S3871" s="10">
        <v>0.039160793585437566</v>
      </c>
      <c r="T3871" s="10">
        <v>20.36710499638431</v>
      </c>
      <c r="U3871" s="11">
        <v>0.06505215103483135</v>
      </c>
      <c r="V3871" s="11">
        <v>0.23460392851219591</v>
      </c>
      <c r="W3871" s="11">
        <v>0.27979437398377893</v>
      </c>
      <c r="X3871" s="11">
        <v>0.20233823871009296</v>
      </c>
      <c r="Y3871" s="11">
        <v>0.13006505780349115</v>
      </c>
      <c r="Z3871" s="11">
        <v>0.08814624995560982</v>
      </c>
    </row>
    <row r="3872" ht="22.5" customHeight="1">
      <c r="Q3872" s="9" t="s">
        <v>3910</v>
      </c>
      <c r="R3872" s="10">
        <v>0.4145325916817727</v>
      </c>
      <c r="S3872" s="10">
        <v>0.018389192222474753</v>
      </c>
      <c r="T3872" s="10">
        <v>20.366995306298964</v>
      </c>
      <c r="U3872" s="11">
        <v>0.274015425138174</v>
      </c>
      <c r="V3872" s="11">
        <v>0.05790015126573808</v>
      </c>
      <c r="W3872" s="11">
        <v>0.14170484196105035</v>
      </c>
      <c r="X3872" s="11">
        <v>0.20245489845148848</v>
      </c>
      <c r="Y3872" s="11">
        <v>0.13890935904598076</v>
      </c>
      <c r="Z3872" s="11">
        <v>0.18501532413756833</v>
      </c>
    </row>
    <row r="3873" ht="22.5" customHeight="1">
      <c r="Q3873" s="9" t="s">
        <v>3911</v>
      </c>
      <c r="R3873" s="10">
        <v>0.7603134867968581</v>
      </c>
      <c r="S3873" s="10">
        <v>0.03536731503680813</v>
      </c>
      <c r="T3873" s="10">
        <v>20.366643214142776</v>
      </c>
      <c r="U3873" s="11">
        <v>0.22281785795909917</v>
      </c>
      <c r="V3873" s="11">
        <v>0.21872204772922035</v>
      </c>
      <c r="W3873" s="11">
        <v>0.24262369119765625</v>
      </c>
      <c r="X3873" s="11">
        <v>0.07441043174934385</v>
      </c>
      <c r="Y3873" s="11">
        <v>0.20462841697754922</v>
      </c>
      <c r="Z3873" s="11">
        <v>0.03679755438713121</v>
      </c>
    </row>
    <row r="3874" ht="22.5" customHeight="1">
      <c r="Q3874" s="9" t="s">
        <v>3912</v>
      </c>
      <c r="R3874" s="10">
        <v>0.4654411011145165</v>
      </c>
      <c r="S3874" s="10">
        <v>0.020889316652480006</v>
      </c>
      <c r="T3874" s="10">
        <v>20.36644415862247</v>
      </c>
      <c r="U3874" s="11">
        <v>0.1613274156681243</v>
      </c>
      <c r="V3874" s="11">
        <v>0.07661040725569862</v>
      </c>
      <c r="W3874" s="11">
        <v>0.16525426160349463</v>
      </c>
      <c r="X3874" s="11">
        <v>0.2410178417284921</v>
      </c>
      <c r="Y3874" s="11">
        <v>0.07431185431272949</v>
      </c>
      <c r="Z3874" s="11">
        <v>0.2814782194314609</v>
      </c>
    </row>
    <row r="3875" ht="22.5" customHeight="1">
      <c r="Q3875" s="9" t="s">
        <v>3913</v>
      </c>
      <c r="R3875" s="10">
        <v>0.6570629454383976</v>
      </c>
      <c r="S3875" s="10">
        <v>0.030298475444234738</v>
      </c>
      <c r="T3875" s="10">
        <v>20.36613844066579</v>
      </c>
      <c r="U3875" s="11">
        <v>0.23674907260029568</v>
      </c>
      <c r="V3875" s="11">
        <v>0.23833199840971583</v>
      </c>
      <c r="W3875" s="11">
        <v>0.14960154259096345</v>
      </c>
      <c r="X3875" s="11">
        <v>0.03726369631634602</v>
      </c>
      <c r="Y3875" s="11">
        <v>0.2129741291473293</v>
      </c>
      <c r="Z3875" s="11">
        <v>0.12507956093534972</v>
      </c>
    </row>
    <row r="3876" ht="22.5" customHeight="1">
      <c r="Q3876" s="9" t="s">
        <v>3914</v>
      </c>
      <c r="R3876" s="10">
        <v>0.5972582717059667</v>
      </c>
      <c r="S3876" s="10">
        <v>0.02736209619636031</v>
      </c>
      <c r="T3876" s="10">
        <v>20.366066536236097</v>
      </c>
      <c r="U3876" s="11">
        <v>0.17021494488414946</v>
      </c>
      <c r="V3876" s="11">
        <v>0.218286723604378</v>
      </c>
      <c r="W3876" s="11">
        <v>0.13195665976938836</v>
      </c>
      <c r="X3876" s="11">
        <v>0.04323032390431914</v>
      </c>
      <c r="Y3876" s="11">
        <v>0.17832077143066155</v>
      </c>
      <c r="Z3876" s="11">
        <v>0.2579905764071035</v>
      </c>
    </row>
    <row r="3877" ht="22.5" customHeight="1">
      <c r="Q3877" s="9" t="s">
        <v>3915</v>
      </c>
      <c r="R3877" s="10">
        <v>0.522331348251574</v>
      </c>
      <c r="S3877" s="10">
        <v>0.020810721468453783</v>
      </c>
      <c r="T3877" s="10">
        <v>20.366062127570956</v>
      </c>
      <c r="U3877" s="11">
        <v>0.17006649403100702</v>
      </c>
      <c r="V3877" s="11">
        <v>0.17692761982913788</v>
      </c>
      <c r="W3877" s="11">
        <v>0.0693412667283944</v>
      </c>
      <c r="X3877" s="11">
        <v>0.12107950852955224</v>
      </c>
      <c r="Y3877" s="11">
        <v>0.14242825054529545</v>
      </c>
      <c r="Z3877" s="11">
        <v>0.32015686033661295</v>
      </c>
    </row>
    <row r="3878" ht="22.5" customHeight="1">
      <c r="Q3878" s="9" t="s">
        <v>3916</v>
      </c>
      <c r="R3878" s="10">
        <v>0.7643183711574871</v>
      </c>
      <c r="S3878" s="10">
        <v>0.03556722439819516</v>
      </c>
      <c r="T3878" s="10">
        <v>20.364770752092824</v>
      </c>
      <c r="U3878" s="11">
        <v>0.22246702432383536</v>
      </c>
      <c r="V3878" s="11">
        <v>0.24669200343743988</v>
      </c>
      <c r="W3878" s="11">
        <v>0.22604912764359744</v>
      </c>
      <c r="X3878" s="11">
        <v>0.08882977421482571</v>
      </c>
      <c r="Y3878" s="11">
        <v>0.04422971501971082</v>
      </c>
      <c r="Z3878" s="11">
        <v>0.17173235536059084</v>
      </c>
    </row>
    <row r="3879" ht="22.5" customHeight="1">
      <c r="Q3879" s="9" t="s">
        <v>3917</v>
      </c>
      <c r="R3879" s="10">
        <v>0.443972845158766</v>
      </c>
      <c r="S3879" s="10">
        <v>0.019837769231329492</v>
      </c>
      <c r="T3879" s="10">
        <v>20.363824200594983</v>
      </c>
      <c r="U3879" s="11">
        <v>0.2691247069683798</v>
      </c>
      <c r="V3879" s="11">
        <v>0.15193335248256185</v>
      </c>
      <c r="W3879" s="11">
        <v>0.07617819069944454</v>
      </c>
      <c r="X3879" s="11">
        <v>0.035125475277250955</v>
      </c>
      <c r="Y3879" s="11">
        <v>0.29103692249654817</v>
      </c>
      <c r="Z3879" s="11">
        <v>0.17660135207581465</v>
      </c>
    </row>
    <row r="3880" ht="22.5" customHeight="1">
      <c r="Q3880" s="9" t="s">
        <v>3918</v>
      </c>
      <c r="R3880" s="10">
        <v>0.35264824556415764</v>
      </c>
      <c r="S3880" s="10">
        <v>0.015353288066565194</v>
      </c>
      <c r="T3880" s="10">
        <v>20.363601868775635</v>
      </c>
      <c r="U3880" s="11">
        <v>0.21669899234931073</v>
      </c>
      <c r="V3880" s="11">
        <v>0.05927921751237668</v>
      </c>
      <c r="W3880" s="11">
        <v>0.10088719898615277</v>
      </c>
      <c r="X3880" s="11">
        <v>0.09877775547805005</v>
      </c>
      <c r="Y3880" s="11">
        <v>0.28603577892424636</v>
      </c>
      <c r="Z3880" s="11">
        <v>0.2383210567498634</v>
      </c>
    </row>
    <row r="3881" ht="22.5" customHeight="1">
      <c r="Q3881" s="9" t="s">
        <v>3919</v>
      </c>
      <c r="R3881" s="10">
        <v>0.7229584718629584</v>
      </c>
      <c r="S3881" s="10">
        <v>0.03353861803031198</v>
      </c>
      <c r="T3881" s="10">
        <v>20.363345658598842</v>
      </c>
      <c r="U3881" s="11">
        <v>0.03444291693618706</v>
      </c>
      <c r="V3881" s="11">
        <v>0.23068572879212731</v>
      </c>
      <c r="W3881" s="11">
        <v>0.21223909050431095</v>
      </c>
      <c r="X3881" s="11">
        <v>0.06856194826579859</v>
      </c>
      <c r="Y3881" s="11">
        <v>0.2228961359280475</v>
      </c>
      <c r="Z3881" s="11">
        <v>0.23117417957352862</v>
      </c>
    </row>
    <row r="3882" ht="22.5" customHeight="1">
      <c r="Q3882" s="9" t="s">
        <v>3920</v>
      </c>
      <c r="R3882" s="10">
        <v>0.8575730369241412</v>
      </c>
      <c r="S3882" s="10">
        <v>0.040150271028109606</v>
      </c>
      <c r="T3882" s="10">
        <v>20.362827348083158</v>
      </c>
      <c r="U3882" s="11">
        <v>0.14885557542574362</v>
      </c>
      <c r="V3882" s="11">
        <v>0.26294877888729723</v>
      </c>
      <c r="W3882" s="11">
        <v>0.27020059919141176</v>
      </c>
      <c r="X3882" s="11">
        <v>0.14732670319547095</v>
      </c>
      <c r="Y3882" s="11">
        <v>0.09393998896632673</v>
      </c>
      <c r="Z3882" s="11">
        <v>0.07672835433374971</v>
      </c>
    </row>
    <row r="3883" ht="22.5" customHeight="1">
      <c r="Q3883" s="9" t="s">
        <v>3921</v>
      </c>
      <c r="R3883" s="10">
        <v>0.6142849555503203</v>
      </c>
      <c r="S3883" s="10">
        <v>0.028202687404702293</v>
      </c>
      <c r="T3883" s="10">
        <v>20.362774203374975</v>
      </c>
      <c r="U3883" s="11">
        <v>0.1926286428748422</v>
      </c>
      <c r="V3883" s="11">
        <v>0.1612776400918176</v>
      </c>
      <c r="W3883" s="11">
        <v>0.2013043284396342</v>
      </c>
      <c r="X3883" s="11">
        <v>0.06385486320428715</v>
      </c>
      <c r="Y3883" s="11">
        <v>0.16543449092555185</v>
      </c>
      <c r="Z3883" s="11">
        <v>0.21550003446386704</v>
      </c>
    </row>
    <row r="3884" ht="22.5" customHeight="1">
      <c r="Q3884" s="9" t="s">
        <v>3922</v>
      </c>
      <c r="R3884" s="10">
        <v>0.690168976969163</v>
      </c>
      <c r="S3884" s="10">
        <v>0.031929828513019315</v>
      </c>
      <c r="T3884" s="10">
        <v>20.362432472947923</v>
      </c>
      <c r="U3884" s="11">
        <v>0.04599848272665912</v>
      </c>
      <c r="V3884" s="11">
        <v>0.17028212820886313</v>
      </c>
      <c r="W3884" s="11">
        <v>0.24084843950099682</v>
      </c>
      <c r="X3884" s="11">
        <v>0.23019601800761452</v>
      </c>
      <c r="Y3884" s="11">
        <v>0.06462295624205473</v>
      </c>
      <c r="Z3884" s="11">
        <v>0.24805197531381173</v>
      </c>
    </row>
    <row r="3885" ht="22.5" customHeight="1">
      <c r="Q3885" s="9" t="s">
        <v>3923</v>
      </c>
      <c r="R3885" s="10">
        <v>0.8692668161441882</v>
      </c>
      <c r="S3885" s="10">
        <v>0.04072547630257744</v>
      </c>
      <c r="T3885" s="10">
        <v>20.362360159596353</v>
      </c>
      <c r="U3885" s="11">
        <v>0.155516001908859</v>
      </c>
      <c r="V3885" s="11">
        <v>0.2691142486746287</v>
      </c>
      <c r="W3885" s="11">
        <v>0.270678093707821</v>
      </c>
      <c r="X3885" s="11">
        <v>0.13053457820845824</v>
      </c>
      <c r="Y3885" s="11">
        <v>0.14236031836102447</v>
      </c>
      <c r="Z3885" s="11">
        <v>0.03179675913920861</v>
      </c>
    </row>
    <row r="3886" ht="22.5" customHeight="1">
      <c r="Q3886" s="9" t="s">
        <v>3924</v>
      </c>
      <c r="R3886" s="10">
        <v>0.3738500897296483</v>
      </c>
      <c r="S3886" s="10">
        <v>0.016395569731117072</v>
      </c>
      <c r="T3886" s="10">
        <v>20.362213403053378</v>
      </c>
      <c r="U3886" s="11">
        <v>0.19145937543960945</v>
      </c>
      <c r="V3886" s="11">
        <v>0.12102549662150436</v>
      </c>
      <c r="W3886" s="11">
        <v>0.02709062724584108</v>
      </c>
      <c r="X3886" s="11">
        <v>0.25077835661240166</v>
      </c>
      <c r="Y3886" s="11">
        <v>0.36318487851058867</v>
      </c>
      <c r="Z3886" s="11">
        <v>0.046461265570054935</v>
      </c>
    </row>
    <row r="3887" ht="22.5" customHeight="1">
      <c r="Q3887" s="9" t="s">
        <v>3925</v>
      </c>
      <c r="R3887" s="10">
        <v>0.5559862703008095</v>
      </c>
      <c r="S3887" s="10">
        <v>0.025340517412743777</v>
      </c>
      <c r="T3887" s="10">
        <v>20.36210476275908</v>
      </c>
      <c r="U3887" s="11">
        <v>0.16376223107466145</v>
      </c>
      <c r="V3887" s="11">
        <v>0.11321734311607574</v>
      </c>
      <c r="W3887" s="11">
        <v>0.19699587927767545</v>
      </c>
      <c r="X3887" s="11">
        <v>0.1735797926848366</v>
      </c>
      <c r="Y3887" s="11">
        <v>0.1480055302921007</v>
      </c>
      <c r="Z3887" s="11">
        <v>0.20443922355465005</v>
      </c>
    </row>
    <row r="3888" ht="22.5" customHeight="1">
      <c r="Q3888" s="9" t="s">
        <v>3926</v>
      </c>
      <c r="R3888" s="10">
        <v>0.6648376285928338</v>
      </c>
      <c r="S3888" s="10">
        <v>0.030686521116023466</v>
      </c>
      <c r="T3888" s="10">
        <v>20.36195716778611</v>
      </c>
      <c r="U3888" s="11">
        <v>0.20753362000488804</v>
      </c>
      <c r="V3888" s="11">
        <v>0.2405587373368767</v>
      </c>
      <c r="W3888" s="11">
        <v>0.15286727369536598</v>
      </c>
      <c r="X3888" s="11">
        <v>0.03752369957876441</v>
      </c>
      <c r="Y3888" s="11">
        <v>0.23585739656562335</v>
      </c>
      <c r="Z3888" s="11">
        <v>0.12565927281848147</v>
      </c>
    </row>
    <row r="3889" ht="22.5" customHeight="1">
      <c r="Q3889" s="9" t="s">
        <v>3927</v>
      </c>
      <c r="R3889" s="10">
        <v>0.47197500162816575</v>
      </c>
      <c r="S3889" s="10">
        <v>0.021214986569954592</v>
      </c>
      <c r="T3889" s="10">
        <v>20.361785297566197</v>
      </c>
      <c r="U3889" s="11">
        <v>0.08318321306903428</v>
      </c>
      <c r="V3889" s="11">
        <v>0.1826869249698109</v>
      </c>
      <c r="W3889" s="11">
        <v>0.047085271797522615</v>
      </c>
      <c r="X3889" s="11">
        <v>0.263244955702798</v>
      </c>
      <c r="Y3889" s="11">
        <v>0.25065166098951</v>
      </c>
      <c r="Z3889" s="11">
        <v>0.17314797347132424</v>
      </c>
    </row>
    <row r="3890" ht="22.5" customHeight="1">
      <c r="Q3890" s="9" t="s">
        <v>3928</v>
      </c>
      <c r="R3890" s="10">
        <v>0.6445412273939718</v>
      </c>
      <c r="S3890" s="10">
        <v>0.02969033346919454</v>
      </c>
      <c r="T3890" s="10">
        <v>20.36155060438168</v>
      </c>
      <c r="U3890" s="11">
        <v>0.13971229347977895</v>
      </c>
      <c r="V3890" s="11">
        <v>0.2516799230637659</v>
      </c>
      <c r="W3890" s="11">
        <v>0.11192862973899288</v>
      </c>
      <c r="X3890" s="11">
        <v>0.15991759359174867</v>
      </c>
      <c r="Y3890" s="11">
        <v>0.258288362500916</v>
      </c>
      <c r="Z3890" s="11">
        <v>0.07847319762479756</v>
      </c>
    </row>
    <row r="3891" ht="22.5" customHeight="1">
      <c r="Q3891" s="9" t="s">
        <v>3929</v>
      </c>
      <c r="R3891" s="10">
        <v>0.6713026315971652</v>
      </c>
      <c r="S3891" s="10">
        <v>0.031005482684280255</v>
      </c>
      <c r="T3891" s="10">
        <v>20.360999956863594</v>
      </c>
      <c r="U3891" s="11">
        <v>0.057332778179641775</v>
      </c>
      <c r="V3891" s="11">
        <v>0.26414683295250807</v>
      </c>
      <c r="W3891" s="11">
        <v>0.12565922315529193</v>
      </c>
      <c r="X3891" s="11">
        <v>0.18943229138925174</v>
      </c>
      <c r="Y3891" s="11">
        <v>0.1684535329433375</v>
      </c>
      <c r="Z3891" s="11">
        <v>0.19497534137996905</v>
      </c>
    </row>
    <row r="3892" ht="22.5" customHeight="1">
      <c r="Q3892" s="9" t="s">
        <v>3930</v>
      </c>
      <c r="R3892" s="10">
        <v>0.7569067576380341</v>
      </c>
      <c r="S3892" s="10">
        <v>0.0352100893098094</v>
      </c>
      <c r="T3892" s="10">
        <v>20.360833263728942</v>
      </c>
      <c r="U3892" s="11">
        <v>0.3240567744629662</v>
      </c>
      <c r="V3892" s="11">
        <v>0.23666209165019553</v>
      </c>
      <c r="W3892" s="11">
        <v>0.22823653195348076</v>
      </c>
      <c r="X3892" s="11">
        <v>0.07591537372852622</v>
      </c>
      <c r="Y3892" s="11">
        <v>0.03177024815092137</v>
      </c>
      <c r="Z3892" s="11">
        <v>0.1033589800539101</v>
      </c>
    </row>
    <row r="3893" ht="22.5" customHeight="1">
      <c r="Q3893" s="9" t="s">
        <v>3931</v>
      </c>
      <c r="R3893" s="10">
        <v>0.7043746852551516</v>
      </c>
      <c r="S3893" s="10">
        <v>0.03263022399154215</v>
      </c>
      <c r="T3893" s="10">
        <v>20.36071482155193</v>
      </c>
      <c r="U3893" s="11">
        <v>0.034784738965702514</v>
      </c>
      <c r="V3893" s="11">
        <v>0.20463555039247464</v>
      </c>
      <c r="W3893" s="11">
        <v>0.22320619016475102</v>
      </c>
      <c r="X3893" s="11">
        <v>0.09020472416244874</v>
      </c>
      <c r="Y3893" s="11">
        <v>0.21988609280251833</v>
      </c>
      <c r="Z3893" s="11">
        <v>0.2272827035121048</v>
      </c>
    </row>
    <row r="3894" ht="22.5" customHeight="1">
      <c r="Q3894" s="9" t="s">
        <v>3932</v>
      </c>
      <c r="R3894" s="10">
        <v>0.5672174611268551</v>
      </c>
      <c r="S3894" s="10">
        <v>0.025894219457453002</v>
      </c>
      <c r="T3894" s="10">
        <v>20.360430712851965</v>
      </c>
      <c r="U3894" s="11">
        <v>0.23239344455193497</v>
      </c>
      <c r="V3894" s="11">
        <v>0.16629570720433853</v>
      </c>
      <c r="W3894" s="11">
        <v>0.16905204001166413</v>
      </c>
      <c r="X3894" s="11">
        <v>0.014583940233145645</v>
      </c>
      <c r="Y3894" s="11">
        <v>0.12103242146891545</v>
      </c>
      <c r="Z3894" s="11">
        <v>0.2966424465300014</v>
      </c>
    </row>
    <row r="3895" ht="22.5" customHeight="1">
      <c r="Q3895" s="9" t="s">
        <v>3933</v>
      </c>
      <c r="R3895" s="10">
        <v>0.701957178729387</v>
      </c>
      <c r="S3895" s="10">
        <v>0.032512322491926024</v>
      </c>
      <c r="T3895" s="10">
        <v>20.360193551038215</v>
      </c>
      <c r="U3895" s="11">
        <v>0.25936413345887216</v>
      </c>
      <c r="V3895" s="11">
        <v>0.24659933959833008</v>
      </c>
      <c r="W3895" s="11">
        <v>0.180510878724265</v>
      </c>
      <c r="X3895" s="11">
        <v>0.05468029457293124</v>
      </c>
      <c r="Y3895" s="11">
        <v>0.07525129426291649</v>
      </c>
      <c r="Z3895" s="11">
        <v>0.18359405938268505</v>
      </c>
    </row>
    <row r="3896" ht="22.5" customHeight="1">
      <c r="Q3896" s="9" t="s">
        <v>3934</v>
      </c>
      <c r="R3896" s="10">
        <v>0.522331348251574</v>
      </c>
      <c r="S3896" s="10">
        <v>0.026503037592012738</v>
      </c>
      <c r="T3896" s="10">
        <v>20.360137481422296</v>
      </c>
      <c r="U3896" s="11">
        <v>0.13175811772608073</v>
      </c>
      <c r="V3896" s="11">
        <v>0.1109302835098448</v>
      </c>
      <c r="W3896" s="11">
        <v>0.20886507033050228</v>
      </c>
      <c r="X3896" s="11">
        <v>0.2287482909656679</v>
      </c>
      <c r="Y3896" s="11">
        <v>0.1792745486373161</v>
      </c>
      <c r="Z3896" s="11">
        <v>0.1404236888305881</v>
      </c>
    </row>
    <row r="3897" ht="22.5" customHeight="1">
      <c r="Q3897" s="9" t="s">
        <v>3935</v>
      </c>
      <c r="R3897" s="10">
        <v>0.5364608887711434</v>
      </c>
      <c r="S3897" s="10">
        <v>0.02438433040947146</v>
      </c>
      <c r="T3897" s="10">
        <v>20.359832746455325</v>
      </c>
      <c r="U3897" s="11">
        <v>0.08018618262289129</v>
      </c>
      <c r="V3897" s="11">
        <v>0.20286676765300443</v>
      </c>
      <c r="W3897" s="11">
        <v>0.08310633400258366</v>
      </c>
      <c r="X3897" s="11">
        <v>0.13921028990797743</v>
      </c>
      <c r="Y3897" s="11">
        <v>0.34666556514486163</v>
      </c>
      <c r="Z3897" s="11">
        <v>0.14796486066868147</v>
      </c>
    </row>
    <row r="3898" ht="22.5" customHeight="1">
      <c r="Q3898" s="9" t="s">
        <v>3936</v>
      </c>
      <c r="R3898" s="10">
        <v>0.5106343355470033</v>
      </c>
      <c r="S3898" s="10">
        <v>0.02311635062468744</v>
      </c>
      <c r="T3898" s="10">
        <v>20.35937000559174</v>
      </c>
      <c r="U3898" s="11">
        <v>0.2033530809258885</v>
      </c>
      <c r="V3898" s="11">
        <v>0.19372033702110203</v>
      </c>
      <c r="W3898" s="11">
        <v>0.08228051730834539</v>
      </c>
      <c r="X3898" s="11">
        <v>0.0935463740899551</v>
      </c>
      <c r="Y3898" s="11">
        <v>0.2212554241606863</v>
      </c>
      <c r="Z3898" s="11">
        <v>0.2058442664940225</v>
      </c>
    </row>
    <row r="3899" ht="22.5" customHeight="1">
      <c r="Q3899" s="9" t="s">
        <v>3937</v>
      </c>
      <c r="R3899" s="10">
        <v>0.599811544436207</v>
      </c>
      <c r="S3899" s="10">
        <v>0.02749680469438783</v>
      </c>
      <c r="T3899" s="10">
        <v>20.359149023248722</v>
      </c>
      <c r="U3899" s="11">
        <v>0.20804273965380207</v>
      </c>
      <c r="V3899" s="11">
        <v>0.1298984594236022</v>
      </c>
      <c r="W3899" s="11">
        <v>0.21282546190283708</v>
      </c>
      <c r="X3899" s="11">
        <v>0.1821927233344232</v>
      </c>
      <c r="Y3899" s="11">
        <v>0.08485925828051459</v>
      </c>
      <c r="Z3899" s="11">
        <v>0.18218135740482092</v>
      </c>
    </row>
    <row r="3900" ht="22.5" customHeight="1">
      <c r="Q3900" s="9" t="s">
        <v>3938</v>
      </c>
      <c r="R3900" s="10">
        <v>0.586608351693214</v>
      </c>
      <c r="S3900" s="10">
        <v>0.02684943775821116</v>
      </c>
      <c r="T3900" s="10">
        <v>20.35827925395007</v>
      </c>
      <c r="U3900" s="11">
        <v>0.22881908013639612</v>
      </c>
      <c r="V3900" s="11">
        <v>0.1199454271957512</v>
      </c>
      <c r="W3900" s="11">
        <v>0.2098874827333165</v>
      </c>
      <c r="X3900" s="11">
        <v>0.19660647979999782</v>
      </c>
      <c r="Y3900" s="11">
        <v>0.09313875612155839</v>
      </c>
      <c r="Z3900" s="11">
        <v>0.15160277401297986</v>
      </c>
    </row>
    <row r="3901" ht="22.5" customHeight="1">
      <c r="Q3901" s="9" t="s">
        <v>3939</v>
      </c>
      <c r="R3901" s="10">
        <v>0.5866288134765307</v>
      </c>
      <c r="S3901" s="10">
        <v>0.026850921636240258</v>
      </c>
      <c r="T3901" s="10">
        <v>20.357916234009434</v>
      </c>
      <c r="U3901" s="11">
        <v>0.19953418071424134</v>
      </c>
      <c r="V3901" s="11">
        <v>0.12466991437592233</v>
      </c>
      <c r="W3901" s="11">
        <v>0.20891655340008805</v>
      </c>
      <c r="X3901" s="11">
        <v>0.20256398789650082</v>
      </c>
      <c r="Y3901" s="11">
        <v>0.04973403333380835</v>
      </c>
      <c r="Z3901" s="11">
        <v>0.21458133027943924</v>
      </c>
    </row>
    <row r="3902" ht="22.5" customHeight="1">
      <c r="Q3902" s="9" t="s">
        <v>3940</v>
      </c>
      <c r="R3902" s="10">
        <v>0.4804119786364808</v>
      </c>
      <c r="S3902" s="10">
        <v>0.021633490078801852</v>
      </c>
      <c r="T3902" s="10">
        <v>20.357879243351036</v>
      </c>
      <c r="U3902" s="11">
        <v>0.054104072948057254</v>
      </c>
      <c r="V3902" s="11">
        <v>0.18719906326081628</v>
      </c>
      <c r="W3902" s="11">
        <v>0.060702306636404926</v>
      </c>
      <c r="X3902" s="11">
        <v>0.20016041571318674</v>
      </c>
      <c r="Y3902" s="11">
        <v>0.2216103509827421</v>
      </c>
      <c r="Z3902" s="11">
        <v>0.27622379045879264</v>
      </c>
    </row>
    <row r="3903" ht="22.5" customHeight="1">
      <c r="Q3903" s="9" t="s">
        <v>3941</v>
      </c>
      <c r="R3903" s="10">
        <v>0.7379378766098077</v>
      </c>
      <c r="S3903" s="10">
        <v>0.03428363297079657</v>
      </c>
      <c r="T3903" s="10">
        <v>20.35775721914664</v>
      </c>
      <c r="U3903" s="11">
        <v>0.14664048250935213</v>
      </c>
      <c r="V3903" s="11">
        <v>0.27607368170837693</v>
      </c>
      <c r="W3903" s="11">
        <v>0.16627632334018028</v>
      </c>
      <c r="X3903" s="11">
        <v>0.09836774063482227</v>
      </c>
      <c r="Y3903" s="11">
        <v>0.21291480906476362</v>
      </c>
      <c r="Z3903" s="11">
        <v>0.09972696274250471</v>
      </c>
    </row>
    <row r="3904" ht="22.5" customHeight="1">
      <c r="Q3904" s="9" t="s">
        <v>3942</v>
      </c>
      <c r="R3904" s="10">
        <v>0.7109316131241086</v>
      </c>
      <c r="S3904" s="10">
        <v>0.03295709063796318</v>
      </c>
      <c r="T3904" s="10">
        <v>20.35773183059018</v>
      </c>
      <c r="U3904" s="11">
        <v>0.0955130159074128</v>
      </c>
      <c r="V3904" s="11">
        <v>0.20840216923974147</v>
      </c>
      <c r="W3904" s="11">
        <v>0.22276420524322105</v>
      </c>
      <c r="X3904" s="11">
        <v>0.06605272159866069</v>
      </c>
      <c r="Y3904" s="11">
        <v>0.2368923266410865</v>
      </c>
      <c r="Z3904" s="11">
        <v>0.17037556136987747</v>
      </c>
    </row>
    <row r="3905" ht="22.5" customHeight="1">
      <c r="Q3905" s="9" t="s">
        <v>3943</v>
      </c>
      <c r="R3905" s="10">
        <v>0.5982255499752501</v>
      </c>
      <c r="S3905" s="10">
        <v>0.027421211290704645</v>
      </c>
      <c r="T3905" s="10">
        <v>20.357435857127133</v>
      </c>
      <c r="U3905" s="11">
        <v>0.20298424675639656</v>
      </c>
      <c r="V3905" s="11">
        <v>0.1245596168419317</v>
      </c>
      <c r="W3905" s="11">
        <v>0.21408974558192556</v>
      </c>
      <c r="X3905" s="11">
        <v>0.19875692526293792</v>
      </c>
      <c r="Y3905" s="11">
        <v>0.10169052572378456</v>
      </c>
      <c r="Z3905" s="11">
        <v>0.1579189398330236</v>
      </c>
    </row>
    <row r="3906" ht="22.5" customHeight="1">
      <c r="Q3906" s="9" t="s">
        <v>3944</v>
      </c>
      <c r="R3906" s="10">
        <v>0.6461559662014289</v>
      </c>
      <c r="S3906" s="10">
        <v>0.029775880242267995</v>
      </c>
      <c r="T3906" s="10">
        <v>20.35728117085074</v>
      </c>
      <c r="U3906" s="11">
        <v>0.18757328896211684</v>
      </c>
      <c r="V3906" s="11">
        <v>0.21195906855290708</v>
      </c>
      <c r="W3906" s="11">
        <v>0.1741258648269256</v>
      </c>
      <c r="X3906" s="11">
        <v>3.162157293448504E-4</v>
      </c>
      <c r="Y3906" s="11">
        <v>0.25037436019645465</v>
      </c>
      <c r="Z3906" s="11">
        <v>0.17565120173225107</v>
      </c>
    </row>
    <row r="3907" ht="22.5" customHeight="1">
      <c r="Q3907" s="9" t="s">
        <v>3945</v>
      </c>
      <c r="R3907" s="10">
        <v>0.5901336454587333</v>
      </c>
      <c r="S3907" s="10">
        <v>0.027023952702278954</v>
      </c>
      <c r="T3907" s="10">
        <v>20.357260520676533</v>
      </c>
      <c r="U3907" s="11">
        <v>0.33825286693369716</v>
      </c>
      <c r="V3907" s="11">
        <v>0.2065663939263803</v>
      </c>
      <c r="W3907" s="11">
        <v>0.12767195088449002</v>
      </c>
      <c r="X3907" s="11">
        <v>0.00815000488871702</v>
      </c>
      <c r="Y3907" s="11">
        <v>0.27252581715221313</v>
      </c>
      <c r="Z3907" s="11">
        <v>0.04683296621450235</v>
      </c>
    </row>
    <row r="3908" ht="22.5" customHeight="1">
      <c r="Q3908" s="9" t="s">
        <v>3946</v>
      </c>
      <c r="R3908" s="10">
        <v>0.6283437349886409</v>
      </c>
      <c r="S3908" s="10">
        <v>0.02890120678089686</v>
      </c>
      <c r="T3908" s="10">
        <v>20.357064653006972</v>
      </c>
      <c r="U3908" s="11">
        <v>0.2174938368423628</v>
      </c>
      <c r="V3908" s="11">
        <v>0.2441894901791673</v>
      </c>
      <c r="W3908" s="11">
        <v>0.10832174252697004</v>
      </c>
      <c r="X3908" s="11">
        <v>0.1378028793923437</v>
      </c>
      <c r="Y3908" s="11">
        <v>0.23466285675390575</v>
      </c>
      <c r="Z3908" s="11">
        <v>0.05752919430525044</v>
      </c>
    </row>
    <row r="3909" ht="22.5" customHeight="1">
      <c r="Q3909" s="9" t="s">
        <v>3947</v>
      </c>
      <c r="R3909" s="10">
        <v>0.8142330730812405</v>
      </c>
      <c r="S3909" s="10">
        <v>0.03803434301901465</v>
      </c>
      <c r="T3909" s="10">
        <v>20.356157399489593</v>
      </c>
      <c r="U3909" s="11">
        <v>0.014998200197713286</v>
      </c>
      <c r="V3909" s="11">
        <v>0.309212329684513</v>
      </c>
      <c r="W3909" s="11">
        <v>0.17954195655637106</v>
      </c>
      <c r="X3909" s="11">
        <v>0.18131071547641717</v>
      </c>
      <c r="Y3909" s="11">
        <v>0.2703011934937054</v>
      </c>
      <c r="Z3909" s="11">
        <v>0.04463560459128016</v>
      </c>
    </row>
    <row r="3910" ht="22.5" customHeight="1">
      <c r="Q3910" s="9" t="s">
        <v>3948</v>
      </c>
      <c r="R3910" s="10">
        <v>0.522331348251574</v>
      </c>
      <c r="S3910" s="10">
        <v>0.02873925121133265</v>
      </c>
      <c r="T3910" s="10">
        <v>20.35564361151909</v>
      </c>
      <c r="U3910" s="11">
        <v>0.2258427619666513</v>
      </c>
      <c r="V3910" s="11">
        <v>0.129480550136011</v>
      </c>
      <c r="W3910" s="11">
        <v>0.22576693616487908</v>
      </c>
      <c r="X3910" s="11">
        <v>0.2562002250254699</v>
      </c>
      <c r="Y3910" s="11">
        <v>0.019162592266001494</v>
      </c>
      <c r="Z3910" s="11">
        <v>0.14354693444098723</v>
      </c>
    </row>
    <row r="3911" ht="22.5" customHeight="1">
      <c r="Q3911" s="9" t="s">
        <v>3949</v>
      </c>
      <c r="R3911" s="10">
        <v>0.8802673385592944</v>
      </c>
      <c r="S3911" s="10">
        <v>0.041280026814150245</v>
      </c>
      <c r="T3911" s="10">
        <v>20.355300211948066</v>
      </c>
      <c r="U3911" s="11">
        <v>0.0032615782795586646</v>
      </c>
      <c r="V3911" s="11">
        <v>0.2684791032798593</v>
      </c>
      <c r="W3911" s="11">
        <v>0.28073965421335284</v>
      </c>
      <c r="X3911" s="11">
        <v>0.21810819184318025</v>
      </c>
      <c r="Y3911" s="11">
        <v>0.07781076531124104</v>
      </c>
      <c r="Z3911" s="11">
        <v>0.15160070707280796</v>
      </c>
    </row>
    <row r="3912" ht="22.5" customHeight="1">
      <c r="Q3912" s="9" t="s">
        <v>3950</v>
      </c>
      <c r="R3912" s="10">
        <v>0.795039014516502</v>
      </c>
      <c r="S3912" s="10">
        <v>0.03709326518007403</v>
      </c>
      <c r="T3912" s="10">
        <v>20.35515101868406</v>
      </c>
      <c r="U3912" s="11">
        <v>0.08494287183072131</v>
      </c>
      <c r="V3912" s="11">
        <v>0.2330187904084029</v>
      </c>
      <c r="W3912" s="11">
        <v>0.25568565126580356</v>
      </c>
      <c r="X3912" s="11">
        <v>0.12302555949656292</v>
      </c>
      <c r="Y3912" s="11">
        <v>0.1841158712614789</v>
      </c>
      <c r="Z3912" s="11">
        <v>0.1192112557370304</v>
      </c>
    </row>
    <row r="3913" ht="22.5" customHeight="1">
      <c r="Q3913" s="9" t="s">
        <v>3951</v>
      </c>
      <c r="R3913" s="10">
        <v>0.6261024417148855</v>
      </c>
      <c r="S3913" s="10">
        <v>0.028793934546017322</v>
      </c>
      <c r="T3913" s="10">
        <v>20.35506612610374</v>
      </c>
      <c r="U3913" s="11">
        <v>0.25434002992978794</v>
      </c>
      <c r="V3913" s="11">
        <v>0.15515896723046538</v>
      </c>
      <c r="W3913" s="11">
        <v>0.20665441555935699</v>
      </c>
      <c r="X3913" s="11">
        <v>0.06258347728869564</v>
      </c>
      <c r="Y3913" s="11">
        <v>0.2554565706822279</v>
      </c>
      <c r="Z3913" s="11">
        <v>0.06580653930946624</v>
      </c>
    </row>
    <row r="3914" ht="22.5" customHeight="1">
      <c r="Q3914" s="9" t="s">
        <v>3952</v>
      </c>
      <c r="R3914" s="10">
        <v>0.8980434685170207</v>
      </c>
      <c r="S3914" s="10">
        <v>0.04215426337724213</v>
      </c>
      <c r="T3914" s="10">
        <v>20.354844321161913</v>
      </c>
      <c r="U3914" s="11">
        <v>0.13910661118470938</v>
      </c>
      <c r="V3914" s="11">
        <v>0.30585636208541467</v>
      </c>
      <c r="W3914" s="11">
        <v>0.2558265323352368</v>
      </c>
      <c r="X3914" s="11">
        <v>0.146282538288017</v>
      </c>
      <c r="Y3914" s="11">
        <v>0.09131785889651806</v>
      </c>
      <c r="Z3914" s="11">
        <v>0.06161009721010399</v>
      </c>
    </row>
    <row r="3915" ht="22.5" customHeight="1">
      <c r="Q3915" s="9" t="s">
        <v>3953</v>
      </c>
      <c r="R3915" s="10">
        <v>0.5639029065308586</v>
      </c>
      <c r="S3915" s="10">
        <v>0.02573957493114962</v>
      </c>
      <c r="T3915" s="10">
        <v>20.353984396876722</v>
      </c>
      <c r="U3915" s="11">
        <v>0.0933434773638812</v>
      </c>
      <c r="V3915" s="11">
        <v>0.09892285441593825</v>
      </c>
      <c r="W3915" s="11">
        <v>0.20326124083411284</v>
      </c>
      <c r="X3915" s="11">
        <v>0.26387315515734167</v>
      </c>
      <c r="Y3915" s="11">
        <v>0.23439995485401158</v>
      </c>
      <c r="Z3915" s="11">
        <v>0.10619931737471455</v>
      </c>
    </row>
    <row r="3916" ht="22.5" customHeight="1">
      <c r="Q3916" s="9" t="s">
        <v>3954</v>
      </c>
      <c r="R3916" s="10">
        <v>0.8326249234026543</v>
      </c>
      <c r="S3916" s="10">
        <v>0.038942107001815454</v>
      </c>
      <c r="T3916" s="10">
        <v>20.353930088212806</v>
      </c>
      <c r="U3916" s="11">
        <v>0.1839354021225098</v>
      </c>
      <c r="V3916" s="11">
        <v>0.27171420623847425</v>
      </c>
      <c r="W3916" s="11">
        <v>0.24405499283979878</v>
      </c>
      <c r="X3916" s="11">
        <v>0.08159184025016991</v>
      </c>
      <c r="Y3916" s="11">
        <v>0.1684254516259974</v>
      </c>
      <c r="Z3916" s="11">
        <v>0.0502781069230499</v>
      </c>
    </row>
    <row r="3917" ht="22.5" customHeight="1">
      <c r="Q3917" s="9" t="s">
        <v>3955</v>
      </c>
      <c r="R3917" s="10">
        <v>0.5428058006971533</v>
      </c>
      <c r="S3917" s="10">
        <v>0.024703270862241392</v>
      </c>
      <c r="T3917" s="10">
        <v>20.353814824808687</v>
      </c>
      <c r="U3917" s="11">
        <v>0.2636188856346359</v>
      </c>
      <c r="V3917" s="11">
        <v>0.20252807921348925</v>
      </c>
      <c r="W3917" s="11">
        <v>0.10710881214059428</v>
      </c>
      <c r="X3917" s="11">
        <v>0.07304842621705554</v>
      </c>
      <c r="Y3917" s="11">
        <v>0.07215212401254296</v>
      </c>
      <c r="Z3917" s="11">
        <v>0.2815436727816819</v>
      </c>
    </row>
    <row r="3918" ht="22.5" customHeight="1">
      <c r="Q3918" s="9" t="s">
        <v>3956</v>
      </c>
      <c r="R3918" s="10">
        <v>0.6548515265742514</v>
      </c>
      <c r="S3918" s="10">
        <v>0.03020828726640923</v>
      </c>
      <c r="T3918" s="10">
        <v>20.353736746205705</v>
      </c>
      <c r="U3918" s="11">
        <v>0.10959928303576782</v>
      </c>
      <c r="V3918" s="11">
        <v>0.18731191715968792</v>
      </c>
      <c r="W3918" s="11">
        <v>0.20643069394232721</v>
      </c>
      <c r="X3918" s="11">
        <v>0.053370488647953344</v>
      </c>
      <c r="Y3918" s="11">
        <v>0.2109771070638411</v>
      </c>
      <c r="Z3918" s="11">
        <v>0.23231051015042256</v>
      </c>
    </row>
    <row r="3919" ht="22.5" customHeight="1">
      <c r="Q3919" s="9" t="s">
        <v>3957</v>
      </c>
      <c r="R3919" s="10">
        <v>0.5544253079132397</v>
      </c>
      <c r="S3919" s="10">
        <v>0.02527433169887939</v>
      </c>
      <c r="T3919" s="10">
        <v>20.353666084711875</v>
      </c>
      <c r="U3919" s="11">
        <v>0.07135612325118723</v>
      </c>
      <c r="V3919" s="11">
        <v>0.15290579104626037</v>
      </c>
      <c r="W3919" s="11">
        <v>0.15875921343578203</v>
      </c>
      <c r="X3919" s="11">
        <v>0.028644392691560567</v>
      </c>
      <c r="Y3919" s="11">
        <v>0.41877677955243714</v>
      </c>
      <c r="Z3919" s="11">
        <v>0.16955770002277276</v>
      </c>
    </row>
    <row r="3920" ht="22.5" customHeight="1">
      <c r="Q3920" s="9" t="s">
        <v>3958</v>
      </c>
      <c r="R3920" s="10">
        <v>0.7159732763427806</v>
      </c>
      <c r="S3920" s="10">
        <v>0.03321240143691344</v>
      </c>
      <c r="T3920" s="10">
        <v>20.35303823563568</v>
      </c>
      <c r="U3920" s="11">
        <v>0.1886630362024673</v>
      </c>
      <c r="V3920" s="11">
        <v>0.26368139871795765</v>
      </c>
      <c r="W3920" s="11">
        <v>0.16852440478196357</v>
      </c>
      <c r="X3920" s="11">
        <v>0.07559758095773993</v>
      </c>
      <c r="Y3920" s="11">
        <v>0.14933170527978776</v>
      </c>
      <c r="Z3920" s="11">
        <v>0.1542018740600838</v>
      </c>
    </row>
    <row r="3921" ht="22.5" customHeight="1">
      <c r="Q3921" s="9" t="s">
        <v>3959</v>
      </c>
      <c r="R3921" s="10">
        <v>0.7659847748354534</v>
      </c>
      <c r="S3921" s="10">
        <v>0.035669651243752744</v>
      </c>
      <c r="T3921" s="10">
        <v>20.35301017871891</v>
      </c>
      <c r="U3921" s="11">
        <v>0.14655456316048554</v>
      </c>
      <c r="V3921" s="11">
        <v>0.24510452217634413</v>
      </c>
      <c r="W3921" s="11">
        <v>0.22945623637876614</v>
      </c>
      <c r="X3921" s="11">
        <v>0.08856620589815263</v>
      </c>
      <c r="Y3921" s="11">
        <v>0.09404599744748171</v>
      </c>
      <c r="Z3921" s="11">
        <v>0.19627247493876998</v>
      </c>
    </row>
    <row r="3922" ht="22.5" customHeight="1">
      <c r="Q3922" s="9" t="s">
        <v>3960</v>
      </c>
      <c r="R3922" s="10">
        <v>0.6553891202166554</v>
      </c>
      <c r="S3922" s="10">
        <v>0.030236053152248275</v>
      </c>
      <c r="T3922" s="10">
        <v>20.352825718289775</v>
      </c>
      <c r="U3922" s="11">
        <v>0.22892366741728243</v>
      </c>
      <c r="V3922" s="11">
        <v>0.17969546473010692</v>
      </c>
      <c r="W3922" s="11">
        <v>0.20971918153150207</v>
      </c>
      <c r="X3922" s="11">
        <v>0.04131782391411738</v>
      </c>
      <c r="Y3922" s="11">
        <v>0.21409443644368176</v>
      </c>
      <c r="Z3922" s="11">
        <v>0.12624942596330946</v>
      </c>
    </row>
    <row r="3923" ht="22.5" customHeight="1">
      <c r="Q3923" s="9" t="s">
        <v>3961</v>
      </c>
      <c r="R3923" s="10">
        <v>0.619538770868587</v>
      </c>
      <c r="S3923" s="10">
        <v>0.02847473581885919</v>
      </c>
      <c r="T3923" s="10">
        <v>20.352735651536786</v>
      </c>
      <c r="U3923" s="11">
        <v>0.25792602463229836</v>
      </c>
      <c r="V3923" s="11">
        <v>0.12962482235693418</v>
      </c>
      <c r="W3923" s="11">
        <v>0.21785476408839582</v>
      </c>
      <c r="X3923" s="11">
        <v>0.15817836460153814</v>
      </c>
      <c r="Y3923" s="11">
        <v>0.22532780230198945</v>
      </c>
      <c r="Z3923" s="11">
        <v>0.011088222018844112</v>
      </c>
    </row>
    <row r="3924" ht="22.5" customHeight="1">
      <c r="Q3924" s="9" t="s">
        <v>3962</v>
      </c>
      <c r="R3924" s="10">
        <v>0.8211247721948348</v>
      </c>
      <c r="S3924" s="10">
        <v>0.038379354272839984</v>
      </c>
      <c r="T3924" s="10">
        <v>20.35273357237319</v>
      </c>
      <c r="U3924" s="11">
        <v>0.2147491165198372</v>
      </c>
      <c r="V3924" s="11">
        <v>0.2567011095365629</v>
      </c>
      <c r="W3924" s="11">
        <v>0.2500337587434757</v>
      </c>
      <c r="X3924" s="11">
        <v>0.07832123635056444</v>
      </c>
      <c r="Y3924" s="11">
        <v>0.16943061611141805</v>
      </c>
      <c r="Z3924" s="11">
        <v>0.030764162738141556</v>
      </c>
    </row>
    <row r="3925" ht="22.5" customHeight="1">
      <c r="Q3925" s="9" t="s">
        <v>3963</v>
      </c>
      <c r="R3925" s="10">
        <v>0.6176378896732944</v>
      </c>
      <c r="S3925" s="10">
        <v>0.02838179998219724</v>
      </c>
      <c r="T3925" s="10">
        <v>20.352405063654288</v>
      </c>
      <c r="U3925" s="11">
        <v>0.041549476042936594</v>
      </c>
      <c r="V3925" s="11">
        <v>0.12374253313558764</v>
      </c>
      <c r="W3925" s="11">
        <v>0.22423625266310895</v>
      </c>
      <c r="X3925" s="11">
        <v>0.299312984188353</v>
      </c>
      <c r="Y3925" s="11">
        <v>0.10630615338359803</v>
      </c>
      <c r="Z3925" s="11">
        <v>0.2048526005864158</v>
      </c>
    </row>
    <row r="3926" ht="22.5" customHeight="1">
      <c r="Q3926" s="9" t="s">
        <v>3964</v>
      </c>
      <c r="R3926" s="10">
        <v>0.6764651793707852</v>
      </c>
      <c r="S3926" s="10">
        <v>0.03127234369149755</v>
      </c>
      <c r="T3926" s="10">
        <v>20.352333859256923</v>
      </c>
      <c r="U3926" s="11">
        <v>0.02690933015754071</v>
      </c>
      <c r="V3926" s="11">
        <v>0.17494308432764402</v>
      </c>
      <c r="W3926" s="11">
        <v>0.22757915983303595</v>
      </c>
      <c r="X3926" s="11">
        <v>0.13367546156059615</v>
      </c>
      <c r="Y3926" s="11">
        <v>0.23160246811698618</v>
      </c>
      <c r="Z3926" s="11">
        <v>0.20529049600419708</v>
      </c>
    </row>
    <row r="3927" ht="22.5" customHeight="1">
      <c r="Q3927" s="9" t="s">
        <v>3965</v>
      </c>
      <c r="R3927" s="10">
        <v>0.5785591892578903</v>
      </c>
      <c r="S3927" s="10">
        <v>0.026462295341000096</v>
      </c>
      <c r="T3927" s="10">
        <v>20.351945374272145</v>
      </c>
      <c r="U3927" s="11">
        <v>0.1370568333992098</v>
      </c>
      <c r="V3927" s="11">
        <v>0.22862098782798346</v>
      </c>
      <c r="W3927" s="11">
        <v>0.07682993669598753</v>
      </c>
      <c r="X3927" s="11">
        <v>0.2367586780679042</v>
      </c>
      <c r="Y3927" s="11">
        <v>0.26626863110598203</v>
      </c>
      <c r="Z3927" s="11">
        <v>0.05446493290293293</v>
      </c>
    </row>
    <row r="3928" ht="22.5" customHeight="1">
      <c r="Q3928" s="9" t="s">
        <v>3966</v>
      </c>
      <c r="R3928" s="10">
        <v>0.5270536303967162</v>
      </c>
      <c r="S3928" s="10">
        <v>0.023932273867666415</v>
      </c>
      <c r="T3928" s="10">
        <v>20.351331139275807</v>
      </c>
      <c r="U3928" s="11">
        <v>0.18597478112966181</v>
      </c>
      <c r="V3928" s="11">
        <v>0.20264113318040333</v>
      </c>
      <c r="W3928" s="11">
        <v>0.07108944934688831</v>
      </c>
      <c r="X3928" s="11">
        <v>0.16596130455464683</v>
      </c>
      <c r="Y3928" s="11">
        <v>0.2920380785266916</v>
      </c>
      <c r="Z3928" s="11">
        <v>0.08229525326170811</v>
      </c>
    </row>
    <row r="3929" ht="22.5" customHeight="1">
      <c r="Q3929" s="9" t="s">
        <v>3967</v>
      </c>
      <c r="R3929" s="10">
        <v>0.6064717747326448</v>
      </c>
      <c r="S3929" s="10">
        <v>0.027834977721456926</v>
      </c>
      <c r="T3929" s="10">
        <v>20.351076993892228</v>
      </c>
      <c r="U3929" s="11">
        <v>0.21822261714410057</v>
      </c>
      <c r="V3929" s="11">
        <v>0.14310996451624763</v>
      </c>
      <c r="W3929" s="11">
        <v>0.20625165111976634</v>
      </c>
      <c r="X3929" s="11">
        <v>0.09348899187468077</v>
      </c>
      <c r="Y3929" s="11">
        <v>0.20663155384339693</v>
      </c>
      <c r="Z3929" s="11">
        <v>0.1322952215018077</v>
      </c>
    </row>
    <row r="3930" ht="22.5" customHeight="1">
      <c r="Q3930" s="9" t="s">
        <v>3968</v>
      </c>
      <c r="R3930" s="10">
        <v>0.5466994060303209</v>
      </c>
      <c r="S3930" s="10">
        <v>0.024898686683667497</v>
      </c>
      <c r="T3930" s="10">
        <v>20.350447092564707</v>
      </c>
      <c r="U3930" s="11">
        <v>0.31068959754028047</v>
      </c>
      <c r="V3930" s="11">
        <v>0.10625125395505736</v>
      </c>
      <c r="W3930" s="11">
        <v>0.1934281189604374</v>
      </c>
      <c r="X3930" s="11">
        <v>0.1686623912636074</v>
      </c>
      <c r="Y3930" s="11">
        <v>0.10310914956934432</v>
      </c>
      <c r="Z3930" s="11">
        <v>0.11785948871127311</v>
      </c>
    </row>
    <row r="3931" ht="22.5" customHeight="1">
      <c r="Q3931" s="9" t="s">
        <v>3969</v>
      </c>
      <c r="R3931" s="10">
        <v>0.2599430687542884</v>
      </c>
      <c r="S3931" s="10">
        <v>0.01080787557635466</v>
      </c>
      <c r="T3931" s="10">
        <v>20.350259142090533</v>
      </c>
      <c r="U3931" s="11">
        <v>0.21971381058592124</v>
      </c>
      <c r="V3931" s="11">
        <v>0.05877408621864544</v>
      </c>
      <c r="W3931" s="11">
        <v>0.01835114953603217</v>
      </c>
      <c r="X3931" s="11">
        <v>0.234260381732613</v>
      </c>
      <c r="Y3931" s="11">
        <v>0.23851311290164953</v>
      </c>
      <c r="Z3931" s="11">
        <v>0.23038745902513869</v>
      </c>
    </row>
    <row r="3932" ht="22.5" customHeight="1">
      <c r="Q3932" s="9" t="s">
        <v>3970</v>
      </c>
      <c r="R3932" s="10">
        <v>0.6894681969089455</v>
      </c>
      <c r="S3932" s="10">
        <v>0.03191550645327642</v>
      </c>
      <c r="T3932" s="10">
        <v>20.349612745758936</v>
      </c>
      <c r="U3932" s="11">
        <v>0.11543204773303453</v>
      </c>
      <c r="V3932" s="11">
        <v>0.14651291072595035</v>
      </c>
      <c r="W3932" s="11">
        <v>0.24917704733720716</v>
      </c>
      <c r="X3932" s="11">
        <v>0.26324934397893857</v>
      </c>
      <c r="Y3932" s="11">
        <v>0.17269614376920317</v>
      </c>
      <c r="Z3932" s="11">
        <v>0.052932506455666134</v>
      </c>
    </row>
    <row r="3933" ht="22.5" customHeight="1">
      <c r="Q3933" s="9" t="s">
        <v>3971</v>
      </c>
      <c r="R3933" s="10">
        <v>0.6277938155148632</v>
      </c>
      <c r="S3933" s="10">
        <v>0.02888515219497217</v>
      </c>
      <c r="T3933" s="10">
        <v>20.349341126794418</v>
      </c>
      <c r="U3933" s="11">
        <v>0.24389554036631755</v>
      </c>
      <c r="V3933" s="11">
        <v>0.19835963488523967</v>
      </c>
      <c r="W3933" s="11">
        <v>0.17852502271488402</v>
      </c>
      <c r="X3933" s="11">
        <v>0.003612352796193882</v>
      </c>
      <c r="Y3933" s="11">
        <v>0.1527437213106527</v>
      </c>
      <c r="Z3933" s="11">
        <v>0.2228637279267121</v>
      </c>
    </row>
    <row r="3934" ht="22.5" customHeight="1">
      <c r="Q3934" s="9" t="s">
        <v>3972</v>
      </c>
      <c r="R3934" s="10">
        <v>0.7551919504514766</v>
      </c>
      <c r="S3934" s="10">
        <v>0.03514584976430595</v>
      </c>
      <c r="T3934" s="10">
        <v>20.34925760076013</v>
      </c>
      <c r="U3934" s="11">
        <v>0.1809541197235535</v>
      </c>
      <c r="V3934" s="11">
        <v>0.25127633468512867</v>
      </c>
      <c r="W3934" s="11">
        <v>0.2123363620814582</v>
      </c>
      <c r="X3934" s="11">
        <v>0.043712380817661975</v>
      </c>
      <c r="Y3934" s="11">
        <v>0.18719487169165644</v>
      </c>
      <c r="Z3934" s="11">
        <v>0.12452593100054128</v>
      </c>
    </row>
    <row r="3935" ht="22.5" customHeight="1">
      <c r="Q3935" s="9" t="s">
        <v>3973</v>
      </c>
      <c r="R3935" s="10">
        <v>0.8535011069982927</v>
      </c>
      <c r="S3935" s="10">
        <v>0.03997998245589469</v>
      </c>
      <c r="T3935" s="10">
        <v>20.347710454744067</v>
      </c>
      <c r="U3935" s="11">
        <v>0.14746268402783444</v>
      </c>
      <c r="V3935" s="11">
        <v>0.2828493180863626</v>
      </c>
      <c r="W3935" s="11">
        <v>0.2451183387574547</v>
      </c>
      <c r="X3935" s="11">
        <v>0.08349646857582967</v>
      </c>
      <c r="Y3935" s="11">
        <v>0.22783475518903543</v>
      </c>
      <c r="Z3935" s="11">
        <v>0.01323843536348318</v>
      </c>
    </row>
    <row r="3936" ht="22.5" customHeight="1">
      <c r="Q3936" s="9" t="s">
        <v>3974</v>
      </c>
      <c r="R3936" s="10">
        <v>0.6594863878384873</v>
      </c>
      <c r="S3936" s="10">
        <v>0.030445468491773445</v>
      </c>
      <c r="T3936" s="10">
        <v>20.347408613727733</v>
      </c>
      <c r="U3936" s="11">
        <v>0.137817137313684</v>
      </c>
      <c r="V3936" s="11">
        <v>0.24244414908088285</v>
      </c>
      <c r="W3936" s="11">
        <v>0.15302534878597035</v>
      </c>
      <c r="X3936" s="11">
        <v>0.06451916094878138</v>
      </c>
      <c r="Y3936" s="11">
        <v>0.15530610015914048</v>
      </c>
      <c r="Z3936" s="11">
        <v>0.24688810371154102</v>
      </c>
    </row>
    <row r="3937" ht="22.5" customHeight="1">
      <c r="Q3937" s="9" t="s">
        <v>3975</v>
      </c>
      <c r="R3937" s="10">
        <v>0.5098711036743061</v>
      </c>
      <c r="S3937" s="10">
        <v>0.023092922831325073</v>
      </c>
      <c r="T3937" s="10">
        <v>20.346974140360253</v>
      </c>
      <c r="U3937" s="11">
        <v>0.19442027060866027</v>
      </c>
      <c r="V3937" s="11">
        <v>0.20233328984078225</v>
      </c>
      <c r="W3937" s="11">
        <v>0.06575838515743637</v>
      </c>
      <c r="X3937" s="11">
        <v>0.22741450203525487</v>
      </c>
      <c r="Y3937" s="11">
        <v>0.0779667392489539</v>
      </c>
      <c r="Z3937" s="11">
        <v>0.23210681310891243</v>
      </c>
    </row>
    <row r="3938" ht="22.5" customHeight="1">
      <c r="Q3938" s="9" t="s">
        <v>3976</v>
      </c>
      <c r="R3938" s="10">
        <v>0.61778954138728</v>
      </c>
      <c r="S3938" s="10">
        <v>0.028397283814314472</v>
      </c>
      <c r="T3938" s="10">
        <v>20.346648121889338</v>
      </c>
      <c r="U3938" s="11">
        <v>0.13601647271108744</v>
      </c>
      <c r="V3938" s="11">
        <v>0.14779462008601496</v>
      </c>
      <c r="W3938" s="11">
        <v>0.21345133198366276</v>
      </c>
      <c r="X3938" s="11">
        <v>0.1342470579612068</v>
      </c>
      <c r="Y3938" s="11">
        <v>0.14157516370783313</v>
      </c>
      <c r="Z3938" s="11">
        <v>0.2269153535501949</v>
      </c>
    </row>
    <row r="3939" ht="22.5" customHeight="1">
      <c r="Q3939" s="9" t="s">
        <v>3977</v>
      </c>
      <c r="R3939" s="10">
        <v>0.522331348251574</v>
      </c>
      <c r="S3939" s="10">
        <v>0.029739659294739193</v>
      </c>
      <c r="T3939" s="10">
        <v>20.34638354997091</v>
      </c>
      <c r="U3939" s="11">
        <v>0.2277682798547571</v>
      </c>
      <c r="V3939" s="11">
        <v>0.2054292397132843</v>
      </c>
      <c r="W3939" s="11">
        <v>0.18730871071630428</v>
      </c>
      <c r="X3939" s="11">
        <v>0.05426646073748568</v>
      </c>
      <c r="Y3939" s="11">
        <v>0.024918899951238856</v>
      </c>
      <c r="Z3939" s="11">
        <v>0.3003084090269298</v>
      </c>
    </row>
    <row r="3940" ht="22.5" customHeight="1">
      <c r="Q3940" s="9" t="s">
        <v>3978</v>
      </c>
      <c r="R3940" s="10">
        <v>0.6608340801411879</v>
      </c>
      <c r="S3940" s="10">
        <v>0.030513460333358344</v>
      </c>
      <c r="T3940" s="10">
        <v>20.34623649230865</v>
      </c>
      <c r="U3940" s="11">
        <v>0.034860258730051254</v>
      </c>
      <c r="V3940" s="11">
        <v>0.16709972935797063</v>
      </c>
      <c r="W3940" s="11">
        <v>0.21911847065869278</v>
      </c>
      <c r="X3940" s="11">
        <v>0.11443631843502819</v>
      </c>
      <c r="Y3940" s="11">
        <v>0.3316116328613252</v>
      </c>
      <c r="Z3940" s="11">
        <v>0.13287358995693188</v>
      </c>
    </row>
    <row r="3941" ht="22.5" customHeight="1">
      <c r="Q3941" s="9" t="s">
        <v>3979</v>
      </c>
      <c r="R3941" s="10">
        <v>0.6943167807961971</v>
      </c>
      <c r="S3941" s="10">
        <v>0.03216006262251153</v>
      </c>
      <c r="T3941" s="10">
        <v>20.34563142729037</v>
      </c>
      <c r="U3941" s="11">
        <v>0.12024612151084904</v>
      </c>
      <c r="V3941" s="11">
        <v>0.19473867598851455</v>
      </c>
      <c r="W3941" s="11">
        <v>0.22535661669579102</v>
      </c>
      <c r="X3941" s="11">
        <v>0.08221193573041517</v>
      </c>
      <c r="Y3941" s="11">
        <v>0.1823937982597772</v>
      </c>
      <c r="Z3941" s="11">
        <v>0.19505285181465315</v>
      </c>
    </row>
    <row r="3942" ht="22.5" customHeight="1">
      <c r="Q3942" s="9" t="s">
        <v>3980</v>
      </c>
      <c r="R3942" s="10">
        <v>0.7062272282669103</v>
      </c>
      <c r="S3942" s="10">
        <v>0.03274580098618296</v>
      </c>
      <c r="T3942" s="10">
        <v>20.345424701873192</v>
      </c>
      <c r="U3942" s="11">
        <v>0.07635001820944824</v>
      </c>
      <c r="V3942" s="11">
        <v>0.2810087453272468</v>
      </c>
      <c r="W3942" s="11">
        <v>0.1314249908545582</v>
      </c>
      <c r="X3942" s="11">
        <v>0.2466808953076984</v>
      </c>
      <c r="Y3942" s="11">
        <v>0.08059482860859915</v>
      </c>
      <c r="Z3942" s="11">
        <v>0.1839405216924493</v>
      </c>
    </row>
    <row r="3943" ht="22.5" customHeight="1">
      <c r="Q3943" s="9" t="s">
        <v>3981</v>
      </c>
      <c r="R3943" s="10">
        <v>0.6836068080136745</v>
      </c>
      <c r="S3943" s="10">
        <v>0.03163416549889188</v>
      </c>
      <c r="T3943" s="10">
        <v>20.345306976288644</v>
      </c>
      <c r="U3943" s="11">
        <v>0.12413815040725337</v>
      </c>
      <c r="V3943" s="11">
        <v>0.16357896488049992</v>
      </c>
      <c r="W3943" s="11">
        <v>0.24027049429897576</v>
      </c>
      <c r="X3943" s="11">
        <v>0.1883910472143247</v>
      </c>
      <c r="Y3943" s="11">
        <v>0.12093981223987905</v>
      </c>
      <c r="Z3943" s="11">
        <v>0.1626815309590672</v>
      </c>
    </row>
    <row r="3944" ht="22.5" customHeight="1">
      <c r="Q3944" s="9" t="s">
        <v>3982</v>
      </c>
      <c r="R3944" s="10">
        <v>0.7786713918829451</v>
      </c>
      <c r="S3944" s="10">
        <v>0.036306868254786066</v>
      </c>
      <c r="T3944" s="10">
        <v>20.345224674826408</v>
      </c>
      <c r="U3944" s="11">
        <v>0.25036104531327713</v>
      </c>
      <c r="V3944" s="11">
        <v>0.24184715802212103</v>
      </c>
      <c r="W3944" s="11">
        <v>0.23676677288911413</v>
      </c>
      <c r="X3944" s="11">
        <v>0.058175875450323544</v>
      </c>
      <c r="Y3944" s="11">
        <v>0.14693286722598103</v>
      </c>
      <c r="Z3944" s="11">
        <v>0.06591628109918315</v>
      </c>
    </row>
    <row r="3945" ht="22.5" customHeight="1">
      <c r="Q3945" s="9" t="s">
        <v>3983</v>
      </c>
      <c r="R3945" s="10">
        <v>0.6295609155655225</v>
      </c>
      <c r="S3945" s="10">
        <v>0.02897964631973614</v>
      </c>
      <c r="T3945" s="10">
        <v>20.343965176828647</v>
      </c>
      <c r="U3945" s="11">
        <v>0.21197979545343282</v>
      </c>
      <c r="V3945" s="11">
        <v>0.2171780053894511</v>
      </c>
      <c r="W3945" s="11">
        <v>0.15933743471963946</v>
      </c>
      <c r="X3945" s="11">
        <v>0.009225147949870715</v>
      </c>
      <c r="Y3945" s="11">
        <v>0.17623691287338342</v>
      </c>
      <c r="Z3945" s="11">
        <v>0.22604270361422243</v>
      </c>
    </row>
    <row r="3946" ht="22.5" customHeight="1">
      <c r="Q3946" s="9" t="s">
        <v>3984</v>
      </c>
      <c r="R3946" s="10">
        <v>0.8108631864400728</v>
      </c>
      <c r="S3946" s="10">
        <v>0.03789218754487001</v>
      </c>
      <c r="T3946" s="10">
        <v>20.343591552407883</v>
      </c>
      <c r="U3946" s="11">
        <v>0.0797089225954458</v>
      </c>
      <c r="V3946" s="11">
        <v>0.23693878426725012</v>
      </c>
      <c r="W3946" s="11">
        <v>0.26040188188415453</v>
      </c>
      <c r="X3946" s="11">
        <v>0.11865040043717309</v>
      </c>
      <c r="Y3946" s="11">
        <v>0.2345368618617893</v>
      </c>
      <c r="Z3946" s="11">
        <v>0.06976314895418716</v>
      </c>
    </row>
    <row r="3947" ht="22.5" customHeight="1">
      <c r="Q3947" s="9" t="s">
        <v>3985</v>
      </c>
      <c r="R3947" s="10">
        <v>0.5081303549934022</v>
      </c>
      <c r="S3947" s="10">
        <v>0.02301121648339509</v>
      </c>
      <c r="T3947" s="10">
        <v>20.343572680358097</v>
      </c>
      <c r="U3947" s="11">
        <v>0.3255381114604309</v>
      </c>
      <c r="V3947" s="11">
        <v>0.1804509421046271</v>
      </c>
      <c r="W3947" s="11">
        <v>0.10721648120358183</v>
      </c>
      <c r="X3947" s="11">
        <v>0.04102935194947595</v>
      </c>
      <c r="Y3947" s="11">
        <v>0.05092025151207982</v>
      </c>
      <c r="Z3947" s="11">
        <v>0.2948448617698045</v>
      </c>
    </row>
    <row r="3948" ht="22.5" customHeight="1">
      <c r="Q3948" s="9" t="s">
        <v>3986</v>
      </c>
      <c r="R3948" s="10">
        <v>0.3999124832687872</v>
      </c>
      <c r="S3948" s="10">
        <v>0.0176917234069974</v>
      </c>
      <c r="T3948" s="10">
        <v>20.34355133126461</v>
      </c>
      <c r="U3948" s="11">
        <v>0.14534717550568946</v>
      </c>
      <c r="V3948" s="11">
        <v>0.125684770573361</v>
      </c>
      <c r="W3948" s="11">
        <v>0.05101175112436372</v>
      </c>
      <c r="X3948" s="11">
        <v>0.15174632351141823</v>
      </c>
      <c r="Y3948" s="11">
        <v>0.44685668713932636</v>
      </c>
      <c r="Z3948" s="11">
        <v>0.07935329214584136</v>
      </c>
    </row>
    <row r="3949" ht="22.5" customHeight="1">
      <c r="Q3949" s="9" t="s">
        <v>3987</v>
      </c>
      <c r="R3949" s="10">
        <v>0.5926413373725323</v>
      </c>
      <c r="S3949" s="10">
        <v>0.027165649243802627</v>
      </c>
      <c r="T3949" s="10">
        <v>20.34338779878813</v>
      </c>
      <c r="U3949" s="11">
        <v>0.21308349752601372</v>
      </c>
      <c r="V3949" s="11">
        <v>0.18159245223271764</v>
      </c>
      <c r="W3949" s="11">
        <v>0.17321111223839752</v>
      </c>
      <c r="X3949" s="11">
        <v>0.015738513122882006</v>
      </c>
      <c r="Y3949" s="11">
        <v>0.11286790087009152</v>
      </c>
      <c r="Z3949" s="11">
        <v>0.30350652400989764</v>
      </c>
    </row>
    <row r="3950" ht="22.5" customHeight="1">
      <c r="Q3950" s="9" t="s">
        <v>3988</v>
      </c>
      <c r="R3950" s="10">
        <v>0.7117391808759264</v>
      </c>
      <c r="S3950" s="10">
        <v>0.033020681629457746</v>
      </c>
      <c r="T3950" s="10">
        <v>20.342983479682864</v>
      </c>
      <c r="U3950" s="11">
        <v>0.13536679235096263</v>
      </c>
      <c r="V3950" s="11">
        <v>0.2779053670251594</v>
      </c>
      <c r="W3950" s="11">
        <v>0.13341798005479927</v>
      </c>
      <c r="X3950" s="11">
        <v>0.16822936917705159</v>
      </c>
      <c r="Y3950" s="11">
        <v>0.2527382318549254</v>
      </c>
      <c r="Z3950" s="11">
        <v>0.032342259537101806</v>
      </c>
    </row>
    <row r="3951" ht="22.5" customHeight="1">
      <c r="Q3951" s="9" t="s">
        <v>3989</v>
      </c>
      <c r="R3951" s="10">
        <v>0.6820669542616333</v>
      </c>
      <c r="S3951" s="10">
        <v>0.03156228022092148</v>
      </c>
      <c r="T3951" s="10">
        <v>20.342857035913095</v>
      </c>
      <c r="U3951" s="11">
        <v>0.23125197561843483</v>
      </c>
      <c r="V3951" s="11">
        <v>0.17829362171490964</v>
      </c>
      <c r="W3951" s="11">
        <v>0.22723390791375192</v>
      </c>
      <c r="X3951" s="11">
        <v>0.08071832334393936</v>
      </c>
      <c r="Y3951" s="11">
        <v>0.1896346377616359</v>
      </c>
      <c r="Z3951" s="11">
        <v>0.09286753364732861</v>
      </c>
    </row>
    <row r="3952" ht="22.5" customHeight="1">
      <c r="Q3952" s="9" t="s">
        <v>3990</v>
      </c>
      <c r="R3952" s="10">
        <v>0.8036018712769664</v>
      </c>
      <c r="S3952" s="10">
        <v>0.0375367228251745</v>
      </c>
      <c r="T3952" s="10">
        <v>20.342795369574635</v>
      </c>
      <c r="U3952" s="11">
        <v>0.018983253568883578</v>
      </c>
      <c r="V3952" s="11">
        <v>0.28188363817370055</v>
      </c>
      <c r="W3952" s="11">
        <v>0.21695757422465095</v>
      </c>
      <c r="X3952" s="11">
        <v>0.12243655616955423</v>
      </c>
      <c r="Y3952" s="11">
        <v>0.1486814741062968</v>
      </c>
      <c r="Z3952" s="11">
        <v>0.21105750375691393</v>
      </c>
    </row>
    <row r="3953" ht="22.5" customHeight="1">
      <c r="Q3953" s="9" t="s">
        <v>3991</v>
      </c>
      <c r="R3953" s="10">
        <v>0.7453044811244365</v>
      </c>
      <c r="S3953" s="10">
        <v>0.03467127112954584</v>
      </c>
      <c r="T3953" s="10">
        <v>20.342619642906506</v>
      </c>
      <c r="U3953" s="11">
        <v>0.2203582298193685</v>
      </c>
      <c r="V3953" s="11">
        <v>0.277930618013446</v>
      </c>
      <c r="W3953" s="11">
        <v>0.17570701679604903</v>
      </c>
      <c r="X3953" s="11">
        <v>0.13319221147243843</v>
      </c>
      <c r="Y3953" s="11">
        <v>0.013277049095487234</v>
      </c>
      <c r="Z3953" s="11">
        <v>0.17953487480321073</v>
      </c>
    </row>
    <row r="3954" ht="22.5" customHeight="1">
      <c r="Q3954" s="9" t="s">
        <v>3992</v>
      </c>
      <c r="R3954" s="10">
        <v>0.25637008929318456</v>
      </c>
      <c r="S3954" s="10">
        <v>0.010636412854123865</v>
      </c>
      <c r="T3954" s="10">
        <v>20.342392896990198</v>
      </c>
      <c r="U3954" s="11">
        <v>0.2349186948596199</v>
      </c>
      <c r="V3954" s="11">
        <v>0.03559726252590734</v>
      </c>
      <c r="W3954" s="11">
        <v>0.039946793764892234</v>
      </c>
      <c r="X3954" s="11">
        <v>0.21434342878297996</v>
      </c>
      <c r="Y3954" s="11">
        <v>0.26497333545904156</v>
      </c>
      <c r="Z3954" s="11">
        <v>0.21022048460755918</v>
      </c>
    </row>
    <row r="3955" ht="22.5" customHeight="1">
      <c r="Q3955" s="9" t="s">
        <v>3993</v>
      </c>
      <c r="R3955" s="10">
        <v>0.7363050399587349</v>
      </c>
      <c r="S3955" s="10">
        <v>0.03422930649672996</v>
      </c>
      <c r="T3955" s="10">
        <v>20.3423648102615</v>
      </c>
      <c r="U3955" s="11">
        <v>0.2788621602704538</v>
      </c>
      <c r="V3955" s="11">
        <v>0.22198022997579098</v>
      </c>
      <c r="W3955" s="11">
        <v>0.2270849816258079</v>
      </c>
      <c r="X3955" s="11">
        <v>0.04575684170409526</v>
      </c>
      <c r="Y3955" s="11">
        <v>0.13938306421018962</v>
      </c>
      <c r="Z3955" s="11">
        <v>0.08693272221366255</v>
      </c>
    </row>
    <row r="3956" ht="22.5" customHeight="1">
      <c r="Q3956" s="9" t="s">
        <v>3994</v>
      </c>
      <c r="R3956" s="10">
        <v>0.694211354606056</v>
      </c>
      <c r="S3956" s="10">
        <v>0.03216018666546371</v>
      </c>
      <c r="T3956" s="10">
        <v>20.342274794959526</v>
      </c>
      <c r="U3956" s="11">
        <v>0.17015187009553356</v>
      </c>
      <c r="V3956" s="11">
        <v>0.17537637832349237</v>
      </c>
      <c r="W3956" s="11">
        <v>0.24043203338404323</v>
      </c>
      <c r="X3956" s="11">
        <v>0.19114934155919083</v>
      </c>
      <c r="Y3956" s="11">
        <v>0.017069918214122435</v>
      </c>
      <c r="Z3956" s="11">
        <v>0.20582045842361749</v>
      </c>
    </row>
    <row r="3957" ht="22.5" customHeight="1">
      <c r="Q3957" s="9" t="s">
        <v>3995</v>
      </c>
      <c r="R3957" s="10">
        <v>0.583675818776945</v>
      </c>
      <c r="S3957" s="10">
        <v>0.02672691397916185</v>
      </c>
      <c r="T3957" s="10">
        <v>20.341885307104</v>
      </c>
      <c r="U3957" s="11">
        <v>0.05710582428354894</v>
      </c>
      <c r="V3957" s="11">
        <v>0.19260746451546812</v>
      </c>
      <c r="W3957" s="11">
        <v>0.1524513390089937</v>
      </c>
      <c r="X3957" s="11">
        <v>0.011959370798064063</v>
      </c>
      <c r="Y3957" s="11">
        <v>0.27099635566966984</v>
      </c>
      <c r="Z3957" s="11">
        <v>0.31487964572425536</v>
      </c>
    </row>
    <row r="3958" ht="22.5" customHeight="1">
      <c r="Q3958" s="9" t="s">
        <v>3996</v>
      </c>
      <c r="R3958" s="10">
        <v>0.8088756981950924</v>
      </c>
      <c r="S3958" s="10">
        <v>0.03779813739287909</v>
      </c>
      <c r="T3958" s="10">
        <v>20.341629276683438</v>
      </c>
      <c r="U3958" s="11">
        <v>0.1107095745840044</v>
      </c>
      <c r="V3958" s="11">
        <v>0.2247707918817063</v>
      </c>
      <c r="W3958" s="11">
        <v>0.2692275336457458</v>
      </c>
      <c r="X3958" s="11">
        <v>0.1481678976131087</v>
      </c>
      <c r="Y3958" s="11">
        <v>0.19154448073681615</v>
      </c>
      <c r="Z3958" s="11">
        <v>0.05557972153861853</v>
      </c>
    </row>
    <row r="3959" ht="22.5" customHeight="1">
      <c r="Q3959" s="9" t="s">
        <v>3997</v>
      </c>
      <c r="R3959" s="10">
        <v>0.28628783403399377</v>
      </c>
      <c r="S3959" s="10">
        <v>0.012107831968948204</v>
      </c>
      <c r="T3959" s="10">
        <v>20.341200197163666</v>
      </c>
      <c r="U3959" s="11">
        <v>0.21081559684083684</v>
      </c>
      <c r="V3959" s="11">
        <v>0.08013592392547342</v>
      </c>
      <c r="W3959" s="11">
        <v>0.020499010966251185</v>
      </c>
      <c r="X3959" s="11">
        <v>0.19374930972459534</v>
      </c>
      <c r="Y3959" s="11">
        <v>0.24847525264463752</v>
      </c>
      <c r="Z3959" s="11">
        <v>0.24632490589820574</v>
      </c>
    </row>
    <row r="3960" ht="22.5" customHeight="1">
      <c r="Q3960" s="9" t="s">
        <v>3998</v>
      </c>
      <c r="R3960" s="10">
        <v>0.48490831092262615</v>
      </c>
      <c r="S3960" s="10">
        <v>0.02187246343466144</v>
      </c>
      <c r="T3960" s="10">
        <v>20.341024331881016</v>
      </c>
      <c r="U3960" s="11">
        <v>0.27622615653470706</v>
      </c>
      <c r="V3960" s="11">
        <v>0.18711028520158612</v>
      </c>
      <c r="W3960" s="11">
        <v>0.06651349487718718</v>
      </c>
      <c r="X3960" s="11">
        <v>0.14618152496236284</v>
      </c>
      <c r="Y3960" s="11">
        <v>0.12241445099589822</v>
      </c>
      <c r="Z3960" s="11">
        <v>0.20155408742825845</v>
      </c>
    </row>
    <row r="3961" ht="22.5" customHeight="1">
      <c r="Q3961" s="9" t="s">
        <v>3999</v>
      </c>
      <c r="R3961" s="10">
        <v>0.6008607603184493</v>
      </c>
      <c r="S3961" s="10">
        <v>0.027572989702516013</v>
      </c>
      <c r="T3961" s="10">
        <v>20.340948383528797</v>
      </c>
      <c r="U3961" s="11">
        <v>0.2240401341959431</v>
      </c>
      <c r="V3961" s="11">
        <v>0.219526174793242</v>
      </c>
      <c r="W3961" s="11">
        <v>0.13735130402233892</v>
      </c>
      <c r="X3961" s="11">
        <v>0.07524216299329585</v>
      </c>
      <c r="Y3961" s="11">
        <v>0.02470197811683428</v>
      </c>
      <c r="Z3961" s="11">
        <v>0.3191382458783458</v>
      </c>
    </row>
    <row r="3962" ht="22.5" customHeight="1">
      <c r="Q3962" s="9" t="s">
        <v>4000</v>
      </c>
      <c r="R3962" s="10">
        <v>0.6892767261719112</v>
      </c>
      <c r="S3962" s="10">
        <v>0.031919920281763776</v>
      </c>
      <c r="T3962" s="10">
        <v>20.340800366686707</v>
      </c>
      <c r="U3962" s="11">
        <v>0.16739245750812162</v>
      </c>
      <c r="V3962" s="11">
        <v>0.19438886906188796</v>
      </c>
      <c r="W3962" s="11">
        <v>0.22302903797040538</v>
      </c>
      <c r="X3962" s="11">
        <v>0.0733058629464288</v>
      </c>
      <c r="Y3962" s="11">
        <v>0.14977018463056285</v>
      </c>
      <c r="Z3962" s="11">
        <v>0.19211358788259342</v>
      </c>
    </row>
    <row r="3963" ht="22.5" customHeight="1">
      <c r="Q3963" s="9" t="s">
        <v>4001</v>
      </c>
      <c r="R3963" s="10">
        <v>0.6529516625330023</v>
      </c>
      <c r="S3963" s="10">
        <v>0.030134292300080183</v>
      </c>
      <c r="T3963" s="10">
        <v>20.34066891066067</v>
      </c>
      <c r="U3963" s="11">
        <v>0.18628418940859048</v>
      </c>
      <c r="V3963" s="11">
        <v>0.252973726699435</v>
      </c>
      <c r="W3963" s="11">
        <v>0.12206059862520706</v>
      </c>
      <c r="X3963" s="11">
        <v>0.12185258229626066</v>
      </c>
      <c r="Y3963" s="11">
        <v>0.2208807193409531</v>
      </c>
      <c r="Z3963" s="11">
        <v>0.09594818362955379</v>
      </c>
    </row>
    <row r="3964" ht="22.5" customHeight="1">
      <c r="Q3964" s="9" t="s">
        <v>4002</v>
      </c>
      <c r="R3964" s="10">
        <v>0.5141736913039107</v>
      </c>
      <c r="S3964" s="10">
        <v>0.023312306781659457</v>
      </c>
      <c r="T3964" s="10">
        <v>20.34005882579404</v>
      </c>
      <c r="U3964" s="11">
        <v>0.12629216390265668</v>
      </c>
      <c r="V3964" s="11">
        <v>0.09391886606936503</v>
      </c>
      <c r="W3964" s="11">
        <v>0.18345916419803537</v>
      </c>
      <c r="X3964" s="11">
        <v>0.2021267756944853</v>
      </c>
      <c r="Y3964" s="11">
        <v>0.16469913221490765</v>
      </c>
      <c r="Z3964" s="11">
        <v>0.22950389792054998</v>
      </c>
    </row>
    <row r="3965" ht="22.5" customHeight="1">
      <c r="Q3965" s="9" t="s">
        <v>4003</v>
      </c>
      <c r="R3965" s="10">
        <v>0.6648215460761586</v>
      </c>
      <c r="S3965" s="10">
        <v>0.030718844816207878</v>
      </c>
      <c r="T3965" s="10">
        <v>20.340007894648767</v>
      </c>
      <c r="U3965" s="11">
        <v>0.08497987816410128</v>
      </c>
      <c r="V3965" s="11">
        <v>0.2642067555811773</v>
      </c>
      <c r="W3965" s="11">
        <v>0.12205964346772452</v>
      </c>
      <c r="X3965" s="11">
        <v>0.2397551286758334</v>
      </c>
      <c r="Y3965" s="11">
        <v>0.03916584555042766</v>
      </c>
      <c r="Z3965" s="11">
        <v>0.24983274856073584</v>
      </c>
    </row>
    <row r="3966" ht="22.5" customHeight="1">
      <c r="Q3966" s="9" t="s">
        <v>4004</v>
      </c>
      <c r="R3966" s="10">
        <v>0.9061328277469859</v>
      </c>
      <c r="S3966" s="10">
        <v>0.04258362001151324</v>
      </c>
      <c r="T3966" s="10">
        <v>20.339577225064744</v>
      </c>
      <c r="U3966" s="11">
        <v>0.12481354151432816</v>
      </c>
      <c r="V3966" s="11">
        <v>0.316261830647242</v>
      </c>
      <c r="W3966" s="11">
        <v>0.25173845747929274</v>
      </c>
      <c r="X3966" s="11">
        <v>0.17519564537036098</v>
      </c>
      <c r="Y3966" s="11">
        <v>0.03715772563944067</v>
      </c>
      <c r="Z3966" s="11">
        <v>0.0948327993493352</v>
      </c>
    </row>
    <row r="3967" ht="22.5" customHeight="1">
      <c r="Q3967" s="9" t="s">
        <v>4005</v>
      </c>
      <c r="R3967" s="10">
        <v>0.8159899057355694</v>
      </c>
      <c r="S3967" s="10">
        <v>0.03815307219967819</v>
      </c>
      <c r="T3967" s="10">
        <v>20.338857685544774</v>
      </c>
      <c r="U3967" s="11">
        <v>0.3228569656117638</v>
      </c>
      <c r="V3967" s="11">
        <v>0.2780935305195855</v>
      </c>
      <c r="W3967" s="11">
        <v>0.22503000021798067</v>
      </c>
      <c r="X3967" s="11">
        <v>0.06681475661342064</v>
      </c>
      <c r="Y3967" s="11">
        <v>0.09335592424730324</v>
      </c>
      <c r="Z3967" s="11">
        <v>0.013848822789946234</v>
      </c>
    </row>
    <row r="3968" ht="22.5" customHeight="1">
      <c r="Q3968" s="9" t="s">
        <v>4006</v>
      </c>
      <c r="R3968" s="10">
        <v>0.7813447063855173</v>
      </c>
      <c r="S3968" s="10">
        <v>0.036449799973937796</v>
      </c>
      <c r="T3968" s="10">
        <v>20.338786685128337</v>
      </c>
      <c r="U3968" s="11">
        <v>0.041166802079785805</v>
      </c>
      <c r="V3968" s="11">
        <v>0.2267786278606445</v>
      </c>
      <c r="W3968" s="11">
        <v>0.25213835152283637</v>
      </c>
      <c r="X3968" s="11">
        <v>0.12209618104403308</v>
      </c>
      <c r="Y3968" s="11">
        <v>0.2184802263096291</v>
      </c>
      <c r="Z3968" s="11">
        <v>0.13933981118307118</v>
      </c>
    </row>
    <row r="3969" ht="22.5" customHeight="1">
      <c r="Q3969" s="9" t="s">
        <v>4007</v>
      </c>
      <c r="R3969" s="10">
        <v>0.7446288095799553</v>
      </c>
      <c r="S3969" s="10">
        <v>0.03464507073579502</v>
      </c>
      <c r="T3969" s="10">
        <v>20.338501108959726</v>
      </c>
      <c r="U3969" s="11">
        <v>0.21667437094976819</v>
      </c>
      <c r="V3969" s="11">
        <v>0.27299801594348166</v>
      </c>
      <c r="W3969" s="11">
        <v>0.18248667210608627</v>
      </c>
      <c r="X3969" s="11">
        <v>0.11149015088212944</v>
      </c>
      <c r="Y3969" s="11">
        <v>0.026959555581670656</v>
      </c>
      <c r="Z3969" s="11">
        <v>0.18939123453686396</v>
      </c>
    </row>
    <row r="3970" ht="22.5" customHeight="1">
      <c r="Q3970" s="9" t="s">
        <v>4008</v>
      </c>
      <c r="R3970" s="10">
        <v>0.7887681540630683</v>
      </c>
      <c r="S3970" s="10">
        <v>0.03681533196227394</v>
      </c>
      <c r="T3970" s="10">
        <v>20.33848709636407</v>
      </c>
      <c r="U3970" s="11">
        <v>0.052821085821868084</v>
      </c>
      <c r="V3970" s="11">
        <v>0.24691312425340786</v>
      </c>
      <c r="W3970" s="11">
        <v>0.24302988326044628</v>
      </c>
      <c r="X3970" s="11">
        <v>0.11775503210134376</v>
      </c>
      <c r="Y3970" s="11">
        <v>0.1281683801141931</v>
      </c>
      <c r="Z3970" s="11">
        <v>0.211312494448741</v>
      </c>
    </row>
    <row r="3971" ht="22.5" customHeight="1">
      <c r="Q3971" s="9" t="s">
        <v>4009</v>
      </c>
      <c r="R3971" s="10">
        <v>0.5854266014300772</v>
      </c>
      <c r="S3971" s="10">
        <v>0.026817677462795037</v>
      </c>
      <c r="T3971" s="10">
        <v>20.33832356238767</v>
      </c>
      <c r="U3971" s="11">
        <v>0.0752647326750314</v>
      </c>
      <c r="V3971" s="11">
        <v>0.09891952419529719</v>
      </c>
      <c r="W3971" s="11">
        <v>0.21424795273626226</v>
      </c>
      <c r="X3971" s="11">
        <v>0.330906082102172</v>
      </c>
      <c r="Y3971" s="11">
        <v>0.1919050087994136</v>
      </c>
      <c r="Z3971" s="11">
        <v>0.0887566994918236</v>
      </c>
    </row>
    <row r="3972" ht="22.5" customHeight="1">
      <c r="Q3972" s="9" t="s">
        <v>4010</v>
      </c>
      <c r="R3972" s="10">
        <v>0.6259657136464171</v>
      </c>
      <c r="S3972" s="10">
        <v>0.028810929835615066</v>
      </c>
      <c r="T3972" s="10">
        <v>20.33831316759748</v>
      </c>
      <c r="U3972" s="11">
        <v>0.18248002803245925</v>
      </c>
      <c r="V3972" s="11">
        <v>0.14454388352219125</v>
      </c>
      <c r="W3972" s="11">
        <v>0.21852218999425604</v>
      </c>
      <c r="X3972" s="11">
        <v>0.1386841288693925</v>
      </c>
      <c r="Y3972" s="11">
        <v>0.15856619716379716</v>
      </c>
      <c r="Z3972" s="11">
        <v>0.15720357241790384</v>
      </c>
    </row>
    <row r="3973" ht="22.5" customHeight="1">
      <c r="Q3973" s="9" t="s">
        <v>4011</v>
      </c>
      <c r="R3973" s="10">
        <v>0.8112213425194245</v>
      </c>
      <c r="S3973" s="10">
        <v>0.03792056931825846</v>
      </c>
      <c r="T3973" s="10">
        <v>20.33781022765624</v>
      </c>
      <c r="U3973" s="11">
        <v>0.019234361582765206</v>
      </c>
      <c r="V3973" s="11">
        <v>0.30585503348451776</v>
      </c>
      <c r="W3973" s="11">
        <v>0.19158208262658324</v>
      </c>
      <c r="X3973" s="11">
        <v>0.18860220662074365</v>
      </c>
      <c r="Y3973" s="11">
        <v>0.10723863956173221</v>
      </c>
      <c r="Z3973" s="11">
        <v>0.1874876761236581</v>
      </c>
    </row>
    <row r="3974" ht="22.5" customHeight="1">
      <c r="Q3974" s="9" t="s">
        <v>4012</v>
      </c>
      <c r="R3974" s="10">
        <v>0.8054907247876043</v>
      </c>
      <c r="S3974" s="10">
        <v>0.037638987880967645</v>
      </c>
      <c r="T3974" s="10">
        <v>20.33770746462284</v>
      </c>
      <c r="U3974" s="11">
        <v>0.13016014955655497</v>
      </c>
      <c r="V3974" s="11">
        <v>0.21020941181806535</v>
      </c>
      <c r="W3974" s="11">
        <v>0.27894778225614897</v>
      </c>
      <c r="X3974" s="11">
        <v>0.22179757086934385</v>
      </c>
      <c r="Y3974" s="11">
        <v>0.08462148665217771</v>
      </c>
      <c r="Z3974" s="11">
        <v>0.07426359884770911</v>
      </c>
    </row>
    <row r="3975" ht="22.5" customHeight="1">
      <c r="Q3975" s="9" t="s">
        <v>4013</v>
      </c>
      <c r="R3975" s="10">
        <v>0.6522036043345438</v>
      </c>
      <c r="S3975" s="10">
        <v>0.030102393288362464</v>
      </c>
      <c r="T3975" s="10">
        <v>20.337373127445673</v>
      </c>
      <c r="U3975" s="11">
        <v>0.003343486869484788</v>
      </c>
      <c r="V3975" s="11">
        <v>0.18657245788577181</v>
      </c>
      <c r="W3975" s="11">
        <v>0.194488356453089</v>
      </c>
      <c r="X3975" s="11">
        <v>0.059234281714705475</v>
      </c>
      <c r="Y3975" s="11">
        <v>0.4262212735118556</v>
      </c>
      <c r="Z3975" s="11">
        <v>0.13014014356509326</v>
      </c>
    </row>
    <row r="3976" ht="22.5" customHeight="1">
      <c r="Q3976" s="9" t="s">
        <v>4014</v>
      </c>
      <c r="R3976" s="10">
        <v>0.2755987901994527</v>
      </c>
      <c r="S3976" s="10">
        <v>0.011584832992588702</v>
      </c>
      <c r="T3976" s="10">
        <v>20.336830953901107</v>
      </c>
      <c r="U3976" s="11">
        <v>0.3393090840631625</v>
      </c>
      <c r="V3976" s="11">
        <v>0.06721570085870729</v>
      </c>
      <c r="W3976" s="11">
        <v>0.01696248572814972</v>
      </c>
      <c r="X3976" s="11">
        <v>0.24444481803859316</v>
      </c>
      <c r="Y3976" s="11">
        <v>0.1865523258572023</v>
      </c>
      <c r="Z3976" s="11">
        <v>0.14551558545418503</v>
      </c>
    </row>
    <row r="3977" ht="22.5" customHeight="1">
      <c r="Q3977" s="9" t="s">
        <v>4015</v>
      </c>
      <c r="R3977" s="10">
        <v>0.5423482466348362</v>
      </c>
      <c r="S3977" s="10">
        <v>0.02470160626587642</v>
      </c>
      <c r="T3977" s="10">
        <v>20.336663180029547</v>
      </c>
      <c r="U3977" s="11">
        <v>0.2886537919970325</v>
      </c>
      <c r="V3977" s="11">
        <v>0.10147943642839745</v>
      </c>
      <c r="W3977" s="11">
        <v>0.1938976890343396</v>
      </c>
      <c r="X3977" s="11">
        <v>0.1913977618603613</v>
      </c>
      <c r="Y3977" s="11">
        <v>0.09618795917253371</v>
      </c>
      <c r="Z3977" s="11">
        <v>0.12838336150733531</v>
      </c>
    </row>
    <row r="3978" ht="22.5" customHeight="1">
      <c r="Q3978" s="9" t="s">
        <v>4016</v>
      </c>
      <c r="R3978" s="10">
        <v>0.7261548359665315</v>
      </c>
      <c r="S3978" s="10">
        <v>0.03374067560238678</v>
      </c>
      <c r="T3978" s="10">
        <v>20.336132093276568</v>
      </c>
      <c r="U3978" s="11">
        <v>0.27122741178575993</v>
      </c>
      <c r="V3978" s="11">
        <v>0.29057274591672566</v>
      </c>
      <c r="W3978" s="11">
        <v>0.1254130000396173</v>
      </c>
      <c r="X3978" s="11">
        <v>0.2771655530869319</v>
      </c>
      <c r="Y3978" s="11">
        <v>0.02570822212889033</v>
      </c>
      <c r="Z3978" s="11">
        <v>0.009913067042074774</v>
      </c>
    </row>
    <row r="3979" ht="22.5" customHeight="1">
      <c r="Q3979" s="9" t="s">
        <v>4017</v>
      </c>
      <c r="R3979" s="10">
        <v>0.718466089828193</v>
      </c>
      <c r="S3979" s="10">
        <v>0.0333627015044975</v>
      </c>
      <c r="T3979" s="10">
        <v>20.33606570309456</v>
      </c>
      <c r="U3979" s="11">
        <v>0.15093824685765062</v>
      </c>
      <c r="V3979" s="11">
        <v>0.21705531149393478</v>
      </c>
      <c r="W3979" s="11">
        <v>0.22216216103132427</v>
      </c>
      <c r="X3979" s="11">
        <v>0.053598268554072674</v>
      </c>
      <c r="Y3979" s="11">
        <v>0.17844016176388078</v>
      </c>
      <c r="Z3979" s="11">
        <v>0.17780585029913684</v>
      </c>
    </row>
    <row r="3980" ht="22.5" customHeight="1">
      <c r="Q3980" s="9" t="s">
        <v>4018</v>
      </c>
      <c r="R3980" s="10">
        <v>0.8077940591459616</v>
      </c>
      <c r="S3980" s="10">
        <v>0.03775596930832144</v>
      </c>
      <c r="T3980" s="10">
        <v>20.33569984327589</v>
      </c>
      <c r="U3980" s="11">
        <v>0.10592313455891027</v>
      </c>
      <c r="V3980" s="11">
        <v>0.23790491359842625</v>
      </c>
      <c r="W3980" s="11">
        <v>0.2627142877004382</v>
      </c>
      <c r="X3980" s="11">
        <v>0.1644773097755622</v>
      </c>
      <c r="Y3980" s="11">
        <v>0.05510163865414765</v>
      </c>
      <c r="Z3980" s="11">
        <v>0.1738787157125154</v>
      </c>
    </row>
    <row r="3981" ht="22.5" customHeight="1">
      <c r="Q3981" s="9" t="s">
        <v>4019</v>
      </c>
      <c r="R3981" s="10">
        <v>0.8648787046496391</v>
      </c>
      <c r="S3981" s="10">
        <v>0.040563603082476064</v>
      </c>
      <c r="T3981" s="10">
        <v>20.3354397037278</v>
      </c>
      <c r="U3981" s="11">
        <v>0.08258921414851939</v>
      </c>
      <c r="V3981" s="11">
        <v>0.29353314812058534</v>
      </c>
      <c r="W3981" s="11">
        <v>0.24696909418512478</v>
      </c>
      <c r="X3981" s="11">
        <v>0.12688024152765875</v>
      </c>
      <c r="Y3981" s="11">
        <v>0.13276907875078464</v>
      </c>
      <c r="Z3981" s="11">
        <v>0.11725922326732707</v>
      </c>
    </row>
    <row r="3982" ht="22.5" customHeight="1">
      <c r="Q3982" s="9" t="s">
        <v>4020</v>
      </c>
      <c r="R3982" s="10">
        <v>0.43307035022969276</v>
      </c>
      <c r="S3982" s="10">
        <v>0.0193308917813979</v>
      </c>
      <c r="T3982" s="10">
        <v>20.333792909023682</v>
      </c>
      <c r="U3982" s="11">
        <v>0.1522137097623931</v>
      </c>
      <c r="V3982" s="11">
        <v>0.060450467143161477</v>
      </c>
      <c r="W3982" s="11">
        <v>0.15031984501111514</v>
      </c>
      <c r="X3982" s="11">
        <v>0.2259368859486684</v>
      </c>
      <c r="Y3982" s="11">
        <v>0.21867570819673599</v>
      </c>
      <c r="Z3982" s="11">
        <v>0.19240338393792586</v>
      </c>
    </row>
    <row r="3983" ht="22.5" customHeight="1">
      <c r="Q3983" s="9" t="s">
        <v>4021</v>
      </c>
      <c r="R3983" s="10">
        <v>0.6680487411710049</v>
      </c>
      <c r="S3983" s="10">
        <v>0.03088744796077642</v>
      </c>
      <c r="T3983" s="10">
        <v>20.333461733988383</v>
      </c>
      <c r="U3983" s="11">
        <v>0.20766802155966765</v>
      </c>
      <c r="V3983" s="11">
        <v>0.18511582073913163</v>
      </c>
      <c r="W3983" s="11">
        <v>0.21784297732155225</v>
      </c>
      <c r="X3983" s="11">
        <v>0.07398910011515065</v>
      </c>
      <c r="Y3983" s="11">
        <v>0.1088873408040647</v>
      </c>
      <c r="Z3983" s="11">
        <v>0.20649673946043298</v>
      </c>
    </row>
    <row r="3984" ht="22.5" customHeight="1">
      <c r="Q3984" s="9" t="s">
        <v>4022</v>
      </c>
      <c r="R3984" s="10">
        <v>0.5437465449866908</v>
      </c>
      <c r="S3984" s="10">
        <v>0.02477438030829241</v>
      </c>
      <c r="T3984" s="10">
        <v>20.33336611120312</v>
      </c>
      <c r="U3984" s="11">
        <v>0.0722942921066983</v>
      </c>
      <c r="V3984" s="11">
        <v>0.20061587901619057</v>
      </c>
      <c r="W3984" s="11">
        <v>0.08728371699664829</v>
      </c>
      <c r="X3984" s="11">
        <v>0.13164734500276531</v>
      </c>
      <c r="Y3984" s="11">
        <v>0.41482696000078756</v>
      </c>
      <c r="Z3984" s="11">
        <v>0.09333180687690995</v>
      </c>
    </row>
    <row r="3985" ht="22.5" customHeight="1">
      <c r="Q3985" s="9" t="s">
        <v>4023</v>
      </c>
      <c r="R3985" s="10">
        <v>0.8251422218882949</v>
      </c>
      <c r="S3985" s="10">
        <v>0.03861417202877109</v>
      </c>
      <c r="T3985" s="10">
        <v>20.333006785780412</v>
      </c>
      <c r="U3985" s="11">
        <v>0.3119110868701833</v>
      </c>
      <c r="V3985" s="11">
        <v>0.2777280774901107</v>
      </c>
      <c r="W3985" s="11">
        <v>0.2322825848126833</v>
      </c>
      <c r="X3985" s="11">
        <v>0.06775515708779947</v>
      </c>
      <c r="Y3985" s="11">
        <v>0.09800187624512761</v>
      </c>
      <c r="Z3985" s="11">
        <v>0.012321217494095678</v>
      </c>
    </row>
    <row r="3986" ht="22.5" customHeight="1">
      <c r="Q3986" s="9" t="s">
        <v>4024</v>
      </c>
      <c r="R3986" s="10">
        <v>0.6267705220027481</v>
      </c>
      <c r="S3986" s="10">
        <v>0.028858612000140137</v>
      </c>
      <c r="T3986" s="10">
        <v>20.332596799870302</v>
      </c>
      <c r="U3986" s="11">
        <v>0.1758072849914122</v>
      </c>
      <c r="V3986" s="11">
        <v>0.2439763983631267</v>
      </c>
      <c r="W3986" s="11">
        <v>0.12028975995459382</v>
      </c>
      <c r="X3986" s="11">
        <v>0.13227185943552172</v>
      </c>
      <c r="Y3986" s="11">
        <v>0.09947775694131347</v>
      </c>
      <c r="Z3986" s="11">
        <v>0.228176940314032</v>
      </c>
    </row>
    <row r="3987" ht="22.5" customHeight="1">
      <c r="Q3987" s="9" t="s">
        <v>4025</v>
      </c>
      <c r="R3987" s="10">
        <v>0.5437333327765471</v>
      </c>
      <c r="S3987" s="10">
        <v>0.02477544221406444</v>
      </c>
      <c r="T3987" s="10">
        <v>20.33196131976968</v>
      </c>
      <c r="U3987" s="11">
        <v>0.26002687765414734</v>
      </c>
      <c r="V3987" s="11">
        <v>0.10830963208309846</v>
      </c>
      <c r="W3987" s="11">
        <v>0.18451789105168453</v>
      </c>
      <c r="X3987" s="11">
        <v>0.11597931462381882</v>
      </c>
      <c r="Y3987" s="11">
        <v>0.29926110356232233</v>
      </c>
      <c r="Z3987" s="11">
        <v>0.03190518102492859</v>
      </c>
    </row>
    <row r="3988" ht="22.5" customHeight="1">
      <c r="Q3988" s="9" t="s">
        <v>4026</v>
      </c>
      <c r="R3988" s="10">
        <v>0.5997809219070963</v>
      </c>
      <c r="S3988" s="10">
        <v>0.027533150192425845</v>
      </c>
      <c r="T3988" s="10">
        <v>20.33116145427804</v>
      </c>
      <c r="U3988" s="11">
        <v>0.17033334657488197</v>
      </c>
      <c r="V3988" s="11">
        <v>0.2367655938495111</v>
      </c>
      <c r="W3988" s="11">
        <v>0.10588275795213106</v>
      </c>
      <c r="X3988" s="11">
        <v>0.20214205606160962</v>
      </c>
      <c r="Y3988" s="11">
        <v>0.004653454698447592</v>
      </c>
      <c r="Z3988" s="11">
        <v>0.28022279086341856</v>
      </c>
    </row>
    <row r="3989" ht="22.5" customHeight="1">
      <c r="Q3989" s="9" t="s">
        <v>4027</v>
      </c>
      <c r="R3989" s="10">
        <v>0.823307051999816</v>
      </c>
      <c r="S3989" s="10">
        <v>0.03852795808952224</v>
      </c>
      <c r="T3989" s="10">
        <v>20.330873756137056</v>
      </c>
      <c r="U3989" s="11">
        <v>0.14298012143144037</v>
      </c>
      <c r="V3989" s="11">
        <v>0.2577967169110701</v>
      </c>
      <c r="W3989" s="11">
        <v>0.25489071187863277</v>
      </c>
      <c r="X3989" s="11">
        <v>0.11677873603656906</v>
      </c>
      <c r="Y3989" s="11">
        <v>0.09239304921210796</v>
      </c>
      <c r="Z3989" s="11">
        <v>0.1351606645301798</v>
      </c>
    </row>
    <row r="3990" ht="22.5" customHeight="1">
      <c r="Q3990" s="9" t="s">
        <v>4028</v>
      </c>
      <c r="R3990" s="10">
        <v>0.5914456835961052</v>
      </c>
      <c r="S3990" s="10">
        <v>0.027123638880456866</v>
      </c>
      <c r="T3990" s="10">
        <v>20.330814977537287</v>
      </c>
      <c r="U3990" s="11">
        <v>0.19160419922279973</v>
      </c>
      <c r="V3990" s="11">
        <v>0.1219326751726926</v>
      </c>
      <c r="W3990" s="11">
        <v>0.2126965223845333</v>
      </c>
      <c r="X3990" s="11">
        <v>0.20842775010252673</v>
      </c>
      <c r="Y3990" s="11">
        <v>0.08097771091732464</v>
      </c>
      <c r="Z3990" s="11">
        <v>0.18436114220012303</v>
      </c>
    </row>
    <row r="3991" ht="22.5" customHeight="1">
      <c r="Q3991" s="9" t="s">
        <v>4029</v>
      </c>
      <c r="R3991" s="10">
        <v>0.7362876937641222</v>
      </c>
      <c r="S3991" s="10">
        <v>0.03424804129501891</v>
      </c>
      <c r="T3991" s="10">
        <v>20.330730384437818</v>
      </c>
      <c r="U3991" s="11">
        <v>0.11550417427296968</v>
      </c>
      <c r="V3991" s="11">
        <v>0.18220859681904825</v>
      </c>
      <c r="W3991" s="11">
        <v>0.25736706814929433</v>
      </c>
      <c r="X3991" s="11">
        <v>0.18911553513589027</v>
      </c>
      <c r="Y3991" s="11">
        <v>0.1553060637905648</v>
      </c>
      <c r="Z3991" s="11">
        <v>0.10049856183223274</v>
      </c>
    </row>
    <row r="3992" ht="22.5" customHeight="1">
      <c r="Q3992" s="9" t="s">
        <v>4030</v>
      </c>
      <c r="R3992" s="10">
        <v>0.7241564706814406</v>
      </c>
      <c r="S3992" s="10">
        <v>0.03365209084114781</v>
      </c>
      <c r="T3992" s="10">
        <v>20.330281227129404</v>
      </c>
      <c r="U3992" s="11">
        <v>0.11991163263053192</v>
      </c>
      <c r="V3992" s="11">
        <v>0.2674602917107781</v>
      </c>
      <c r="W3992" s="11">
        <v>0.1745011846870926</v>
      </c>
      <c r="X3992" s="11">
        <v>0.10281688475836268</v>
      </c>
      <c r="Y3992" s="11">
        <v>0.09716774125089184</v>
      </c>
      <c r="Z3992" s="11">
        <v>0.23814226496234284</v>
      </c>
    </row>
    <row r="3993" ht="22.5" customHeight="1">
      <c r="Q3993" s="9" t="s">
        <v>4031</v>
      </c>
      <c r="R3993" s="10">
        <v>0.7119126922898853</v>
      </c>
      <c r="S3993" s="10">
        <v>0.03304996882927817</v>
      </c>
      <c r="T3993" s="10">
        <v>20.330206535464384</v>
      </c>
      <c r="U3993" s="11">
        <v>0.10602175417289533</v>
      </c>
      <c r="V3993" s="11">
        <v>0.24482427493274475</v>
      </c>
      <c r="W3993" s="11">
        <v>0.1934360641687474</v>
      </c>
      <c r="X3993" s="11">
        <v>0.06257257083319731</v>
      </c>
      <c r="Y3993" s="11">
        <v>0.12371598742826924</v>
      </c>
      <c r="Z3993" s="11">
        <v>0.2694293484641459</v>
      </c>
    </row>
    <row r="3994" ht="22.5" customHeight="1">
      <c r="Q3994" s="9" t="s">
        <v>4032</v>
      </c>
      <c r="R3994" s="10">
        <v>0.6249497243834303</v>
      </c>
      <c r="S3994" s="10">
        <v>0.02877300523554528</v>
      </c>
      <c r="T3994" s="10">
        <v>20.329809819823808</v>
      </c>
      <c r="U3994" s="11">
        <v>0.0875700981710866</v>
      </c>
      <c r="V3994" s="11">
        <v>0.13125725775058653</v>
      </c>
      <c r="W3994" s="11">
        <v>0.22603994073995587</v>
      </c>
      <c r="X3994" s="11">
        <v>0.2576183033703241</v>
      </c>
      <c r="Y3994" s="11">
        <v>0.08944736243359952</v>
      </c>
      <c r="Z3994" s="11">
        <v>0.20806703753444736</v>
      </c>
    </row>
    <row r="3995" ht="22.5" customHeight="1">
      <c r="Q3995" s="9" t="s">
        <v>4033</v>
      </c>
      <c r="R3995" s="10">
        <v>0.46112670152197294</v>
      </c>
      <c r="S3995" s="10">
        <v>0.020715156185549404</v>
      </c>
      <c r="T3995" s="10">
        <v>20.329400258915012</v>
      </c>
      <c r="U3995" s="11">
        <v>0.3105916547500998</v>
      </c>
      <c r="V3995" s="11">
        <v>0.15542737181181127</v>
      </c>
      <c r="W3995" s="11">
        <v>0.08359900695279858</v>
      </c>
      <c r="X3995" s="11">
        <v>0.021072615231749275</v>
      </c>
      <c r="Y3995" s="11">
        <v>0.30700359829239</v>
      </c>
      <c r="Z3995" s="11">
        <v>0.12230575296115125</v>
      </c>
    </row>
    <row r="3996" ht="22.5" customHeight="1">
      <c r="Q3996" s="9" t="s">
        <v>4034</v>
      </c>
      <c r="R3996" s="10">
        <v>0.5471424377436039</v>
      </c>
      <c r="S3996" s="10">
        <v>0.024946437030255432</v>
      </c>
      <c r="T3996" s="10">
        <v>20.329253316957992</v>
      </c>
      <c r="U3996" s="11">
        <v>0.20725396885435535</v>
      </c>
      <c r="V3996" s="11">
        <v>0.1290294397930272</v>
      </c>
      <c r="W3996" s="11">
        <v>0.18455906359318827</v>
      </c>
      <c r="X3996" s="11">
        <v>0.08272989143459025</v>
      </c>
      <c r="Y3996" s="11">
        <v>0.13582219281852234</v>
      </c>
      <c r="Z3996" s="11">
        <v>0.2606054435063165</v>
      </c>
    </row>
    <row r="3997" ht="22.5" customHeight="1">
      <c r="Q3997" s="9" t="s">
        <v>4035</v>
      </c>
      <c r="R3997" s="10">
        <v>0.6520280687305574</v>
      </c>
      <c r="S3997" s="10">
        <v>0.03010591327600562</v>
      </c>
      <c r="T3997" s="10">
        <v>20.329164676706323</v>
      </c>
      <c r="U3997" s="11">
        <v>0.03714639950923299</v>
      </c>
      <c r="V3997" s="11">
        <v>0.13755659499568462</v>
      </c>
      <c r="W3997" s="11">
        <v>0.2359798179666732</v>
      </c>
      <c r="X3997" s="11">
        <v>0.2762650618705277</v>
      </c>
      <c r="Y3997" s="11">
        <v>0.13911726007815242</v>
      </c>
      <c r="Z3997" s="11">
        <v>0.1739348655797291</v>
      </c>
    </row>
    <row r="3998" ht="22.5" customHeight="1">
      <c r="Q3998" s="9" t="s">
        <v>4036</v>
      </c>
      <c r="R3998" s="10">
        <v>0.8215907354946657</v>
      </c>
      <c r="S3998" s="10">
        <v>0.038446791733129926</v>
      </c>
      <c r="T3998" s="10">
        <v>20.329153624050306</v>
      </c>
      <c r="U3998" s="11">
        <v>0.1720099141756573</v>
      </c>
      <c r="V3998" s="11">
        <v>0.2383499092867032</v>
      </c>
      <c r="W3998" s="11">
        <v>0.2683991435046838</v>
      </c>
      <c r="X3998" s="11">
        <v>0.13190018029821912</v>
      </c>
      <c r="Y3998" s="11">
        <v>0.12027072596027824</v>
      </c>
      <c r="Z3998" s="11">
        <v>0.06907012677445833</v>
      </c>
    </row>
    <row r="3999" ht="22.5" customHeight="1">
      <c r="Q3999" s="9" t="s">
        <v>4037</v>
      </c>
      <c r="R3999" s="10">
        <v>0.8354230597488935</v>
      </c>
      <c r="S3999" s="10">
        <v>0.039127435170165016</v>
      </c>
      <c r="T3999" s="10">
        <v>20.329036551708608</v>
      </c>
      <c r="U3999" s="11">
        <v>0.09610793884636751</v>
      </c>
      <c r="V3999" s="11">
        <v>0.28785566613597785</v>
      </c>
      <c r="W3999" s="11">
        <v>0.22706887929795655</v>
      </c>
      <c r="X3999" s="11">
        <v>0.08048868432184401</v>
      </c>
      <c r="Y3999" s="11">
        <v>0.26436398854796855</v>
      </c>
      <c r="Z3999" s="11">
        <v>0.04411484284988564</v>
      </c>
    </row>
    <row r="4000" ht="22.5" customHeight="1">
      <c r="Q4000" s="9" t="s">
        <v>4038</v>
      </c>
      <c r="R4000" s="10">
        <v>0.6970108677528667</v>
      </c>
      <c r="S4000" s="10">
        <v>0.032319386786791006</v>
      </c>
      <c r="T4000" s="10">
        <v>20.32869225171649</v>
      </c>
      <c r="U4000" s="11">
        <v>0.2264020704626799</v>
      </c>
      <c r="V4000" s="11">
        <v>0.23060429021955467</v>
      </c>
      <c r="W4000" s="11">
        <v>0.19319298651825237</v>
      </c>
      <c r="X4000" s="11">
        <v>0.012734691030658916</v>
      </c>
      <c r="Y4000" s="11">
        <v>0.18265434861761648</v>
      </c>
      <c r="Z4000" s="11">
        <v>0.1544116131512377</v>
      </c>
    </row>
    <row r="4001" ht="22.5" customHeight="1">
      <c r="Q4001" s="9" t="s">
        <v>4039</v>
      </c>
      <c r="R4001" s="10">
        <v>0.6855299079502714</v>
      </c>
      <c r="S4001" s="10">
        <v>0.03175487720567034</v>
      </c>
      <c r="T4001" s="10">
        <v>20.328527922476162</v>
      </c>
      <c r="U4001" s="11">
        <v>0.1206072315191221</v>
      </c>
      <c r="V4001" s="11">
        <v>0.2295434553948294</v>
      </c>
      <c r="W4001" s="11">
        <v>0.17544802939294776</v>
      </c>
      <c r="X4001" s="11">
        <v>0.019569157816505603</v>
      </c>
      <c r="Y4001" s="11">
        <v>0.39080050694451446</v>
      </c>
      <c r="Z4001" s="11">
        <v>0.06403161893208069</v>
      </c>
    </row>
    <row r="4002" ht="22.5" customHeight="1">
      <c r="Q4002" s="9" t="s">
        <v>4040</v>
      </c>
      <c r="R4002" s="10">
        <v>0.587818222769201</v>
      </c>
      <c r="S4002" s="10">
        <v>0.026949182367851807</v>
      </c>
      <c r="T4002" s="10">
        <v>20.32782350468279</v>
      </c>
      <c r="U4002" s="11">
        <v>0.26225938457595266</v>
      </c>
      <c r="V4002" s="11">
        <v>0.23393179824980634</v>
      </c>
      <c r="W4002" s="11">
        <v>0.07873800553074607</v>
      </c>
      <c r="X4002" s="11">
        <v>0.23061847587854045</v>
      </c>
      <c r="Y4002" s="11">
        <v>0.17547136940124303</v>
      </c>
      <c r="Z4002" s="11">
        <v>0.01898096636371146</v>
      </c>
    </row>
    <row r="4003" ht="22.5" customHeight="1">
      <c r="Q4003" s="9" t="s">
        <v>4041</v>
      </c>
      <c r="R4003" s="10">
        <v>0.7024284669151433</v>
      </c>
      <c r="S4003" s="10">
        <v>0.03258806173380011</v>
      </c>
      <c r="T4003" s="10">
        <v>20.32733558461616</v>
      </c>
      <c r="U4003" s="11">
        <v>0.12970909870741895</v>
      </c>
      <c r="V4003" s="11">
        <v>0.25396195368051083</v>
      </c>
      <c r="W4003" s="11">
        <v>0.17389706216766</v>
      </c>
      <c r="X4003" s="11">
        <v>0.06521854550931548</v>
      </c>
      <c r="Y4003" s="11">
        <v>0.14177142567360795</v>
      </c>
      <c r="Z4003" s="11">
        <v>0.23544191426148678</v>
      </c>
    </row>
    <row r="4004" ht="22.5" customHeight="1">
      <c r="Q4004" s="9" t="s">
        <v>4042</v>
      </c>
      <c r="R4004" s="10">
        <v>0.7228066877770672</v>
      </c>
      <c r="S4004" s="10">
        <v>0.03359120541729095</v>
      </c>
      <c r="T4004" s="10">
        <v>20.326948059613095</v>
      </c>
      <c r="U4004" s="11">
        <v>0.1770054918134125</v>
      </c>
      <c r="V4004" s="11">
        <v>0.20657296222177682</v>
      </c>
      <c r="W4004" s="11">
        <v>0.23129749079464165</v>
      </c>
      <c r="X4004" s="11">
        <v>0.059612482841796835</v>
      </c>
      <c r="Y4004" s="11">
        <v>0.21727601377134098</v>
      </c>
      <c r="Z4004" s="11">
        <v>0.10823555855703135</v>
      </c>
    </row>
    <row r="4005" ht="22.5" customHeight="1">
      <c r="Q4005" s="9" t="s">
        <v>4043</v>
      </c>
      <c r="R4005" s="10">
        <v>0.7062050011650411</v>
      </c>
      <c r="S4005" s="10">
        <v>0.032774498916169764</v>
      </c>
      <c r="T4005" s="10">
        <v>20.326931705929436</v>
      </c>
      <c r="U4005" s="11">
        <v>0.059137874071328235</v>
      </c>
      <c r="V4005" s="11">
        <v>0.2691576603316744</v>
      </c>
      <c r="W4005" s="11">
        <v>0.1480574031770349</v>
      </c>
      <c r="X4005" s="11">
        <v>0.12006669663064017</v>
      </c>
      <c r="Y4005" s="11">
        <v>0.2670630702114851</v>
      </c>
      <c r="Z4005" s="11">
        <v>0.13651729557783704</v>
      </c>
    </row>
    <row r="4006" ht="22.5" customHeight="1">
      <c r="Q4006" s="9" t="s">
        <v>4044</v>
      </c>
      <c r="R4006" s="10">
        <v>0.5416563697967315</v>
      </c>
      <c r="S4006" s="10">
        <v>0.024680481601919362</v>
      </c>
      <c r="T4006" s="10">
        <v>20.326036496699416</v>
      </c>
      <c r="U4006" s="11">
        <v>0.24847951312897543</v>
      </c>
      <c r="V4006" s="11">
        <v>0.10136811436462646</v>
      </c>
      <c r="W4006" s="11">
        <v>0.19473902191234582</v>
      </c>
      <c r="X4006" s="11">
        <v>0.20344166626198132</v>
      </c>
      <c r="Y4006" s="11">
        <v>0.08716500923863588</v>
      </c>
      <c r="Z4006" s="11">
        <v>0.16480667509343494</v>
      </c>
    </row>
    <row r="4007" ht="22.5" customHeight="1">
      <c r="Q4007" s="9" t="s">
        <v>4045</v>
      </c>
      <c r="R4007" s="10">
        <v>0.3474911168614529</v>
      </c>
      <c r="S4007" s="10">
        <v>0.015128589589723542</v>
      </c>
      <c r="T4007" s="10">
        <v>20.32516746110448</v>
      </c>
      <c r="U4007" s="11">
        <v>0.11604606774945882</v>
      </c>
      <c r="V4007" s="11">
        <v>0.11544537642661404</v>
      </c>
      <c r="W4007" s="11">
        <v>0.040684733825689504</v>
      </c>
      <c r="X4007" s="11">
        <v>0.11849394260933348</v>
      </c>
      <c r="Y4007" s="11">
        <v>0.28990657442354434</v>
      </c>
      <c r="Z4007" s="11">
        <v>0.3194233049653597</v>
      </c>
    </row>
    <row r="4008" ht="22.5" customHeight="1">
      <c r="Q4008" s="9" t="s">
        <v>4046</v>
      </c>
      <c r="R4008" s="10">
        <v>0.5584034554838232</v>
      </c>
      <c r="S4008" s="10">
        <v>0.02550572562385818</v>
      </c>
      <c r="T4008" s="10">
        <v>20.324983618537246</v>
      </c>
      <c r="U4008" s="11">
        <v>0.24182887093186312</v>
      </c>
      <c r="V4008" s="11">
        <v>0.1250126844433117</v>
      </c>
      <c r="W4008" s="11">
        <v>0.18956872410363265</v>
      </c>
      <c r="X4008" s="11">
        <v>0.08306427332302672</v>
      </c>
      <c r="Y4008" s="11">
        <v>0.2119744246472808</v>
      </c>
      <c r="Z4008" s="11">
        <v>0.14855102255088512</v>
      </c>
    </row>
    <row r="4009" ht="22.5" customHeight="1">
      <c r="Q4009" s="9" t="s">
        <v>4047</v>
      </c>
      <c r="R4009" s="10">
        <v>0.8236722213933405</v>
      </c>
      <c r="S4009" s="10">
        <v>0.03855720668721504</v>
      </c>
      <c r="T4009" s="10">
        <v>20.324922076193705</v>
      </c>
      <c r="U4009" s="11">
        <v>0.1459274317012881</v>
      </c>
      <c r="V4009" s="11">
        <v>0.3170121129778421</v>
      </c>
      <c r="W4009" s="11">
        <v>0.18358733562142285</v>
      </c>
      <c r="X4009" s="11">
        <v>0.19695106299889717</v>
      </c>
      <c r="Y4009" s="11">
        <v>0.07242217542829213</v>
      </c>
      <c r="Z4009" s="11">
        <v>0.08409988127225763</v>
      </c>
    </row>
    <row r="4010" ht="22.5" customHeight="1">
      <c r="Q4010" s="9" t="s">
        <v>4048</v>
      </c>
      <c r="R4010" s="10">
        <v>0.8348777371731126</v>
      </c>
      <c r="S4010" s="10">
        <v>0.03910880512609754</v>
      </c>
      <c r="T4010" s="10">
        <v>20.32477685294164</v>
      </c>
      <c r="U4010" s="11">
        <v>0.005551763184684026</v>
      </c>
      <c r="V4010" s="11">
        <v>0.2652463822259866</v>
      </c>
      <c r="W4010" s="11">
        <v>0.2576914523879633</v>
      </c>
      <c r="X4010" s="11">
        <v>0.19285859818019693</v>
      </c>
      <c r="Y4010" s="11">
        <v>0.02682005384609898</v>
      </c>
      <c r="Z4010" s="11">
        <v>0.2518317501750701</v>
      </c>
    </row>
    <row r="4011" ht="22.5" customHeight="1">
      <c r="Q4011" s="9" t="s">
        <v>4049</v>
      </c>
      <c r="R4011" s="10">
        <v>0.716280143460581</v>
      </c>
      <c r="S4011" s="10">
        <v>0.03327428689526216</v>
      </c>
      <c r="T4011" s="10">
        <v>20.324406818673992</v>
      </c>
      <c r="U4011" s="11">
        <v>0.07045500773166047</v>
      </c>
      <c r="V4011" s="11">
        <v>0.19927830986050385</v>
      </c>
      <c r="W4011" s="11">
        <v>0.23843251331740964</v>
      </c>
      <c r="X4011" s="11">
        <v>0.1534351249788472</v>
      </c>
      <c r="Y4011" s="11">
        <v>0.06654646939915786</v>
      </c>
      <c r="Z4011" s="11">
        <v>0.2718525747124209</v>
      </c>
    </row>
    <row r="4012" ht="22.5" customHeight="1">
      <c r="Q4012" s="9" t="s">
        <v>4050</v>
      </c>
      <c r="R4012" s="10">
        <v>0.5878855685494833</v>
      </c>
      <c r="S4012" s="10">
        <v>0.026957824141777862</v>
      </c>
      <c r="T4012" s="10">
        <v>20.32380527701411</v>
      </c>
      <c r="U4012" s="11">
        <v>0.291609026296706</v>
      </c>
      <c r="V4012" s="11">
        <v>0.20185723603748343</v>
      </c>
      <c r="W4012" s="11">
        <v>0.14769642836266114</v>
      </c>
      <c r="X4012" s="11">
        <v>0.022108350036617916</v>
      </c>
      <c r="Y4012" s="11">
        <v>0.05307009768722641</v>
      </c>
      <c r="Z4012" s="11">
        <v>0.28365886157930503</v>
      </c>
    </row>
    <row r="4013" ht="22.5" customHeight="1">
      <c r="Q4013" s="9" t="s">
        <v>4051</v>
      </c>
      <c r="R4013" s="10">
        <v>0.5147232053772217</v>
      </c>
      <c r="S4013" s="10">
        <v>0.023358268540795833</v>
      </c>
      <c r="T4013" s="10">
        <v>20.323561421006232</v>
      </c>
      <c r="U4013" s="11">
        <v>0.15919898307327077</v>
      </c>
      <c r="V4013" s="11">
        <v>0.10108811091317406</v>
      </c>
      <c r="W4013" s="11">
        <v>0.18056192547263708</v>
      </c>
      <c r="X4013" s="11">
        <v>0.1480379475544842</v>
      </c>
      <c r="Y4013" s="11">
        <v>0.18134711062668044</v>
      </c>
      <c r="Z4013" s="11">
        <v>0.22976592235975338</v>
      </c>
    </row>
    <row r="4014" ht="22.5" customHeight="1">
      <c r="Q4014" s="9" t="s">
        <v>4052</v>
      </c>
      <c r="R4014" s="10">
        <v>0.3269793606577005</v>
      </c>
      <c r="S4014" s="10">
        <v>0.01412066811919386</v>
      </c>
      <c r="T4014" s="10">
        <v>20.323355682272346</v>
      </c>
      <c r="U4014" s="11">
        <v>0.2381113901377771</v>
      </c>
      <c r="V4014" s="11">
        <v>0.044875395679517004</v>
      </c>
      <c r="W4014" s="11">
        <v>0.09529588201351366</v>
      </c>
      <c r="X4014" s="11">
        <v>0.13982541577354368</v>
      </c>
      <c r="Y4014" s="11">
        <v>0.21988052869264021</v>
      </c>
      <c r="Z4014" s="11">
        <v>0.26201138770300825</v>
      </c>
    </row>
    <row r="4015" ht="22.5" customHeight="1">
      <c r="Q4015" s="9" t="s">
        <v>4053</v>
      </c>
      <c r="R4015" s="10">
        <v>0.4105355669165802</v>
      </c>
      <c r="S4015" s="10">
        <v>0.018232296098442947</v>
      </c>
      <c r="T4015" s="10">
        <v>20.323033638545628</v>
      </c>
      <c r="U4015" s="11">
        <v>0.05060572439013574</v>
      </c>
      <c r="V4015" s="11">
        <v>0.1326152931040169</v>
      </c>
      <c r="W4015" s="11">
        <v>0.07808052194772838</v>
      </c>
      <c r="X4015" s="11">
        <v>0.044002663182331</v>
      </c>
      <c r="Y4015" s="11">
        <v>0.3516905922744164</v>
      </c>
      <c r="Z4015" s="11">
        <v>0.3430052051013716</v>
      </c>
    </row>
    <row r="4016" ht="22.5" customHeight="1">
      <c r="Q4016" s="9" t="s">
        <v>4054</v>
      </c>
      <c r="R4016" s="10">
        <v>0.7736150374732488</v>
      </c>
      <c r="S4016" s="10">
        <v>0.0360979023237393</v>
      </c>
      <c r="T4016" s="10">
        <v>20.322927102353997</v>
      </c>
      <c r="U4016" s="11">
        <v>0.07077198270669893</v>
      </c>
      <c r="V4016" s="11">
        <v>0.25661831344602787</v>
      </c>
      <c r="W4016" s="11">
        <v>0.2230326503725971</v>
      </c>
      <c r="X4016" s="11">
        <v>0.07698584091105024</v>
      </c>
      <c r="Y4016" s="11">
        <v>0.17085619950681538</v>
      </c>
      <c r="Z4016" s="11">
        <v>0.20173501305681033</v>
      </c>
    </row>
    <row r="4017" ht="22.5" customHeight="1">
      <c r="Q4017" s="9" t="s">
        <v>4055</v>
      </c>
      <c r="R4017" s="10">
        <v>0.9650151106108829</v>
      </c>
      <c r="S4017" s="10">
        <v>0.045516651076974765</v>
      </c>
      <c r="T4017" s="10">
        <v>20.322565231052657</v>
      </c>
      <c r="U4017" s="11">
        <v>0.03262444245684145</v>
      </c>
      <c r="V4017" s="11">
        <v>0.3470724552625233</v>
      </c>
      <c r="W4017" s="11">
        <v>0.2580958488382218</v>
      </c>
      <c r="X4017" s="11">
        <v>0.22852148780647275</v>
      </c>
      <c r="Y4017" s="11">
        <v>0.07192288800625644</v>
      </c>
      <c r="Z4017" s="11">
        <v>0.06176287762968432</v>
      </c>
    </row>
    <row r="4018" ht="22.5" customHeight="1">
      <c r="Q4018" s="9" t="s">
        <v>4056</v>
      </c>
      <c r="R4018" s="10">
        <v>0.6653383365361116</v>
      </c>
      <c r="S4018" s="10">
        <v>0.03077232414826248</v>
      </c>
      <c r="T4018" s="10">
        <v>20.32145292384165</v>
      </c>
      <c r="U4018" s="11">
        <v>0.11203243147666597</v>
      </c>
      <c r="V4018" s="11">
        <v>0.1610121115319886</v>
      </c>
      <c r="W4018" s="11">
        <v>0.23306729919788854</v>
      </c>
      <c r="X4018" s="11">
        <v>0.17665930624849654</v>
      </c>
      <c r="Y4018" s="11">
        <v>0.10278185294784398</v>
      </c>
      <c r="Z4018" s="11">
        <v>0.2144469985971164</v>
      </c>
    </row>
    <row r="4019" ht="22.5" customHeight="1">
      <c r="Q4019" s="9" t="s">
        <v>4057</v>
      </c>
      <c r="R4019" s="10">
        <v>0.8323642691654977</v>
      </c>
      <c r="S4019" s="10">
        <v>0.03899238951757863</v>
      </c>
      <c r="T4019" s="10">
        <v>20.320997993936288</v>
      </c>
      <c r="U4019" s="11">
        <v>0.27400682488876177</v>
      </c>
      <c r="V4019" s="11">
        <v>0.24124282242486744</v>
      </c>
      <c r="W4019" s="11">
        <v>0.2713232788857</v>
      </c>
      <c r="X4019" s="11">
        <v>0.12073407512369269</v>
      </c>
      <c r="Y4019" s="11">
        <v>0.09189500397823838</v>
      </c>
      <c r="Z4019" s="11">
        <v>7.979946987398468E-4</v>
      </c>
    </row>
    <row r="4020" ht="22.5" customHeight="1">
      <c r="Q4020" s="9" t="s">
        <v>4058</v>
      </c>
      <c r="R4020" s="10">
        <v>0.6195537614679587</v>
      </c>
      <c r="S4020" s="10">
        <v>0.028520158088875314</v>
      </c>
      <c r="T4020" s="10">
        <v>20.32084673801376</v>
      </c>
      <c r="U4020" s="11">
        <v>0.28761432504174894</v>
      </c>
      <c r="V4020" s="11">
        <v>0.15874856024785344</v>
      </c>
      <c r="W4020" s="11">
        <v>0.2038636450005846</v>
      </c>
      <c r="X4020" s="11">
        <v>0.048504659095198355</v>
      </c>
      <c r="Y4020" s="11">
        <v>0.17725047879531544</v>
      </c>
      <c r="Z4020" s="11">
        <v>0.1240183318192991</v>
      </c>
    </row>
    <row r="4021" ht="22.5" customHeight="1">
      <c r="Q4021" s="9" t="s">
        <v>4059</v>
      </c>
      <c r="R4021" s="10">
        <v>0.5644639241632228</v>
      </c>
      <c r="S4021" s="10">
        <v>0.025809159981402832</v>
      </c>
      <c r="T4021" s="10">
        <v>20.32084440334877</v>
      </c>
      <c r="U4021" s="11">
        <v>0.07276720733637063</v>
      </c>
      <c r="V4021" s="11">
        <v>0.10572860301961172</v>
      </c>
      <c r="W4021" s="11">
        <v>0.20432900943601248</v>
      </c>
      <c r="X4021" s="11">
        <v>0.2467884562502083</v>
      </c>
      <c r="Y4021" s="11">
        <v>0.17435709503390553</v>
      </c>
      <c r="Z4021" s="11">
        <v>0.1960296289238914</v>
      </c>
    </row>
    <row r="4022" ht="22.5" customHeight="1">
      <c r="Q4022" s="9" t="s">
        <v>4060</v>
      </c>
      <c r="R4022" s="10">
        <v>0.6200088614662438</v>
      </c>
      <c r="S4022" s="10">
        <v>0.028542638603112</v>
      </c>
      <c r="T4022" s="10">
        <v>20.320786369169298</v>
      </c>
      <c r="U4022" s="11">
        <v>0.10362611422904437</v>
      </c>
      <c r="V4022" s="11">
        <v>0.14248395053611784</v>
      </c>
      <c r="W4022" s="11">
        <v>0.21936679544578833</v>
      </c>
      <c r="X4022" s="11">
        <v>0.22993286655796513</v>
      </c>
      <c r="Y4022" s="11">
        <v>0.008574631178011721</v>
      </c>
      <c r="Z4022" s="11">
        <v>0.29601564205307257</v>
      </c>
    </row>
    <row r="4023" ht="22.5" customHeight="1">
      <c r="Q4023" s="9" t="s">
        <v>4061</v>
      </c>
      <c r="R4023" s="10">
        <v>0.6716359325690551</v>
      </c>
      <c r="S4023" s="10">
        <v>0.031083351679933348</v>
      </c>
      <c r="T4023" s="10">
        <v>20.320715059078516</v>
      </c>
      <c r="U4023" s="11">
        <v>0.174097520084133</v>
      </c>
      <c r="V4023" s="11">
        <v>0.17319007384084312</v>
      </c>
      <c r="W4023" s="11">
        <v>0.22965993344471808</v>
      </c>
      <c r="X4023" s="11">
        <v>0.1431053931517667</v>
      </c>
      <c r="Y4023" s="11">
        <v>0.05326673743445454</v>
      </c>
      <c r="Z4023" s="11">
        <v>0.22668034204408455</v>
      </c>
    </row>
    <row r="4024" ht="22.5" customHeight="1">
      <c r="Q4024" s="9" t="s">
        <v>4062</v>
      </c>
      <c r="R4024" s="10">
        <v>0.4965902269256495</v>
      </c>
      <c r="S4024" s="10">
        <v>0.022469495725192076</v>
      </c>
      <c r="T4024" s="10">
        <v>20.320448331812596</v>
      </c>
      <c r="U4024" s="11">
        <v>0.1950346706108374</v>
      </c>
      <c r="V4024" s="11">
        <v>0.10677151064222391</v>
      </c>
      <c r="W4024" s="11">
        <v>0.16511811589076536</v>
      </c>
      <c r="X4024" s="11">
        <v>0.07315088448070735</v>
      </c>
      <c r="Y4024" s="11">
        <v>0.23854894903790322</v>
      </c>
      <c r="Z4024" s="11">
        <v>0.2213758693375627</v>
      </c>
    </row>
    <row r="4025" ht="22.5" customHeight="1">
      <c r="Q4025" s="9" t="s">
        <v>4063</v>
      </c>
      <c r="R4025" s="10">
        <v>0.5743359298615506</v>
      </c>
      <c r="S4025" s="10">
        <v>0.02629621244165598</v>
      </c>
      <c r="T4025" s="10">
        <v>20.31988184789327</v>
      </c>
      <c r="U4025" s="11">
        <v>0.15807841568721384</v>
      </c>
      <c r="V4025" s="11">
        <v>0.12100096359247846</v>
      </c>
      <c r="W4025" s="11">
        <v>0.20343193827287626</v>
      </c>
      <c r="X4025" s="11">
        <v>0.15914095562808878</v>
      </c>
      <c r="Y4025" s="11">
        <v>0.16365681065355314</v>
      </c>
      <c r="Z4025" s="11">
        <v>0.1946909161657896</v>
      </c>
    </row>
    <row r="4026" ht="22.5" customHeight="1">
      <c r="Q4026" s="9" t="s">
        <v>4064</v>
      </c>
      <c r="R4026" s="10">
        <v>0.7136798196390142</v>
      </c>
      <c r="S4026" s="10">
        <v>0.03315421736630064</v>
      </c>
      <c r="T4026" s="10">
        <v>20.31958143351533</v>
      </c>
      <c r="U4026" s="11">
        <v>0.14174955694007332</v>
      </c>
      <c r="V4026" s="11">
        <v>0.27656657231936127</v>
      </c>
      <c r="W4026" s="11">
        <v>0.14950707485029774</v>
      </c>
      <c r="X4026" s="11">
        <v>0.14909090615778306</v>
      </c>
      <c r="Y4026" s="11">
        <v>0.10191176903040913</v>
      </c>
      <c r="Z4026" s="11">
        <v>0.1811741207020756</v>
      </c>
    </row>
    <row r="4027" ht="22.5" customHeight="1">
      <c r="Q4027" s="9" t="s">
        <v>4065</v>
      </c>
      <c r="R4027" s="10">
        <v>0.522331348251574</v>
      </c>
      <c r="S4027" s="10">
        <v>0.033140355754678615</v>
      </c>
      <c r="T4027" s="10">
        <v>20.318839523424987</v>
      </c>
      <c r="U4027" s="11">
        <v>0.17705855222120911</v>
      </c>
      <c r="V4027" s="11">
        <v>0.17459961385730702</v>
      </c>
      <c r="W4027" s="11">
        <v>0.24823517531115266</v>
      </c>
      <c r="X4027" s="11">
        <v>0.15085042799373768</v>
      </c>
      <c r="Y4027" s="11">
        <v>0.18281821030160605</v>
      </c>
      <c r="Z4027" s="11">
        <v>0.0664380203149876</v>
      </c>
    </row>
    <row r="4028" ht="22.5" customHeight="1">
      <c r="Q4028" s="9" t="s">
        <v>4066</v>
      </c>
      <c r="R4028" s="10">
        <v>0.6649687009189014</v>
      </c>
      <c r="S4028" s="10">
        <v>0.030759039363799548</v>
      </c>
      <c r="T4028" s="10">
        <v>20.31821259198458</v>
      </c>
      <c r="U4028" s="11">
        <v>0.20506897946320565</v>
      </c>
      <c r="V4028" s="11">
        <v>0.13425452831418558</v>
      </c>
      <c r="W4028" s="11">
        <v>0.2438717576583639</v>
      </c>
      <c r="X4028" s="11">
        <v>0.3029366872213133</v>
      </c>
      <c r="Y4028" s="11">
        <v>0.035478870912378536</v>
      </c>
      <c r="Z4028" s="11">
        <v>0.0783891764305531</v>
      </c>
    </row>
    <row r="4029" ht="22.5" customHeight="1">
      <c r="Q4029" s="9" t="s">
        <v>4067</v>
      </c>
      <c r="R4029" s="10">
        <v>0.8237977539999292</v>
      </c>
      <c r="S4029" s="10">
        <v>0.03857613979338806</v>
      </c>
      <c r="T4029" s="10">
        <v>20.318200789345745</v>
      </c>
      <c r="U4029" s="11">
        <v>0.0833263095445827</v>
      </c>
      <c r="V4029" s="11">
        <v>0.22400398175283945</v>
      </c>
      <c r="W4029" s="11">
        <v>0.2819269415763952</v>
      </c>
      <c r="X4029" s="11">
        <v>0.24875710302070322</v>
      </c>
      <c r="Y4029" s="11">
        <v>0.0158412837351059</v>
      </c>
      <c r="Z4029" s="11">
        <v>0.14614438037037372</v>
      </c>
    </row>
    <row r="4030" ht="22.5" customHeight="1">
      <c r="Q4030" s="9" t="s">
        <v>4068</v>
      </c>
      <c r="R4030" s="10">
        <v>0.522331348251574</v>
      </c>
      <c r="S4030" s="10">
        <v>0.03838820711353551</v>
      </c>
      <c r="T4030" s="10">
        <v>20.317971597440817</v>
      </c>
      <c r="U4030" s="11">
        <v>0.039507598205029734</v>
      </c>
      <c r="V4030" s="11">
        <v>0.30284585498373623</v>
      </c>
      <c r="W4030" s="11">
        <v>0.20490389983575844</v>
      </c>
      <c r="X4030" s="11">
        <v>0.16714908255715888</v>
      </c>
      <c r="Y4030" s="11">
        <v>0.08055079935728174</v>
      </c>
      <c r="Z4030" s="11">
        <v>0.20504276506103497</v>
      </c>
    </row>
    <row r="4031" ht="22.5" customHeight="1">
      <c r="Q4031" s="9" t="s">
        <v>4069</v>
      </c>
      <c r="R4031" s="10">
        <v>0.7401035364209004</v>
      </c>
      <c r="S4031" s="10">
        <v>0.03445788510231374</v>
      </c>
      <c r="T4031" s="10">
        <v>20.317658333995972</v>
      </c>
      <c r="U4031" s="11">
        <v>0.20974248181503535</v>
      </c>
      <c r="V4031" s="11">
        <v>0.1804392511208505</v>
      </c>
      <c r="W4031" s="11">
        <v>0.25848515327170457</v>
      </c>
      <c r="X4031" s="11">
        <v>0.16299160315379313</v>
      </c>
      <c r="Y4031" s="11">
        <v>0.18152661022770958</v>
      </c>
      <c r="Z4031" s="11">
        <v>0.006814900410906807</v>
      </c>
    </row>
    <row r="4032" ht="22.5" customHeight="1">
      <c r="Q4032" s="9" t="s">
        <v>4070</v>
      </c>
      <c r="R4032" s="10">
        <v>0.7468041389207818</v>
      </c>
      <c r="S4032" s="10">
        <v>0.034788328575714116</v>
      </c>
      <c r="T4032" s="10">
        <v>20.317277887682273</v>
      </c>
      <c r="U4032" s="11">
        <v>0.0066803632935935</v>
      </c>
      <c r="V4032" s="11">
        <v>0.27473908314188283</v>
      </c>
      <c r="W4032" s="11">
        <v>0.1840472343327609</v>
      </c>
      <c r="X4032" s="11">
        <v>0.12876499996190052</v>
      </c>
      <c r="Y4032" s="11">
        <v>0.12690157731096835</v>
      </c>
      <c r="Z4032" s="11">
        <v>0.2788667419588939</v>
      </c>
    </row>
    <row r="4033" ht="22.5" customHeight="1">
      <c r="Q4033" s="9" t="s">
        <v>4071</v>
      </c>
      <c r="R4033" s="10">
        <v>0.36487488583871175</v>
      </c>
      <c r="S4033" s="10">
        <v>0.01599066460681591</v>
      </c>
      <c r="T4033" s="10">
        <v>20.31653429215419</v>
      </c>
      <c r="U4033" s="11">
        <v>0.2700827938632152</v>
      </c>
      <c r="V4033" s="11">
        <v>0.12432033000743015</v>
      </c>
      <c r="W4033" s="11">
        <v>0.040879904518768925</v>
      </c>
      <c r="X4033" s="11">
        <v>0.1104915092387065</v>
      </c>
      <c r="Y4033" s="11">
        <v>0.23512269676279796</v>
      </c>
      <c r="Z4033" s="11">
        <v>0.21910276560908132</v>
      </c>
    </row>
    <row r="4034" ht="22.5" customHeight="1">
      <c r="Q4034" s="9" t="s">
        <v>4072</v>
      </c>
      <c r="R4034" s="10">
        <v>0.7496031300968469</v>
      </c>
      <c r="S4034" s="10">
        <v>0.03492876290350583</v>
      </c>
      <c r="T4034" s="10">
        <v>20.31572466672226</v>
      </c>
      <c r="U4034" s="11">
        <v>0.17472591337854507</v>
      </c>
      <c r="V4034" s="11">
        <v>0.19932395916362428</v>
      </c>
      <c r="W4034" s="11">
        <v>0.2549734039820445</v>
      </c>
      <c r="X4034" s="11">
        <v>0.13874899454171685</v>
      </c>
      <c r="Y4034" s="11">
        <v>0.1245550940441118</v>
      </c>
      <c r="Z4034" s="11">
        <v>0.10767263488995753</v>
      </c>
    </row>
    <row r="4035" ht="22.5" customHeight="1">
      <c r="Q4035" s="9" t="s">
        <v>4073</v>
      </c>
      <c r="R4035" s="10">
        <v>0.6781566572628043</v>
      </c>
      <c r="S4035" s="10">
        <v>0.031412752062382636</v>
      </c>
      <c r="T4035" s="10">
        <v>20.315210077598035</v>
      </c>
      <c r="U4035" s="11">
        <v>0.18277859093815682</v>
      </c>
      <c r="V4035" s="11">
        <v>0.23730549853321392</v>
      </c>
      <c r="W4035" s="11">
        <v>0.1724443612084787</v>
      </c>
      <c r="X4035" s="11">
        <v>0.01881036852517946</v>
      </c>
      <c r="Y4035" s="11">
        <v>0.20161994610205447</v>
      </c>
      <c r="Z4035" s="11">
        <v>0.1870412346929167</v>
      </c>
    </row>
    <row r="4036" ht="22.5" customHeight="1">
      <c r="Q4036" s="9" t="s">
        <v>4074</v>
      </c>
      <c r="R4036" s="10">
        <v>0.5979907707879575</v>
      </c>
      <c r="S4036" s="10">
        <v>0.027466787753076396</v>
      </c>
      <c r="T4036" s="10">
        <v>20.31510840671422</v>
      </c>
      <c r="U4036" s="11">
        <v>0.20362267821130758</v>
      </c>
      <c r="V4036" s="11">
        <v>0.2303392915575945</v>
      </c>
      <c r="W4036" s="11">
        <v>0.10156268711725365</v>
      </c>
      <c r="X4036" s="11">
        <v>0.11270873487897043</v>
      </c>
      <c r="Y4036" s="11">
        <v>0.2763631984461216</v>
      </c>
      <c r="Z4036" s="11">
        <v>0.0754034097887523</v>
      </c>
    </row>
    <row r="4037" ht="22.5" customHeight="1">
      <c r="Q4037" s="9" t="s">
        <v>4075</v>
      </c>
      <c r="R4037" s="10">
        <v>0.7738871171804537</v>
      </c>
      <c r="S4037" s="10">
        <v>0.03612650522577667</v>
      </c>
      <c r="T4037" s="10">
        <v>20.31436787461016</v>
      </c>
      <c r="U4037" s="11">
        <v>0.15803568528791861</v>
      </c>
      <c r="V4037" s="11">
        <v>0.20202991383605798</v>
      </c>
      <c r="W4037" s="11">
        <v>0.26497135649461223</v>
      </c>
      <c r="X4037" s="11">
        <v>0.15056081451290865</v>
      </c>
      <c r="Y4037" s="11">
        <v>0.18428141152316935</v>
      </c>
      <c r="Z4037" s="11">
        <v>0.040120818345333216</v>
      </c>
    </row>
    <row r="4038" ht="22.5" customHeight="1">
      <c r="Q4038" s="9" t="s">
        <v>4076</v>
      </c>
      <c r="R4038" s="10">
        <v>0.6229532121455205</v>
      </c>
      <c r="S4038" s="10">
        <v>0.02869731258088363</v>
      </c>
      <c r="T4038" s="10">
        <v>20.313860766664533</v>
      </c>
      <c r="U4038" s="11">
        <v>0.19856231736348812</v>
      </c>
      <c r="V4038" s="11">
        <v>0.1500899922694637</v>
      </c>
      <c r="W4038" s="11">
        <v>0.21657100554099817</v>
      </c>
      <c r="X4038" s="11">
        <v>0.15946027967578746</v>
      </c>
      <c r="Y4038" s="11">
        <v>0.02553224597849753</v>
      </c>
      <c r="Z4038" s="11">
        <v>0.24978415917176505</v>
      </c>
    </row>
    <row r="4039" ht="22.5" customHeight="1">
      <c r="Q4039" s="9" t="s">
        <v>4077</v>
      </c>
      <c r="R4039" s="10">
        <v>0.5258325723460359</v>
      </c>
      <c r="S4039" s="10">
        <v>0.023916313371507843</v>
      </c>
      <c r="T4039" s="10">
        <v>20.31385710662336</v>
      </c>
      <c r="U4039" s="11">
        <v>0.2351776714128409</v>
      </c>
      <c r="V4039" s="11">
        <v>0.2088661805750482</v>
      </c>
      <c r="W4039" s="11">
        <v>0.05110137277870343</v>
      </c>
      <c r="X4039" s="11">
        <v>0.3311244554605297</v>
      </c>
      <c r="Y4039" s="11">
        <v>0.12542215107230023</v>
      </c>
      <c r="Z4039" s="11">
        <v>0.04830816870057757</v>
      </c>
    </row>
    <row r="4040" ht="22.5" customHeight="1">
      <c r="Q4040" s="9" t="s">
        <v>4078</v>
      </c>
      <c r="R4040" s="10">
        <v>0.6921342936275354</v>
      </c>
      <c r="S4040" s="10">
        <v>0.03210410515267104</v>
      </c>
      <c r="T4040" s="10">
        <v>20.31311231153497</v>
      </c>
      <c r="U4040" s="11">
        <v>0.20413679143256347</v>
      </c>
      <c r="V4040" s="11">
        <v>0.19277187974257162</v>
      </c>
      <c r="W4040" s="11">
        <v>0.22766583431262222</v>
      </c>
      <c r="X4040" s="11">
        <v>0.09323851021174272</v>
      </c>
      <c r="Y4040" s="11">
        <v>0.07469468048179302</v>
      </c>
      <c r="Z4040" s="11">
        <v>0.20749230381870692</v>
      </c>
    </row>
    <row r="4041" ht="22.5" customHeight="1">
      <c r="Q4041" s="9" t="s">
        <v>4079</v>
      </c>
      <c r="R4041" s="10">
        <v>0.6662379033491638</v>
      </c>
      <c r="S4041" s="10">
        <v>0.030829911809784748</v>
      </c>
      <c r="T4041" s="10">
        <v>20.312672550377176</v>
      </c>
      <c r="U4041" s="11">
        <v>0.12116941757018483</v>
      </c>
      <c r="V4041" s="11">
        <v>0.20182684798188147</v>
      </c>
      <c r="W4041" s="11">
        <v>0.19114812561964672</v>
      </c>
      <c r="X4041" s="11">
        <v>0.012914100738106449</v>
      </c>
      <c r="Y4041" s="11">
        <v>0.3914185599302467</v>
      </c>
      <c r="Z4041" s="11">
        <v>0.08152294815993374</v>
      </c>
    </row>
    <row r="4042" ht="22.5" customHeight="1">
      <c r="Q4042" s="9" t="s">
        <v>4080</v>
      </c>
      <c r="R4042" s="10">
        <v>0.7373912245150537</v>
      </c>
      <c r="S4042" s="10">
        <v>0.034332901324922206</v>
      </c>
      <c r="T4042" s="10">
        <v>20.312621351601834</v>
      </c>
      <c r="U4042" s="11">
        <v>0.0014302657479498533</v>
      </c>
      <c r="V4042" s="11">
        <v>0.2951273288784388</v>
      </c>
      <c r="W4042" s="11">
        <v>0.1299568043176775</v>
      </c>
      <c r="X4042" s="11">
        <v>0.27823423202181036</v>
      </c>
      <c r="Y4042" s="11">
        <v>0.20968800626015321</v>
      </c>
      <c r="Z4042" s="11">
        <v>0.08556336277397018</v>
      </c>
    </row>
    <row r="4043" ht="22.5" customHeight="1">
      <c r="Q4043" s="9" t="s">
        <v>4081</v>
      </c>
      <c r="R4043" s="10">
        <v>0.48422346106522995</v>
      </c>
      <c r="S4043" s="10">
        <v>0.02186953790238372</v>
      </c>
      <c r="T4043" s="10">
        <v>20.312430150470203</v>
      </c>
      <c r="U4043" s="11">
        <v>0.16676483936234582</v>
      </c>
      <c r="V4043" s="11">
        <v>0.19142025162069154</v>
      </c>
      <c r="W4043" s="11">
        <v>0.047950139318254204</v>
      </c>
      <c r="X4043" s="11">
        <v>0.274246577280156</v>
      </c>
      <c r="Y4043" s="11">
        <v>0.15470045682312664</v>
      </c>
      <c r="Z4043" s="11">
        <v>0.16491773559542572</v>
      </c>
    </row>
    <row r="4044" ht="22.5" customHeight="1">
      <c r="Q4044" s="9" t="s">
        <v>4082</v>
      </c>
      <c r="R4044" s="10">
        <v>0.4383976834753051</v>
      </c>
      <c r="S4044" s="10">
        <v>0.019613554873327537</v>
      </c>
      <c r="T4044" s="10">
        <v>20.312364895008702</v>
      </c>
      <c r="U4044" s="11">
        <v>0.29773660739439883</v>
      </c>
      <c r="V4044" s="11">
        <v>0.11817779734941074</v>
      </c>
      <c r="W4044" s="11">
        <v>0.12406516847919159</v>
      </c>
      <c r="X4044" s="11">
        <v>0.014354665651280596</v>
      </c>
      <c r="Y4044" s="11">
        <v>0.0815395377347636</v>
      </c>
      <c r="Z4044" s="11">
        <v>0.36412622339095463</v>
      </c>
    </row>
    <row r="4045" ht="22.5" customHeight="1">
      <c r="Q4045" s="9" t="s">
        <v>4083</v>
      </c>
      <c r="R4045" s="10">
        <v>0.8353226816648044</v>
      </c>
      <c r="S4045" s="10">
        <v>0.03915519652342645</v>
      </c>
      <c r="T4045" s="10">
        <v>20.312059503748497</v>
      </c>
      <c r="U4045" s="11">
        <v>0.1908013147811591</v>
      </c>
      <c r="V4045" s="11">
        <v>0.3082950729565143</v>
      </c>
      <c r="W4045" s="11">
        <v>0.20789007847609717</v>
      </c>
      <c r="X4045" s="11">
        <v>0.13993432450602727</v>
      </c>
      <c r="Y4045" s="11">
        <v>0.05344121710975674</v>
      </c>
      <c r="Z4045" s="11">
        <v>0.09963799217044539</v>
      </c>
    </row>
    <row r="4046" ht="22.5" customHeight="1">
      <c r="Q4046" s="9" t="s">
        <v>4084</v>
      </c>
      <c r="R4046" s="10">
        <v>0.7457212863124912</v>
      </c>
      <c r="S4046" s="10">
        <v>0.03474425742306588</v>
      </c>
      <c r="T4046" s="10">
        <v>20.3118828449613</v>
      </c>
      <c r="U4046" s="11">
        <v>0.1394287867078715</v>
      </c>
      <c r="V4046" s="11">
        <v>0.2885046990963544</v>
      </c>
      <c r="W4046" s="11">
        <v>0.15979408679864993</v>
      </c>
      <c r="X4046" s="11">
        <v>0.15719068809279665</v>
      </c>
      <c r="Y4046" s="11">
        <v>0.09947032169871806</v>
      </c>
      <c r="Z4046" s="11">
        <v>0.15561141760560943</v>
      </c>
    </row>
    <row r="4047" ht="22.5" customHeight="1">
      <c r="Q4047" s="9" t="s">
        <v>4085</v>
      </c>
      <c r="R4047" s="10">
        <v>0.8318174904112384</v>
      </c>
      <c r="S4047" s="10">
        <v>0.03898360846584684</v>
      </c>
      <c r="T4047" s="10">
        <v>20.311549432499096</v>
      </c>
      <c r="U4047" s="11">
        <v>0.022853639719237095</v>
      </c>
      <c r="V4047" s="11">
        <v>0.24592380838977382</v>
      </c>
      <c r="W4047" s="11">
        <v>0.2646019835641407</v>
      </c>
      <c r="X4047" s="11">
        <v>0.12198960905561887</v>
      </c>
      <c r="Y4047" s="11">
        <v>0.29522521274958385</v>
      </c>
      <c r="Z4047" s="11">
        <v>0.049405746521645616</v>
      </c>
    </row>
    <row r="4048" ht="22.5" customHeight="1">
      <c r="Q4048" s="9" t="s">
        <v>4086</v>
      </c>
      <c r="R4048" s="10">
        <v>0.6368335775244183</v>
      </c>
      <c r="S4048" s="10">
        <v>0.029384225023049954</v>
      </c>
      <c r="T4048" s="10">
        <v>20.31136016199993</v>
      </c>
      <c r="U4048" s="11">
        <v>0.16429691185557727</v>
      </c>
      <c r="V4048" s="11">
        <v>0.15823824884517723</v>
      </c>
      <c r="W4048" s="11">
        <v>0.21821997247150035</v>
      </c>
      <c r="X4048" s="11">
        <v>0.11171647510916248</v>
      </c>
      <c r="Y4048" s="11">
        <v>0.13841187567476604</v>
      </c>
      <c r="Z4048" s="11">
        <v>0.20911651604381656</v>
      </c>
    </row>
    <row r="4049" ht="22.5" customHeight="1">
      <c r="Q4049" s="9" t="s">
        <v>4087</v>
      </c>
      <c r="R4049" s="10">
        <v>0.34048328137516304</v>
      </c>
      <c r="S4049" s="10">
        <v>0.014794007912332548</v>
      </c>
      <c r="T4049" s="10">
        <v>20.311147807665755</v>
      </c>
      <c r="U4049" s="11">
        <v>0.06170376091293313</v>
      </c>
      <c r="V4049" s="11">
        <v>0.0682644110939314</v>
      </c>
      <c r="W4049" s="11">
        <v>0.04509429921490726</v>
      </c>
      <c r="X4049" s="11">
        <v>0.32727820520481943</v>
      </c>
      <c r="Y4049" s="11">
        <v>0.4947294146163692</v>
      </c>
      <c r="Z4049" s="11">
        <v>0.0029299089570395164</v>
      </c>
    </row>
    <row r="4050" ht="22.5" customHeight="1">
      <c r="Q4050" s="9" t="s">
        <v>4088</v>
      </c>
      <c r="R4050" s="10">
        <v>0.7249657544546408</v>
      </c>
      <c r="S4050" s="10">
        <v>0.033724339344034106</v>
      </c>
      <c r="T4050" s="10">
        <v>20.310724176597173</v>
      </c>
      <c r="U4050" s="11">
        <v>0.21910253575640573</v>
      </c>
      <c r="V4050" s="11">
        <v>0.18417490067070644</v>
      </c>
      <c r="W4050" s="11">
        <v>0.25175369838748685</v>
      </c>
      <c r="X4050" s="11">
        <v>0.1757673119075629</v>
      </c>
      <c r="Y4050" s="11">
        <v>0.03737796603269668</v>
      </c>
      <c r="Z4050" s="11">
        <v>0.13182358724514137</v>
      </c>
    </row>
    <row r="4051" ht="22.5" customHeight="1">
      <c r="Q4051" s="9" t="s">
        <v>4089</v>
      </c>
      <c r="R4051" s="10">
        <v>0.4795107547772396</v>
      </c>
      <c r="S4051" s="10">
        <v>0.021639768140451827</v>
      </c>
      <c r="T4051" s="10">
        <v>20.3103264288516</v>
      </c>
      <c r="U4051" s="11">
        <v>0.32719985767639775</v>
      </c>
      <c r="V4051" s="11">
        <v>0.18585055112501825</v>
      </c>
      <c r="W4051" s="11">
        <v>0.0475488934693705</v>
      </c>
      <c r="X4051" s="11">
        <v>0.2488131559753642</v>
      </c>
      <c r="Y4051" s="11">
        <v>0.119976239139356</v>
      </c>
      <c r="Z4051" s="11">
        <v>0.07061130261449329</v>
      </c>
    </row>
    <row r="4052" ht="22.5" customHeight="1">
      <c r="Q4052" s="9" t="s">
        <v>4090</v>
      </c>
      <c r="R4052" s="10">
        <v>0.7260405427827945</v>
      </c>
      <c r="S4052" s="10">
        <v>0.033778731058758595</v>
      </c>
      <c r="T4052" s="10">
        <v>20.309837619104666</v>
      </c>
      <c r="U4052" s="11">
        <v>0.15913873642704404</v>
      </c>
      <c r="V4052" s="11">
        <v>0.2339648787987182</v>
      </c>
      <c r="W4052" s="11">
        <v>0.21257995178397776</v>
      </c>
      <c r="X4052" s="11">
        <v>0.03695159218303438</v>
      </c>
      <c r="Y4052" s="11">
        <v>0.16738322896856164</v>
      </c>
      <c r="Z4052" s="11">
        <v>0.18998161183866402</v>
      </c>
    </row>
    <row r="4053" ht="22.5" customHeight="1">
      <c r="Q4053" s="9" t="s">
        <v>4091</v>
      </c>
      <c r="R4053" s="10">
        <v>0.7325803103796378</v>
      </c>
      <c r="S4053" s="10">
        <v>0.03410106673607644</v>
      </c>
      <c r="T4053" s="10">
        <v>20.309637693736374</v>
      </c>
      <c r="U4053" s="11">
        <v>0.24187658741872933</v>
      </c>
      <c r="V4053" s="11">
        <v>0.22930690433318104</v>
      </c>
      <c r="W4053" s="11">
        <v>0.2192975666179104</v>
      </c>
      <c r="X4053" s="11">
        <v>0.028314092794860666</v>
      </c>
      <c r="Y4053" s="11">
        <v>0.16254434829944964</v>
      </c>
      <c r="Z4053" s="11">
        <v>0.11866050053586893</v>
      </c>
    </row>
    <row r="4054" ht="22.5" customHeight="1">
      <c r="Q4054" s="9" t="s">
        <v>4092</v>
      </c>
      <c r="R4054" s="10">
        <v>0.5221312583533456</v>
      </c>
      <c r="S4054" s="10">
        <v>0.02374024505323885</v>
      </c>
      <c r="T4054" s="10">
        <v>20.308604956357396</v>
      </c>
      <c r="U4054" s="11">
        <v>0.15999033378800245</v>
      </c>
      <c r="V4054" s="11">
        <v>0.12520252199889043</v>
      </c>
      <c r="W4054" s="11">
        <v>0.17366668422729686</v>
      </c>
      <c r="X4054" s="11">
        <v>0.0727884471404527</v>
      </c>
      <c r="Y4054" s="11">
        <v>0.14112635029214737</v>
      </c>
      <c r="Z4054" s="11">
        <v>0.32722566255321006</v>
      </c>
    </row>
    <row r="4055" ht="22.5" customHeight="1">
      <c r="Q4055" s="9" t="s">
        <v>4093</v>
      </c>
      <c r="R4055" s="10">
        <v>0.8122779176466748</v>
      </c>
      <c r="S4055" s="10">
        <v>0.03802833061433504</v>
      </c>
      <c r="T4055" s="10">
        <v>20.307962647078682</v>
      </c>
      <c r="U4055" s="11">
        <v>0.0019371324975416796</v>
      </c>
      <c r="V4055" s="11">
        <v>0.2034503204705313</v>
      </c>
      <c r="W4055" s="11">
        <v>0.28650508027608895</v>
      </c>
      <c r="X4055" s="11">
        <v>0.28881782856720195</v>
      </c>
      <c r="Y4055" s="11">
        <v>0.1193815546271506</v>
      </c>
      <c r="Z4055" s="11">
        <v>0.09990808356148555</v>
      </c>
    </row>
    <row r="4056" ht="22.5" customHeight="1">
      <c r="Q4056" s="9" t="s">
        <v>4094</v>
      </c>
      <c r="R4056" s="10">
        <v>0.5177154330138137</v>
      </c>
      <c r="S4056" s="10">
        <v>0.023523560413382074</v>
      </c>
      <c r="T4056" s="10">
        <v>20.307956134992693</v>
      </c>
      <c r="U4056" s="11">
        <v>0.07478834992249778</v>
      </c>
      <c r="V4056" s="11">
        <v>0.1815773653812942</v>
      </c>
      <c r="W4056" s="11">
        <v>0.1122331151252622</v>
      </c>
      <c r="X4056" s="11">
        <v>0.018982969496070288</v>
      </c>
      <c r="Y4056" s="11">
        <v>0.289046476915434</v>
      </c>
      <c r="Z4056" s="11">
        <v>0.3233717231594416</v>
      </c>
    </row>
    <row r="4057" ht="22.5" customHeight="1">
      <c r="Q4057" s="9" t="s">
        <v>4095</v>
      </c>
      <c r="R4057" s="10">
        <v>0.5644442072800078</v>
      </c>
      <c r="S4057" s="10">
        <v>0.025824745782637392</v>
      </c>
      <c r="T4057" s="10">
        <v>20.307816839482864</v>
      </c>
      <c r="U4057" s="11">
        <v>0.2113851187205176</v>
      </c>
      <c r="V4057" s="11">
        <v>0.220233168559614</v>
      </c>
      <c r="W4057" s="11">
        <v>0.08991596534306064</v>
      </c>
      <c r="X4057" s="11">
        <v>0.1263082606983252</v>
      </c>
      <c r="Y4057" s="11">
        <v>0.21231376930051224</v>
      </c>
      <c r="Z4057" s="11">
        <v>0.13984371737797033</v>
      </c>
    </row>
    <row r="4058" ht="22.5" customHeight="1">
      <c r="Q4058" s="9" t="s">
        <v>4096</v>
      </c>
      <c r="R4058" s="10">
        <v>0.6763428302609322</v>
      </c>
      <c r="S4058" s="10">
        <v>0.031334983183287306</v>
      </c>
      <c r="T4058" s="10">
        <v>20.30774443179945</v>
      </c>
      <c r="U4058" s="11">
        <v>0.22535045552020902</v>
      </c>
      <c r="V4058" s="11">
        <v>0.20299327727174934</v>
      </c>
      <c r="W4058" s="11">
        <v>0.20719559786460967</v>
      </c>
      <c r="X4058" s="11">
        <v>0.022043660431640667</v>
      </c>
      <c r="Y4058" s="11">
        <v>0.16315255887574995</v>
      </c>
      <c r="Z4058" s="11">
        <v>0.17926445003604127</v>
      </c>
    </row>
    <row r="4059" ht="22.5" customHeight="1">
      <c r="Q4059" s="9" t="s">
        <v>4097</v>
      </c>
      <c r="R4059" s="10">
        <v>0.487947568221316</v>
      </c>
      <c r="S4059" s="10">
        <v>0.022058001810948337</v>
      </c>
      <c r="T4059" s="10">
        <v>20.307712913459838</v>
      </c>
      <c r="U4059" s="11">
        <v>0.00397415540295055</v>
      </c>
      <c r="V4059" s="11">
        <v>0.07810920503832942</v>
      </c>
      <c r="W4059" s="11">
        <v>0.17317588040953688</v>
      </c>
      <c r="X4059" s="11">
        <v>0.39668321208937607</v>
      </c>
      <c r="Y4059" s="11">
        <v>0.0035832613947213796</v>
      </c>
      <c r="Z4059" s="11">
        <v>0.34447428566508564</v>
      </c>
    </row>
    <row r="4060" ht="22.5" customHeight="1">
      <c r="Q4060" s="9" t="s">
        <v>4098</v>
      </c>
      <c r="R4060" s="10">
        <v>0.7035438060124122</v>
      </c>
      <c r="S4060" s="10">
        <v>0.032674836418786185</v>
      </c>
      <c r="T4060" s="10">
        <v>20.307486700405086</v>
      </c>
      <c r="U4060" s="11">
        <v>0.23082144977651295</v>
      </c>
      <c r="V4060" s="11">
        <v>0.22300427476647025</v>
      </c>
      <c r="W4060" s="11">
        <v>0.20806873200613088</v>
      </c>
      <c r="X4060" s="11">
        <v>0.02910916770826242</v>
      </c>
      <c r="Y4060" s="11">
        <v>0.12096877734254863</v>
      </c>
      <c r="Z4060" s="11">
        <v>0.18802759840007482</v>
      </c>
    </row>
    <row r="4061" ht="22.5" customHeight="1">
      <c r="Q4061" s="9" t="s">
        <v>4099</v>
      </c>
      <c r="R4061" s="10">
        <v>0.8599238242547732</v>
      </c>
      <c r="S4061" s="10">
        <v>0.04037638763571357</v>
      </c>
      <c r="T4061" s="10">
        <v>20.307012892097788</v>
      </c>
      <c r="U4061" s="11">
        <v>0.16601891644352584</v>
      </c>
      <c r="V4061" s="11">
        <v>0.27018708611696923</v>
      </c>
      <c r="W4061" s="11">
        <v>0.26762841766423073</v>
      </c>
      <c r="X4061" s="11">
        <v>0.13183994387040499</v>
      </c>
      <c r="Y4061" s="11">
        <v>0.06448016677573466</v>
      </c>
      <c r="Z4061" s="11">
        <v>0.09984546912913468</v>
      </c>
    </row>
    <row r="4062" ht="22.5" customHeight="1">
      <c r="Q4062" s="9" t="s">
        <v>4100</v>
      </c>
      <c r="R4062" s="10">
        <v>0.49172759749630607</v>
      </c>
      <c r="S4062" s="10">
        <v>0.02224645437053616</v>
      </c>
      <c r="T4062" s="10">
        <v>20.305599713659856</v>
      </c>
      <c r="U4062" s="11">
        <v>0.3143428344372671</v>
      </c>
      <c r="V4062" s="11">
        <v>0.19281709085514634</v>
      </c>
      <c r="W4062" s="11">
        <v>0.05039536350735287</v>
      </c>
      <c r="X4062" s="11">
        <v>0.2779736226540571</v>
      </c>
      <c r="Y4062" s="11">
        <v>0.06040267524338077</v>
      </c>
      <c r="Z4062" s="11">
        <v>0.10406841330279565</v>
      </c>
    </row>
    <row r="4063" ht="22.5" customHeight="1">
      <c r="Q4063" s="9" t="s">
        <v>4101</v>
      </c>
      <c r="R4063" s="10">
        <v>0.49487972862018637</v>
      </c>
      <c r="S4063" s="10">
        <v>0.022402196438076026</v>
      </c>
      <c r="T4063" s="10">
        <v>20.305139715989963</v>
      </c>
      <c r="U4063" s="11">
        <v>0.13769441556465495</v>
      </c>
      <c r="V4063" s="11">
        <v>0.18989120931308345</v>
      </c>
      <c r="W4063" s="11">
        <v>0.06766776096060911</v>
      </c>
      <c r="X4063" s="11">
        <v>0.14056472604366643</v>
      </c>
      <c r="Y4063" s="11">
        <v>0.2801616997876076</v>
      </c>
      <c r="Z4063" s="11">
        <v>0.18402018833037853</v>
      </c>
    </row>
    <row r="4064" ht="22.5" customHeight="1">
      <c r="Q4064" s="9" t="s">
        <v>4102</v>
      </c>
      <c r="R4064" s="10">
        <v>0.4738595092996304</v>
      </c>
      <c r="S4064" s="10">
        <v>0.021367009098913235</v>
      </c>
      <c r="T4064" s="10">
        <v>20.305111833443142</v>
      </c>
      <c r="U4064" s="11">
        <v>0.2921296920945134</v>
      </c>
      <c r="V4064" s="11">
        <v>0.1819610931827854</v>
      </c>
      <c r="W4064" s="11">
        <v>0.05940999322330396</v>
      </c>
      <c r="X4064" s="11">
        <v>0.14988223222370725</v>
      </c>
      <c r="Y4064" s="11">
        <v>0.16356347738754992</v>
      </c>
      <c r="Z4064" s="11">
        <v>0.1530535118881401</v>
      </c>
    </row>
    <row r="4065" ht="22.5" customHeight="1">
      <c r="Q4065" s="9" t="s">
        <v>4103</v>
      </c>
      <c r="R4065" s="10">
        <v>0.6949361711718263</v>
      </c>
      <c r="S4065" s="10">
        <v>0.032254811164135345</v>
      </c>
      <c r="T4065" s="10">
        <v>20.305069151980046</v>
      </c>
      <c r="U4065" s="11">
        <v>0.11041239466651594</v>
      </c>
      <c r="V4065" s="11">
        <v>0.22266908412030337</v>
      </c>
      <c r="W4065" s="11">
        <v>0.20627672166922079</v>
      </c>
      <c r="X4065" s="11">
        <v>0.06709193626380484</v>
      </c>
      <c r="Y4065" s="11">
        <v>0.08370212979497299</v>
      </c>
      <c r="Z4065" s="11">
        <v>0.30984773348518213</v>
      </c>
    </row>
    <row r="4066" ht="22.5" customHeight="1">
      <c r="Q4066" s="9" t="s">
        <v>4104</v>
      </c>
      <c r="R4066" s="10">
        <v>0.38392112088681807</v>
      </c>
      <c r="S4066" s="10">
        <v>0.016938276731355034</v>
      </c>
      <c r="T4066" s="10">
        <v>20.304374898431888</v>
      </c>
      <c r="U4066" s="11">
        <v>0.2692771035513694</v>
      </c>
      <c r="V4066" s="11">
        <v>0.06908833184660311</v>
      </c>
      <c r="W4066" s="11">
        <v>0.11604742168092952</v>
      </c>
      <c r="X4066" s="11">
        <v>0.0752799782259959</v>
      </c>
      <c r="Y4066" s="11">
        <v>0.2567688611636738</v>
      </c>
      <c r="Z4066" s="11">
        <v>0.2135383035314283</v>
      </c>
    </row>
    <row r="4067" ht="22.5" customHeight="1">
      <c r="Q4067" s="9" t="s">
        <v>4105</v>
      </c>
      <c r="R4067" s="10">
        <v>0.8178448755381981</v>
      </c>
      <c r="S4067" s="10">
        <v>0.038309454002420064</v>
      </c>
      <c r="T4067" s="10">
        <v>20.304253761723164</v>
      </c>
      <c r="U4067" s="11">
        <v>0.08536807562257538</v>
      </c>
      <c r="V4067" s="11">
        <v>0.2095487579118566</v>
      </c>
      <c r="W4067" s="11">
        <v>0.2872240823235</v>
      </c>
      <c r="X4067" s="11">
        <v>0.273111808329188</v>
      </c>
      <c r="Y4067" s="11">
        <v>0.04487061854651485</v>
      </c>
      <c r="Z4067" s="11">
        <v>0.0998766572663652</v>
      </c>
    </row>
    <row r="4068" ht="22.5" customHeight="1">
      <c r="Q4068" s="9" t="s">
        <v>4106</v>
      </c>
      <c r="R4068" s="10">
        <v>0.727382160764878</v>
      </c>
      <c r="S4068" s="10">
        <v>0.033855311332421624</v>
      </c>
      <c r="T4068" s="10">
        <v>20.303525021983916</v>
      </c>
      <c r="U4068" s="11">
        <v>0.23287340015153377</v>
      </c>
      <c r="V4068" s="11">
        <v>0.279300993309021</v>
      </c>
      <c r="W4068" s="11">
        <v>0.15798016673635304</v>
      </c>
      <c r="X4068" s="11">
        <v>0.1475973503267708</v>
      </c>
      <c r="Y4068" s="11">
        <v>0.01988903459685929</v>
      </c>
      <c r="Z4068" s="11">
        <v>0.16235905487946206</v>
      </c>
    </row>
    <row r="4069" ht="22.5" customHeight="1">
      <c r="Q4069" s="9" t="s">
        <v>4107</v>
      </c>
      <c r="R4069" s="10">
        <v>0.6460565633656004</v>
      </c>
      <c r="S4069" s="10">
        <v>0.029850262621407227</v>
      </c>
      <c r="T4069" s="10">
        <v>20.303223829292698</v>
      </c>
      <c r="U4069" s="11">
        <v>0.15835920087999197</v>
      </c>
      <c r="V4069" s="11">
        <v>0.26169522759237884</v>
      </c>
      <c r="W4069" s="11">
        <v>0.09933064447525146</v>
      </c>
      <c r="X4069" s="11">
        <v>0.31231046713529925</v>
      </c>
      <c r="Y4069" s="11">
        <v>0.009920976505226031</v>
      </c>
      <c r="Z4069" s="11">
        <v>0.15838348341185232</v>
      </c>
    </row>
    <row r="4070" ht="22.5" customHeight="1">
      <c r="Q4070" s="9" t="s">
        <v>4108</v>
      </c>
      <c r="R4070" s="10">
        <v>0.612798095920266</v>
      </c>
      <c r="S4070" s="10">
        <v>0.028212823259378073</v>
      </c>
      <c r="T4070" s="10">
        <v>20.30275703548617</v>
      </c>
      <c r="U4070" s="11">
        <v>0.25673561692250313</v>
      </c>
      <c r="V4070" s="11">
        <v>0.18797815313071656</v>
      </c>
      <c r="W4070" s="11">
        <v>0.18151544108221837</v>
      </c>
      <c r="X4070" s="11">
        <v>0.02232284506460272</v>
      </c>
      <c r="Y4070" s="11">
        <v>0.0662120341950858</v>
      </c>
      <c r="Z4070" s="11">
        <v>0.2852359096048735</v>
      </c>
    </row>
    <row r="4071" ht="22.5" customHeight="1">
      <c r="Q4071" s="9" t="s">
        <v>4109</v>
      </c>
      <c r="R4071" s="10">
        <v>0.7907698710936633</v>
      </c>
      <c r="S4071" s="10">
        <v>0.03697877427779509</v>
      </c>
      <c r="T4071" s="10">
        <v>20.302724623960383</v>
      </c>
      <c r="U4071" s="11">
        <v>0.22931551313855808</v>
      </c>
      <c r="V4071" s="11">
        <v>0.23058884838956906</v>
      </c>
      <c r="W4071" s="11">
        <v>0.2555743652492623</v>
      </c>
      <c r="X4071" s="11">
        <v>0.08845611838996205</v>
      </c>
      <c r="Y4071" s="11">
        <v>0.13348406623679127</v>
      </c>
      <c r="Z4071" s="11">
        <v>0.06258108859585723</v>
      </c>
    </row>
    <row r="4072" ht="22.5" customHeight="1">
      <c r="Q4072" s="9" t="s">
        <v>4110</v>
      </c>
      <c r="R4072" s="10">
        <v>0.35937416130782135</v>
      </c>
      <c r="S4072" s="10">
        <v>0.015730660523569216</v>
      </c>
      <c r="T4072" s="10">
        <v>20.30265422289825</v>
      </c>
      <c r="U4072" s="11">
        <v>0.27377923501950197</v>
      </c>
      <c r="V4072" s="11">
        <v>0.11807116054077002</v>
      </c>
      <c r="W4072" s="11">
        <v>0.023384226098669303</v>
      </c>
      <c r="X4072" s="11">
        <v>0.22876536428991584</v>
      </c>
      <c r="Y4072" s="11">
        <v>0.28964829137898057</v>
      </c>
      <c r="Z4072" s="11">
        <v>0.06635172267216231</v>
      </c>
    </row>
    <row r="4073" ht="22.5" customHeight="1">
      <c r="Q4073" s="9" t="s">
        <v>4111</v>
      </c>
      <c r="R4073" s="10">
        <v>0.6818016019796208</v>
      </c>
      <c r="S4073" s="10">
        <v>0.03161198372503694</v>
      </c>
      <c r="T4073" s="10">
        <v>20.30247793248447</v>
      </c>
      <c r="U4073" s="11">
        <v>0.01309695027718625</v>
      </c>
      <c r="V4073" s="11">
        <v>0.18456118246513092</v>
      </c>
      <c r="W4073" s="11">
        <v>0.22896418505458335</v>
      </c>
      <c r="X4073" s="11">
        <v>0.15295068412871327</v>
      </c>
      <c r="Y4073" s="11">
        <v>0.10353006879718715</v>
      </c>
      <c r="Z4073" s="11">
        <v>0.316896929277199</v>
      </c>
    </row>
    <row r="4074" ht="22.5" customHeight="1">
      <c r="Q4074" s="9" t="s">
        <v>4112</v>
      </c>
      <c r="R4074" s="10">
        <v>0.65654112509309</v>
      </c>
      <c r="S4074" s="10">
        <v>0.03036780875219339</v>
      </c>
      <c r="T4074" s="10">
        <v>20.30245679311843</v>
      </c>
      <c r="U4074" s="11">
        <v>0.05273422933133006</v>
      </c>
      <c r="V4074" s="11">
        <v>0.25400991483860874</v>
      </c>
      <c r="W4074" s="11">
        <v>0.13660875967923072</v>
      </c>
      <c r="X4074" s="11">
        <v>0.1484536694153088</v>
      </c>
      <c r="Y4074" s="11">
        <v>0.09399396221613014</v>
      </c>
      <c r="Z4074" s="11">
        <v>0.31419946451939157</v>
      </c>
    </row>
    <row r="4075" ht="22.5" customHeight="1">
      <c r="Q4075" s="9" t="s">
        <v>4113</v>
      </c>
      <c r="R4075" s="10">
        <v>0.7186272421873998</v>
      </c>
      <c r="S4075" s="10">
        <v>0.03342587613992343</v>
      </c>
      <c r="T4075" s="10">
        <v>20.3024518892672</v>
      </c>
      <c r="U4075" s="11">
        <v>0.12060825313545108</v>
      </c>
      <c r="V4075" s="11">
        <v>0.2655048363888292</v>
      </c>
      <c r="W4075" s="11">
        <v>0.1700922392810483</v>
      </c>
      <c r="X4075" s="11">
        <v>0.07161075530784218</v>
      </c>
      <c r="Y4075" s="11">
        <v>0.1862668446950611</v>
      </c>
      <c r="Z4075" s="11">
        <v>0.18591707119176806</v>
      </c>
    </row>
    <row r="4076" ht="22.5" customHeight="1">
      <c r="Q4076" s="9" t="s">
        <v>4114</v>
      </c>
      <c r="R4076" s="10">
        <v>0.7414191775340494</v>
      </c>
      <c r="S4076" s="10">
        <v>0.034548766212450975</v>
      </c>
      <c r="T4076" s="10">
        <v>20.30229308973893</v>
      </c>
      <c r="U4076" s="11">
        <v>0.17539445202056606</v>
      </c>
      <c r="V4076" s="11">
        <v>0.23911064381544017</v>
      </c>
      <c r="W4076" s="11">
        <v>0.21289009065809322</v>
      </c>
      <c r="X4076" s="11">
        <v>0.018345550895514123</v>
      </c>
      <c r="Y4076" s="11">
        <v>0.2659600417757035</v>
      </c>
      <c r="Z4076" s="11">
        <v>0.08829922083468296</v>
      </c>
    </row>
    <row r="4077" ht="22.5" customHeight="1">
      <c r="Q4077" s="9" t="s">
        <v>4115</v>
      </c>
      <c r="R4077" s="10">
        <v>0.4189402379377327</v>
      </c>
      <c r="S4077" s="10">
        <v>0.018665247721205657</v>
      </c>
      <c r="T4077" s="10">
        <v>20.301913138137316</v>
      </c>
      <c r="U4077" s="11">
        <v>0.05925661768302242</v>
      </c>
      <c r="V4077" s="11">
        <v>0.15065406630987543</v>
      </c>
      <c r="W4077" s="11">
        <v>0.06326755435437238</v>
      </c>
      <c r="X4077" s="11">
        <v>0.08962072604426419</v>
      </c>
      <c r="Y4077" s="11">
        <v>0.29021640012194666</v>
      </c>
      <c r="Z4077" s="11">
        <v>0.3469846354865188</v>
      </c>
    </row>
    <row r="4078" ht="22.5" customHeight="1">
      <c r="Q4078" s="9" t="s">
        <v>4116</v>
      </c>
      <c r="R4078" s="10">
        <v>0.6034567515282271</v>
      </c>
      <c r="S4078" s="10">
        <v>0.02775405935740896</v>
      </c>
      <c r="T4078" s="10">
        <v>20.301777994785905</v>
      </c>
      <c r="U4078" s="11">
        <v>0.18088743298429633</v>
      </c>
      <c r="V4078" s="11">
        <v>0.15932147089147833</v>
      </c>
      <c r="W4078" s="11">
        <v>0.18434850000396608</v>
      </c>
      <c r="X4078" s="11">
        <v>0.023890976008401985</v>
      </c>
      <c r="Y4078" s="11">
        <v>0.3978349777310114</v>
      </c>
      <c r="Z4078" s="11">
        <v>0.053716642380845836</v>
      </c>
    </row>
    <row r="4079" ht="22.5" customHeight="1">
      <c r="Q4079" s="9" t="s">
        <v>4117</v>
      </c>
      <c r="R4079" s="10">
        <v>0.522331348251574</v>
      </c>
      <c r="S4079" s="10">
        <v>0.02882161596388647</v>
      </c>
      <c r="T4079" s="10">
        <v>20.30150895437942</v>
      </c>
      <c r="U4079" s="11">
        <v>0.19772234184298038</v>
      </c>
      <c r="V4079" s="11">
        <v>0.16271064291377257</v>
      </c>
      <c r="W4079" s="11">
        <v>0.20966741563954697</v>
      </c>
      <c r="X4079" s="11">
        <v>0.08941688355956037</v>
      </c>
      <c r="Y4079" s="11">
        <v>0.08921617273615194</v>
      </c>
      <c r="Z4079" s="11">
        <v>0.25126654330798776</v>
      </c>
    </row>
    <row r="4080" ht="22.5" customHeight="1">
      <c r="Q4080" s="9" t="s">
        <v>4118</v>
      </c>
      <c r="R4080" s="10">
        <v>0.47397691169731404</v>
      </c>
      <c r="S4080" s="10">
        <v>0.021376943359333326</v>
      </c>
      <c r="T4080" s="10">
        <v>20.301167683444167</v>
      </c>
      <c r="U4080" s="11">
        <v>0.22748839882387048</v>
      </c>
      <c r="V4080" s="11">
        <v>0.10323811409440056</v>
      </c>
      <c r="W4080" s="11">
        <v>0.15686643987034196</v>
      </c>
      <c r="X4080" s="11">
        <v>0.06702290748498917</v>
      </c>
      <c r="Y4080" s="11">
        <v>0.16155908587463993</v>
      </c>
      <c r="Z4080" s="11">
        <v>0.28382505385175777</v>
      </c>
    </row>
    <row r="4081" ht="22.5" customHeight="1">
      <c r="Q4081" s="9" t="s">
        <v>4119</v>
      </c>
      <c r="R4081" s="10">
        <v>0.7013222373752346</v>
      </c>
      <c r="S4081" s="10">
        <v>0.03257563972984251</v>
      </c>
      <c r="T4081" s="10">
        <v>20.301128169998698</v>
      </c>
      <c r="U4081" s="11">
        <v>0.05273129625662704</v>
      </c>
      <c r="V4081" s="11">
        <v>0.20822313898786446</v>
      </c>
      <c r="W4081" s="11">
        <v>0.2214512728400767</v>
      </c>
      <c r="X4081" s="11">
        <v>0.07750139295519362</v>
      </c>
      <c r="Y4081" s="11">
        <v>0.17159267931625533</v>
      </c>
      <c r="Z4081" s="11">
        <v>0.2685002196439829</v>
      </c>
    </row>
    <row r="4082" ht="22.5" customHeight="1">
      <c r="Q4082" s="9" t="s">
        <v>4120</v>
      </c>
      <c r="R4082" s="10">
        <v>0.6066944216028654</v>
      </c>
      <c r="S4082" s="10">
        <v>0.02791464914953851</v>
      </c>
      <c r="T4082" s="10">
        <v>20.300968805557567</v>
      </c>
      <c r="U4082" s="11">
        <v>0.1562949554246119</v>
      </c>
      <c r="V4082" s="11">
        <v>0.2436646122650004</v>
      </c>
      <c r="W4082" s="11">
        <v>0.08064382395230552</v>
      </c>
      <c r="X4082" s="11">
        <v>0.26291914474224876</v>
      </c>
      <c r="Y4082" s="11">
        <v>0.21944709749368632</v>
      </c>
      <c r="Z4082" s="11">
        <v>0.037030366122147176</v>
      </c>
    </row>
    <row r="4083" ht="22.5" customHeight="1">
      <c r="Q4083" s="9" t="s">
        <v>4121</v>
      </c>
      <c r="R4083" s="10">
        <v>0.621737695839253</v>
      </c>
      <c r="S4083" s="10">
        <v>0.02865584511692997</v>
      </c>
      <c r="T4083" s="10">
        <v>20.300838920139206</v>
      </c>
      <c r="U4083" s="11">
        <v>0.2700013160879785</v>
      </c>
      <c r="V4083" s="11">
        <v>0.2350643953764125</v>
      </c>
      <c r="W4083" s="11">
        <v>0.11716362012968216</v>
      </c>
      <c r="X4083" s="11">
        <v>0.07059837602548381</v>
      </c>
      <c r="Y4083" s="11">
        <v>0.26200677430518776</v>
      </c>
      <c r="Z4083" s="11">
        <v>0.045165518075255325</v>
      </c>
    </row>
    <row r="4084" ht="22.5" customHeight="1">
      <c r="Q4084" s="9" t="s">
        <v>4122</v>
      </c>
      <c r="R4084" s="10">
        <v>0.8016344734885049</v>
      </c>
      <c r="S4084" s="10">
        <v>0.037518318526628784</v>
      </c>
      <c r="T4084" s="10">
        <v>20.300336033128232</v>
      </c>
      <c r="U4084" s="11">
        <v>0.03369614521296751</v>
      </c>
      <c r="V4084" s="11">
        <v>0.26309336713212317</v>
      </c>
      <c r="W4084" s="11">
        <v>0.23892956945718213</v>
      </c>
      <c r="X4084" s="11">
        <v>0.13685489164358397</v>
      </c>
      <c r="Y4084" s="11">
        <v>0.06093710879298344</v>
      </c>
      <c r="Z4084" s="11">
        <v>0.26648891776115985</v>
      </c>
    </row>
    <row r="4085" ht="22.5" customHeight="1">
      <c r="Q4085" s="9" t="s">
        <v>4123</v>
      </c>
      <c r="R4085" s="10">
        <v>0.6651024453430957</v>
      </c>
      <c r="S4085" s="10">
        <v>0.030792922088820826</v>
      </c>
      <c r="T4085" s="10">
        <v>20.30019897234875</v>
      </c>
      <c r="U4085" s="11">
        <v>0.022393509292338694</v>
      </c>
      <c r="V4085" s="11">
        <v>0.21863208046238689</v>
      </c>
      <c r="W4085" s="11">
        <v>0.18666960061289525</v>
      </c>
      <c r="X4085" s="11">
        <v>0.03778833206699298</v>
      </c>
      <c r="Y4085" s="11">
        <v>0.22814393327021923</v>
      </c>
      <c r="Z4085" s="11">
        <v>0.306372544295167</v>
      </c>
    </row>
    <row r="4086" ht="22.5" customHeight="1">
      <c r="Q4086" s="9" t="s">
        <v>4124</v>
      </c>
      <c r="R4086" s="10">
        <v>0.5592870874643439</v>
      </c>
      <c r="S4086" s="10">
        <v>0.025580583120410397</v>
      </c>
      <c r="T4086" s="10">
        <v>20.300048869879426</v>
      </c>
      <c r="U4086" s="11">
        <v>0.11920982975662786</v>
      </c>
      <c r="V4086" s="11">
        <v>0.2176979562887283</v>
      </c>
      <c r="W4086" s="11">
        <v>0.08887754927828538</v>
      </c>
      <c r="X4086" s="11">
        <v>0.13288139794250453</v>
      </c>
      <c r="Y4086" s="11">
        <v>0.26739185763230916</v>
      </c>
      <c r="Z4086" s="11">
        <v>0.17394140910154474</v>
      </c>
    </row>
    <row r="4087" ht="22.5" customHeight="1">
      <c r="Q4087" s="9" t="s">
        <v>4125</v>
      </c>
      <c r="R4087" s="10">
        <v>0.7917587635328509</v>
      </c>
      <c r="S4087" s="10">
        <v>0.037033122001484134</v>
      </c>
      <c r="T4087" s="10">
        <v>20.299632407516803</v>
      </c>
      <c r="U4087" s="11">
        <v>0.08827231095968233</v>
      </c>
      <c r="V4087" s="11">
        <v>0.23672912452462908</v>
      </c>
      <c r="W4087" s="11">
        <v>0.2550450418846354</v>
      </c>
      <c r="X4087" s="11">
        <v>0.13633023104884487</v>
      </c>
      <c r="Y4087" s="11">
        <v>0.07991570453390943</v>
      </c>
      <c r="Z4087" s="11">
        <v>0.20370758704829886</v>
      </c>
    </row>
    <row r="4088" ht="22.5" customHeight="1">
      <c r="Q4088" s="9" t="s">
        <v>4126</v>
      </c>
      <c r="R4088" s="10">
        <v>0.522331348251574</v>
      </c>
      <c r="S4088" s="10">
        <v>0.03706415566314424</v>
      </c>
      <c r="T4088" s="10">
        <v>20.299627301269243</v>
      </c>
      <c r="U4088" s="11">
        <v>0.004260907847268559</v>
      </c>
      <c r="V4088" s="11">
        <v>0.2868698046575602</v>
      </c>
      <c r="W4088" s="11">
        <v>0.19965020969051167</v>
      </c>
      <c r="X4088" s="11">
        <v>0.10315325298093728</v>
      </c>
      <c r="Y4088" s="11">
        <v>0.24693472961745563</v>
      </c>
      <c r="Z4088" s="11">
        <v>0.1591310952062666</v>
      </c>
    </row>
    <row r="4089" ht="22.5" customHeight="1">
      <c r="Q4089" s="9" t="s">
        <v>4127</v>
      </c>
      <c r="R4089" s="10">
        <v>0.5551564084466254</v>
      </c>
      <c r="S4089" s="10">
        <v>0.025377682190673764</v>
      </c>
      <c r="T4089" s="10">
        <v>20.29958467349489</v>
      </c>
      <c r="U4089" s="11">
        <v>0.22095841305083241</v>
      </c>
      <c r="V4089" s="11">
        <v>0.09704359906211296</v>
      </c>
      <c r="W4089" s="11">
        <v>0.2010808042255032</v>
      </c>
      <c r="X4089" s="11">
        <v>0.2220339942599629</v>
      </c>
      <c r="Y4089" s="11">
        <v>0.18481299855164376</v>
      </c>
      <c r="Z4089" s="11">
        <v>0.07407019084994493</v>
      </c>
    </row>
    <row r="4090" ht="22.5" customHeight="1">
      <c r="Q4090" s="9" t="s">
        <v>4128</v>
      </c>
      <c r="R4090" s="10">
        <v>0.730314270672806</v>
      </c>
      <c r="S4090" s="10">
        <v>0.03400677301506404</v>
      </c>
      <c r="T4090" s="10">
        <v>20.299317149763557</v>
      </c>
      <c r="U4090" s="11">
        <v>0.1925347366498215</v>
      </c>
      <c r="V4090" s="11">
        <v>0.23224188622885786</v>
      </c>
      <c r="W4090" s="11">
        <v>0.22029572629384214</v>
      </c>
      <c r="X4090" s="11">
        <v>0.08449987065494495</v>
      </c>
      <c r="Y4090" s="11">
        <v>0.01808186458113276</v>
      </c>
      <c r="Z4090" s="11">
        <v>0.2523459155914007</v>
      </c>
    </row>
    <row r="4091" ht="22.5" customHeight="1">
      <c r="Q4091" s="9" t="s">
        <v>4129</v>
      </c>
      <c r="R4091" s="10">
        <v>0.6783914601688061</v>
      </c>
      <c r="S4091" s="10">
        <v>0.031449158370622954</v>
      </c>
      <c r="T4091" s="10">
        <v>20.299158808813637</v>
      </c>
      <c r="U4091" s="11">
        <v>0.0066062869756913995</v>
      </c>
      <c r="V4091" s="11">
        <v>0.1610030818363777</v>
      </c>
      <c r="W4091" s="11">
        <v>0.2390972103318307</v>
      </c>
      <c r="X4091" s="11">
        <v>0.2061790006833211</v>
      </c>
      <c r="Y4091" s="11">
        <v>0.1762029139890225</v>
      </c>
      <c r="Z4091" s="11">
        <v>0.21091150618375668</v>
      </c>
    </row>
    <row r="4092" ht="22.5" customHeight="1">
      <c r="Q4092" s="9" t="s">
        <v>4130</v>
      </c>
      <c r="R4092" s="10">
        <v>0.604184564747921</v>
      </c>
      <c r="S4092" s="10">
        <v>0.027793568555749257</v>
      </c>
      <c r="T4092" s="10">
        <v>20.29910493919703</v>
      </c>
      <c r="U4092" s="11">
        <v>0.220174303847009</v>
      </c>
      <c r="V4092" s="11">
        <v>0.1126374193544227</v>
      </c>
      <c r="W4092" s="11">
        <v>0.22092383259587908</v>
      </c>
      <c r="X4092" s="11">
        <v>0.24388665767159612</v>
      </c>
      <c r="Y4092" s="11">
        <v>0.14404746179416064</v>
      </c>
      <c r="Z4092" s="11">
        <v>0.05833032473693257</v>
      </c>
    </row>
    <row r="4093" ht="22.5" customHeight="1">
      <c r="Q4093" s="9" t="s">
        <v>4131</v>
      </c>
      <c r="R4093" s="10">
        <v>0.6935892386172507</v>
      </c>
      <c r="S4093" s="10">
        <v>0.032198770372277946</v>
      </c>
      <c r="T4093" s="10">
        <v>20.298577587297213</v>
      </c>
      <c r="U4093" s="11">
        <v>0.21629511345610283</v>
      </c>
      <c r="V4093" s="11">
        <v>0.2093946980012884</v>
      </c>
      <c r="W4093" s="11">
        <v>0.2143189343349082</v>
      </c>
      <c r="X4093" s="11">
        <v>0.03748725302093314</v>
      </c>
      <c r="Y4093" s="11">
        <v>0.12607792525471007</v>
      </c>
      <c r="Z4093" s="11">
        <v>0.19642607593205738</v>
      </c>
    </row>
    <row r="4094" ht="22.5" customHeight="1">
      <c r="Q4094" s="9" t="s">
        <v>4132</v>
      </c>
      <c r="R4094" s="10">
        <v>0.8730036144781571</v>
      </c>
      <c r="S4094" s="10">
        <v>0.04103756271407278</v>
      </c>
      <c r="T4094" s="10">
        <v>20.298564519585852</v>
      </c>
      <c r="U4094" s="11">
        <v>0.02780335202214909</v>
      </c>
      <c r="V4094" s="11">
        <v>0.31128745663537577</v>
      </c>
      <c r="W4094" s="11">
        <v>0.23153108939170275</v>
      </c>
      <c r="X4094" s="11">
        <v>0.1277633911472145</v>
      </c>
      <c r="Y4094" s="11">
        <v>0.20986455867162176</v>
      </c>
      <c r="Z4094" s="11">
        <v>0.09175015213193609</v>
      </c>
    </row>
    <row r="4095" ht="22.5" customHeight="1">
      <c r="Q4095" s="9" t="s">
        <v>4133</v>
      </c>
      <c r="R4095" s="10">
        <v>0.41890100756605814</v>
      </c>
      <c r="S4095" s="10">
        <v>0.01866656757087071</v>
      </c>
      <c r="T4095" s="10">
        <v>20.29837602052428</v>
      </c>
      <c r="U4095" s="11">
        <v>0.2954009010423826</v>
      </c>
      <c r="V4095" s="11">
        <v>0.10774855637722514</v>
      </c>
      <c r="W4095" s="11">
        <v>0.08888128492429949</v>
      </c>
      <c r="X4095" s="11">
        <v>0.052966633134484346</v>
      </c>
      <c r="Y4095" s="11">
        <v>0.44673473727831087</v>
      </c>
      <c r="Z4095" s="11">
        <v>0.008267887243297547</v>
      </c>
    </row>
    <row r="4096" ht="22.5" customHeight="1">
      <c r="Q4096" s="9" t="s">
        <v>4134</v>
      </c>
      <c r="R4096" s="10">
        <v>0.8231462264465528</v>
      </c>
      <c r="S4096" s="10">
        <v>0.03858181170548337</v>
      </c>
      <c r="T4096" s="10">
        <v>20.298326901410118</v>
      </c>
      <c r="U4096" s="11">
        <v>0.10360167078210829</v>
      </c>
      <c r="V4096" s="11">
        <v>0.3243293723178029</v>
      </c>
      <c r="W4096" s="11">
        <v>0.17087443528232013</v>
      </c>
      <c r="X4096" s="11">
        <v>0.25321476695195816</v>
      </c>
      <c r="Y4096" s="11">
        <v>0.06455062940326037</v>
      </c>
      <c r="Z4096" s="11">
        <v>0.08342912526255011</v>
      </c>
    </row>
    <row r="4097" ht="22.5" customHeight="1">
      <c r="Q4097" s="9" t="s">
        <v>4135</v>
      </c>
      <c r="R4097" s="10">
        <v>0.6984394240632504</v>
      </c>
      <c r="S4097" s="10">
        <v>0.03243821330538724</v>
      </c>
      <c r="T4097" s="10">
        <v>20.298264206613958</v>
      </c>
      <c r="U4097" s="11">
        <v>0.2515246888316034</v>
      </c>
      <c r="V4097" s="11">
        <v>0.24444569429652693</v>
      </c>
      <c r="W4097" s="11">
        <v>0.17357345528714577</v>
      </c>
      <c r="X4097" s="11">
        <v>0.006891947113722184</v>
      </c>
      <c r="Y4097" s="11">
        <v>0.2585702763869763</v>
      </c>
      <c r="Z4097" s="11">
        <v>0.0649939380840254</v>
      </c>
    </row>
    <row r="4098" ht="22.5" customHeight="1">
      <c r="Q4098" s="9" t="s">
        <v>4136</v>
      </c>
      <c r="R4098" s="10">
        <v>0.6301599116180726</v>
      </c>
      <c r="S4098" s="10">
        <v>0.029074719805987588</v>
      </c>
      <c r="T4098" s="10">
        <v>20.298042958148688</v>
      </c>
      <c r="U4098" s="11">
        <v>0.10903116437314699</v>
      </c>
      <c r="V4098" s="11">
        <v>0.2472202974886783</v>
      </c>
      <c r="W4098" s="11">
        <v>0.11963502589441304</v>
      </c>
      <c r="X4098" s="11">
        <v>0.14177948507768262</v>
      </c>
      <c r="Y4098" s="11">
        <v>0.128213348783197</v>
      </c>
      <c r="Z4098" s="11">
        <v>0.25412067838288205</v>
      </c>
    </row>
    <row r="4099" ht="22.5" customHeight="1">
      <c r="Q4099" s="9" t="s">
        <v>4137</v>
      </c>
      <c r="R4099" s="10">
        <v>0.6780359904281553</v>
      </c>
      <c r="S4099" s="10">
        <v>0.03143346816541053</v>
      </c>
      <c r="T4099" s="10">
        <v>20.297982617465408</v>
      </c>
      <c r="U4099" s="11">
        <v>0.22490338203035273</v>
      </c>
      <c r="V4099" s="11">
        <v>0.2565675871777272</v>
      </c>
      <c r="W4099" s="11">
        <v>0.15046548927734504</v>
      </c>
      <c r="X4099" s="11">
        <v>0.10857503124723629</v>
      </c>
      <c r="Y4099" s="11">
        <v>0.02927859546954189</v>
      </c>
      <c r="Z4099" s="11">
        <v>0.23020991479779676</v>
      </c>
    </row>
    <row r="4100" ht="22.5" customHeight="1">
      <c r="Q4100" s="9" t="s">
        <v>4138</v>
      </c>
      <c r="R4100" s="10">
        <v>0.6037275685468515</v>
      </c>
      <c r="S4100" s="10">
        <v>0.02777263373809311</v>
      </c>
      <c r="T4100" s="10">
        <v>20.297951352508544</v>
      </c>
      <c r="U4100" s="11">
        <v>0.00849914209790425</v>
      </c>
      <c r="V4100" s="11">
        <v>0.1201820684145606</v>
      </c>
      <c r="W4100" s="11">
        <v>0.21706294911738105</v>
      </c>
      <c r="X4100" s="11">
        <v>0.2465839331335716</v>
      </c>
      <c r="Y4100" s="11">
        <v>0.23622157047606943</v>
      </c>
      <c r="Z4100" s="11">
        <v>0.17145033676051324</v>
      </c>
    </row>
    <row r="4101" ht="22.5" customHeight="1">
      <c r="Q4101" s="9" t="s">
        <v>4139</v>
      </c>
      <c r="R4101" s="10">
        <v>0.6763287151654337</v>
      </c>
      <c r="S4101" s="10">
        <v>0.03134957912894192</v>
      </c>
      <c r="T4101" s="10">
        <v>20.29783916869159</v>
      </c>
      <c r="U4101" s="11">
        <v>0.08165567198913085</v>
      </c>
      <c r="V4101" s="11">
        <v>0.16533233708761771</v>
      </c>
      <c r="W4101" s="11">
        <v>0.22753469117170697</v>
      </c>
      <c r="X4101" s="11">
        <v>0.11802360165860123</v>
      </c>
      <c r="Y4101" s="11">
        <v>0.3565605794200938</v>
      </c>
      <c r="Z4101" s="11">
        <v>0.050893118672849395</v>
      </c>
    </row>
    <row r="4102" ht="22.5" customHeight="1">
      <c r="Q4102" s="9" t="s">
        <v>4140</v>
      </c>
      <c r="R4102" s="10">
        <v>0.283181910894953</v>
      </c>
      <c r="S4102" s="10">
        <v>0.011980833729719283</v>
      </c>
      <c r="T4102" s="10">
        <v>20.297578313913455</v>
      </c>
      <c r="U4102" s="11">
        <v>0.26190014817423923</v>
      </c>
      <c r="V4102" s="11">
        <v>0.03565857502585872</v>
      </c>
      <c r="W4102" s="11">
        <v>0.07164545975025159</v>
      </c>
      <c r="X4102" s="11">
        <v>0.16068826917575343</v>
      </c>
      <c r="Y4102" s="11">
        <v>0.17876635289557585</v>
      </c>
      <c r="Z4102" s="11">
        <v>0.2913411949783212</v>
      </c>
    </row>
    <row r="4103" ht="22.5" customHeight="1">
      <c r="Q4103" s="9" t="s">
        <v>4141</v>
      </c>
      <c r="R4103" s="10">
        <v>0.7604480762919511</v>
      </c>
      <c r="S4103" s="10">
        <v>0.035494834124329334</v>
      </c>
      <c r="T4103" s="10">
        <v>20.29726561810109</v>
      </c>
      <c r="U4103" s="11">
        <v>0.22577504694748077</v>
      </c>
      <c r="V4103" s="11">
        <v>0.23589428947993396</v>
      </c>
      <c r="W4103" s="11">
        <v>0.23193571717597003</v>
      </c>
      <c r="X4103" s="11">
        <v>0.04185179891942768</v>
      </c>
      <c r="Y4103" s="11">
        <v>0.1630226938665106</v>
      </c>
      <c r="Z4103" s="11">
        <v>0.10152045361067681</v>
      </c>
    </row>
    <row r="4104" ht="22.5" customHeight="1">
      <c r="Q4104" s="9" t="s">
        <v>4142</v>
      </c>
      <c r="R4104" s="10">
        <v>0.5918141510255773</v>
      </c>
      <c r="S4104" s="10">
        <v>0.027186729751724478</v>
      </c>
      <c r="T4104" s="10">
        <v>20.297187490546754</v>
      </c>
      <c r="U4104" s="11">
        <v>0.08478050261597596</v>
      </c>
      <c r="V4104" s="11">
        <v>0.22996564809221726</v>
      </c>
      <c r="W4104" s="11">
        <v>0.10782874851845949</v>
      </c>
      <c r="X4104" s="11">
        <v>0.11496036746092153</v>
      </c>
      <c r="Y4104" s="11">
        <v>0.21811858088359617</v>
      </c>
      <c r="Z4104" s="11">
        <v>0.2443461524288295</v>
      </c>
    </row>
    <row r="4105" ht="22.5" customHeight="1">
      <c r="Q4105" s="9" t="s">
        <v>4143</v>
      </c>
      <c r="R4105" s="10">
        <v>0.6610376687765764</v>
      </c>
      <c r="S4105" s="10">
        <v>0.030598033166742068</v>
      </c>
      <c r="T4105" s="10">
        <v>20.296653232326094</v>
      </c>
      <c r="U4105" s="11">
        <v>0.2504252099119622</v>
      </c>
      <c r="V4105" s="11">
        <v>0.1852484727972361</v>
      </c>
      <c r="W4105" s="11">
        <v>0.21137036163771378</v>
      </c>
      <c r="X4105" s="11">
        <v>0.03228140847593116</v>
      </c>
      <c r="Y4105" s="11">
        <v>0.16928442282775352</v>
      </c>
      <c r="Z4105" s="11">
        <v>0.15139012434940324</v>
      </c>
    </row>
    <row r="4106" ht="22.5" customHeight="1">
      <c r="Q4106" s="9" t="s">
        <v>4144</v>
      </c>
      <c r="R4106" s="10">
        <v>0.3087416871520991</v>
      </c>
      <c r="S4106" s="10">
        <v>0.013240792893254192</v>
      </c>
      <c r="T4106" s="10">
        <v>20.29649503006843</v>
      </c>
      <c r="U4106" s="11">
        <v>0.3624785871109477</v>
      </c>
      <c r="V4106" s="11">
        <v>0.08228096224135255</v>
      </c>
      <c r="W4106" s="11">
        <v>0.025458212735053137</v>
      </c>
      <c r="X4106" s="11">
        <v>0.1920122260344259</v>
      </c>
      <c r="Y4106" s="11">
        <v>0.26642452164345376</v>
      </c>
      <c r="Z4106" s="11">
        <v>0.07134549023476688</v>
      </c>
    </row>
    <row r="4107" ht="22.5" customHeight="1">
      <c r="Q4107" s="9" t="s">
        <v>4145</v>
      </c>
      <c r="R4107" s="10">
        <v>0.26316075937006894</v>
      </c>
      <c r="S4107" s="10">
        <v>0.010995066166442219</v>
      </c>
      <c r="T4107" s="10">
        <v>20.29644533210474</v>
      </c>
      <c r="U4107" s="11">
        <v>0.2141516436582343</v>
      </c>
      <c r="V4107" s="11">
        <v>0.048896962875390935</v>
      </c>
      <c r="W4107" s="11">
        <v>0.018682809445295788</v>
      </c>
      <c r="X4107" s="11">
        <v>0.30362306945226664</v>
      </c>
      <c r="Y4107" s="11">
        <v>0.2854320532829389</v>
      </c>
      <c r="Z4107" s="11">
        <v>0.12921346128587347</v>
      </c>
    </row>
    <row r="4108" ht="22.5" customHeight="1">
      <c r="Q4108" s="9" t="s">
        <v>4146</v>
      </c>
      <c r="R4108" s="10">
        <v>1.0016478577514554</v>
      </c>
      <c r="S4108" s="10">
        <v>0.04738045737523743</v>
      </c>
      <c r="T4108" s="10">
        <v>20.296297482641943</v>
      </c>
      <c r="U4108" s="11">
        <v>0.016291770514598475</v>
      </c>
      <c r="V4108" s="11">
        <v>0.31083621396146044</v>
      </c>
      <c r="W4108" s="11">
        <v>0.32040915551718935</v>
      </c>
      <c r="X4108" s="11">
        <v>0.2905479272935175</v>
      </c>
      <c r="Y4108" s="11">
        <v>0.0076706978389232995</v>
      </c>
      <c r="Z4108" s="11">
        <v>0.05424423487431096</v>
      </c>
    </row>
    <row r="4109" ht="22.5" customHeight="1">
      <c r="Q4109" s="9" t="s">
        <v>4147</v>
      </c>
      <c r="R4109" s="10">
        <v>0.6032422899617631</v>
      </c>
      <c r="S4109" s="10">
        <v>0.027751567500752212</v>
      </c>
      <c r="T4109" s="10">
        <v>20.295873014974607</v>
      </c>
      <c r="U4109" s="11">
        <v>0.2079792024520987</v>
      </c>
      <c r="V4109" s="11">
        <v>0.11168350960798487</v>
      </c>
      <c r="W4109" s="11">
        <v>0.22072114330134246</v>
      </c>
      <c r="X4109" s="11">
        <v>0.24687547326720446</v>
      </c>
      <c r="Y4109" s="11">
        <v>0.15460926356391938</v>
      </c>
      <c r="Z4109" s="11">
        <v>0.05813140780745027</v>
      </c>
    </row>
    <row r="4110" ht="22.5" customHeight="1">
      <c r="Q4110" s="9" t="s">
        <v>4148</v>
      </c>
      <c r="R4110" s="10">
        <v>0.3085415340635924</v>
      </c>
      <c r="S4110" s="10">
        <v>0.013231713468101843</v>
      </c>
      <c r="T4110" s="10">
        <v>20.295295443857288</v>
      </c>
      <c r="U4110" s="11">
        <v>0.27335996977298244</v>
      </c>
      <c r="V4110" s="11">
        <v>0.030441202775894086</v>
      </c>
      <c r="W4110" s="11">
        <v>0.08977892371644332</v>
      </c>
      <c r="X4110" s="11">
        <v>0.21596660262809297</v>
      </c>
      <c r="Y4110" s="11">
        <v>0.15152921232070832</v>
      </c>
      <c r="Z4110" s="11">
        <v>0.2389240887858789</v>
      </c>
    </row>
    <row r="4111" ht="22.5" customHeight="1">
      <c r="Q4111" s="9" t="s">
        <v>4149</v>
      </c>
      <c r="R4111" s="10">
        <v>0.678490384694962</v>
      </c>
      <c r="S4111" s="10">
        <v>0.031460147342156505</v>
      </c>
      <c r="T4111" s="10">
        <v>20.2952127894006</v>
      </c>
      <c r="U4111" s="11">
        <v>0.10607732288338512</v>
      </c>
      <c r="V4111" s="11">
        <v>0.26407668529392864</v>
      </c>
      <c r="W4111" s="11">
        <v>0.14066832679452076</v>
      </c>
      <c r="X4111" s="11">
        <v>0.18247697836901614</v>
      </c>
      <c r="Y4111" s="11">
        <v>0.013275718168551047</v>
      </c>
      <c r="Z4111" s="11">
        <v>0.29342496849059835</v>
      </c>
    </row>
    <row r="4112" ht="22.5" customHeight="1">
      <c r="Q4112" s="9" t="s">
        <v>4150</v>
      </c>
      <c r="R4112" s="10">
        <v>0.6230115052575464</v>
      </c>
      <c r="S4112" s="10">
        <v>0.02872675134204211</v>
      </c>
      <c r="T4112" s="10">
        <v>20.295072642074174</v>
      </c>
      <c r="U4112" s="11">
        <v>0.08859985991132345</v>
      </c>
      <c r="V4112" s="11">
        <v>0.15058946940974488</v>
      </c>
      <c r="W4112" s="11">
        <v>0.21307164644508395</v>
      </c>
      <c r="X4112" s="11">
        <v>0.11018960326331932</v>
      </c>
      <c r="Y4112" s="11">
        <v>0.23833840529604314</v>
      </c>
      <c r="Z4112" s="11">
        <v>0.19921101567448535</v>
      </c>
    </row>
    <row r="4113" ht="22.5" customHeight="1">
      <c r="Q4113" s="9" t="s">
        <v>4151</v>
      </c>
      <c r="R4113" s="10">
        <v>0.4875014538299058</v>
      </c>
      <c r="S4113" s="10">
        <v>0.022049792552441605</v>
      </c>
      <c r="T4113" s="10">
        <v>20.295041450644092</v>
      </c>
      <c r="U4113" s="11">
        <v>0.2714939638566207</v>
      </c>
      <c r="V4113" s="11">
        <v>0.07732711052298284</v>
      </c>
      <c r="W4113" s="11">
        <v>0.17383239102070033</v>
      </c>
      <c r="X4113" s="11">
        <v>0.20432039053833867</v>
      </c>
      <c r="Y4113" s="11">
        <v>0.15398844362365385</v>
      </c>
      <c r="Z4113" s="11">
        <v>0.11903770043770347</v>
      </c>
    </row>
    <row r="4114" ht="22.5" customHeight="1">
      <c r="Q4114" s="9" t="s">
        <v>4152</v>
      </c>
      <c r="R4114" s="10">
        <v>0.5681646266852989</v>
      </c>
      <c r="S4114" s="10">
        <v>0.026024811968327486</v>
      </c>
      <c r="T4114" s="10">
        <v>20.29465678092436</v>
      </c>
      <c r="U4114" s="11">
        <v>0.20401132180824172</v>
      </c>
      <c r="V4114" s="11">
        <v>0.22722120371542845</v>
      </c>
      <c r="W4114" s="11">
        <v>0.0775099606782257</v>
      </c>
      <c r="X4114" s="11">
        <v>0.21019876333016452</v>
      </c>
      <c r="Y4114" s="11">
        <v>0.17129383324764932</v>
      </c>
      <c r="Z4114" s="11">
        <v>0.1097649172202904</v>
      </c>
    </row>
    <row r="4115" ht="22.5" customHeight="1">
      <c r="Q4115" s="9" t="s">
        <v>4153</v>
      </c>
      <c r="R4115" s="10">
        <v>0.7174174249403995</v>
      </c>
      <c r="S4115" s="10">
        <v>0.03337945271286174</v>
      </c>
      <c r="T4115" s="10">
        <v>20.294443733625915</v>
      </c>
      <c r="U4115" s="11">
        <v>0.006905947285584645</v>
      </c>
      <c r="V4115" s="11">
        <v>0.26013722592963323</v>
      </c>
      <c r="W4115" s="11">
        <v>0.1788621059918322</v>
      </c>
      <c r="X4115" s="11">
        <v>0.08621731036372746</v>
      </c>
      <c r="Y4115" s="11">
        <v>0.1890034869479238</v>
      </c>
      <c r="Z4115" s="11">
        <v>0.27887392348129875</v>
      </c>
    </row>
    <row r="4116" ht="22.5" customHeight="1">
      <c r="Q4116" s="9" t="s">
        <v>4154</v>
      </c>
      <c r="R4116" s="10">
        <v>0.31723395173619906</v>
      </c>
      <c r="S4116" s="10">
        <v>0.013660813686033718</v>
      </c>
      <c r="T4116" s="10">
        <v>20.294102394473928</v>
      </c>
      <c r="U4116" s="11">
        <v>0.31399352254511903</v>
      </c>
      <c r="V4116" s="11">
        <v>0.08995597179003359</v>
      </c>
      <c r="W4116" s="11">
        <v>0.022185803132819162</v>
      </c>
      <c r="X4116" s="11">
        <v>0.2110123421667388</v>
      </c>
      <c r="Y4116" s="11">
        <v>0.28780182623718903</v>
      </c>
      <c r="Z4116" s="11">
        <v>0.07505053412810046</v>
      </c>
    </row>
    <row r="4117" ht="22.5" customHeight="1">
      <c r="Q4117" s="9" t="s">
        <v>4155</v>
      </c>
      <c r="R4117" s="10">
        <v>0.7109572969094554</v>
      </c>
      <c r="S4117" s="10">
        <v>0.03306212552135569</v>
      </c>
      <c r="T4117" s="10">
        <v>20.293834299191275</v>
      </c>
      <c r="U4117" s="11">
        <v>0.4306058935313345</v>
      </c>
      <c r="V4117" s="11">
        <v>0.26405052900228415</v>
      </c>
      <c r="W4117" s="11">
        <v>0.15760762689499033</v>
      </c>
      <c r="X4117" s="11">
        <v>0.07843245833235732</v>
      </c>
      <c r="Y4117" s="11">
        <v>0.05791991021644794</v>
      </c>
      <c r="Z4117" s="11">
        <v>0.01138358202258581</v>
      </c>
    </row>
    <row r="4118" ht="22.5" customHeight="1">
      <c r="Q4118" s="9" t="s">
        <v>4156</v>
      </c>
      <c r="R4118" s="10">
        <v>0.6168116904545168</v>
      </c>
      <c r="S4118" s="10">
        <v>0.028423553205953515</v>
      </c>
      <c r="T4118" s="10">
        <v>20.293440664332547</v>
      </c>
      <c r="U4118" s="11">
        <v>0.04357822712970826</v>
      </c>
      <c r="V4118" s="11">
        <v>0.24444032626236692</v>
      </c>
      <c r="W4118" s="11">
        <v>0.11287150644110656</v>
      </c>
      <c r="X4118" s="11">
        <v>0.21339301514606357</v>
      </c>
      <c r="Y4118" s="11">
        <v>0.04401712226758757</v>
      </c>
      <c r="Z4118" s="11">
        <v>0.3416998027531671</v>
      </c>
    </row>
    <row r="4119" ht="22.5" customHeight="1">
      <c r="Q4119" s="9" t="s">
        <v>4157</v>
      </c>
      <c r="R4119" s="10">
        <v>0.7317982316667383</v>
      </c>
      <c r="S4119" s="10">
        <v>0.034089948677015314</v>
      </c>
      <c r="T4119" s="10">
        <v>20.293319835156392</v>
      </c>
      <c r="U4119" s="11">
        <v>0.16565059048639322</v>
      </c>
      <c r="V4119" s="11">
        <v>0.19377041269708056</v>
      </c>
      <c r="W4119" s="11">
        <v>0.24597703963031128</v>
      </c>
      <c r="X4119" s="11">
        <v>0.09869615892367074</v>
      </c>
      <c r="Y4119" s="11">
        <v>0.22783007420620816</v>
      </c>
      <c r="Z4119" s="11">
        <v>0.06807572405633606</v>
      </c>
    </row>
    <row r="4120" ht="22.5" customHeight="1">
      <c r="Q4120" s="9" t="s">
        <v>4158</v>
      </c>
      <c r="R4120" s="10">
        <v>0.9082397470412455</v>
      </c>
      <c r="S4120" s="10">
        <v>0.04278518496121644</v>
      </c>
      <c r="T4120" s="10">
        <v>20.292999734096753</v>
      </c>
      <c r="U4120" s="11">
        <v>0.07480081797453132</v>
      </c>
      <c r="V4120" s="11">
        <v>0.28577528933222585</v>
      </c>
      <c r="W4120" s="11">
        <v>0.28586792966401225</v>
      </c>
      <c r="X4120" s="11">
        <v>0.20984190817243595</v>
      </c>
      <c r="Y4120" s="11">
        <v>0.003141067879367167</v>
      </c>
      <c r="Z4120" s="11">
        <v>0.1405729869774275</v>
      </c>
    </row>
    <row r="4121" ht="22.5" customHeight="1">
      <c r="Q4121" s="9" t="s">
        <v>4159</v>
      </c>
      <c r="R4121" s="10">
        <v>0.7814801230642044</v>
      </c>
      <c r="S4121" s="10">
        <v>0.03653944081440184</v>
      </c>
      <c r="T4121" s="10">
        <v>20.292596343509278</v>
      </c>
      <c r="U4121" s="11">
        <v>0.3516172453684439</v>
      </c>
      <c r="V4121" s="11">
        <v>0.2394539278028747</v>
      </c>
      <c r="W4121" s="11">
        <v>0.24170627914149534</v>
      </c>
      <c r="X4121" s="11">
        <v>0.06362897558367214</v>
      </c>
      <c r="Y4121" s="11">
        <v>0.056910613020780675</v>
      </c>
      <c r="Z4121" s="11">
        <v>0.0466829590827333</v>
      </c>
    </row>
    <row r="4122" ht="22.5" customHeight="1">
      <c r="Q4122" s="9" t="s">
        <v>4160</v>
      </c>
      <c r="R4122" s="10">
        <v>0.6172764302463289</v>
      </c>
      <c r="S4122" s="10">
        <v>0.028447875920254845</v>
      </c>
      <c r="T4122" s="10">
        <v>20.29242646672643</v>
      </c>
      <c r="U4122" s="11">
        <v>0.11036500127414377</v>
      </c>
      <c r="V4122" s="11">
        <v>0.15190168179930036</v>
      </c>
      <c r="W4122" s="11">
        <v>0.20657748006456134</v>
      </c>
      <c r="X4122" s="11">
        <v>0.08073115591458303</v>
      </c>
      <c r="Y4122" s="11">
        <v>0.2881702963671496</v>
      </c>
      <c r="Z4122" s="11">
        <v>0.16225438458026192</v>
      </c>
    </row>
    <row r="4123" ht="22.5" customHeight="1">
      <c r="Q4123" s="9" t="s">
        <v>4161</v>
      </c>
      <c r="R4123" s="10">
        <v>0.5878448893714606</v>
      </c>
      <c r="S4123" s="10">
        <v>0.02699960612733224</v>
      </c>
      <c r="T4123" s="10">
        <v>20.290847458580746</v>
      </c>
      <c r="U4123" s="11">
        <v>0.3324846671012691</v>
      </c>
      <c r="V4123" s="11">
        <v>0.1877486921204457</v>
      </c>
      <c r="W4123" s="11">
        <v>0.1630417208189396</v>
      </c>
      <c r="X4123" s="11">
        <v>0.013997357600435469</v>
      </c>
      <c r="Y4123" s="11">
        <v>0.029807923574929212</v>
      </c>
      <c r="Z4123" s="11">
        <v>0.2729196387839809</v>
      </c>
    </row>
    <row r="4124" ht="22.5" customHeight="1">
      <c r="Q4124" s="9" t="s">
        <v>4162</v>
      </c>
      <c r="R4124" s="10">
        <v>0.9208711719156434</v>
      </c>
      <c r="S4124" s="10">
        <v>0.04341240037841314</v>
      </c>
      <c r="T4124" s="10">
        <v>20.290773240764118</v>
      </c>
      <c r="U4124" s="11">
        <v>0.07814366941093626</v>
      </c>
      <c r="V4124" s="11">
        <v>0.29127311983235527</v>
      </c>
      <c r="W4124" s="11">
        <v>0.28760287317155536</v>
      </c>
      <c r="X4124" s="11">
        <v>0.17001767499035078</v>
      </c>
      <c r="Y4124" s="11">
        <v>0.09790548437498679</v>
      </c>
      <c r="Z4124" s="11">
        <v>0.0750571782198154</v>
      </c>
    </row>
    <row r="4125" ht="22.5" customHeight="1">
      <c r="Q4125" s="9" t="s">
        <v>4163</v>
      </c>
      <c r="R4125" s="10">
        <v>0.551570821035602</v>
      </c>
      <c r="S4125" s="10">
        <v>0.02521246079195037</v>
      </c>
      <c r="T4125" s="10">
        <v>20.290396294792934</v>
      </c>
      <c r="U4125" s="11">
        <v>0.12053635084342049</v>
      </c>
      <c r="V4125" s="11">
        <v>0.12200091220213126</v>
      </c>
      <c r="W4125" s="11">
        <v>0.19159058846776386</v>
      </c>
      <c r="X4125" s="11">
        <v>0.12187814313647816</v>
      </c>
      <c r="Y4125" s="11">
        <v>0.17798173915352786</v>
      </c>
      <c r="Z4125" s="11">
        <v>0.26601226619667834</v>
      </c>
    </row>
    <row r="4126" ht="22.5" customHeight="1">
      <c r="Q4126" s="9" t="s">
        <v>4164</v>
      </c>
      <c r="R4126" s="10">
        <v>0.8682858115452938</v>
      </c>
      <c r="S4126" s="10">
        <v>0.04082180757878675</v>
      </c>
      <c r="T4126" s="10">
        <v>20.29027768911724</v>
      </c>
      <c r="U4126" s="11">
        <v>0.08742275968798476</v>
      </c>
      <c r="V4126" s="11">
        <v>0.303457896565555</v>
      </c>
      <c r="W4126" s="11">
        <v>0.23334476856922715</v>
      </c>
      <c r="X4126" s="11">
        <v>0.08820802504727682</v>
      </c>
      <c r="Y4126" s="11">
        <v>0.2778559242367387</v>
      </c>
      <c r="Z4126" s="11">
        <v>0.009710625893217511</v>
      </c>
    </row>
    <row r="4127" ht="22.5" customHeight="1">
      <c r="Q4127" s="9" t="s">
        <v>4165</v>
      </c>
      <c r="R4127" s="10">
        <v>0.3642636566518456</v>
      </c>
      <c r="S4127" s="10">
        <v>0.015981506270880956</v>
      </c>
      <c r="T4127" s="10">
        <v>20.289930821018356</v>
      </c>
      <c r="U4127" s="11">
        <v>0.1888515524738901</v>
      </c>
      <c r="V4127" s="11">
        <v>0.0629441142445544</v>
      </c>
      <c r="W4127" s="11">
        <v>0.10892984506009462</v>
      </c>
      <c r="X4127" s="11">
        <v>0.09144016994628582</v>
      </c>
      <c r="Y4127" s="11">
        <v>0.27454471875038505</v>
      </c>
      <c r="Z4127" s="11">
        <v>0.2732895995247899</v>
      </c>
    </row>
    <row r="4128" ht="22.5" customHeight="1">
      <c r="Q4128" s="9" t="s">
        <v>4166</v>
      </c>
      <c r="R4128" s="10">
        <v>0.767396891912248</v>
      </c>
      <c r="S4128" s="10">
        <v>0.03585016228462033</v>
      </c>
      <c r="T4128" s="10">
        <v>20.289919084251963</v>
      </c>
      <c r="U4128" s="11">
        <v>0.2629449341400298</v>
      </c>
      <c r="V4128" s="11">
        <v>0.254452409330226</v>
      </c>
      <c r="W4128" s="11">
        <v>0.22165323157102032</v>
      </c>
      <c r="X4128" s="11">
        <v>0.06591360823813269</v>
      </c>
      <c r="Y4128" s="11">
        <v>0.03577138524318224</v>
      </c>
      <c r="Z4128" s="11">
        <v>0.15926443147740899</v>
      </c>
    </row>
    <row r="4129" ht="22.5" customHeight="1">
      <c r="Q4129" s="9" t="s">
        <v>4167</v>
      </c>
      <c r="R4129" s="10">
        <v>0.522331348251574</v>
      </c>
      <c r="S4129" s="10">
        <v>0.020899928087292106</v>
      </c>
      <c r="T4129" s="10">
        <v>20.289717686359317</v>
      </c>
      <c r="U4129" s="11">
        <v>0.05444665179143084</v>
      </c>
      <c r="V4129" s="11">
        <v>0.11764911498270224</v>
      </c>
      <c r="W4129" s="11">
        <v>0.12043703748610603</v>
      </c>
      <c r="X4129" s="11">
        <v>0.06132504393008795</v>
      </c>
      <c r="Y4129" s="11">
        <v>0.49155418892195807</v>
      </c>
      <c r="Z4129" s="11">
        <v>0.1545879628877149</v>
      </c>
    </row>
    <row r="4130" ht="22.5" customHeight="1">
      <c r="Q4130" s="9" t="s">
        <v>4168</v>
      </c>
      <c r="R4130" s="10">
        <v>0.7417440056439925</v>
      </c>
      <c r="S4130" s="10">
        <v>0.03458688076928863</v>
      </c>
      <c r="T4130" s="10">
        <v>20.289311728483618</v>
      </c>
      <c r="U4130" s="11">
        <v>0.23868187508214367</v>
      </c>
      <c r="V4130" s="11">
        <v>0.26299522608458437</v>
      </c>
      <c r="W4130" s="11">
        <v>0.19287446576788114</v>
      </c>
      <c r="X4130" s="11">
        <v>0.052253647695084685</v>
      </c>
      <c r="Y4130" s="11">
        <v>0.09129243701331118</v>
      </c>
      <c r="Z4130" s="11">
        <v>0.161902348356995</v>
      </c>
    </row>
    <row r="4131" ht="22.5" customHeight="1">
      <c r="Q4131" s="9" t="s">
        <v>4169</v>
      </c>
      <c r="R4131" s="10">
        <v>0.7218974575858998</v>
      </c>
      <c r="S4131" s="10">
        <v>0.03360887949317261</v>
      </c>
      <c r="T4131" s="10">
        <v>20.289205348973987</v>
      </c>
      <c r="U4131" s="11">
        <v>0.26965458140627563</v>
      </c>
      <c r="V4131" s="11">
        <v>0.2719140073005404</v>
      </c>
      <c r="W4131" s="11">
        <v>0.16446321438330383</v>
      </c>
      <c r="X4131" s="11">
        <v>0.10776858219597013</v>
      </c>
      <c r="Y4131" s="11">
        <v>0.02749965741424213</v>
      </c>
      <c r="Z4131" s="11">
        <v>0.15869995729966782</v>
      </c>
    </row>
    <row r="4132" ht="22.5" customHeight="1">
      <c r="Q4132" s="9" t="s">
        <v>4170</v>
      </c>
      <c r="R4132" s="10">
        <v>0.3568158739605476</v>
      </c>
      <c r="S4132" s="10">
        <v>0.015615073234506237</v>
      </c>
      <c r="T4132" s="10">
        <v>20.289105866019693</v>
      </c>
      <c r="U4132" s="11">
        <v>0.06985082861095518</v>
      </c>
      <c r="V4132" s="11">
        <v>0.12544561062135515</v>
      </c>
      <c r="W4132" s="11">
        <v>0.021526951198258214</v>
      </c>
      <c r="X4132" s="11">
        <v>0.2729881776649631</v>
      </c>
      <c r="Y4132" s="11">
        <v>0.2541922196794879</v>
      </c>
      <c r="Z4132" s="11">
        <v>0.2559962122249804</v>
      </c>
    </row>
    <row r="4133" ht="22.5" customHeight="1">
      <c r="Q4133" s="9" t="s">
        <v>4171</v>
      </c>
      <c r="R4133" s="10">
        <v>0.7750779746839056</v>
      </c>
      <c r="S4133" s="10">
        <v>0.036230260023537866</v>
      </c>
      <c r="T4133" s="10">
        <v>20.2890615249889</v>
      </c>
      <c r="U4133" s="11">
        <v>0.1486840985487545</v>
      </c>
      <c r="V4133" s="11">
        <v>0.19052210957391985</v>
      </c>
      <c r="W4133" s="11">
        <v>0.2732307067166057</v>
      </c>
      <c r="X4133" s="11">
        <v>0.19868230134243392</v>
      </c>
      <c r="Y4133" s="11">
        <v>0.16751214644519458</v>
      </c>
      <c r="Z4133" s="11">
        <v>0.0213686373730915</v>
      </c>
    </row>
    <row r="4134" ht="22.5" customHeight="1">
      <c r="Q4134" s="9" t="s">
        <v>4172</v>
      </c>
      <c r="R4134" s="10">
        <v>0.5169249844985025</v>
      </c>
      <c r="S4134" s="10">
        <v>0.02350708190077371</v>
      </c>
      <c r="T4134" s="10">
        <v>20.2885660802843</v>
      </c>
      <c r="U4134" s="11">
        <v>0.21278562856776917</v>
      </c>
      <c r="V4134" s="11">
        <v>0.0926030232848725</v>
      </c>
      <c r="W4134" s="11">
        <v>0.18241476292203376</v>
      </c>
      <c r="X4134" s="11">
        <v>0.16341965195542824</v>
      </c>
      <c r="Y4134" s="11">
        <v>0.23197013133292482</v>
      </c>
      <c r="Z4134" s="11">
        <v>0.1168068019369715</v>
      </c>
    </row>
    <row r="4135" ht="22.5" customHeight="1">
      <c r="Q4135" s="9" t="s">
        <v>4173</v>
      </c>
      <c r="R4135" s="10">
        <v>0.691638014219792</v>
      </c>
      <c r="S4135" s="10">
        <v>0.03211930307132878</v>
      </c>
      <c r="T4135" s="10">
        <v>20.28804961218088</v>
      </c>
      <c r="U4135" s="11">
        <v>0.19278029775861297</v>
      </c>
      <c r="V4135" s="11">
        <v>0.18704144660225047</v>
      </c>
      <c r="W4135" s="11">
        <v>0.2292286741284865</v>
      </c>
      <c r="X4135" s="11">
        <v>0.07036561716275458</v>
      </c>
      <c r="Y4135" s="11">
        <v>0.18070407288060603</v>
      </c>
      <c r="Z4135" s="11">
        <v>0.13987989146728938</v>
      </c>
    </row>
    <row r="4136" ht="22.5" customHeight="1">
      <c r="Q4136" s="9" t="s">
        <v>4174</v>
      </c>
      <c r="R4136" s="10">
        <v>0.6382179875258545</v>
      </c>
      <c r="S4136" s="10">
        <v>0.02948706804834033</v>
      </c>
      <c r="T4136" s="10">
        <v>20.287469291458596</v>
      </c>
      <c r="U4136" s="11">
        <v>0.23793193545481056</v>
      </c>
      <c r="V4136" s="11">
        <v>0.17862811459634922</v>
      </c>
      <c r="W4136" s="11">
        <v>0.20661033359102324</v>
      </c>
      <c r="X4136" s="11">
        <v>0.07291807039237297</v>
      </c>
      <c r="Y4136" s="11">
        <v>0.03476461372631242</v>
      </c>
      <c r="Z4136" s="11">
        <v>0.26914693223913155</v>
      </c>
    </row>
    <row r="4137" ht="22.5" customHeight="1">
      <c r="Q4137" s="9" t="s">
        <v>4175</v>
      </c>
      <c r="R4137" s="10">
        <v>0.4611259274549642</v>
      </c>
      <c r="S4137" s="10">
        <v>0.02075819211009589</v>
      </c>
      <c r="T4137" s="10">
        <v>20.28721601676221</v>
      </c>
      <c r="U4137" s="11">
        <v>0.1731412343760052</v>
      </c>
      <c r="V4137" s="11">
        <v>0.0736871120171736</v>
      </c>
      <c r="W4137" s="11">
        <v>0.16407244423839393</v>
      </c>
      <c r="X4137" s="11">
        <v>0.20809033791913237</v>
      </c>
      <c r="Y4137" s="11">
        <v>0.14031183933509858</v>
      </c>
      <c r="Z4137" s="11">
        <v>0.24069703211419638</v>
      </c>
    </row>
    <row r="4138" ht="22.5" customHeight="1">
      <c r="Q4138" s="9" t="s">
        <v>4176</v>
      </c>
      <c r="R4138" s="10">
        <v>0.7274976260736857</v>
      </c>
      <c r="S4138" s="10">
        <v>0.03388881897963605</v>
      </c>
      <c r="T4138" s="10">
        <v>20.286857045292912</v>
      </c>
      <c r="U4138" s="11">
        <v>0.25702146152679817</v>
      </c>
      <c r="V4138" s="11">
        <v>0.2315117584218024</v>
      </c>
      <c r="W4138" s="11">
        <v>0.21524627168345403</v>
      </c>
      <c r="X4138" s="11">
        <v>0.02492230257844867</v>
      </c>
      <c r="Y4138" s="11">
        <v>0.1300962806109056</v>
      </c>
      <c r="Z4138" s="11">
        <v>0.14120192517859112</v>
      </c>
    </row>
    <row r="4139" ht="22.5" customHeight="1">
      <c r="Q4139" s="9" t="s">
        <v>4177</v>
      </c>
      <c r="R4139" s="10">
        <v>0.7551189320959006</v>
      </c>
      <c r="S4139" s="10">
        <v>0.03525234265920408</v>
      </c>
      <c r="T4139" s="10">
        <v>20.285713747003683</v>
      </c>
      <c r="U4139" s="11">
        <v>0.277336879092058</v>
      </c>
      <c r="V4139" s="11">
        <v>0.27738802354814684</v>
      </c>
      <c r="W4139" s="11">
        <v>0.18104879295248372</v>
      </c>
      <c r="X4139" s="11">
        <v>0.059806065078939326</v>
      </c>
      <c r="Y4139" s="11">
        <v>0.13850925767257374</v>
      </c>
      <c r="Z4139" s="11">
        <v>0.06591098165579831</v>
      </c>
    </row>
    <row r="4140" ht="22.5" customHeight="1">
      <c r="Q4140" s="9" t="s">
        <v>4178</v>
      </c>
      <c r="R4140" s="10">
        <v>0.806183389568643</v>
      </c>
      <c r="S4140" s="10">
        <v>0.037770126162588846</v>
      </c>
      <c r="T4140" s="10">
        <v>20.285433685618568</v>
      </c>
      <c r="U4140" s="11">
        <v>0.07733441239503926</v>
      </c>
      <c r="V4140" s="11">
        <v>0.18542927255806926</v>
      </c>
      <c r="W4140" s="11">
        <v>0.2927598536211925</v>
      </c>
      <c r="X4140" s="11">
        <v>0.36810533433117637</v>
      </c>
      <c r="Y4140" s="11">
        <v>0.030276784088397575</v>
      </c>
      <c r="Z4140" s="11">
        <v>0.04609434300612508</v>
      </c>
    </row>
    <row r="4141" ht="22.5" customHeight="1">
      <c r="Q4141" s="9" t="s">
        <v>4179</v>
      </c>
      <c r="R4141" s="10">
        <v>0.76031718698346</v>
      </c>
      <c r="S4141" s="10">
        <v>0.03550922823321071</v>
      </c>
      <c r="T4141" s="10">
        <v>20.28535180355649</v>
      </c>
      <c r="U4141" s="11">
        <v>0.29074563340856524</v>
      </c>
      <c r="V4141" s="11">
        <v>0.20291237572687115</v>
      </c>
      <c r="W4141" s="11">
        <v>0.259079659577972</v>
      </c>
      <c r="X4141" s="11">
        <v>0.14777711918251543</v>
      </c>
      <c r="Y4141" s="11">
        <v>0.02218386012396734</v>
      </c>
      <c r="Z4141" s="11">
        <v>0.07730135198010879</v>
      </c>
    </row>
    <row r="4142" ht="22.5" customHeight="1">
      <c r="Q4142" s="9" t="s">
        <v>4180</v>
      </c>
      <c r="R4142" s="10">
        <v>0.7943917563020473</v>
      </c>
      <c r="S4142" s="10">
        <v>0.037189391042959874</v>
      </c>
      <c r="T4142" s="10">
        <v>20.28513334436158</v>
      </c>
      <c r="U4142" s="11">
        <v>0.10848514585129287</v>
      </c>
      <c r="V4142" s="11">
        <v>0.225516485996053</v>
      </c>
      <c r="W4142" s="11">
        <v>0.26533507590957317</v>
      </c>
      <c r="X4142" s="11">
        <v>0.1646358663336055</v>
      </c>
      <c r="Y4142" s="11">
        <v>0.0599199640693371</v>
      </c>
      <c r="Z4142" s="11">
        <v>0.17610746184013842</v>
      </c>
    </row>
    <row r="4143" ht="22.5" customHeight="1">
      <c r="Q4143" s="9" t="s">
        <v>4181</v>
      </c>
      <c r="R4143" s="10">
        <v>0.7031492501889283</v>
      </c>
      <c r="S4143" s="10">
        <v>0.03269160584814035</v>
      </c>
      <c r="T4143" s="10">
        <v>20.285000781833766</v>
      </c>
      <c r="U4143" s="11">
        <v>0.2017219903929118</v>
      </c>
      <c r="V4143" s="11">
        <v>0.2155412540805474</v>
      </c>
      <c r="W4143" s="11">
        <v>0.2174454537776001</v>
      </c>
      <c r="X4143" s="11">
        <v>0.06322466626556339</v>
      </c>
      <c r="Y4143" s="11">
        <v>0.05523636155576059</v>
      </c>
      <c r="Z4143" s="11">
        <v>0.24683027392761672</v>
      </c>
    </row>
    <row r="4144" ht="22.5" customHeight="1">
      <c r="Q4144" s="9" t="s">
        <v>4182</v>
      </c>
      <c r="R4144" s="10">
        <v>0.5597557567553888</v>
      </c>
      <c r="S4144" s="10">
        <v>0.025624562223702026</v>
      </c>
      <c r="T4144" s="10">
        <v>20.28349800546558</v>
      </c>
      <c r="U4144" s="11">
        <v>0.09788648957424576</v>
      </c>
      <c r="V4144" s="11">
        <v>0.21335234911494227</v>
      </c>
      <c r="W4144" s="11">
        <v>0.10016890687089873</v>
      </c>
      <c r="X4144" s="11">
        <v>0.08589612141172813</v>
      </c>
      <c r="Y4144" s="11">
        <v>0.28180516676210055</v>
      </c>
      <c r="Z4144" s="11">
        <v>0.22089096626608462</v>
      </c>
    </row>
    <row r="4145" ht="22.5" customHeight="1">
      <c r="Q4145" s="9" t="s">
        <v>4183</v>
      </c>
      <c r="R4145" s="10">
        <v>0.6206179884673337</v>
      </c>
      <c r="S4145" s="10">
        <v>0.028625909489327372</v>
      </c>
      <c r="T4145" s="10">
        <v>20.28295340917661</v>
      </c>
      <c r="U4145" s="11">
        <v>0.2595973241476766</v>
      </c>
      <c r="V4145" s="11">
        <v>0.13968334312838898</v>
      </c>
      <c r="W4145" s="11">
        <v>0.21821651477226334</v>
      </c>
      <c r="X4145" s="11">
        <v>0.12869074355446103</v>
      </c>
      <c r="Y4145" s="11">
        <v>0.13963833214714147</v>
      </c>
      <c r="Z4145" s="11">
        <v>0.11417374225006868</v>
      </c>
    </row>
    <row r="4146" ht="22.5" customHeight="1">
      <c r="Q4146" s="9" t="s">
        <v>4184</v>
      </c>
      <c r="R4146" s="10">
        <v>0.39545850691289414</v>
      </c>
      <c r="S4146" s="10">
        <v>0.01752501558427383</v>
      </c>
      <c r="T4146" s="10">
        <v>20.282921016736033</v>
      </c>
      <c r="U4146" s="11">
        <v>0.1426341899773104</v>
      </c>
      <c r="V4146" s="11">
        <v>0.12611182235468163</v>
      </c>
      <c r="W4146" s="11">
        <v>0.06606730545581252</v>
      </c>
      <c r="X4146" s="11">
        <v>0.052084365603450124</v>
      </c>
      <c r="Y4146" s="11">
        <v>0.37428900777338125</v>
      </c>
      <c r="Z4146" s="11">
        <v>0.23881330883536397</v>
      </c>
    </row>
    <row r="4147" ht="22.5" customHeight="1">
      <c r="Q4147" s="9" t="s">
        <v>4185</v>
      </c>
      <c r="R4147" s="10">
        <v>0.5873529049104875</v>
      </c>
      <c r="S4147" s="10">
        <v>0.0269859248878404</v>
      </c>
      <c r="T4147" s="10">
        <v>20.282903298123365</v>
      </c>
      <c r="U4147" s="11">
        <v>0.1756331013788708</v>
      </c>
      <c r="V4147" s="11">
        <v>0.23800801676437813</v>
      </c>
      <c r="W4147" s="11">
        <v>0.07627324190540864</v>
      </c>
      <c r="X4147" s="11">
        <v>0.3426520172299785</v>
      </c>
      <c r="Y4147" s="11">
        <v>0.005762452328773332</v>
      </c>
      <c r="Z4147" s="11">
        <v>0.1616711703925904</v>
      </c>
    </row>
    <row r="4148" ht="22.5" customHeight="1">
      <c r="Q4148" s="9" t="s">
        <v>4186</v>
      </c>
      <c r="R4148" s="10">
        <v>0.5424193990783149</v>
      </c>
      <c r="S4148" s="10">
        <v>0.02477209593229178</v>
      </c>
      <c r="T4148" s="10">
        <v>20.281666938944145</v>
      </c>
      <c r="U4148" s="11">
        <v>0.13585733683645204</v>
      </c>
      <c r="V4148" s="11">
        <v>0.21631030672101817</v>
      </c>
      <c r="W4148" s="11">
        <v>0.07883519564560715</v>
      </c>
      <c r="X4148" s="11">
        <v>0.18002771061742173</v>
      </c>
      <c r="Y4148" s="11">
        <v>0.1563485129397442</v>
      </c>
      <c r="Z4148" s="11">
        <v>0.23262093723975663</v>
      </c>
    </row>
    <row r="4149" ht="22.5" customHeight="1">
      <c r="Q4149" s="9" t="s">
        <v>4187</v>
      </c>
      <c r="R4149" s="10">
        <v>0.50915586359948</v>
      </c>
      <c r="S4149" s="10">
        <v>0.023132080365646592</v>
      </c>
      <c r="T4149" s="10">
        <v>20.281611345956694</v>
      </c>
      <c r="U4149" s="11">
        <v>0.2114212882489323</v>
      </c>
      <c r="V4149" s="11">
        <v>0.1939538152887322</v>
      </c>
      <c r="W4149" s="11">
        <v>0.08252474969939987</v>
      </c>
      <c r="X4149" s="11">
        <v>0.08092199306252976</v>
      </c>
      <c r="Y4149" s="11">
        <v>0.21676315075552285</v>
      </c>
      <c r="Z4149" s="11">
        <v>0.21441500294488303</v>
      </c>
    </row>
    <row r="4150" ht="22.5" customHeight="1">
      <c r="Q4150" s="9" t="s">
        <v>4188</v>
      </c>
      <c r="R4150" s="10">
        <v>0.42534901406429976</v>
      </c>
      <c r="S4150" s="10">
        <v>0.018999992096697668</v>
      </c>
      <c r="T4150" s="10">
        <v>20.281535492389818</v>
      </c>
      <c r="U4150" s="11">
        <v>0.06818085791062965</v>
      </c>
      <c r="V4150" s="11">
        <v>0.156635793399005</v>
      </c>
      <c r="W4150" s="11">
        <v>0.036660105948196305</v>
      </c>
      <c r="X4150" s="11">
        <v>0.2508686850894242</v>
      </c>
      <c r="Y4150" s="11">
        <v>0.3312850191403617</v>
      </c>
      <c r="Z4150" s="11">
        <v>0.15636953851238317</v>
      </c>
    </row>
    <row r="4151" ht="22.5" customHeight="1">
      <c r="Q4151" s="9" t="s">
        <v>4189</v>
      </c>
      <c r="R4151" s="10">
        <v>0.523764346468962</v>
      </c>
      <c r="S4151" s="10">
        <v>0.023852724911487547</v>
      </c>
      <c r="T4151" s="10">
        <v>20.28130321647149</v>
      </c>
      <c r="U4151" s="11">
        <v>0.12588032262461568</v>
      </c>
      <c r="V4151" s="11">
        <v>0.12614665212830023</v>
      </c>
      <c r="W4151" s="11">
        <v>0.17107323074182768</v>
      </c>
      <c r="X4151" s="11">
        <v>0.04996371389131779</v>
      </c>
      <c r="Y4151" s="11">
        <v>0.24643255209397633</v>
      </c>
      <c r="Z4151" s="11">
        <v>0.2805035285199623</v>
      </c>
    </row>
    <row r="4152" ht="22.5" customHeight="1">
      <c r="Q4152" s="9" t="s">
        <v>4190</v>
      </c>
      <c r="R4152" s="10">
        <v>0.8433290767790372</v>
      </c>
      <c r="S4152" s="10">
        <v>0.03960973407949674</v>
      </c>
      <c r="T4152" s="10">
        <v>20.281102497854583</v>
      </c>
      <c r="U4152" s="11">
        <v>0.004538115037815811</v>
      </c>
      <c r="V4152" s="11">
        <v>0.3380196102985755</v>
      </c>
      <c r="W4152" s="11">
        <v>0.16061477309993</v>
      </c>
      <c r="X4152" s="11">
        <v>0.33988862186538</v>
      </c>
      <c r="Y4152" s="11">
        <v>0.1266898154214983</v>
      </c>
      <c r="Z4152" s="11">
        <v>0.03024906427680043</v>
      </c>
    </row>
    <row r="4153" ht="22.5" customHeight="1">
      <c r="Q4153" s="9" t="s">
        <v>4191</v>
      </c>
      <c r="R4153" s="10">
        <v>0.5295298249530224</v>
      </c>
      <c r="S4153" s="10">
        <v>0.024137363008558666</v>
      </c>
      <c r="T4153" s="10">
        <v>20.280998582133602</v>
      </c>
      <c r="U4153" s="11">
        <v>0.1110925853854358</v>
      </c>
      <c r="V4153" s="11">
        <v>0.09316007096245593</v>
      </c>
      <c r="W4153" s="11">
        <v>0.1927484179679797</v>
      </c>
      <c r="X4153" s="11">
        <v>0.2481415829482288</v>
      </c>
      <c r="Y4153" s="11">
        <v>0.13042389402828916</v>
      </c>
      <c r="Z4153" s="11">
        <v>0.22443344870761073</v>
      </c>
    </row>
    <row r="4154" ht="22.5" customHeight="1">
      <c r="Q4154" s="9" t="s">
        <v>4192</v>
      </c>
      <c r="R4154" s="10">
        <v>0.5865587801720169</v>
      </c>
      <c r="S4154" s="10">
        <v>0.02694981579898557</v>
      </c>
      <c r="T4154" s="10">
        <v>20.28061283419199</v>
      </c>
      <c r="U4154" s="11">
        <v>0.14506832205216974</v>
      </c>
      <c r="V4154" s="11">
        <v>0.23764045477374793</v>
      </c>
      <c r="W4154" s="11">
        <v>0.07770759242515522</v>
      </c>
      <c r="X4154" s="11">
        <v>0.26765612151782325</v>
      </c>
      <c r="Y4154" s="11">
        <v>0.1430740568971401</v>
      </c>
      <c r="Z4154" s="11">
        <v>0.12885345233396364</v>
      </c>
    </row>
    <row r="4155" ht="22.5" customHeight="1">
      <c r="Q4155" s="9" t="s">
        <v>4193</v>
      </c>
      <c r="R4155" s="10">
        <v>0.6753142020689613</v>
      </c>
      <c r="S4155" s="10">
        <v>0.031326580970753574</v>
      </c>
      <c r="T4155" s="10">
        <v>20.28035560797679</v>
      </c>
      <c r="U4155" s="11">
        <v>0.22280738379241685</v>
      </c>
      <c r="V4155" s="11">
        <v>0.18602731286087343</v>
      </c>
      <c r="W4155" s="11">
        <v>0.22089729553751286</v>
      </c>
      <c r="X4155" s="11">
        <v>0.053263652357814814</v>
      </c>
      <c r="Y4155" s="11">
        <v>0.15378399201436366</v>
      </c>
      <c r="Z4155" s="11">
        <v>0.1632203634370183</v>
      </c>
    </row>
    <row r="4156" ht="22.5" customHeight="1">
      <c r="Q4156" s="9" t="s">
        <v>4194</v>
      </c>
      <c r="R4156" s="10">
        <v>0.7941956184871206</v>
      </c>
      <c r="S4156" s="10">
        <v>0.03718935662513482</v>
      </c>
      <c r="T4156" s="10">
        <v>20.279878086876867</v>
      </c>
      <c r="U4156" s="11">
        <v>0.2145280909334621</v>
      </c>
      <c r="V4156" s="11">
        <v>0.23998566093868912</v>
      </c>
      <c r="W4156" s="11">
        <v>0.25292756325907634</v>
      </c>
      <c r="X4156" s="11">
        <v>0.09789239291534982</v>
      </c>
      <c r="Y4156" s="11">
        <v>0.06312145362113133</v>
      </c>
      <c r="Z4156" s="11">
        <v>0.13154483833229136</v>
      </c>
    </row>
    <row r="4157" ht="22.5" customHeight="1">
      <c r="Q4157" s="9" t="s">
        <v>4195</v>
      </c>
      <c r="R4157" s="10">
        <v>0.7989776929419113</v>
      </c>
      <c r="S4157" s="10">
        <v>0.037425474646049076</v>
      </c>
      <c r="T4157" s="10">
        <v>20.279707875983743</v>
      </c>
      <c r="U4157" s="11">
        <v>0.08502041686248991</v>
      </c>
      <c r="V4157" s="11">
        <v>0.20289411566278598</v>
      </c>
      <c r="W4157" s="11">
        <v>0.28117590762433986</v>
      </c>
      <c r="X4157" s="11">
        <v>0.23465390888758592</v>
      </c>
      <c r="Y4157" s="11">
        <v>0.10358974464785609</v>
      </c>
      <c r="Z4157" s="11">
        <v>0.0926659063149423</v>
      </c>
    </row>
    <row r="4158" ht="22.5" customHeight="1">
      <c r="Q4158" s="9" t="s">
        <v>4196</v>
      </c>
      <c r="R4158" s="10">
        <v>0.43379480090315914</v>
      </c>
      <c r="S4158" s="10">
        <v>0.019418567625714065</v>
      </c>
      <c r="T4158" s="10">
        <v>20.279291886683552</v>
      </c>
      <c r="U4158" s="11">
        <v>0.08088803866686581</v>
      </c>
      <c r="V4158" s="11">
        <v>0.04170366183230834</v>
      </c>
      <c r="W4158" s="11">
        <v>0.14605751028040725</v>
      </c>
      <c r="X4158" s="11">
        <v>0.4025333917755175</v>
      </c>
      <c r="Y4158" s="11">
        <v>0.28344463194289893</v>
      </c>
      <c r="Z4158" s="11">
        <v>0.04537276550200214</v>
      </c>
    </row>
    <row r="4159" ht="22.5" customHeight="1">
      <c r="Q4159" s="9" t="s">
        <v>4197</v>
      </c>
      <c r="R4159" s="10">
        <v>0.4556720274070674</v>
      </c>
      <c r="S4159" s="10">
        <v>0.020497395380776003</v>
      </c>
      <c r="T4159" s="10">
        <v>20.27926083705815</v>
      </c>
      <c r="U4159" s="11">
        <v>0.3170473649801788</v>
      </c>
      <c r="V4159" s="11">
        <v>0.07408944834260324</v>
      </c>
      <c r="W4159" s="11">
        <v>0.1600257047102953</v>
      </c>
      <c r="X4159" s="11">
        <v>0.20769782658257263</v>
      </c>
      <c r="Y4159" s="11">
        <v>0.028853695270157423</v>
      </c>
      <c r="Z4159" s="11">
        <v>0.21228596011419254</v>
      </c>
    </row>
    <row r="4160" ht="22.5" customHeight="1">
      <c r="Q4160" s="9" t="s">
        <v>4198</v>
      </c>
      <c r="R4160" s="10">
        <v>0.8881394750599368</v>
      </c>
      <c r="S4160" s="10">
        <v>0.04182429953292407</v>
      </c>
      <c r="T4160" s="10">
        <v>20.278629517567456</v>
      </c>
      <c r="U4160" s="11">
        <v>9.242965035035803E-4</v>
      </c>
      <c r="V4160" s="11">
        <v>0.25888804933840887</v>
      </c>
      <c r="W4160" s="11">
        <v>0.29298354986168607</v>
      </c>
      <c r="X4160" s="11">
        <v>0.19255787056020382</v>
      </c>
      <c r="Y4160" s="11">
        <v>0.1756491440859895</v>
      </c>
      <c r="Z4160" s="11">
        <v>0.07899708965020816</v>
      </c>
    </row>
    <row r="4161" ht="22.5" customHeight="1">
      <c r="Q4161" s="9" t="s">
        <v>4199</v>
      </c>
      <c r="R4161" s="10">
        <v>0.6946757017823758</v>
      </c>
      <c r="S4161" s="10">
        <v>0.032284996158182144</v>
      </c>
      <c r="T4161" s="10">
        <v>20.27801702607476</v>
      </c>
      <c r="U4161" s="11">
        <v>0.21064628642044084</v>
      </c>
      <c r="V4161" s="11">
        <v>0.2500244335056212</v>
      </c>
      <c r="W4161" s="11">
        <v>0.1721631363516986</v>
      </c>
      <c r="X4161" s="11">
        <v>0.03457622220168444</v>
      </c>
      <c r="Y4161" s="11">
        <v>0.13979426353760865</v>
      </c>
      <c r="Z4161" s="11">
        <v>0.19279565798294623</v>
      </c>
    </row>
    <row r="4162" ht="22.5" customHeight="1">
      <c r="Q4162" s="9" t="s">
        <v>4200</v>
      </c>
      <c r="R4162" s="10">
        <v>0.6186719481870041</v>
      </c>
      <c r="S4162" s="10">
        <v>0.02853727978021107</v>
      </c>
      <c r="T4162" s="10">
        <v>20.27775431449073</v>
      </c>
      <c r="U4162" s="11">
        <v>0.15171793196976566</v>
      </c>
      <c r="V4162" s="11">
        <v>0.21835555878695773</v>
      </c>
      <c r="W4162" s="11">
        <v>0.14720591751847292</v>
      </c>
      <c r="X4162" s="11">
        <v>0.003373087175796366</v>
      </c>
      <c r="Y4162" s="11">
        <v>0.2709430808095896</v>
      </c>
      <c r="Z4162" s="11">
        <v>0.20840442373941775</v>
      </c>
    </row>
    <row r="4163" ht="22.5" customHeight="1">
      <c r="Q4163" s="9" t="s">
        <v>4201</v>
      </c>
      <c r="R4163" s="10">
        <v>0.6201546002995872</v>
      </c>
      <c r="S4163" s="10">
        <v>0.028610638457874052</v>
      </c>
      <c r="T4163" s="10">
        <v>20.27758314984126</v>
      </c>
      <c r="U4163" s="11">
        <v>0.2567284750752373</v>
      </c>
      <c r="V4163" s="11">
        <v>0.1609062165633833</v>
      </c>
      <c r="W4163" s="11">
        <v>0.20533609032757896</v>
      </c>
      <c r="X4163" s="11">
        <v>0.049069567891716875</v>
      </c>
      <c r="Y4163" s="11">
        <v>0.15414517304785305</v>
      </c>
      <c r="Z4163" s="11">
        <v>0.17381447709423045</v>
      </c>
    </row>
    <row r="4164" ht="22.5" customHeight="1">
      <c r="Q4164" s="9" t="s">
        <v>4202</v>
      </c>
      <c r="R4164" s="10">
        <v>0.6959063937709026</v>
      </c>
      <c r="S4164" s="10">
        <v>0.03234661988101513</v>
      </c>
      <c r="T4164" s="10">
        <v>20.277432269078197</v>
      </c>
      <c r="U4164" s="11">
        <v>0.0915441348350801</v>
      </c>
      <c r="V4164" s="11">
        <v>0.1715959148937419</v>
      </c>
      <c r="W4164" s="11">
        <v>0.24523327412216625</v>
      </c>
      <c r="X4164" s="11">
        <v>0.23363795965536088</v>
      </c>
      <c r="Y4164" s="11">
        <v>0.0035140538130371025</v>
      </c>
      <c r="Z4164" s="11">
        <v>0.25447466268061375</v>
      </c>
    </row>
    <row r="4165" ht="22.5" customHeight="1">
      <c r="Q4165" s="9" t="s">
        <v>4203</v>
      </c>
      <c r="R4165" s="10">
        <v>0.5953914599817564</v>
      </c>
      <c r="S4165" s="10">
        <v>0.027390107970033047</v>
      </c>
      <c r="T4165" s="10">
        <v>20.277081805935147</v>
      </c>
      <c r="U4165" s="11">
        <v>0.15890710547688278</v>
      </c>
      <c r="V4165" s="11">
        <v>0.153317003482371</v>
      </c>
      <c r="W4165" s="11">
        <v>0.19474895429219283</v>
      </c>
      <c r="X4165" s="11">
        <v>0.041934264699402764</v>
      </c>
      <c r="Y4165" s="11">
        <v>0.24411829788690106</v>
      </c>
      <c r="Z4165" s="11">
        <v>0.20697437416224954</v>
      </c>
    </row>
    <row r="4166" ht="22.5" customHeight="1">
      <c r="Q4166" s="9" t="s">
        <v>4204</v>
      </c>
      <c r="R4166" s="10">
        <v>0.39350542363105034</v>
      </c>
      <c r="S4166" s="10">
        <v>0.017433859269372073</v>
      </c>
      <c r="T4166" s="10">
        <v>20.276946037535772</v>
      </c>
      <c r="U4166" s="11">
        <v>0.25209954457370826</v>
      </c>
      <c r="V4166" s="11">
        <v>0.06092943542553756</v>
      </c>
      <c r="W4166" s="11">
        <v>0.11922648131080175</v>
      </c>
      <c r="X4166" s="11">
        <v>0.12842255145668538</v>
      </c>
      <c r="Y4166" s="11">
        <v>0.34243818542894583</v>
      </c>
      <c r="Z4166" s="11">
        <v>0.09688380180432112</v>
      </c>
    </row>
    <row r="4167" ht="22.5" customHeight="1">
      <c r="Q4167" s="9" t="s">
        <v>4205</v>
      </c>
      <c r="R4167" s="10">
        <v>0.7935649782742639</v>
      </c>
      <c r="S4167" s="10">
        <v>0.037163892105382894</v>
      </c>
      <c r="T4167" s="10">
        <v>20.276804596715422</v>
      </c>
      <c r="U4167" s="11">
        <v>0.17770158787648013</v>
      </c>
      <c r="V4167" s="11">
        <v>0.27543964470259386</v>
      </c>
      <c r="W4167" s="11">
        <v>0.21787034902027358</v>
      </c>
      <c r="X4167" s="11">
        <v>0.06545861828748879</v>
      </c>
      <c r="Y4167" s="11">
        <v>0.11386357859489747</v>
      </c>
      <c r="Z4167" s="11">
        <v>0.14966622151826606</v>
      </c>
    </row>
    <row r="4168" ht="22.5" customHeight="1">
      <c r="Q4168" s="9" t="s">
        <v>4206</v>
      </c>
      <c r="R4168" s="10">
        <v>0.5353855474407705</v>
      </c>
      <c r="S4168" s="10">
        <v>0.024432890204194334</v>
      </c>
      <c r="T4168" s="10">
        <v>20.275356018082906</v>
      </c>
      <c r="U4168" s="11">
        <v>0.28402516649985216</v>
      </c>
      <c r="V4168" s="11">
        <v>0.13401079895142937</v>
      </c>
      <c r="W4168" s="11">
        <v>0.1701206424132559</v>
      </c>
      <c r="X4168" s="11">
        <v>0.012437047719941953</v>
      </c>
      <c r="Y4168" s="11">
        <v>0.2147133822784603</v>
      </c>
      <c r="Z4168" s="11">
        <v>0.18469296213706057</v>
      </c>
    </row>
    <row r="4169" ht="22.5" customHeight="1">
      <c r="Q4169" s="9" t="s">
        <v>4207</v>
      </c>
      <c r="R4169" s="10">
        <v>0.36977090275583674</v>
      </c>
      <c r="S4169" s="10">
        <v>0.016264722199042434</v>
      </c>
      <c r="T4169" s="10">
        <v>20.275225037366553</v>
      </c>
      <c r="U4169" s="11">
        <v>0.06932340511857114</v>
      </c>
      <c r="V4169" s="11">
        <v>0.11296757625834437</v>
      </c>
      <c r="W4169" s="11">
        <v>0.040074576844618126</v>
      </c>
      <c r="X4169" s="11">
        <v>0.19902290287014518</v>
      </c>
      <c r="Y4169" s="11">
        <v>0.4455022598456808</v>
      </c>
      <c r="Z4169" s="11">
        <v>0.13310927906264033</v>
      </c>
    </row>
    <row r="4170" ht="22.5" customHeight="1">
      <c r="Q4170" s="9" t="s">
        <v>4208</v>
      </c>
      <c r="R4170" s="10">
        <v>0.6795563723031574</v>
      </c>
      <c r="S4170" s="10">
        <v>0.03154389768335619</v>
      </c>
      <c r="T4170" s="10">
        <v>20.27512194983477</v>
      </c>
      <c r="U4170" s="11">
        <v>0.12824952115974309</v>
      </c>
      <c r="V4170" s="11">
        <v>0.17411139264432213</v>
      </c>
      <c r="W4170" s="11">
        <v>0.23297164341655338</v>
      </c>
      <c r="X4170" s="11">
        <v>0.11758549387752616</v>
      </c>
      <c r="Y4170" s="11">
        <v>0.1551197695566071</v>
      </c>
      <c r="Z4170" s="11">
        <v>0.19196217934524817</v>
      </c>
    </row>
    <row r="4171" ht="22.5" customHeight="1">
      <c r="Q4171" s="9" t="s">
        <v>4209</v>
      </c>
      <c r="R4171" s="10">
        <v>0.8318608014491873</v>
      </c>
      <c r="S4171" s="10">
        <v>0.03905581555557282</v>
      </c>
      <c r="T4171" s="10">
        <v>20.275106029278597</v>
      </c>
      <c r="U4171" s="11">
        <v>0.2114316240700813</v>
      </c>
      <c r="V4171" s="11">
        <v>0.28736075088344937</v>
      </c>
      <c r="W4171" s="11">
        <v>0.23094682887208973</v>
      </c>
      <c r="X4171" s="11">
        <v>0.07188334938030196</v>
      </c>
      <c r="Y4171" s="11">
        <v>0.11277207997011489</v>
      </c>
      <c r="Z4171" s="11">
        <v>0.085605366823963</v>
      </c>
    </row>
    <row r="4172" ht="22.5" customHeight="1">
      <c r="Q4172" s="9" t="s">
        <v>4210</v>
      </c>
      <c r="R4172" s="10">
        <v>0.4136104691134435</v>
      </c>
      <c r="S4172" s="10">
        <v>0.018427179358201658</v>
      </c>
      <c r="T4172" s="10">
        <v>20.274967853240934</v>
      </c>
      <c r="U4172" s="11">
        <v>0.26282063188837246</v>
      </c>
      <c r="V4172" s="11">
        <v>0.15743033335711562</v>
      </c>
      <c r="W4172" s="11">
        <v>0.04021963733835758</v>
      </c>
      <c r="X4172" s="11">
        <v>0.21122216678889946</v>
      </c>
      <c r="Y4172" s="11">
        <v>0.08111870163231268</v>
      </c>
      <c r="Z4172" s="11">
        <v>0.2471885289949422</v>
      </c>
    </row>
    <row r="4173" ht="22.5" customHeight="1">
      <c r="Q4173" s="9" t="s">
        <v>4211</v>
      </c>
      <c r="R4173" s="10">
        <v>0.5088610481328907</v>
      </c>
      <c r="S4173" s="10">
        <v>0.02312529446023543</v>
      </c>
      <c r="T4173" s="10">
        <v>20.274814184057632</v>
      </c>
      <c r="U4173" s="11">
        <v>0.12036397499659802</v>
      </c>
      <c r="V4173" s="11">
        <v>0.20421885961275868</v>
      </c>
      <c r="W4173" s="11">
        <v>0.06249174419056953</v>
      </c>
      <c r="X4173" s="11">
        <v>0.24895615051056247</v>
      </c>
      <c r="Y4173" s="11">
        <v>0.10103119859996192</v>
      </c>
      <c r="Z4173" s="11">
        <v>0.2629380720895495</v>
      </c>
    </row>
    <row r="4174" ht="22.5" customHeight="1">
      <c r="Q4174" s="9" t="s">
        <v>4212</v>
      </c>
      <c r="R4174" s="10">
        <v>0.6073321229455025</v>
      </c>
      <c r="S4174" s="10">
        <v>0.027982485153303614</v>
      </c>
      <c r="T4174" s="10">
        <v>20.27454387404627</v>
      </c>
      <c r="U4174" s="11">
        <v>0.2845102859147367</v>
      </c>
      <c r="V4174" s="11">
        <v>0.2454377278646994</v>
      </c>
      <c r="W4174" s="11">
        <v>0.07896751873074773</v>
      </c>
      <c r="X4174" s="11">
        <v>0.2967477874555682</v>
      </c>
      <c r="Y4174" s="11">
        <v>0.06639558626012347</v>
      </c>
      <c r="Z4174" s="11">
        <v>0.02794109377412463</v>
      </c>
    </row>
    <row r="4175" ht="22.5" customHeight="1">
      <c r="Q4175" s="9" t="s">
        <v>4213</v>
      </c>
      <c r="R4175" s="10">
        <v>0.8585248373000298</v>
      </c>
      <c r="S4175" s="10">
        <v>0.040372594090519784</v>
      </c>
      <c r="T4175" s="10">
        <v>20.274269110991664</v>
      </c>
      <c r="U4175" s="11">
        <v>0.037751064413493934</v>
      </c>
      <c r="V4175" s="11">
        <v>0.24466955637236326</v>
      </c>
      <c r="W4175" s="11">
        <v>0.2849900504035362</v>
      </c>
      <c r="X4175" s="11">
        <v>0.16232361636519077</v>
      </c>
      <c r="Y4175" s="11">
        <v>0.2186676907527194</v>
      </c>
      <c r="Z4175" s="11">
        <v>0.05159802169269647</v>
      </c>
    </row>
    <row r="4176" ht="22.5" customHeight="1">
      <c r="Q4176" s="9" t="s">
        <v>4214</v>
      </c>
      <c r="R4176" s="10">
        <v>0.674244118490246</v>
      </c>
      <c r="S4176" s="10">
        <v>0.03128411125522679</v>
      </c>
      <c r="T4176" s="10">
        <v>20.273681848138796</v>
      </c>
      <c r="U4176" s="11">
        <v>0.13563364123435495</v>
      </c>
      <c r="V4176" s="11">
        <v>0.1481964590893412</v>
      </c>
      <c r="W4176" s="11">
        <v>0.24469364903339658</v>
      </c>
      <c r="X4176" s="11">
        <v>0.24719820451426633</v>
      </c>
      <c r="Y4176" s="11">
        <v>0.07098122299471527</v>
      </c>
      <c r="Z4176" s="11">
        <v>0.15329682313392567</v>
      </c>
    </row>
    <row r="4177" ht="22.5" customHeight="1">
      <c r="Q4177" s="9" t="s">
        <v>4215</v>
      </c>
      <c r="R4177" s="10">
        <v>0.6715003170665462</v>
      </c>
      <c r="S4177" s="10">
        <v>0.031148824820162416</v>
      </c>
      <c r="T4177" s="10">
        <v>20.273648226297784</v>
      </c>
      <c r="U4177" s="11">
        <v>0.01888043113846442</v>
      </c>
      <c r="V4177" s="11">
        <v>0.2521901275240753</v>
      </c>
      <c r="W4177" s="11">
        <v>0.1319171030370612</v>
      </c>
      <c r="X4177" s="11">
        <v>0.11978308107421655</v>
      </c>
      <c r="Y4177" s="11">
        <v>0.41210026638029146</v>
      </c>
      <c r="Z4177" s="11">
        <v>0.06512899084589109</v>
      </c>
    </row>
    <row r="4178" ht="22.5" customHeight="1">
      <c r="Q4178" s="9" t="s">
        <v>4216</v>
      </c>
      <c r="R4178" s="10">
        <v>0.4897076937531693</v>
      </c>
      <c r="S4178" s="10">
        <v>0.022182016125421963</v>
      </c>
      <c r="T4178" s="10">
        <v>20.27352659065902</v>
      </c>
      <c r="U4178" s="11">
        <v>0.16316731602839188</v>
      </c>
      <c r="V4178" s="11">
        <v>0.07978475138933713</v>
      </c>
      <c r="W4178" s="11">
        <v>0.17743606891630734</v>
      </c>
      <c r="X4178" s="11">
        <v>0.2492264709730426</v>
      </c>
      <c r="Y4178" s="11">
        <v>0.09014505286534771</v>
      </c>
      <c r="Z4178" s="11">
        <v>0.24024033982757334</v>
      </c>
    </row>
    <row r="4179" ht="22.5" customHeight="1">
      <c r="Q4179" s="9" t="s">
        <v>4217</v>
      </c>
      <c r="R4179" s="10">
        <v>0.6445915847008256</v>
      </c>
      <c r="S4179" s="10">
        <v>0.029822002037643056</v>
      </c>
      <c r="T4179" s="10">
        <v>20.273339929950883</v>
      </c>
      <c r="U4179" s="11">
        <v>0.23617527148530953</v>
      </c>
      <c r="V4179" s="11">
        <v>0.2456094592862302</v>
      </c>
      <c r="W4179" s="11">
        <v>0.1331707285530063</v>
      </c>
      <c r="X4179" s="11">
        <v>0.06921685004660648</v>
      </c>
      <c r="Y4179" s="11">
        <v>0.14970036134649875</v>
      </c>
      <c r="Z4179" s="11">
        <v>0.1661273292823487</v>
      </c>
    </row>
    <row r="4180" ht="22.5" customHeight="1">
      <c r="Q4180" s="9" t="s">
        <v>4218</v>
      </c>
      <c r="R4180" s="10">
        <v>0.7348306541241962</v>
      </c>
      <c r="S4180" s="10">
        <v>0.03427380431379792</v>
      </c>
      <c r="T4180" s="10">
        <v>20.272936373289376</v>
      </c>
      <c r="U4180" s="11">
        <v>0.22575303364420246</v>
      </c>
      <c r="V4180" s="11">
        <v>0.18979356335914152</v>
      </c>
      <c r="W4180" s="11">
        <v>0.25307677972786696</v>
      </c>
      <c r="X4180" s="11">
        <v>0.1289628511616678</v>
      </c>
      <c r="Y4180" s="11">
        <v>0.11849905296637357</v>
      </c>
      <c r="Z4180" s="11">
        <v>0.08391471914074772</v>
      </c>
    </row>
    <row r="4181" ht="22.5" customHeight="1">
      <c r="Q4181" s="9" t="s">
        <v>4219</v>
      </c>
      <c r="R4181" s="10">
        <v>0.921589701776526</v>
      </c>
      <c r="S4181" s="10">
        <v>0.043486108915004096</v>
      </c>
      <c r="T4181" s="10">
        <v>20.272903779449198</v>
      </c>
      <c r="U4181" s="11">
        <v>0.10304624659363804</v>
      </c>
      <c r="V4181" s="11">
        <v>0.3397940308659049</v>
      </c>
      <c r="W4181" s="11">
        <v>0.237130382387743</v>
      </c>
      <c r="X4181" s="11">
        <v>0.20947017622373265</v>
      </c>
      <c r="Y4181" s="11">
        <v>0.008351643756466595</v>
      </c>
      <c r="Z4181" s="11">
        <v>0.10220752017251478</v>
      </c>
    </row>
    <row r="4182" ht="22.5" customHeight="1">
      <c r="Q4182" s="9" t="s">
        <v>4220</v>
      </c>
      <c r="R4182" s="10">
        <v>0.8187727401305135</v>
      </c>
      <c r="S4182" s="10">
        <v>0.03841565683103211</v>
      </c>
      <c r="T4182" s="10">
        <v>20.272274493597152</v>
      </c>
      <c r="U4182" s="11">
        <v>0.16773095806976326</v>
      </c>
      <c r="V4182" s="11">
        <v>0.1991912706988429</v>
      </c>
      <c r="W4182" s="11">
        <v>0.29349290726734983</v>
      </c>
      <c r="X4182" s="11">
        <v>0.29853274091995496</v>
      </c>
      <c r="Y4182" s="11">
        <v>0.009519600028830217</v>
      </c>
      <c r="Z4182" s="11">
        <v>0.03153252301525881</v>
      </c>
    </row>
    <row r="4183" ht="22.5" customHeight="1">
      <c r="Q4183" s="9" t="s">
        <v>4221</v>
      </c>
      <c r="R4183" s="10">
        <v>0.8582182927131741</v>
      </c>
      <c r="S4183" s="10">
        <v>0.04036181424908669</v>
      </c>
      <c r="T4183" s="10">
        <v>20.272089050895147</v>
      </c>
      <c r="U4183" s="11">
        <v>0.02425371792237957</v>
      </c>
      <c r="V4183" s="11">
        <v>0.24306302326541482</v>
      </c>
      <c r="W4183" s="11">
        <v>0.2882191050617201</v>
      </c>
      <c r="X4183" s="11">
        <v>0.19508059120619906</v>
      </c>
      <c r="Y4183" s="11">
        <v>0.14472349184595007</v>
      </c>
      <c r="Z4183" s="11">
        <v>0.10466007069833627</v>
      </c>
    </row>
    <row r="4184" ht="22.5" customHeight="1">
      <c r="Q4184" s="9" t="s">
        <v>4222</v>
      </c>
      <c r="R4184" s="10">
        <v>0.43637466112308465</v>
      </c>
      <c r="S4184" s="10">
        <v>0.019553230401127896</v>
      </c>
      <c r="T4184" s="10">
        <v>20.271569095826766</v>
      </c>
      <c r="U4184" s="11">
        <v>0.20094048452259647</v>
      </c>
      <c r="V4184" s="11">
        <v>0.1403008375488508</v>
      </c>
      <c r="W4184" s="11">
        <v>0.07995693559395077</v>
      </c>
      <c r="X4184" s="11">
        <v>0.02872131842983463</v>
      </c>
      <c r="Y4184" s="11">
        <v>0.3920784447434819</v>
      </c>
      <c r="Z4184" s="11">
        <v>0.15800197916128525</v>
      </c>
    </row>
    <row r="4185" ht="22.5" customHeight="1">
      <c r="Q4185" s="9" t="s">
        <v>4223</v>
      </c>
      <c r="R4185" s="10">
        <v>0.7099959912683305</v>
      </c>
      <c r="S4185" s="10">
        <v>0.03305151785351151</v>
      </c>
      <c r="T4185" s="10">
        <v>20.271262404281615</v>
      </c>
      <c r="U4185" s="11">
        <v>0.2305881937779927</v>
      </c>
      <c r="V4185" s="11">
        <v>0.2735075175065148</v>
      </c>
      <c r="W4185" s="11">
        <v>0.14084787215950237</v>
      </c>
      <c r="X4185" s="11">
        <v>0.10251937469072858</v>
      </c>
      <c r="Y4185" s="11">
        <v>0.24607087713259365</v>
      </c>
      <c r="Z4185" s="11">
        <v>0.006466164732667915</v>
      </c>
    </row>
    <row r="4186" ht="22.5" customHeight="1">
      <c r="Q4186" s="9" t="s">
        <v>4224</v>
      </c>
      <c r="R4186" s="10">
        <v>0.8194080682182837</v>
      </c>
      <c r="S4186" s="10">
        <v>0.038451627805357394</v>
      </c>
      <c r="T4186" s="10">
        <v>20.269832844623817</v>
      </c>
      <c r="U4186" s="11">
        <v>0.025215829511724894</v>
      </c>
      <c r="V4186" s="11">
        <v>0.3305394214842802</v>
      </c>
      <c r="W4186" s="11">
        <v>0.14906198981791383</v>
      </c>
      <c r="X4186" s="11">
        <v>0.33884657265893564</v>
      </c>
      <c r="Y4186" s="11">
        <v>0.13767165557317332</v>
      </c>
      <c r="Z4186" s="11">
        <v>0.018664530953972126</v>
      </c>
    </row>
    <row r="4187" ht="22.5" customHeight="1">
      <c r="Q4187" s="9" t="s">
        <v>4225</v>
      </c>
      <c r="R4187" s="10">
        <v>0.7500168487643333</v>
      </c>
      <c r="S4187" s="10">
        <v>0.035028828029424044</v>
      </c>
      <c r="T4187" s="10">
        <v>20.269500543036227</v>
      </c>
      <c r="U4187" s="11">
        <v>0.24629676022508287</v>
      </c>
      <c r="V4187" s="11">
        <v>0.22417902099976106</v>
      </c>
      <c r="W4187" s="11">
        <v>0.23822075143180035</v>
      </c>
      <c r="X4187" s="11">
        <v>0.0679318496119489</v>
      </c>
      <c r="Y4187" s="11">
        <v>0.07736688035617204</v>
      </c>
      <c r="Z4187" s="11">
        <v>0.1460047373752348</v>
      </c>
    </row>
    <row r="4188" ht="22.5" customHeight="1">
      <c r="Q4188" s="9" t="s">
        <v>4226</v>
      </c>
      <c r="R4188" s="10">
        <v>0.510345825191593</v>
      </c>
      <c r="S4188" s="10">
        <v>0.023205197315468575</v>
      </c>
      <c r="T4188" s="10">
        <v>20.268986244648765</v>
      </c>
      <c r="U4188" s="11">
        <v>0.35096487473739374</v>
      </c>
      <c r="V4188" s="11">
        <v>0.1961828126185123</v>
      </c>
      <c r="W4188" s="11">
        <v>0.06204169652199532</v>
      </c>
      <c r="X4188" s="11">
        <v>0.17224549803691908</v>
      </c>
      <c r="Y4188" s="11">
        <v>0.206207273907126</v>
      </c>
      <c r="Z4188" s="11">
        <v>0.012357844178053502</v>
      </c>
    </row>
    <row r="4189" ht="22.5" customHeight="1">
      <c r="Q4189" s="9" t="s">
        <v>4227</v>
      </c>
      <c r="R4189" s="10">
        <v>0.6307609403889763</v>
      </c>
      <c r="S4189" s="10">
        <v>0.029146169931631348</v>
      </c>
      <c r="T4189" s="10">
        <v>20.268904688840216</v>
      </c>
      <c r="U4189" s="11">
        <v>0.19555960004739725</v>
      </c>
      <c r="V4189" s="11">
        <v>0.2386257381756802</v>
      </c>
      <c r="W4189" s="11">
        <v>0.12657810893453805</v>
      </c>
      <c r="X4189" s="11">
        <v>0.057388869274913636</v>
      </c>
      <c r="Y4189" s="11">
        <v>0.25249971922594544</v>
      </c>
      <c r="Z4189" s="11">
        <v>0.12934796434152537</v>
      </c>
    </row>
    <row r="4190" ht="22.5" customHeight="1">
      <c r="Q4190" s="9" t="s">
        <v>4228</v>
      </c>
      <c r="R4190" s="10">
        <v>0.66850356321799</v>
      </c>
      <c r="S4190" s="10">
        <v>0.031008471848719035</v>
      </c>
      <c r="T4190" s="10">
        <v>20.26876933130626</v>
      </c>
      <c r="U4190" s="11">
        <v>0.16526505323236218</v>
      </c>
      <c r="V4190" s="11">
        <v>0.15401150202585392</v>
      </c>
      <c r="W4190" s="11">
        <v>0.23490453703069678</v>
      </c>
      <c r="X4190" s="11">
        <v>0.14151308381761832</v>
      </c>
      <c r="Y4190" s="11">
        <v>0.23454568992758654</v>
      </c>
      <c r="Z4190" s="11">
        <v>0.06976013396588218</v>
      </c>
    </row>
    <row r="4191" ht="22.5" customHeight="1">
      <c r="Q4191" s="9" t="s">
        <v>4229</v>
      </c>
      <c r="R4191" s="10">
        <v>0.7124480308426179</v>
      </c>
      <c r="S4191" s="10">
        <v>0.03317706142833112</v>
      </c>
      <c r="T4191" s="10">
        <v>20.26846266343497</v>
      </c>
      <c r="U4191" s="11">
        <v>0.09406650137524435</v>
      </c>
      <c r="V4191" s="11">
        <v>0.2798851978781959</v>
      </c>
      <c r="W4191" s="11">
        <v>0.14577846193528146</v>
      </c>
      <c r="X4191" s="11">
        <v>0.1755816552900953</v>
      </c>
      <c r="Y4191" s="11">
        <v>0.07989757887308407</v>
      </c>
      <c r="Z4191" s="11">
        <v>0.22479060464809875</v>
      </c>
    </row>
    <row r="4192" ht="22.5" customHeight="1">
      <c r="Q4192" s="9" t="s">
        <v>4230</v>
      </c>
      <c r="R4192" s="10">
        <v>0.4575188365890061</v>
      </c>
      <c r="S4192" s="10">
        <v>0.02059969271701105</v>
      </c>
      <c r="T4192" s="10">
        <v>20.268207022535954</v>
      </c>
      <c r="U4192" s="11">
        <v>0.03241663388385539</v>
      </c>
      <c r="V4192" s="11">
        <v>0.07450874568902377</v>
      </c>
      <c r="W4192" s="11">
        <v>0.15864535823022077</v>
      </c>
      <c r="X4192" s="11">
        <v>0.20874199572875043</v>
      </c>
      <c r="Y4192" s="11">
        <v>0.2696455684514259</v>
      </c>
      <c r="Z4192" s="11">
        <v>0.2560416980167238</v>
      </c>
    </row>
    <row r="4193" ht="22.5" customHeight="1">
      <c r="Q4193" s="9" t="s">
        <v>4231</v>
      </c>
      <c r="R4193" s="10">
        <v>0.6530053177073115</v>
      </c>
      <c r="S4193" s="10">
        <v>0.030245928227995836</v>
      </c>
      <c r="T4193" s="10">
        <v>20.26736667119079</v>
      </c>
      <c r="U4193" s="11">
        <v>0.12291861347045009</v>
      </c>
      <c r="V4193" s="11">
        <v>0.20509433517865028</v>
      </c>
      <c r="W4193" s="11">
        <v>0.1950725338646197</v>
      </c>
      <c r="X4193" s="11">
        <v>0.037596563518949876</v>
      </c>
      <c r="Y4193" s="11">
        <v>0.11151583435130885</v>
      </c>
      <c r="Z4193" s="11">
        <v>0.3278021196160211</v>
      </c>
    </row>
    <row r="4194" ht="22.5" customHeight="1">
      <c r="Q4194" s="9" t="s">
        <v>4232</v>
      </c>
      <c r="R4194" s="10">
        <v>0.7219826010620979</v>
      </c>
      <c r="S4194" s="10">
        <v>0.03364973508158913</v>
      </c>
      <c r="T4194" s="10">
        <v>20.26710164013246</v>
      </c>
      <c r="U4194" s="11">
        <v>0.025498080312107877</v>
      </c>
      <c r="V4194" s="11">
        <v>0.27066874431990784</v>
      </c>
      <c r="W4194" s="11">
        <v>0.1669298905655869</v>
      </c>
      <c r="X4194" s="11">
        <v>0.09606823432731262</v>
      </c>
      <c r="Y4194" s="11">
        <v>0.2151193017962162</v>
      </c>
      <c r="Z4194" s="11">
        <v>0.2257157486788686</v>
      </c>
    </row>
    <row r="4195" ht="22.5" customHeight="1">
      <c r="Q4195" s="9" t="s">
        <v>4233</v>
      </c>
      <c r="R4195" s="10">
        <v>0.8422177164965423</v>
      </c>
      <c r="S4195" s="10">
        <v>0.03958337381014168</v>
      </c>
      <c r="T4195" s="10">
        <v>20.2665321138191</v>
      </c>
      <c r="U4195" s="11">
        <v>0.10779406844379313</v>
      </c>
      <c r="V4195" s="11">
        <v>0.230781125872503</v>
      </c>
      <c r="W4195" s="11">
        <v>0.28720142573510277</v>
      </c>
      <c r="X4195" s="11">
        <v>0.1794420917018882</v>
      </c>
      <c r="Y4195" s="11">
        <v>0.14030810668412388</v>
      </c>
      <c r="Z4195" s="11">
        <v>0.05447318156258888</v>
      </c>
    </row>
    <row r="4196" ht="22.5" customHeight="1">
      <c r="Q4196" s="9" t="s">
        <v>4234</v>
      </c>
      <c r="R4196" s="10">
        <v>0.42900028674495505</v>
      </c>
      <c r="S4196" s="10">
        <v>0.019194446916360883</v>
      </c>
      <c r="T4196" s="10">
        <v>20.266293081536027</v>
      </c>
      <c r="U4196" s="11">
        <v>0.2302588911281927</v>
      </c>
      <c r="V4196" s="11">
        <v>0.06576575796659591</v>
      </c>
      <c r="W4196" s="11">
        <v>0.1505236896744404</v>
      </c>
      <c r="X4196" s="11">
        <v>0.21321004985384967</v>
      </c>
      <c r="Y4196" s="11">
        <v>0.06405691135159779</v>
      </c>
      <c r="Z4196" s="11">
        <v>0.2761847000253236</v>
      </c>
    </row>
    <row r="4197" ht="22.5" customHeight="1">
      <c r="Q4197" s="9" t="s">
        <v>4235</v>
      </c>
      <c r="R4197" s="10">
        <v>0.6190955142138455</v>
      </c>
      <c r="S4197" s="10">
        <v>0.028574881284817878</v>
      </c>
      <c r="T4197" s="10">
        <v>20.265893966164075</v>
      </c>
      <c r="U4197" s="11">
        <v>0.0055005406266977076</v>
      </c>
      <c r="V4197" s="11">
        <v>0.23574569956860114</v>
      </c>
      <c r="W4197" s="11">
        <v>0.11991981613350383</v>
      </c>
      <c r="X4197" s="11">
        <v>0.10449627222932538</v>
      </c>
      <c r="Y4197" s="11">
        <v>0.3224663382066102</v>
      </c>
      <c r="Z4197" s="11">
        <v>0.2118713332352617</v>
      </c>
    </row>
    <row r="4198" ht="22.5" customHeight="1">
      <c r="Q4198" s="9" t="s">
        <v>4236</v>
      </c>
      <c r="R4198" s="10">
        <v>0.69675635141323</v>
      </c>
      <c r="S4198" s="10">
        <v>0.032407528954609105</v>
      </c>
      <c r="T4198" s="10">
        <v>20.265548549940398</v>
      </c>
      <c r="U4198" s="11">
        <v>0.0035183131018467597</v>
      </c>
      <c r="V4198" s="11">
        <v>0.16640213019650263</v>
      </c>
      <c r="W4198" s="11">
        <v>0.24755992839103363</v>
      </c>
      <c r="X4198" s="11">
        <v>0.2299415502076774</v>
      </c>
      <c r="Y4198" s="11">
        <v>0.12683637694199779</v>
      </c>
      <c r="Z4198" s="11">
        <v>0.22574170116094172</v>
      </c>
    </row>
    <row r="4199" ht="22.5" customHeight="1">
      <c r="Q4199" s="9" t="s">
        <v>4237</v>
      </c>
      <c r="R4199" s="10">
        <v>0.6762321172096709</v>
      </c>
      <c r="S4199" s="10">
        <v>0.031395236129195925</v>
      </c>
      <c r="T4199" s="10">
        <v>20.265243892146056</v>
      </c>
      <c r="U4199" s="11">
        <v>0.08460228373874716</v>
      </c>
      <c r="V4199" s="11">
        <v>0.11449930822219549</v>
      </c>
      <c r="W4199" s="11">
        <v>0.25121110872112745</v>
      </c>
      <c r="X4199" s="11">
        <v>0.5329840723380992</v>
      </c>
      <c r="Y4199" s="11">
        <v>0.0011341908108040448</v>
      </c>
      <c r="Z4199" s="11">
        <v>0.01556903616902668</v>
      </c>
    </row>
    <row r="4200" ht="22.5" customHeight="1">
      <c r="Q4200" s="9" t="s">
        <v>4238</v>
      </c>
      <c r="R4200" s="10">
        <v>0.6950011974071676</v>
      </c>
      <c r="S4200" s="10">
        <v>0.03232210945692383</v>
      </c>
      <c r="T4200" s="10">
        <v>20.264803517236327</v>
      </c>
      <c r="U4200" s="11">
        <v>0.2544547964319622</v>
      </c>
      <c r="V4200" s="11">
        <v>0.2680904275624334</v>
      </c>
      <c r="W4200" s="11">
        <v>0.14406964978265296</v>
      </c>
      <c r="X4200" s="11">
        <v>0.10140022056888225</v>
      </c>
      <c r="Y4200" s="11">
        <v>0.11323812715600966</v>
      </c>
      <c r="Z4200" s="11">
        <v>0.11874677849805959</v>
      </c>
    </row>
    <row r="4201" ht="22.5" customHeight="1">
      <c r="Q4201" s="9" t="s">
        <v>4239</v>
      </c>
      <c r="R4201" s="10">
        <v>0.8507996597361612</v>
      </c>
      <c r="S4201" s="10">
        <v>0.040011487784690485</v>
      </c>
      <c r="T4201" s="10">
        <v>20.26417173235922</v>
      </c>
      <c r="U4201" s="11">
        <v>0.16170113811215336</v>
      </c>
      <c r="V4201" s="11">
        <v>0.2260998589387438</v>
      </c>
      <c r="W4201" s="11">
        <v>0.295461931900331</v>
      </c>
      <c r="X4201" s="11">
        <v>0.21643140270910954</v>
      </c>
      <c r="Y4201" s="11">
        <v>0.0733638269745204</v>
      </c>
      <c r="Z4201" s="11">
        <v>0.02694184136514188</v>
      </c>
    </row>
    <row r="4202" ht="22.5" customHeight="1">
      <c r="Q4202" s="9" t="s">
        <v>4240</v>
      </c>
      <c r="R4202" s="10">
        <v>0.8227144758879329</v>
      </c>
      <c r="S4202" s="10">
        <v>0.03862571438405948</v>
      </c>
      <c r="T4202" s="10">
        <v>20.26407765835272</v>
      </c>
      <c r="U4202" s="11">
        <v>0.18349297716976448</v>
      </c>
      <c r="V4202" s="11">
        <v>0.31291465548544717</v>
      </c>
      <c r="W4202" s="11">
        <v>0.1876977090811402</v>
      </c>
      <c r="X4202" s="11">
        <v>0.12277010758636332</v>
      </c>
      <c r="Y4202" s="11">
        <v>0.17295106269966878</v>
      </c>
      <c r="Z4202" s="11">
        <v>0.020173487977616138</v>
      </c>
    </row>
    <row r="4203" ht="22.5" customHeight="1">
      <c r="Q4203" s="9" t="s">
        <v>4241</v>
      </c>
      <c r="R4203" s="10">
        <v>0.7314869236664404</v>
      </c>
      <c r="S4203" s="10">
        <v>0.03412502706481666</v>
      </c>
      <c r="T4203" s="10">
        <v>20.2633370034561</v>
      </c>
      <c r="U4203" s="11">
        <v>0.22340913311525995</v>
      </c>
      <c r="V4203" s="11">
        <v>0.2071574555050884</v>
      </c>
      <c r="W4203" s="11">
        <v>0.23887073168050094</v>
      </c>
      <c r="X4203" s="11">
        <v>0.062497338740419954</v>
      </c>
      <c r="Y4203" s="11">
        <v>0.15305455560110917</v>
      </c>
      <c r="Z4203" s="11">
        <v>0.11501078535762148</v>
      </c>
    </row>
    <row r="4204" ht="22.5" customHeight="1">
      <c r="Q4204" s="9" t="s">
        <v>4242</v>
      </c>
      <c r="R4204" s="10">
        <v>0.6851837765492454</v>
      </c>
      <c r="S4204" s="10">
        <v>0.03184098072511305</v>
      </c>
      <c r="T4204" s="10">
        <v>20.262685440476638</v>
      </c>
      <c r="U4204" s="11">
        <v>0.06205916945389032</v>
      </c>
      <c r="V4204" s="11">
        <v>0.2752811273195481</v>
      </c>
      <c r="W4204" s="11">
        <v>0.12458197660173077</v>
      </c>
      <c r="X4204" s="11">
        <v>0.2540643888885743</v>
      </c>
      <c r="Y4204" s="11">
        <v>0.0416409917838767</v>
      </c>
      <c r="Z4204" s="11">
        <v>0.24237234595237975</v>
      </c>
    </row>
    <row r="4205" ht="22.5" customHeight="1">
      <c r="Q4205" s="9" t="s">
        <v>4243</v>
      </c>
      <c r="R4205" s="10">
        <v>0.6997770625960729</v>
      </c>
      <c r="S4205" s="10">
        <v>0.03256127209078916</v>
      </c>
      <c r="T4205" s="10">
        <v>20.26263165506696</v>
      </c>
      <c r="U4205" s="11">
        <v>0.0036293822673659887</v>
      </c>
      <c r="V4205" s="11">
        <v>0.20698998107502287</v>
      </c>
      <c r="W4205" s="11">
        <v>0.22146395421715356</v>
      </c>
      <c r="X4205" s="11">
        <v>0.07681366880614483</v>
      </c>
      <c r="Y4205" s="11">
        <v>0.21126112240987432</v>
      </c>
      <c r="Z4205" s="11">
        <v>0.2798418912244384</v>
      </c>
    </row>
    <row r="4206" ht="22.5" customHeight="1">
      <c r="Q4206" s="9" t="s">
        <v>4244</v>
      </c>
      <c r="R4206" s="10">
        <v>0.7563011932687803</v>
      </c>
      <c r="S4206" s="10">
        <v>0.035352085479597305</v>
      </c>
      <c r="T4206" s="10">
        <v>20.261921851319862</v>
      </c>
      <c r="U4206" s="11">
        <v>0.14178843444556635</v>
      </c>
      <c r="V4206" s="11">
        <v>0.17795485324897073</v>
      </c>
      <c r="W4206" s="11">
        <v>0.27228658371920383</v>
      </c>
      <c r="X4206" s="11">
        <v>0.24679398509203587</v>
      </c>
      <c r="Y4206" s="11">
        <v>0.0889920628215838</v>
      </c>
      <c r="Z4206" s="11">
        <v>0.07218408067263947</v>
      </c>
    </row>
    <row r="4207" ht="22.5" customHeight="1">
      <c r="Q4207" s="9" t="s">
        <v>4245</v>
      </c>
      <c r="R4207" s="10">
        <v>0.8745913937664925</v>
      </c>
      <c r="S4207" s="10">
        <v>0.041190202771849746</v>
      </c>
      <c r="T4207" s="10">
        <v>20.261890877042973</v>
      </c>
      <c r="U4207" s="11">
        <v>0.006385255211451986</v>
      </c>
      <c r="V4207" s="11">
        <v>0.3262476339559754</v>
      </c>
      <c r="W4207" s="11">
        <v>0.21943580495271658</v>
      </c>
      <c r="X4207" s="11">
        <v>0.22407499552203744</v>
      </c>
      <c r="Y4207" s="11">
        <v>0.016604722308971837</v>
      </c>
      <c r="Z4207" s="11">
        <v>0.2072515880488467</v>
      </c>
    </row>
    <row r="4208" ht="22.5" customHeight="1">
      <c r="Q4208" s="9" t="s">
        <v>4246</v>
      </c>
      <c r="R4208" s="10">
        <v>0.4480259573824402</v>
      </c>
      <c r="S4208" s="10">
        <v>0.020137986144410393</v>
      </c>
      <c r="T4208" s="10">
        <v>20.261507504100358</v>
      </c>
      <c r="U4208" s="11">
        <v>0.014088040858649313</v>
      </c>
      <c r="V4208" s="11">
        <v>0.1644405227624547</v>
      </c>
      <c r="W4208" s="11">
        <v>0.07854115654437269</v>
      </c>
      <c r="X4208" s="11">
        <v>0.07894030586817255</v>
      </c>
      <c r="Y4208" s="11">
        <v>0.22953640705177789</v>
      </c>
      <c r="Z4208" s="11">
        <v>0.4344535669145729</v>
      </c>
    </row>
    <row r="4209" ht="22.5" customHeight="1">
      <c r="Q4209" s="9" t="s">
        <v>4247</v>
      </c>
      <c r="R4209" s="10">
        <v>0.6100251168886366</v>
      </c>
      <c r="S4209" s="10">
        <v>0.028133821979224097</v>
      </c>
      <c r="T4209" s="10">
        <v>20.261204372075056</v>
      </c>
      <c r="U4209" s="11">
        <v>0.24874134405992407</v>
      </c>
      <c r="V4209" s="11">
        <v>0.23501877854378747</v>
      </c>
      <c r="W4209" s="11">
        <v>0.10107569232418251</v>
      </c>
      <c r="X4209" s="11">
        <v>0.11436988367822011</v>
      </c>
      <c r="Y4209" s="11">
        <v>0.30044507365545603</v>
      </c>
      <c r="Z4209" s="11">
        <v>3.492277384299036E-4</v>
      </c>
    </row>
    <row r="4210" ht="22.5" customHeight="1">
      <c r="Q4210" s="9" t="s">
        <v>4248</v>
      </c>
      <c r="R4210" s="10">
        <v>0.6223843618873659</v>
      </c>
      <c r="S4210" s="10">
        <v>0.028744409778803947</v>
      </c>
      <c r="T4210" s="10">
        <v>20.26078692757903</v>
      </c>
      <c r="U4210" s="11">
        <v>0.09104695723577694</v>
      </c>
      <c r="V4210" s="11">
        <v>0.2533170682562013</v>
      </c>
      <c r="W4210" s="11">
        <v>0.07217089230061115</v>
      </c>
      <c r="X4210" s="11">
        <v>0.4203505608492375</v>
      </c>
      <c r="Y4210" s="11">
        <v>0.11558612211662246</v>
      </c>
      <c r="Z4210" s="11">
        <v>0.047528399241550605</v>
      </c>
    </row>
    <row r="4211" ht="22.5" customHeight="1">
      <c r="Q4211" s="9" t="s">
        <v>4249</v>
      </c>
      <c r="R4211" s="10">
        <v>0.954804559667004</v>
      </c>
      <c r="S4211" s="10">
        <v>0.0451515686887227</v>
      </c>
      <c r="T4211" s="10">
        <v>20.260748103210208</v>
      </c>
      <c r="U4211" s="11">
        <v>0.07960627866279905</v>
      </c>
      <c r="V4211" s="11">
        <v>0.2997274184685764</v>
      </c>
      <c r="W4211" s="11">
        <v>0.3030769736371716</v>
      </c>
      <c r="X4211" s="11">
        <v>0.2129132972300208</v>
      </c>
      <c r="Y4211" s="11">
        <v>0.027252763121772137</v>
      </c>
      <c r="Z4211" s="11">
        <v>0.07742326887965983</v>
      </c>
    </row>
    <row r="4212" ht="22.5" customHeight="1">
      <c r="Q4212" s="9" t="s">
        <v>4250</v>
      </c>
      <c r="R4212" s="10">
        <v>0.6830815630448158</v>
      </c>
      <c r="S4212" s="10">
        <v>0.03174084567372345</v>
      </c>
      <c r="T4212" s="10">
        <v>20.260378997311616</v>
      </c>
      <c r="U4212" s="11">
        <v>0.0785853552463818</v>
      </c>
      <c r="V4212" s="11">
        <v>0.2639132109108519</v>
      </c>
      <c r="W4212" s="11">
        <v>0.143921337262184</v>
      </c>
      <c r="X4212" s="11">
        <v>0.11532305387793089</v>
      </c>
      <c r="Y4212" s="11">
        <v>0.16038858090165525</v>
      </c>
      <c r="Z4212" s="11">
        <v>0.2378684618009961</v>
      </c>
    </row>
    <row r="4213" ht="22.5" customHeight="1">
      <c r="Q4213" s="9" t="s">
        <v>4251</v>
      </c>
      <c r="R4213" s="10">
        <v>0.6532037903654222</v>
      </c>
      <c r="S4213" s="10">
        <v>0.030266667068697586</v>
      </c>
      <c r="T4213" s="10">
        <v>20.260036857497607</v>
      </c>
      <c r="U4213" s="11">
        <v>0.15607214081318174</v>
      </c>
      <c r="V4213" s="11">
        <v>0.14513939285872166</v>
      </c>
      <c r="W4213" s="11">
        <v>0.23592066093397276</v>
      </c>
      <c r="X4213" s="11">
        <v>0.22276565787665414</v>
      </c>
      <c r="Y4213" s="11">
        <v>0.052444161667416035</v>
      </c>
      <c r="Z4213" s="11">
        <v>0.18765798585005378</v>
      </c>
    </row>
    <row r="4214" ht="22.5" customHeight="1">
      <c r="Q4214" s="9" t="s">
        <v>4252</v>
      </c>
      <c r="R4214" s="10">
        <v>0.8737219414339129</v>
      </c>
      <c r="S4214" s="10">
        <v>0.041151137804675664</v>
      </c>
      <c r="T4214" s="10">
        <v>20.25999731504833</v>
      </c>
      <c r="U4214" s="11">
        <v>0.060827411625368144</v>
      </c>
      <c r="V4214" s="11">
        <v>0.282411816886022</v>
      </c>
      <c r="W4214" s="11">
        <v>0.2677960221793793</v>
      </c>
      <c r="X4214" s="11">
        <v>0.14256013126937586</v>
      </c>
      <c r="Y4214" s="11">
        <v>0.08422477794481838</v>
      </c>
      <c r="Z4214" s="11">
        <v>0.16217984009503622</v>
      </c>
    </row>
    <row r="4215" ht="22.5" customHeight="1">
      <c r="Q4215" s="9" t="s">
        <v>4253</v>
      </c>
      <c r="R4215" s="10">
        <v>0.8091662064882852</v>
      </c>
      <c r="S4215" s="10">
        <v>0.03796542849458081</v>
      </c>
      <c r="T4215" s="10">
        <v>20.259647710760753</v>
      </c>
      <c r="U4215" s="11">
        <v>0.14488391274404172</v>
      </c>
      <c r="V4215" s="11">
        <v>0.2544587665051021</v>
      </c>
      <c r="W4215" s="11">
        <v>0.24682215421562984</v>
      </c>
      <c r="X4215" s="11">
        <v>0.054611515150606645</v>
      </c>
      <c r="Y4215" s="11">
        <v>0.2203134446319841</v>
      </c>
      <c r="Z4215" s="11">
        <v>0.07891020675263556</v>
      </c>
    </row>
    <row r="4216" ht="22.5" customHeight="1">
      <c r="Q4216" s="9" t="s">
        <v>4254</v>
      </c>
      <c r="R4216" s="10">
        <v>0.7467967073235334</v>
      </c>
      <c r="S4216" s="10">
        <v>0.034887543445332</v>
      </c>
      <c r="T4216" s="10">
        <v>20.259285622419018</v>
      </c>
      <c r="U4216" s="11">
        <v>0.016128568002975463</v>
      </c>
      <c r="V4216" s="11">
        <v>0.29481008133774206</v>
      </c>
      <c r="W4216" s="11">
        <v>0.15032335018581455</v>
      </c>
      <c r="X4216" s="11">
        <v>0.19805155282935696</v>
      </c>
      <c r="Y4216" s="11">
        <v>0.16616176135377433</v>
      </c>
      <c r="Z4216" s="11">
        <v>0.17452468629033654</v>
      </c>
    </row>
    <row r="4217" ht="22.5" customHeight="1">
      <c r="Q4217" s="9" t="s">
        <v>4255</v>
      </c>
      <c r="R4217" s="10">
        <v>0.522331348251574</v>
      </c>
      <c r="S4217" s="10">
        <v>0.023645512607852314</v>
      </c>
      <c r="T4217" s="10">
        <v>20.259002333672466</v>
      </c>
      <c r="U4217" s="11">
        <v>0.20010799490836137</v>
      </c>
      <c r="V4217" s="11">
        <v>0.09553177424291265</v>
      </c>
      <c r="W4217" s="11">
        <v>0.18657546409382356</v>
      </c>
      <c r="X4217" s="11">
        <v>0.1818945429208081</v>
      </c>
      <c r="Y4217" s="11">
        <v>0.13005118029386212</v>
      </c>
      <c r="Z4217" s="11">
        <v>0.20583904354023216</v>
      </c>
    </row>
    <row r="4218" ht="22.5" customHeight="1">
      <c r="Q4218" s="9" t="s">
        <v>4256</v>
      </c>
      <c r="R4218" s="10">
        <v>0.7845416421194924</v>
      </c>
      <c r="S4218" s="10">
        <v>0.03675324640304311</v>
      </c>
      <c r="T4218" s="10">
        <v>20.257846992744714</v>
      </c>
      <c r="U4218" s="11">
        <v>0.08982823025153026</v>
      </c>
      <c r="V4218" s="11">
        <v>0.2608087947595232</v>
      </c>
      <c r="W4218" s="11">
        <v>0.2289352732884352</v>
      </c>
      <c r="X4218" s="11">
        <v>0.07136564538508633</v>
      </c>
      <c r="Y4218" s="11">
        <v>0.1361782406046845</v>
      </c>
      <c r="Z4218" s="11">
        <v>0.21288381571074041</v>
      </c>
    </row>
    <row r="4219" ht="22.5" customHeight="1">
      <c r="Q4219" s="9" t="s">
        <v>4257</v>
      </c>
      <c r="R4219" s="10">
        <v>0.8042977412131743</v>
      </c>
      <c r="S4219" s="10">
        <v>0.0377290345979809</v>
      </c>
      <c r="T4219" s="10">
        <v>20.257548314105982</v>
      </c>
      <c r="U4219" s="11">
        <v>0.16745984359809418</v>
      </c>
      <c r="V4219" s="11">
        <v>0.3060570635265714</v>
      </c>
      <c r="W4219" s="11">
        <v>0.18714880658619826</v>
      </c>
      <c r="X4219" s="11">
        <v>0.13883957547566073</v>
      </c>
      <c r="Y4219" s="11">
        <v>0.0760855411550713</v>
      </c>
      <c r="Z4219" s="11">
        <v>0.12440916965840416</v>
      </c>
    </row>
    <row r="4220" ht="22.5" customHeight="1">
      <c r="Q4220" s="9" t="s">
        <v>4258</v>
      </c>
      <c r="R4220" s="10">
        <v>0.49513376249472596</v>
      </c>
      <c r="S4220" s="10">
        <v>0.02246745771467392</v>
      </c>
      <c r="T4220" s="10">
        <v>20.257466077146304</v>
      </c>
      <c r="U4220" s="11">
        <v>0.11081433908560978</v>
      </c>
      <c r="V4220" s="11">
        <v>0.08314688397595954</v>
      </c>
      <c r="W4220" s="11">
        <v>0.17385943227511164</v>
      </c>
      <c r="X4220" s="11">
        <v>0.19278477417781445</v>
      </c>
      <c r="Y4220" s="11">
        <v>0.28728557534006094</v>
      </c>
      <c r="Z4220" s="11">
        <v>0.15210899514544374</v>
      </c>
    </row>
    <row r="4221" ht="22.5" customHeight="1">
      <c r="Q4221" s="9" t="s">
        <v>4259</v>
      </c>
      <c r="R4221" s="10">
        <v>0.6847396789863793</v>
      </c>
      <c r="S4221" s="10">
        <v>0.03182761002820187</v>
      </c>
      <c r="T4221" s="10">
        <v>20.257244524960782</v>
      </c>
      <c r="U4221" s="11">
        <v>0.2298529770399123</v>
      </c>
      <c r="V4221" s="11">
        <v>0.15156225625591116</v>
      </c>
      <c r="W4221" s="11">
        <v>0.24447845548680863</v>
      </c>
      <c r="X4221" s="11">
        <v>0.1685117821845564</v>
      </c>
      <c r="Y4221" s="11">
        <v>0.20496273947557875</v>
      </c>
      <c r="Z4221" s="11">
        <v>6.317895572325716E-4</v>
      </c>
    </row>
    <row r="4222" ht="22.5" customHeight="1">
      <c r="Q4222" s="9" t="s">
        <v>4260</v>
      </c>
      <c r="R4222" s="10">
        <v>0.765230975340612</v>
      </c>
      <c r="S4222" s="10">
        <v>0.03580148408612938</v>
      </c>
      <c r="T4222" s="10">
        <v>20.257008720529246</v>
      </c>
      <c r="U4222" s="11">
        <v>0.12672447990749114</v>
      </c>
      <c r="V4222" s="11">
        <v>0.2609955973842886</v>
      </c>
      <c r="W4222" s="11">
        <v>0.21718668609457217</v>
      </c>
      <c r="X4222" s="11">
        <v>0.0913047571287529</v>
      </c>
      <c r="Y4222" s="11">
        <v>0.03594080831488183</v>
      </c>
      <c r="Z4222" s="11">
        <v>0.2678476711700132</v>
      </c>
    </row>
    <row r="4223" ht="22.5" customHeight="1">
      <c r="Q4223" s="9" t="s">
        <v>4261</v>
      </c>
      <c r="R4223" s="10">
        <v>0.7406661487985994</v>
      </c>
      <c r="S4223" s="10">
        <v>0.03458921145083438</v>
      </c>
      <c r="T4223" s="10">
        <v>20.256782950791944</v>
      </c>
      <c r="U4223" s="11">
        <v>0.14184863078063487</v>
      </c>
      <c r="V4223" s="11">
        <v>0.2558649455371297</v>
      </c>
      <c r="W4223" s="11">
        <v>0.19677293129654366</v>
      </c>
      <c r="X4223" s="11">
        <v>0.019321244253490414</v>
      </c>
      <c r="Y4223" s="11">
        <v>0.26143767112046196</v>
      </c>
      <c r="Z4223" s="11">
        <v>0.12475457701173936</v>
      </c>
    </row>
    <row r="4224" ht="22.5" customHeight="1">
      <c r="Q4224" s="9" t="s">
        <v>4262</v>
      </c>
      <c r="R4224" s="10">
        <v>0.7769163264858476</v>
      </c>
      <c r="S4224" s="10">
        <v>0.0363791097255966</v>
      </c>
      <c r="T4224" s="10">
        <v>20.25657945024828</v>
      </c>
      <c r="U4224" s="11">
        <v>0.018780074547996777</v>
      </c>
      <c r="V4224" s="11">
        <v>0.2966358747771971</v>
      </c>
      <c r="W4224" s="11">
        <v>0.17053070374453458</v>
      </c>
      <c r="X4224" s="11">
        <v>0.13436973808748331</v>
      </c>
      <c r="Y4224" s="11">
        <v>0.28124435879641557</v>
      </c>
      <c r="Z4224" s="11">
        <v>0.09843925004637274</v>
      </c>
    </row>
    <row r="4225" ht="22.5" customHeight="1">
      <c r="Q4225" s="9" t="s">
        <v>4263</v>
      </c>
      <c r="R4225" s="10">
        <v>0.32084235604417755</v>
      </c>
      <c r="S4225" s="10">
        <v>0.013864308200019092</v>
      </c>
      <c r="T4225" s="10">
        <v>20.25649978293117</v>
      </c>
      <c r="U4225" s="11">
        <v>0.08872004732947174</v>
      </c>
      <c r="V4225" s="11">
        <v>0.10680189012992702</v>
      </c>
      <c r="W4225" s="11">
        <v>0.021606743411417505</v>
      </c>
      <c r="X4225" s="11">
        <v>0.3410373561254356</v>
      </c>
      <c r="Y4225" s="11">
        <v>0.020308155771509344</v>
      </c>
      <c r="Z4225" s="11">
        <v>0.42152580723223876</v>
      </c>
    </row>
    <row r="4226" ht="22.5" customHeight="1">
      <c r="Q4226" s="9" t="s">
        <v>4264</v>
      </c>
      <c r="R4226" s="10">
        <v>0.7486402133289581</v>
      </c>
      <c r="S4226" s="10">
        <v>0.03498475178485041</v>
      </c>
      <c r="T4226" s="10">
        <v>20.255687897600676</v>
      </c>
      <c r="U4226" s="11">
        <v>0.08389662816119016</v>
      </c>
      <c r="V4226" s="11">
        <v>0.29793879302068893</v>
      </c>
      <c r="W4226" s="11">
        <v>0.14856799123407669</v>
      </c>
      <c r="X4226" s="11">
        <v>0.23580605140534389</v>
      </c>
      <c r="Y4226" s="11">
        <v>0.04458563462189655</v>
      </c>
      <c r="Z4226" s="11">
        <v>0.18920490155680386</v>
      </c>
    </row>
    <row r="4227" ht="22.5" customHeight="1">
      <c r="Q4227" s="9" t="s">
        <v>4265</v>
      </c>
      <c r="R4227" s="10">
        <v>0.5919038184042044</v>
      </c>
      <c r="S4227" s="10">
        <v>0.027246875294743785</v>
      </c>
      <c r="T4227" s="10">
        <v>20.25567381338118</v>
      </c>
      <c r="U4227" s="11">
        <v>0.18777050218015154</v>
      </c>
      <c r="V4227" s="11">
        <v>0.22596457409566104</v>
      </c>
      <c r="W4227" s="11">
        <v>0.1178567663883239</v>
      </c>
      <c r="X4227" s="11">
        <v>0.06407944146095833</v>
      </c>
      <c r="Y4227" s="11">
        <v>0.15587027242783585</v>
      </c>
      <c r="Z4227" s="11">
        <v>0.24845844344706935</v>
      </c>
    </row>
    <row r="4228" ht="22.5" customHeight="1">
      <c r="Q4228" s="9" t="s">
        <v>4266</v>
      </c>
      <c r="R4228" s="10">
        <v>0.5679608307420895</v>
      </c>
      <c r="S4228" s="10">
        <v>0.026064836795636454</v>
      </c>
      <c r="T4228" s="10">
        <v>20.25567376007802</v>
      </c>
      <c r="U4228" s="11">
        <v>0.23712688881499336</v>
      </c>
      <c r="V4228" s="11">
        <v>0.10579299196881013</v>
      </c>
      <c r="W4228" s="11">
        <v>0.20165026951962867</v>
      </c>
      <c r="X4228" s="11">
        <v>0.16883225763254894</v>
      </c>
      <c r="Y4228" s="11">
        <v>0.265524755138776</v>
      </c>
      <c r="Z4228" s="11">
        <v>0.02107283692524294</v>
      </c>
    </row>
    <row r="4229" ht="22.5" customHeight="1">
      <c r="Q4229" s="9" t="s">
        <v>4267</v>
      </c>
      <c r="R4229" s="10">
        <v>0.5273996163272836</v>
      </c>
      <c r="S4229" s="10">
        <v>0.024062429347692947</v>
      </c>
      <c r="T4229" s="10">
        <v>20.25562794531444</v>
      </c>
      <c r="U4229" s="11">
        <v>0.17359456036740384</v>
      </c>
      <c r="V4229" s="11">
        <v>0.1006318406585834</v>
      </c>
      <c r="W4229" s="11">
        <v>0.18741687367419316</v>
      </c>
      <c r="X4229" s="11">
        <v>0.1542626265941871</v>
      </c>
      <c r="Y4229" s="11">
        <v>0.19971222474018413</v>
      </c>
      <c r="Z4229" s="11">
        <v>0.18438187396544856</v>
      </c>
    </row>
    <row r="4230" ht="22.5" customHeight="1">
      <c r="Q4230" s="9" t="s">
        <v>4268</v>
      </c>
      <c r="R4230" s="10">
        <v>0.4412043735186327</v>
      </c>
      <c r="S4230" s="10">
        <v>0.019807139001313208</v>
      </c>
      <c r="T4230" s="10">
        <v>20.255543897179344</v>
      </c>
      <c r="U4230" s="11">
        <v>0.11669020970966984</v>
      </c>
      <c r="V4230" s="11">
        <v>0.08296946227170243</v>
      </c>
      <c r="W4230" s="11">
        <v>0.1450144314893786</v>
      </c>
      <c r="X4230" s="11">
        <v>0.10424129254563488</v>
      </c>
      <c r="Y4230" s="11">
        <v>0.29867575026509086</v>
      </c>
      <c r="Z4230" s="11">
        <v>0.25240885371852345</v>
      </c>
    </row>
    <row r="4231" ht="22.5" customHeight="1">
      <c r="Q4231" s="9" t="s">
        <v>4269</v>
      </c>
      <c r="R4231" s="10">
        <v>0.7471844798283077</v>
      </c>
      <c r="S4231" s="10">
        <v>0.034913242817584275</v>
      </c>
      <c r="T4231" s="10">
        <v>20.255479662064783</v>
      </c>
      <c r="U4231" s="11">
        <v>0.21758690848795753</v>
      </c>
      <c r="V4231" s="11">
        <v>0.26790115360403255</v>
      </c>
      <c r="W4231" s="11">
        <v>0.19376425740054387</v>
      </c>
      <c r="X4231" s="11">
        <v>0.06991277169092686</v>
      </c>
      <c r="Y4231" s="11">
        <v>0.046942701389423476</v>
      </c>
      <c r="Z4231" s="11">
        <v>0.20389220742711567</v>
      </c>
    </row>
    <row r="4232" ht="22.5" customHeight="1">
      <c r="Q4232" s="9" t="s">
        <v>4270</v>
      </c>
      <c r="R4232" s="10">
        <v>0.695235021132028</v>
      </c>
      <c r="S4232" s="10">
        <v>0.032348732481999494</v>
      </c>
      <c r="T4232" s="10">
        <v>20.25535379157853</v>
      </c>
      <c r="U4232" s="11">
        <v>0.053034134992311285</v>
      </c>
      <c r="V4232" s="11">
        <v>0.18416614692950395</v>
      </c>
      <c r="W4232" s="11">
        <v>0.23473935466104695</v>
      </c>
      <c r="X4232" s="11">
        <v>0.109345226125339</v>
      </c>
      <c r="Y4232" s="11">
        <v>0.21540198663110866</v>
      </c>
      <c r="Z4232" s="11">
        <v>0.20331315066069022</v>
      </c>
    </row>
    <row r="4233" ht="22.5" customHeight="1">
      <c r="Q4233" s="9" t="s">
        <v>4271</v>
      </c>
      <c r="R4233" s="10">
        <v>0.5858827351203958</v>
      </c>
      <c r="S4233" s="10">
        <v>0.026950161768837605</v>
      </c>
      <c r="T4233" s="10">
        <v>20.25526747492842</v>
      </c>
      <c r="U4233" s="11">
        <v>0.11847760556445527</v>
      </c>
      <c r="V4233" s="11">
        <v>0.11004453782857603</v>
      </c>
      <c r="W4233" s="11">
        <v>0.21551573781639927</v>
      </c>
      <c r="X4233" s="11">
        <v>0.2667350809665231</v>
      </c>
      <c r="Y4233" s="11">
        <v>0.10477469713722859</v>
      </c>
      <c r="Z4233" s="11">
        <v>0.18445234068681768</v>
      </c>
    </row>
    <row r="4234" ht="22.5" customHeight="1">
      <c r="Q4234" s="9" t="s">
        <v>4272</v>
      </c>
      <c r="R4234" s="10">
        <v>0.7407457475199343</v>
      </c>
      <c r="S4234" s="10">
        <v>0.03459601075306145</v>
      </c>
      <c r="T4234" s="10">
        <v>20.25510260479741</v>
      </c>
      <c r="U4234" s="11">
        <v>0.22144161522013966</v>
      </c>
      <c r="V4234" s="11">
        <v>0.2733560421189208</v>
      </c>
      <c r="W4234" s="11">
        <v>0.17090986913728687</v>
      </c>
      <c r="X4234" s="11">
        <v>0.044967985223335664</v>
      </c>
      <c r="Y4234" s="11">
        <v>0.25880792110354917</v>
      </c>
      <c r="Z4234" s="11">
        <v>0.030516567196767815</v>
      </c>
    </row>
    <row r="4235" ht="22.5" customHeight="1">
      <c r="Q4235" s="9" t="s">
        <v>4273</v>
      </c>
      <c r="R4235" s="10">
        <v>0.8389767900968038</v>
      </c>
      <c r="S4235" s="10">
        <v>0.03944811314343245</v>
      </c>
      <c r="T4235" s="10">
        <v>20.253865810811842</v>
      </c>
      <c r="U4235" s="11">
        <v>0.025996492128448748</v>
      </c>
      <c r="V4235" s="11">
        <v>0.3043943797210365</v>
      </c>
      <c r="W4235" s="11">
        <v>0.21908674924495214</v>
      </c>
      <c r="X4235" s="11">
        <v>0.1271714693186109</v>
      </c>
      <c r="Y4235" s="11">
        <v>0.138829814854585</v>
      </c>
      <c r="Z4235" s="11">
        <v>0.18452109473236653</v>
      </c>
    </row>
    <row r="4236" ht="22.5" customHeight="1">
      <c r="Q4236" s="9" t="s">
        <v>4274</v>
      </c>
      <c r="R4236" s="10">
        <v>0.6373920444814699</v>
      </c>
      <c r="S4236" s="10">
        <v>0.029495602443461406</v>
      </c>
      <c r="T4236" s="10">
        <v>20.253596976924943</v>
      </c>
      <c r="U4236" s="11">
        <v>0.2334922081885426</v>
      </c>
      <c r="V4236" s="11">
        <v>0.15558395407111858</v>
      </c>
      <c r="W4236" s="11">
        <v>0.21364960511326922</v>
      </c>
      <c r="X4236" s="11">
        <v>0.061002109890241366</v>
      </c>
      <c r="Y4236" s="11">
        <v>0.28573750722861485</v>
      </c>
      <c r="Z4236" s="11">
        <v>0.050534615508213344</v>
      </c>
    </row>
    <row r="4237" ht="22.5" customHeight="1">
      <c r="Q4237" s="9" t="s">
        <v>4275</v>
      </c>
      <c r="R4237" s="10">
        <v>0.72375313380408</v>
      </c>
      <c r="S4237" s="10">
        <v>0.033759973147528474</v>
      </c>
      <c r="T4237" s="10">
        <v>20.253367229177925</v>
      </c>
      <c r="U4237" s="11">
        <v>0.18305309610430082</v>
      </c>
      <c r="V4237" s="11">
        <v>0.26962881566783065</v>
      </c>
      <c r="W4237" s="11">
        <v>0.17157450396664822</v>
      </c>
      <c r="X4237" s="11">
        <v>0.0720619417600927</v>
      </c>
      <c r="Y4237" s="11">
        <v>0.111278895628705</v>
      </c>
      <c r="Z4237" s="11">
        <v>0.19240274687242276</v>
      </c>
    </row>
    <row r="4238" ht="22.5" customHeight="1">
      <c r="Q4238" s="9" t="s">
        <v>4276</v>
      </c>
      <c r="R4238" s="10">
        <v>0.714093167379433</v>
      </c>
      <c r="S4238" s="10">
        <v>0.03328342363413053</v>
      </c>
      <c r="T4238" s="10">
        <v>20.253119834949405</v>
      </c>
      <c r="U4238" s="11">
        <v>0.008419466837711762</v>
      </c>
      <c r="V4238" s="11">
        <v>0.25178344922286716</v>
      </c>
      <c r="W4238" s="11">
        <v>0.18607661439339293</v>
      </c>
      <c r="X4238" s="11">
        <v>0.053567499740824545</v>
      </c>
      <c r="Y4238" s="11">
        <v>0.23528545369320217</v>
      </c>
      <c r="Z4238" s="11">
        <v>0.26486751611200154</v>
      </c>
    </row>
    <row r="4239" ht="22.5" customHeight="1">
      <c r="Q4239" s="9" t="s">
        <v>4277</v>
      </c>
      <c r="R4239" s="10">
        <v>0.29505083856094894</v>
      </c>
      <c r="S4239" s="10">
        <v>0.012593184729560426</v>
      </c>
      <c r="T4239" s="10">
        <v>20.253084826291726</v>
      </c>
      <c r="U4239" s="11">
        <v>0.257074827132224</v>
      </c>
      <c r="V4239" s="11">
        <v>0.07440158569029497</v>
      </c>
      <c r="W4239" s="11">
        <v>0.03796990009610934</v>
      </c>
      <c r="X4239" s="11">
        <v>0.11283494497411296</v>
      </c>
      <c r="Y4239" s="11">
        <v>0.29360570756795906</v>
      </c>
      <c r="Z4239" s="11">
        <v>0.2241130345392997</v>
      </c>
    </row>
    <row r="4240" ht="22.5" customHeight="1">
      <c r="Q4240" s="9" t="s">
        <v>4278</v>
      </c>
      <c r="R4240" s="10">
        <v>0.5242617222837506</v>
      </c>
      <c r="S4240" s="10">
        <v>0.023911423609332037</v>
      </c>
      <c r="T4240" s="10">
        <v>20.252316641438078</v>
      </c>
      <c r="U4240" s="11">
        <v>0.09828644416757917</v>
      </c>
      <c r="V4240" s="11">
        <v>0.21174666331984027</v>
      </c>
      <c r="W4240" s="11">
        <v>0.05856714558378133</v>
      </c>
      <c r="X4240" s="11">
        <v>0.3000707547791047</v>
      </c>
      <c r="Y4240" s="11">
        <v>0.12467298036622255</v>
      </c>
      <c r="Z4240" s="11">
        <v>0.20665601178347187</v>
      </c>
    </row>
    <row r="4241" ht="22.5" customHeight="1">
      <c r="Q4241" s="9" t="s">
        <v>4279</v>
      </c>
      <c r="R4241" s="10">
        <v>0.5542303382226262</v>
      </c>
      <c r="S4241" s="10">
        <v>0.025392305350111673</v>
      </c>
      <c r="T4241" s="10">
        <v>20.25142385192547</v>
      </c>
      <c r="U4241" s="11">
        <v>0.11332724794862123</v>
      </c>
      <c r="V4241" s="11">
        <v>0.22477952585278016</v>
      </c>
      <c r="W4241" s="11">
        <v>0.06210486828667955</v>
      </c>
      <c r="X4241" s="11">
        <v>0.36507564411256094</v>
      </c>
      <c r="Y4241" s="11">
        <v>0.06108208621327609</v>
      </c>
      <c r="Z4241" s="11">
        <v>0.17363062758608203</v>
      </c>
    </row>
    <row r="4242" ht="22.5" customHeight="1">
      <c r="Q4242" s="9" t="s">
        <v>4280</v>
      </c>
      <c r="R4242" s="10">
        <v>0.5871762727910839</v>
      </c>
      <c r="S4242" s="10">
        <v>0.027019649619993</v>
      </c>
      <c r="T4242" s="10">
        <v>20.25104990207588</v>
      </c>
      <c r="U4242" s="11">
        <v>0.27533340459819206</v>
      </c>
      <c r="V4242" s="11">
        <v>0.22641988229192003</v>
      </c>
      <c r="W4242" s="11">
        <v>0.11315224258325482</v>
      </c>
      <c r="X4242" s="11">
        <v>0.11683968833557958</v>
      </c>
      <c r="Y4242" s="11">
        <v>0.004716850262109824</v>
      </c>
      <c r="Z4242" s="11">
        <v>0.2635379319289436</v>
      </c>
    </row>
    <row r="4243" ht="22.5" customHeight="1">
      <c r="Q4243" s="9" t="s">
        <v>4281</v>
      </c>
      <c r="R4243" s="10">
        <v>0.7051813097083156</v>
      </c>
      <c r="S4243" s="10">
        <v>0.03284681644947142</v>
      </c>
      <c r="T4243" s="10">
        <v>20.251013084679624</v>
      </c>
      <c r="U4243" s="11">
        <v>0.008167058318904135</v>
      </c>
      <c r="V4243" s="11">
        <v>0.28325968340904384</v>
      </c>
      <c r="W4243" s="11">
        <v>0.12194437025755313</v>
      </c>
      <c r="X4243" s="11">
        <v>0.2405729234708315</v>
      </c>
      <c r="Y4243" s="11">
        <v>0.22905554609333978</v>
      </c>
      <c r="Z4243" s="11">
        <v>0.11700041845032759</v>
      </c>
    </row>
    <row r="4244" ht="22.5" customHeight="1">
      <c r="Q4244" s="9" t="s">
        <v>4282</v>
      </c>
      <c r="R4244" s="10">
        <v>0.6918173658022037</v>
      </c>
      <c r="S4244" s="10">
        <v>0.03218731117975339</v>
      </c>
      <c r="T4244" s="10">
        <v>20.250755403645297</v>
      </c>
      <c r="U4244" s="11">
        <v>0.11881569977482516</v>
      </c>
      <c r="V4244" s="11">
        <v>0.22595547992695483</v>
      </c>
      <c r="W4244" s="11">
        <v>0.19787567060116074</v>
      </c>
      <c r="X4244" s="11">
        <v>0.01279651765573625</v>
      </c>
      <c r="Y4244" s="11">
        <v>0.2128573666427171</v>
      </c>
      <c r="Z4244" s="11">
        <v>0.23169926539860589</v>
      </c>
    </row>
    <row r="4245" ht="22.5" customHeight="1">
      <c r="Q4245" s="9" t="s">
        <v>4283</v>
      </c>
      <c r="R4245" s="10">
        <v>0.38488502158870724</v>
      </c>
      <c r="S4245" s="10">
        <v>0.01703075862786741</v>
      </c>
      <c r="T4245" s="10">
        <v>20.250713965517207</v>
      </c>
      <c r="U4245" s="11">
        <v>0.22509826306664468</v>
      </c>
      <c r="V4245" s="11">
        <v>0.057459691688496996</v>
      </c>
      <c r="W4245" s="11">
        <v>0.1255588411861381</v>
      </c>
      <c r="X4245" s="11">
        <v>0.13667181885381727</v>
      </c>
      <c r="Y4245" s="11">
        <v>0.22397097038450176</v>
      </c>
      <c r="Z4245" s="11">
        <v>0.23124041482040117</v>
      </c>
    </row>
    <row r="4246" ht="22.5" customHeight="1">
      <c r="Q4246" s="9" t="s">
        <v>4284</v>
      </c>
      <c r="R4246" s="10">
        <v>0.7244884668525425</v>
      </c>
      <c r="S4246" s="10">
        <v>0.033800922188896326</v>
      </c>
      <c r="T4246" s="10">
        <v>20.250585561757198</v>
      </c>
      <c r="U4246" s="11">
        <v>0.13719664626104758</v>
      </c>
      <c r="V4246" s="11">
        <v>0.19577970764582403</v>
      </c>
      <c r="W4246" s="11">
        <v>0.24680481942929774</v>
      </c>
      <c r="X4246" s="11">
        <v>0.1464115969109167</v>
      </c>
      <c r="Y4246" s="11">
        <v>0.04819610395136772</v>
      </c>
      <c r="Z4246" s="11">
        <v>0.22561112580154608</v>
      </c>
    </row>
    <row r="4247" ht="22.5" customHeight="1">
      <c r="Q4247" s="9" t="s">
        <v>4285</v>
      </c>
      <c r="R4247" s="10">
        <v>0.9192779523317371</v>
      </c>
      <c r="S4247" s="10">
        <v>0.04342031229957687</v>
      </c>
      <c r="T4247" s="10">
        <v>20.250382960518355</v>
      </c>
      <c r="U4247" s="11">
        <v>0.22570506795521755</v>
      </c>
      <c r="V4247" s="11">
        <v>0.2849109780552044</v>
      </c>
      <c r="W4247" s="11">
        <v>0.2922686400861443</v>
      </c>
      <c r="X4247" s="11">
        <v>0.1419442710835914</v>
      </c>
      <c r="Y4247" s="11">
        <v>0.05108896151618583</v>
      </c>
      <c r="Z4247" s="11">
        <v>0.004082081303656716</v>
      </c>
    </row>
    <row r="4248" ht="22.5" customHeight="1">
      <c r="Q4248" s="9" t="s">
        <v>4286</v>
      </c>
      <c r="R4248" s="10">
        <v>0.6682107589678143</v>
      </c>
      <c r="S4248" s="10">
        <v>0.031022326325638252</v>
      </c>
      <c r="T4248" s="10">
        <v>20.250278859604173</v>
      </c>
      <c r="U4248" s="11">
        <v>0.22574530853635474</v>
      </c>
      <c r="V4248" s="11">
        <v>0.15169107363734025</v>
      </c>
      <c r="W4248" s="11">
        <v>0.23783502025159403</v>
      </c>
      <c r="X4248" s="11">
        <v>0.1527049745790899</v>
      </c>
      <c r="Y4248" s="11">
        <v>0.15951337812632904</v>
      </c>
      <c r="Z4248" s="11">
        <v>0.072510244869292</v>
      </c>
    </row>
    <row r="4249" ht="22.5" customHeight="1">
      <c r="Q4249" s="9" t="s">
        <v>4287</v>
      </c>
      <c r="R4249" s="10">
        <v>0.6695123795289238</v>
      </c>
      <c r="S4249" s="10">
        <v>0.031086793762438704</v>
      </c>
      <c r="T4249" s="10">
        <v>20.250154594249146</v>
      </c>
      <c r="U4249" s="11">
        <v>0.0552723306418281</v>
      </c>
      <c r="V4249" s="11">
        <v>0.17471628228406913</v>
      </c>
      <c r="W4249" s="11">
        <v>0.22549430605803722</v>
      </c>
      <c r="X4249" s="11">
        <v>0.09635071076299584</v>
      </c>
      <c r="Y4249" s="11">
        <v>0.24049300982381827</v>
      </c>
      <c r="Z4249" s="11">
        <v>0.20767336042925144</v>
      </c>
    </row>
    <row r="4250" ht="22.5" customHeight="1">
      <c r="Q4250" s="9" t="s">
        <v>4288</v>
      </c>
      <c r="R4250" s="10">
        <v>0.5935520184631518</v>
      </c>
      <c r="S4250" s="10">
        <v>0.027336025804378102</v>
      </c>
      <c r="T4250" s="10">
        <v>20.249908396504935</v>
      </c>
      <c r="U4250" s="11">
        <v>0.24815190946977742</v>
      </c>
      <c r="V4250" s="11">
        <v>0.1385546835270077</v>
      </c>
      <c r="W4250" s="11">
        <v>0.20723027050067222</v>
      </c>
      <c r="X4250" s="11">
        <v>0.13380258541483744</v>
      </c>
      <c r="Y4250" s="11">
        <v>0.03280100396741816</v>
      </c>
      <c r="Z4250" s="11">
        <v>0.23945954712028703</v>
      </c>
    </row>
    <row r="4251" ht="22.5" customHeight="1">
      <c r="Q4251" s="9" t="s">
        <v>4289</v>
      </c>
      <c r="R4251" s="10">
        <v>0.631153311955354</v>
      </c>
      <c r="S4251" s="10">
        <v>0.029193000441637217</v>
      </c>
      <c r="T4251" s="10">
        <v>20.249830541988665</v>
      </c>
      <c r="U4251" s="11">
        <v>0.14753968462656075</v>
      </c>
      <c r="V4251" s="11">
        <v>0.13198123377413104</v>
      </c>
      <c r="W4251" s="11">
        <v>0.22968122481754463</v>
      </c>
      <c r="X4251" s="11">
        <v>0.21598340615966366</v>
      </c>
      <c r="Y4251" s="11">
        <v>0.12323526722331354</v>
      </c>
      <c r="Z4251" s="11">
        <v>0.15157918339878634</v>
      </c>
    </row>
    <row r="4252" ht="22.5" customHeight="1">
      <c r="Q4252" s="9" t="s">
        <v>4290</v>
      </c>
      <c r="R4252" s="10">
        <v>0.7346055149665676</v>
      </c>
      <c r="S4252" s="10">
        <v>0.03430209268572389</v>
      </c>
      <c r="T4252" s="10">
        <v>20.249654192545922</v>
      </c>
      <c r="U4252" s="11">
        <v>0.033838438217866564</v>
      </c>
      <c r="V4252" s="11">
        <v>0.20525222530769469</v>
      </c>
      <c r="W4252" s="11">
        <v>0.2433200766025037</v>
      </c>
      <c r="X4252" s="11">
        <v>0.10566630298670737</v>
      </c>
      <c r="Y4252" s="11">
        <v>0.21286458714519124</v>
      </c>
      <c r="Z4252" s="11">
        <v>0.19905836974003652</v>
      </c>
    </row>
    <row r="4253" ht="22.5" customHeight="1">
      <c r="Q4253" s="9" t="s">
        <v>4291</v>
      </c>
      <c r="R4253" s="10">
        <v>0.8116247974683777</v>
      </c>
      <c r="S4253" s="10">
        <v>0.03810565947654156</v>
      </c>
      <c r="T4253" s="10">
        <v>20.249611424345034</v>
      </c>
      <c r="U4253" s="11">
        <v>0.2206229367092579</v>
      </c>
      <c r="V4253" s="11">
        <v>0.1993224172484691</v>
      </c>
      <c r="W4253" s="11">
        <v>0.2900135457670318</v>
      </c>
      <c r="X4253" s="11">
        <v>0.2538102446455074</v>
      </c>
      <c r="Y4253" s="11">
        <v>0.025661236389195607</v>
      </c>
      <c r="Z4253" s="11">
        <v>0.010569619240538121</v>
      </c>
    </row>
    <row r="4254" ht="22.5" customHeight="1">
      <c r="Q4254" s="9" t="s">
        <v>4292</v>
      </c>
      <c r="R4254" s="10">
        <v>0.9069397035972757</v>
      </c>
      <c r="S4254" s="10">
        <v>0.04281358934661277</v>
      </c>
      <c r="T4254" s="10">
        <v>20.249171275471774</v>
      </c>
      <c r="U4254" s="11">
        <v>0.2253980026141905</v>
      </c>
      <c r="V4254" s="11">
        <v>0.2870137395818235</v>
      </c>
      <c r="W4254" s="11">
        <v>0.2829249525755216</v>
      </c>
      <c r="X4254" s="11">
        <v>0.12527800163667702</v>
      </c>
      <c r="Y4254" s="11">
        <v>0.055118500024209725</v>
      </c>
      <c r="Z4254" s="11">
        <v>0.024266803567577565</v>
      </c>
    </row>
    <row r="4255" ht="22.5" customHeight="1">
      <c r="Q4255" s="9" t="s">
        <v>4293</v>
      </c>
      <c r="R4255" s="10">
        <v>0.6942168491299671</v>
      </c>
      <c r="S4255" s="10">
        <v>0.032308596436329724</v>
      </c>
      <c r="T4255" s="10">
        <v>20.249002472739</v>
      </c>
      <c r="U4255" s="11">
        <v>0.08659533512314291</v>
      </c>
      <c r="V4255" s="11">
        <v>0.18323452899772935</v>
      </c>
      <c r="W4255" s="11">
        <v>0.23780099366268848</v>
      </c>
      <c r="X4255" s="11">
        <v>0.14177576373746495</v>
      </c>
      <c r="Y4255" s="11">
        <v>0.0925753629796563</v>
      </c>
      <c r="Z4255" s="11">
        <v>0.2580180154993178</v>
      </c>
    </row>
    <row r="4256" ht="22.5" customHeight="1">
      <c r="Q4256" s="9" t="s">
        <v>4294</v>
      </c>
      <c r="R4256" s="10">
        <v>0.32027585254951374</v>
      </c>
      <c r="S4256" s="10">
        <v>0.013841496913467755</v>
      </c>
      <c r="T4256" s="10">
        <v>20.24895531904543</v>
      </c>
      <c r="U4256" s="11">
        <v>0.06760712439607484</v>
      </c>
      <c r="V4256" s="11">
        <v>0.06239014201789283</v>
      </c>
      <c r="W4256" s="11">
        <v>0.07441297999457668</v>
      </c>
      <c r="X4256" s="11">
        <v>0.11029394654998892</v>
      </c>
      <c r="Y4256" s="11">
        <v>0.3670623954442013</v>
      </c>
      <c r="Z4256" s="11">
        <v>0.3182334115972654</v>
      </c>
    </row>
    <row r="4257" ht="22.5" customHeight="1">
      <c r="Q4257" s="9" t="s">
        <v>4295</v>
      </c>
      <c r="R4257" s="10">
        <v>0.6088181197424816</v>
      </c>
      <c r="S4257" s="10">
        <v>0.028091529105301195</v>
      </c>
      <c r="T4257" s="10">
        <v>20.24874180434482</v>
      </c>
      <c r="U4257" s="11">
        <v>0.2274774335577672</v>
      </c>
      <c r="V4257" s="11">
        <v>0.11431503435001131</v>
      </c>
      <c r="W4257" s="11">
        <v>0.2208370979940886</v>
      </c>
      <c r="X4257" s="11">
        <v>0.20956744740894054</v>
      </c>
      <c r="Y4257" s="11">
        <v>0.22502643334786632</v>
      </c>
      <c r="Z4257" s="11">
        <v>0.0027765533413259443</v>
      </c>
    </row>
    <row r="4258" ht="22.5" customHeight="1">
      <c r="Q4258" s="9" t="s">
        <v>4296</v>
      </c>
      <c r="R4258" s="10">
        <v>0.5512293053860645</v>
      </c>
      <c r="S4258" s="10">
        <v>0.025248040705076285</v>
      </c>
      <c r="T4258" s="10">
        <v>20.24827634578704</v>
      </c>
      <c r="U4258" s="11">
        <v>0.08521258670274715</v>
      </c>
      <c r="V4258" s="11">
        <v>0.10711636639285689</v>
      </c>
      <c r="W4258" s="11">
        <v>0.19837435027300843</v>
      </c>
      <c r="X4258" s="11">
        <v>0.19437966879466076</v>
      </c>
      <c r="Y4258" s="11">
        <v>0.189128473896572</v>
      </c>
      <c r="Z4258" s="11">
        <v>0.22578855394015476</v>
      </c>
    </row>
    <row r="4259" ht="22.5" customHeight="1">
      <c r="Q4259" s="9" t="s">
        <v>4297</v>
      </c>
      <c r="R4259" s="10">
        <v>0.7735612182997466</v>
      </c>
      <c r="S4259" s="10">
        <v>0.036228442635840255</v>
      </c>
      <c r="T4259" s="10">
        <v>20.248212866154102</v>
      </c>
      <c r="U4259" s="11">
        <v>0.0930112775943077</v>
      </c>
      <c r="V4259" s="11">
        <v>0.2070988906411437</v>
      </c>
      <c r="W4259" s="11">
        <v>0.2670043783557514</v>
      </c>
      <c r="X4259" s="11">
        <v>0.19428975913344018</v>
      </c>
      <c r="Y4259" s="11">
        <v>0.04899052631902423</v>
      </c>
      <c r="Z4259" s="11">
        <v>0.18960516795633264</v>
      </c>
    </row>
    <row r="4260" ht="22.5" customHeight="1">
      <c r="Q4260" s="9" t="s">
        <v>4298</v>
      </c>
      <c r="R4260" s="10">
        <v>0.47630665945509115</v>
      </c>
      <c r="S4260" s="10">
        <v>0.02154794583114072</v>
      </c>
      <c r="T4260" s="10">
        <v>20.24817877649146</v>
      </c>
      <c r="U4260" s="11">
        <v>0.21403541080373853</v>
      </c>
      <c r="V4260" s="11">
        <v>0.18754512564739848</v>
      </c>
      <c r="W4260" s="11">
        <v>0.04661731600485662</v>
      </c>
      <c r="X4260" s="11">
        <v>0.24213092715073</v>
      </c>
      <c r="Y4260" s="11">
        <v>0.17238145407385808</v>
      </c>
      <c r="Z4260" s="11">
        <v>0.1372897663194182</v>
      </c>
    </row>
    <row r="4261" ht="22.5" customHeight="1">
      <c r="Q4261" s="9" t="s">
        <v>4299</v>
      </c>
      <c r="R4261" s="10">
        <v>0.49971633251834935</v>
      </c>
      <c r="S4261" s="10">
        <v>0.02270421950610886</v>
      </c>
      <c r="T4261" s="10">
        <v>20.248057080079622</v>
      </c>
      <c r="U4261" s="11">
        <v>0.08475788494567602</v>
      </c>
      <c r="V4261" s="11">
        <v>0.17813100182631778</v>
      </c>
      <c r="W4261" s="11">
        <v>0.06819223936105626</v>
      </c>
      <c r="X4261" s="11">
        <v>0.17070257791092802</v>
      </c>
      <c r="Y4261" s="11">
        <v>0.4745117313780971</v>
      </c>
      <c r="Z4261" s="11">
        <v>0.023704564577924855</v>
      </c>
    </row>
    <row r="4262" ht="22.5" customHeight="1">
      <c r="Q4262" s="9" t="s">
        <v>4300</v>
      </c>
      <c r="R4262" s="10">
        <v>0.5166688892650617</v>
      </c>
      <c r="S4262" s="10">
        <v>0.023541514460998027</v>
      </c>
      <c r="T4262" s="10">
        <v>20.248012932845683</v>
      </c>
      <c r="U4262" s="11">
        <v>0.19592323008993276</v>
      </c>
      <c r="V4262" s="11">
        <v>0.09377912713730752</v>
      </c>
      <c r="W4262" s="11">
        <v>0.18564870262687555</v>
      </c>
      <c r="X4262" s="11">
        <v>0.17846073599903625</v>
      </c>
      <c r="Y4262" s="11">
        <v>0.15341814716603577</v>
      </c>
      <c r="Z4262" s="11">
        <v>0.19277005698081212</v>
      </c>
    </row>
    <row r="4263" ht="22.5" customHeight="1">
      <c r="Q4263" s="9" t="s">
        <v>4301</v>
      </c>
      <c r="R4263" s="10">
        <v>0.7027899301022735</v>
      </c>
      <c r="S4263" s="10">
        <v>0.03273402488938539</v>
      </c>
      <c r="T4263" s="10">
        <v>20.247737097468736</v>
      </c>
      <c r="U4263" s="11">
        <v>0.05640660226264815</v>
      </c>
      <c r="V4263" s="11">
        <v>0.16562128347085064</v>
      </c>
      <c r="W4263" s="11">
        <v>0.25044858428674255</v>
      </c>
      <c r="X4263" s="11">
        <v>0.20091380874474482</v>
      </c>
      <c r="Y4263" s="11">
        <v>0.17300509529700195</v>
      </c>
      <c r="Z4263" s="11">
        <v>0.1536046259380119</v>
      </c>
    </row>
    <row r="4264" ht="22.5" customHeight="1">
      <c r="Q4264" s="9" t="s">
        <v>4302</v>
      </c>
      <c r="R4264" s="10">
        <v>0.46977379546768366</v>
      </c>
      <c r="S4264" s="10">
        <v>0.021226603581235976</v>
      </c>
      <c r="T4264" s="10">
        <v>20.24694124158411</v>
      </c>
      <c r="U4264" s="11">
        <v>0.07777739088827927</v>
      </c>
      <c r="V4264" s="11">
        <v>0.06530622605865086</v>
      </c>
      <c r="W4264" s="11">
        <v>0.16703218576439738</v>
      </c>
      <c r="X4264" s="11">
        <v>0.277457331272519</v>
      </c>
      <c r="Y4264" s="11">
        <v>0.25115471120325555</v>
      </c>
      <c r="Z4264" s="11">
        <v>0.16127215481289806</v>
      </c>
    </row>
    <row r="4265" ht="22.5" customHeight="1">
      <c r="Q4265" s="9" t="s">
        <v>4303</v>
      </c>
      <c r="R4265" s="10">
        <v>0.5519928228175213</v>
      </c>
      <c r="S4265" s="10">
        <v>0.025288363260953742</v>
      </c>
      <c r="T4265" s="10">
        <v>20.24618270206751</v>
      </c>
      <c r="U4265" s="11">
        <v>0.12593405164763488</v>
      </c>
      <c r="V4265" s="11">
        <v>0.09411293815474694</v>
      </c>
      <c r="W4265" s="11">
        <v>0.19899742401191234</v>
      </c>
      <c r="X4265" s="11">
        <v>0.23358679091606954</v>
      </c>
      <c r="Y4265" s="11">
        <v>0.27290634683009546</v>
      </c>
      <c r="Z4265" s="11">
        <v>0.07446244843954061</v>
      </c>
    </row>
    <row r="4266" ht="22.5" customHeight="1">
      <c r="Q4266" s="9" t="s">
        <v>4304</v>
      </c>
      <c r="R4266" s="10">
        <v>0.7951278449948626</v>
      </c>
      <c r="S4266" s="10">
        <v>0.03729947316835544</v>
      </c>
      <c r="T4266" s="10">
        <v>20.245000286907715</v>
      </c>
      <c r="U4266" s="11">
        <v>0.04089852768724569</v>
      </c>
      <c r="V4266" s="11">
        <v>0.19067606925483738</v>
      </c>
      <c r="W4266" s="11">
        <v>0.2853106766348516</v>
      </c>
      <c r="X4266" s="11">
        <v>0.2694395462753459</v>
      </c>
      <c r="Y4266" s="11">
        <v>0.1527960286954585</v>
      </c>
      <c r="Z4266" s="11">
        <v>0.06087915145226096</v>
      </c>
    </row>
    <row r="4267" ht="22.5" customHeight="1">
      <c r="Q4267" s="9" t="s">
        <v>4305</v>
      </c>
      <c r="R4267" s="10">
        <v>0.6915499237041202</v>
      </c>
      <c r="S4267" s="10">
        <v>0.032183277798589746</v>
      </c>
      <c r="T4267" s="10">
        <v>20.24498336625832</v>
      </c>
      <c r="U4267" s="11">
        <v>0.12014930187881505</v>
      </c>
      <c r="V4267" s="11">
        <v>0.14133120717287367</v>
      </c>
      <c r="W4267" s="11">
        <v>0.2539004055254971</v>
      </c>
      <c r="X4267" s="11">
        <v>0.2709115285456735</v>
      </c>
      <c r="Y4267" s="11">
        <v>0.18591789273226947</v>
      </c>
      <c r="Z4267" s="11">
        <v>0.02778966414487102</v>
      </c>
    </row>
    <row r="4268" ht="22.5" customHeight="1">
      <c r="Q4268" s="9" t="s">
        <v>4306</v>
      </c>
      <c r="R4268" s="10">
        <v>0.9817012707249199</v>
      </c>
      <c r="S4268" s="10">
        <v>0.046515463568969004</v>
      </c>
      <c r="T4268" s="10">
        <v>20.244907789183884</v>
      </c>
      <c r="U4268" s="11">
        <v>0.058000703414271174</v>
      </c>
      <c r="V4268" s="11">
        <v>0.37416305030946967</v>
      </c>
      <c r="W4268" s="11">
        <v>0.23705057397767448</v>
      </c>
      <c r="X4268" s="11">
        <v>0.2773944567641779</v>
      </c>
      <c r="Y4268" s="11">
        <v>0.030736540784249314</v>
      </c>
      <c r="Z4268" s="11">
        <v>0.022654674750157557</v>
      </c>
    </row>
    <row r="4269" ht="22.5" customHeight="1">
      <c r="Q4269" s="9" t="s">
        <v>4307</v>
      </c>
      <c r="R4269" s="10">
        <v>0.6552824658055394</v>
      </c>
      <c r="S4269" s="10">
        <v>0.03039281360339969</v>
      </c>
      <c r="T4269" s="10">
        <v>20.244340449503987</v>
      </c>
      <c r="U4269" s="11">
        <v>0.23430942801522722</v>
      </c>
      <c r="V4269" s="11">
        <v>0.14835769717092173</v>
      </c>
      <c r="W4269" s="11">
        <v>0.23530707268231835</v>
      </c>
      <c r="X4269" s="11">
        <v>0.20875367617889926</v>
      </c>
      <c r="Y4269" s="11">
        <v>0.0031013608542566633</v>
      </c>
      <c r="Z4269" s="11">
        <v>0.17017076509837673</v>
      </c>
    </row>
    <row r="4270" ht="22.5" customHeight="1">
      <c r="Q4270" s="9" t="s">
        <v>4308</v>
      </c>
      <c r="R4270" s="10">
        <v>0.5085327553879533</v>
      </c>
      <c r="S4270" s="10">
        <v>0.023144073607428633</v>
      </c>
      <c r="T4270" s="10">
        <v>20.24417841626492</v>
      </c>
      <c r="U4270" s="11">
        <v>0.3394820506809652</v>
      </c>
      <c r="V4270" s="11">
        <v>0.193337883863254</v>
      </c>
      <c r="W4270" s="11">
        <v>0.08620034825297948</v>
      </c>
      <c r="X4270" s="11">
        <v>0.09675546929399957</v>
      </c>
      <c r="Y4270" s="11">
        <v>0.0451555810278513</v>
      </c>
      <c r="Z4270" s="11">
        <v>0.23906866688095052</v>
      </c>
    </row>
    <row r="4271" ht="22.5" customHeight="1">
      <c r="Q4271" s="9" t="s">
        <v>4309</v>
      </c>
      <c r="R4271" s="10">
        <v>0.3362969060805904</v>
      </c>
      <c r="S4271" s="10">
        <v>0.014636226961991818</v>
      </c>
      <c r="T4271" s="10">
        <v>20.24407703228646</v>
      </c>
      <c r="U4271" s="11">
        <v>0.2221663893052772</v>
      </c>
      <c r="V4271" s="11">
        <v>0.07246486790091262</v>
      </c>
      <c r="W4271" s="11">
        <v>0.08191096635291939</v>
      </c>
      <c r="X4271" s="11">
        <v>0.04198830401397524</v>
      </c>
      <c r="Y4271" s="11">
        <v>0.2913468443124559</v>
      </c>
      <c r="Z4271" s="11">
        <v>0.29012262811445955</v>
      </c>
    </row>
    <row r="4272" ht="22.5" customHeight="1">
      <c r="Q4272" s="9" t="s">
        <v>4310</v>
      </c>
      <c r="R4272" s="10">
        <v>0.27173119548451286</v>
      </c>
      <c r="S4272" s="10">
        <v>0.011446929981898325</v>
      </c>
      <c r="T4272" s="10">
        <v>20.24396024532014</v>
      </c>
      <c r="U4272" s="11">
        <v>0.14593347914831406</v>
      </c>
      <c r="V4272" s="11">
        <v>0.07368488611846086</v>
      </c>
      <c r="W4272" s="11">
        <v>0.009818233584110212</v>
      </c>
      <c r="X4272" s="11">
        <v>0.2946408396042651</v>
      </c>
      <c r="Y4272" s="11">
        <v>0.20437547799426448</v>
      </c>
      <c r="Z4272" s="11">
        <v>0.2715470835505853</v>
      </c>
    </row>
    <row r="4273" ht="22.5" customHeight="1">
      <c r="Q4273" s="9" t="s">
        <v>4311</v>
      </c>
      <c r="R4273" s="10">
        <v>0.3949911064919676</v>
      </c>
      <c r="S4273" s="10">
        <v>0.01753648399528581</v>
      </c>
      <c r="T4273" s="10">
        <v>20.243003477059425</v>
      </c>
      <c r="U4273" s="11">
        <v>0.15910379587891338</v>
      </c>
      <c r="V4273" s="11">
        <v>0.140119883173524</v>
      </c>
      <c r="W4273" s="11">
        <v>0.050723893402736</v>
      </c>
      <c r="X4273" s="11">
        <v>0.09341107319418805</v>
      </c>
      <c r="Y4273" s="11">
        <v>0.29064132206087584</v>
      </c>
      <c r="Z4273" s="11">
        <v>0.2660000322897627</v>
      </c>
    </row>
    <row r="4274" ht="22.5" customHeight="1">
      <c r="Q4274" s="9" t="s">
        <v>4312</v>
      </c>
      <c r="R4274" s="10">
        <v>0.720290222841365</v>
      </c>
      <c r="S4274" s="10">
        <v>0.033606333888084546</v>
      </c>
      <c r="T4274" s="10">
        <v>20.242916859270046</v>
      </c>
      <c r="U4274" s="11">
        <v>0.07488743837043835</v>
      </c>
      <c r="V4274" s="11">
        <v>0.17131261893050248</v>
      </c>
      <c r="W4274" s="11">
        <v>0.2585581139169387</v>
      </c>
      <c r="X4274" s="11">
        <v>0.274942663172448</v>
      </c>
      <c r="Y4274" s="11">
        <v>0.007786405093311475</v>
      </c>
      <c r="Z4274" s="11">
        <v>0.212512760516361</v>
      </c>
    </row>
    <row r="4275" ht="22.5" customHeight="1">
      <c r="Q4275" s="9" t="s">
        <v>4313</v>
      </c>
      <c r="R4275" s="10">
        <v>0.6549429005329278</v>
      </c>
      <c r="S4275" s="10">
        <v>0.030378393815507117</v>
      </c>
      <c r="T4275" s="10">
        <v>20.24277202631499</v>
      </c>
      <c r="U4275" s="11">
        <v>0.17425623168540597</v>
      </c>
      <c r="V4275" s="11">
        <v>0.17845722614243545</v>
      </c>
      <c r="W4275" s="11">
        <v>0.20596727371611345</v>
      </c>
      <c r="X4275" s="11">
        <v>0.020417904431511678</v>
      </c>
      <c r="Y4275" s="11">
        <v>0.357341703522978</v>
      </c>
      <c r="Z4275" s="11">
        <v>0.06355966050155554</v>
      </c>
    </row>
    <row r="4276" ht="22.5" customHeight="1">
      <c r="Q4276" s="9" t="s">
        <v>4314</v>
      </c>
      <c r="R4276" s="10">
        <v>0.6720608629931202</v>
      </c>
      <c r="S4276" s="10">
        <v>0.03122430776386809</v>
      </c>
      <c r="T4276" s="10">
        <v>20.242590092726527</v>
      </c>
      <c r="U4276" s="11">
        <v>0.07900140110102129</v>
      </c>
      <c r="V4276" s="11">
        <v>0.1580775599293268</v>
      </c>
      <c r="W4276" s="11">
        <v>0.2363986147517564</v>
      </c>
      <c r="X4276" s="11">
        <v>0.15287519365441937</v>
      </c>
      <c r="Y4276" s="11">
        <v>0.23491440824665225</v>
      </c>
      <c r="Z4276" s="11">
        <v>0.13873282231682388</v>
      </c>
    </row>
    <row r="4277" ht="22.5" customHeight="1">
      <c r="Q4277" s="9" t="s">
        <v>4315</v>
      </c>
      <c r="R4277" s="10">
        <v>0.6273770163049067</v>
      </c>
      <c r="S4277" s="10">
        <v>0.029016922361450728</v>
      </c>
      <c r="T4277" s="10">
        <v>20.24256773300131</v>
      </c>
      <c r="U4277" s="11">
        <v>0.07043966270034906</v>
      </c>
      <c r="V4277" s="11">
        <v>0.17684130119830355</v>
      </c>
      <c r="W4277" s="11">
        <v>0.19927151363425027</v>
      </c>
      <c r="X4277" s="11">
        <v>0.03605460783270433</v>
      </c>
      <c r="Y4277" s="11">
        <v>0.24321261153441212</v>
      </c>
      <c r="Z4277" s="11">
        <v>0.27418030309998065</v>
      </c>
    </row>
    <row r="4278" ht="22.5" customHeight="1">
      <c r="Q4278" s="9" t="s">
        <v>4316</v>
      </c>
      <c r="R4278" s="10">
        <v>0.6382934438775547</v>
      </c>
      <c r="S4278" s="10">
        <v>0.029556216108267093</v>
      </c>
      <c r="T4278" s="10">
        <v>20.242558847382618</v>
      </c>
      <c r="U4278" s="11">
        <v>0.22378836396383242</v>
      </c>
      <c r="V4278" s="11">
        <v>0.1253758766845172</v>
      </c>
      <c r="W4278" s="11">
        <v>0.2349306858932422</v>
      </c>
      <c r="X4278" s="11">
        <v>0.24546454506774026</v>
      </c>
      <c r="Y4278" s="11">
        <v>0.1076232484223416</v>
      </c>
      <c r="Z4278" s="11">
        <v>0.0628172799683264</v>
      </c>
    </row>
    <row r="4279" ht="22.5" customHeight="1">
      <c r="Q4279" s="9" t="s">
        <v>4317</v>
      </c>
      <c r="R4279" s="10">
        <v>0.4371701569326127</v>
      </c>
      <c r="S4279" s="10">
        <v>0.019620565956676377</v>
      </c>
      <c r="T4279" s="10">
        <v>20.242543350155803</v>
      </c>
      <c r="U4279" s="11">
        <v>0.18128414190874947</v>
      </c>
      <c r="V4279" s="11">
        <v>0.04446968966661811</v>
      </c>
      <c r="W4279" s="11">
        <v>0.14931376235017227</v>
      </c>
      <c r="X4279" s="11">
        <v>0.3346749668217073</v>
      </c>
      <c r="Y4279" s="11">
        <v>0.28264085026145475</v>
      </c>
      <c r="Z4279" s="11">
        <v>0.007616588991298037</v>
      </c>
    </row>
    <row r="4280" ht="22.5" customHeight="1">
      <c r="Q4280" s="9" t="s">
        <v>4318</v>
      </c>
      <c r="R4280" s="10">
        <v>0.6996712778345995</v>
      </c>
      <c r="S4280" s="10">
        <v>0.0325895105107174</v>
      </c>
      <c r="T4280" s="10">
        <v>20.241828352029394</v>
      </c>
      <c r="U4280" s="11">
        <v>0.20787471279822758</v>
      </c>
      <c r="V4280" s="11">
        <v>0.16842516928744358</v>
      </c>
      <c r="W4280" s="11">
        <v>0.2469365962855344</v>
      </c>
      <c r="X4280" s="11">
        <v>0.1464131680492765</v>
      </c>
      <c r="Y4280" s="11">
        <v>0.1364820765015206</v>
      </c>
      <c r="Z4280" s="11">
        <v>0.09386827707799725</v>
      </c>
    </row>
    <row r="4281" ht="22.5" customHeight="1">
      <c r="Q4281" s="9" t="s">
        <v>4319</v>
      </c>
      <c r="R4281" s="10">
        <v>0.7895533938440501</v>
      </c>
      <c r="S4281" s="10">
        <v>0.037030238835778634</v>
      </c>
      <c r="T4281" s="10">
        <v>20.241657018961252</v>
      </c>
      <c r="U4281" s="11">
        <v>0.2643003752177808</v>
      </c>
      <c r="V4281" s="11">
        <v>0.2565054010779134</v>
      </c>
      <c r="W4281" s="11">
        <v>0.2339517153217204</v>
      </c>
      <c r="X4281" s="11">
        <v>0.03924560841366474</v>
      </c>
      <c r="Y4281" s="11">
        <v>0.10890302157280353</v>
      </c>
      <c r="Z4281" s="11">
        <v>0.09709387839611705</v>
      </c>
    </row>
    <row r="4282" ht="22.5" customHeight="1">
      <c r="Q4282" s="9" t="s">
        <v>4320</v>
      </c>
      <c r="R4282" s="10">
        <v>0.4276149106961307</v>
      </c>
      <c r="S4282" s="10">
        <v>0.019149532682874785</v>
      </c>
      <c r="T4282" s="10">
        <v>20.24148145624308</v>
      </c>
      <c r="U4282" s="11">
        <v>0.1564207378059102</v>
      </c>
      <c r="V4282" s="11">
        <v>0.16634328915805408</v>
      </c>
      <c r="W4282" s="11">
        <v>0.037358350059210704</v>
      </c>
      <c r="X4282" s="11">
        <v>0.3003784094686695</v>
      </c>
      <c r="Y4282" s="11">
        <v>0.049470308503058974</v>
      </c>
      <c r="Z4282" s="11">
        <v>0.2900289050050966</v>
      </c>
    </row>
    <row r="4283" ht="22.5" customHeight="1">
      <c r="Q4283" s="9" t="s">
        <v>4321</v>
      </c>
      <c r="R4283" s="10">
        <v>0.8416766027851722</v>
      </c>
      <c r="S4283" s="10">
        <v>0.039605861815986056</v>
      </c>
      <c r="T4283" s="10">
        <v>20.241362415237045</v>
      </c>
      <c r="U4283" s="11">
        <v>0.06709231918456454</v>
      </c>
      <c r="V4283" s="11">
        <v>0.2808789845003592</v>
      </c>
      <c r="W4283" s="11">
        <v>0.24673180135211406</v>
      </c>
      <c r="X4283" s="11">
        <v>0.08606576250128133</v>
      </c>
      <c r="Y4283" s="11">
        <v>0.1700818289760456</v>
      </c>
      <c r="Z4283" s="11">
        <v>0.14914930348563538</v>
      </c>
    </row>
    <row r="4284" ht="22.5" customHeight="1">
      <c r="Q4284" s="9" t="s">
        <v>4322</v>
      </c>
      <c r="R4284" s="10">
        <v>0.8221165287916644</v>
      </c>
      <c r="S4284" s="10">
        <v>0.03863964101687802</v>
      </c>
      <c r="T4284" s="10">
        <v>20.241299044419986</v>
      </c>
      <c r="U4284" s="11">
        <v>0.04427264915083974</v>
      </c>
      <c r="V4284" s="11">
        <v>0.2513497212717996</v>
      </c>
      <c r="W4284" s="11">
        <v>0.2616733592408317</v>
      </c>
      <c r="X4284" s="11">
        <v>0.1121500354798201</v>
      </c>
      <c r="Y4284" s="11">
        <v>0.161929830835356</v>
      </c>
      <c r="Z4284" s="11">
        <v>0.168624404021353</v>
      </c>
    </row>
    <row r="4285" ht="22.5" customHeight="1">
      <c r="Q4285" s="9" t="s">
        <v>4323</v>
      </c>
      <c r="R4285" s="10">
        <v>0.3146594420095885</v>
      </c>
      <c r="S4285" s="10">
        <v>0.0135692901833034</v>
      </c>
      <c r="T4285" s="10">
        <v>20.241253470100347</v>
      </c>
      <c r="U4285" s="11">
        <v>0.3662661710150086</v>
      </c>
      <c r="V4285" s="11">
        <v>0.07817080932768661</v>
      </c>
      <c r="W4285" s="11">
        <v>0.04897978048888073</v>
      </c>
      <c r="X4285" s="11">
        <v>0.08132993150262749</v>
      </c>
      <c r="Y4285" s="11">
        <v>0.26289067336505173</v>
      </c>
      <c r="Z4285" s="11">
        <v>0.16236263430074485</v>
      </c>
    </row>
    <row r="4286" ht="22.5" customHeight="1">
      <c r="Q4286" s="9" t="s">
        <v>4324</v>
      </c>
      <c r="R4286" s="10">
        <v>0.522331348251574</v>
      </c>
      <c r="S4286" s="10">
        <v>0.01654991694983752</v>
      </c>
      <c r="T4286" s="10">
        <v>20.24104494107719</v>
      </c>
      <c r="U4286" s="11">
        <v>0.36006893607800866</v>
      </c>
      <c r="V4286" s="11">
        <v>0.13338985279629068</v>
      </c>
      <c r="W4286" s="11">
        <v>0.04081618273190538</v>
      </c>
      <c r="X4286" s="11">
        <v>0.15789248564445216</v>
      </c>
      <c r="Y4286" s="11">
        <v>0.054339031460125836</v>
      </c>
      <c r="Z4286" s="11">
        <v>0.2534935112892173</v>
      </c>
    </row>
    <row r="4287" ht="22.5" customHeight="1">
      <c r="Q4287" s="9" t="s">
        <v>4325</v>
      </c>
      <c r="R4287" s="10">
        <v>0.9018108789306268</v>
      </c>
      <c r="S4287" s="10">
        <v>0.04257770473498264</v>
      </c>
      <c r="T4287" s="10">
        <v>20.24089565876826</v>
      </c>
      <c r="U4287" s="11">
        <v>0.06470930873409692</v>
      </c>
      <c r="V4287" s="11">
        <v>0.24773769732596018</v>
      </c>
      <c r="W4287" s="11">
        <v>0.31119858652782556</v>
      </c>
      <c r="X4287" s="11">
        <v>0.2692453799918916</v>
      </c>
      <c r="Y4287" s="11">
        <v>0.03686367093623108</v>
      </c>
      <c r="Z4287" s="11">
        <v>0.07024535648399485</v>
      </c>
    </row>
    <row r="4288" ht="22.5" customHeight="1">
      <c r="Q4288" s="9" t="s">
        <v>4326</v>
      </c>
      <c r="R4288" s="10">
        <v>0.4690679232305015</v>
      </c>
      <c r="S4288" s="10">
        <v>0.02119808157899829</v>
      </c>
      <c r="T4288" s="10">
        <v>20.24088461172801</v>
      </c>
      <c r="U4288" s="11">
        <v>0.2208722714588447</v>
      </c>
      <c r="V4288" s="11">
        <v>0.17149277581808356</v>
      </c>
      <c r="W4288" s="11">
        <v>0.0898570981821415</v>
      </c>
      <c r="X4288" s="11">
        <v>0.045135847678682166</v>
      </c>
      <c r="Y4288" s="11">
        <v>0.09374641097252086</v>
      </c>
      <c r="Z4288" s="11">
        <v>0.3788955958897272</v>
      </c>
    </row>
    <row r="4289" ht="22.5" customHeight="1">
      <c r="Q4289" s="9" t="s">
        <v>4327</v>
      </c>
      <c r="R4289" s="10">
        <v>0.7267226856045914</v>
      </c>
      <c r="S4289" s="10">
        <v>0.03392799136285777</v>
      </c>
      <c r="T4289" s="10">
        <v>20.24059362253824</v>
      </c>
      <c r="U4289" s="11">
        <v>0.2657883582994069</v>
      </c>
      <c r="V4289" s="11">
        <v>0.26081537518696096</v>
      </c>
      <c r="W4289" s="11">
        <v>0.18331026733939176</v>
      </c>
      <c r="X4289" s="11">
        <v>0.02910338917436162</v>
      </c>
      <c r="Y4289" s="11">
        <v>0.12423422446493963</v>
      </c>
      <c r="Z4289" s="11">
        <v>0.13674838553493915</v>
      </c>
    </row>
    <row r="4290" ht="22.5" customHeight="1">
      <c r="Q4290" s="9" t="s">
        <v>4328</v>
      </c>
      <c r="R4290" s="10">
        <v>0.5644868274809944</v>
      </c>
      <c r="S4290" s="10">
        <v>0.02591330943664773</v>
      </c>
      <c r="T4290" s="10">
        <v>20.240055742908787</v>
      </c>
      <c r="U4290" s="11">
        <v>0.1462334621532682</v>
      </c>
      <c r="V4290" s="11">
        <v>0.1539429585894203</v>
      </c>
      <c r="W4290" s="11">
        <v>0.17718564767182854</v>
      </c>
      <c r="X4290" s="11">
        <v>0.009788765079001284</v>
      </c>
      <c r="Y4290" s="11">
        <v>0.23228444939347603</v>
      </c>
      <c r="Z4290" s="11">
        <v>0.2805647171130056</v>
      </c>
    </row>
    <row r="4291" ht="22.5" customHeight="1">
      <c r="Q4291" s="9" t="s">
        <v>4329</v>
      </c>
      <c r="R4291" s="10">
        <v>0.610932997169885</v>
      </c>
      <c r="S4291" s="10">
        <v>0.02820818288845862</v>
      </c>
      <c r="T4291" s="10">
        <v>20.239977861299327</v>
      </c>
      <c r="U4291" s="11">
        <v>0.08220548637806246</v>
      </c>
      <c r="V4291" s="11">
        <v>0.12921232134670402</v>
      </c>
      <c r="W4291" s="11">
        <v>0.21579969144327507</v>
      </c>
      <c r="X4291" s="11">
        <v>0.16345650195523254</v>
      </c>
      <c r="Y4291" s="11">
        <v>0.2935527587568237</v>
      </c>
      <c r="Z4291" s="11">
        <v>0.11577324011990202</v>
      </c>
    </row>
    <row r="4292" ht="22.5" customHeight="1">
      <c r="Q4292" s="9" t="s">
        <v>4330</v>
      </c>
      <c r="R4292" s="10">
        <v>0.5751987546359291</v>
      </c>
      <c r="S4292" s="10">
        <v>0.02644281278284904</v>
      </c>
      <c r="T4292" s="10">
        <v>20.239857197909824</v>
      </c>
      <c r="U4292" s="11">
        <v>0.4233117534402646</v>
      </c>
      <c r="V4292" s="11">
        <v>0.1579910837706085</v>
      </c>
      <c r="W4292" s="11">
        <v>0.17702072512059697</v>
      </c>
      <c r="X4292" s="11">
        <v>0.00405916439908724</v>
      </c>
      <c r="Y4292" s="11">
        <v>0.08902867582862616</v>
      </c>
      <c r="Z4292" s="11">
        <v>0.14858859744081657</v>
      </c>
    </row>
    <row r="4293" ht="22.5" customHeight="1">
      <c r="Q4293" s="9" t="s">
        <v>4331</v>
      </c>
      <c r="R4293" s="10">
        <v>0.7661660175227528</v>
      </c>
      <c r="S4293" s="10">
        <v>0.03587803697174025</v>
      </c>
      <c r="T4293" s="10">
        <v>20.23984807459577</v>
      </c>
      <c r="U4293" s="11">
        <v>0.06630167576316247</v>
      </c>
      <c r="V4293" s="11">
        <v>0.23575908420360414</v>
      </c>
      <c r="W4293" s="11">
        <v>0.23820141590631033</v>
      </c>
      <c r="X4293" s="11">
        <v>0.061474069797963916</v>
      </c>
      <c r="Y4293" s="11">
        <v>0.21944512748969974</v>
      </c>
      <c r="Z4293" s="11">
        <v>0.1788186268392595</v>
      </c>
    </row>
    <row r="4294" ht="22.5" customHeight="1">
      <c r="Q4294" s="9" t="s">
        <v>4332</v>
      </c>
      <c r="R4294" s="10">
        <v>0.5977087847050125</v>
      </c>
      <c r="S4294" s="10">
        <v>0.027555491068472427</v>
      </c>
      <c r="T4294" s="10">
        <v>20.239479068588047</v>
      </c>
      <c r="U4294" s="11">
        <v>0.23670587607754134</v>
      </c>
      <c r="V4294" s="11">
        <v>0.12243613356368778</v>
      </c>
      <c r="W4294" s="11">
        <v>0.2165379268725871</v>
      </c>
      <c r="X4294" s="11">
        <v>0.18805643921859355</v>
      </c>
      <c r="Y4294" s="11">
        <v>0.08800463188979148</v>
      </c>
      <c r="Z4294" s="11">
        <v>0.14825899237779858</v>
      </c>
    </row>
    <row r="4295" ht="22.5" customHeight="1">
      <c r="Q4295" s="9" t="s">
        <v>4333</v>
      </c>
      <c r="R4295" s="10">
        <v>0.690880264929346</v>
      </c>
      <c r="S4295" s="10">
        <v>0.03215900461501096</v>
      </c>
      <c r="T4295" s="10">
        <v>20.23944063945103</v>
      </c>
      <c r="U4295" s="11">
        <v>0.2682878912167681</v>
      </c>
      <c r="V4295" s="11">
        <v>0.17819499649984427</v>
      </c>
      <c r="W4295" s="11">
        <v>0.2297961660682132</v>
      </c>
      <c r="X4295" s="11">
        <v>0.05226726684448766</v>
      </c>
      <c r="Y4295" s="11">
        <v>0.2691536765949606</v>
      </c>
      <c r="Z4295" s="11">
        <v>0.002300002775726162</v>
      </c>
    </row>
    <row r="4296" ht="22.5" customHeight="1">
      <c r="Q4296" s="9" t="s">
        <v>4334</v>
      </c>
      <c r="R4296" s="10">
        <v>0.8316870094382128</v>
      </c>
      <c r="S4296" s="10">
        <v>0.039116533482911144</v>
      </c>
      <c r="T4296" s="10">
        <v>20.239191435101922</v>
      </c>
      <c r="U4296" s="11">
        <v>0.1588865771294872</v>
      </c>
      <c r="V4296" s="11">
        <v>0.2881313496689546</v>
      </c>
      <c r="W4296" s="11">
        <v>0.2264027175618638</v>
      </c>
      <c r="X4296" s="11">
        <v>0.04389370555663351</v>
      </c>
      <c r="Y4296" s="11">
        <v>0.2521492220388846</v>
      </c>
      <c r="Z4296" s="11">
        <v>0.030536428044176174</v>
      </c>
    </row>
    <row r="4297" ht="22.5" customHeight="1">
      <c r="Q4297" s="9" t="s">
        <v>4335</v>
      </c>
      <c r="R4297" s="10">
        <v>0.6760636413078389</v>
      </c>
      <c r="S4297" s="10">
        <v>0.03142737563783022</v>
      </c>
      <c r="T4297" s="10">
        <v>20.23915864429313</v>
      </c>
      <c r="U4297" s="11">
        <v>0.14843918050542218</v>
      </c>
      <c r="V4297" s="11">
        <v>0.16571725594030232</v>
      </c>
      <c r="W4297" s="11">
        <v>0.23856019328309824</v>
      </c>
      <c r="X4297" s="11">
        <v>0.19906965866187265</v>
      </c>
      <c r="Y4297" s="11">
        <v>2.378966443050201E-4</v>
      </c>
      <c r="Z4297" s="11">
        <v>0.24797581496499965</v>
      </c>
    </row>
    <row r="4298" ht="22.5" customHeight="1">
      <c r="Q4298" s="9" t="s">
        <v>4336</v>
      </c>
      <c r="R4298" s="10">
        <v>0.5670157300083667</v>
      </c>
      <c r="S4298" s="10">
        <v>0.02603956296099754</v>
      </c>
      <c r="T4298" s="10">
        <v>20.23903898839389</v>
      </c>
      <c r="U4298" s="11">
        <v>0.23759364598487012</v>
      </c>
      <c r="V4298" s="11">
        <v>0.12014140716773802</v>
      </c>
      <c r="W4298" s="11">
        <v>0.2025203049215782</v>
      </c>
      <c r="X4298" s="11">
        <v>0.17769124203841133</v>
      </c>
      <c r="Y4298" s="11">
        <v>0.021909587296540942</v>
      </c>
      <c r="Z4298" s="11">
        <v>0.2401438125908613</v>
      </c>
    </row>
    <row r="4299" ht="22.5" customHeight="1">
      <c r="Q4299" s="9" t="s">
        <v>4337</v>
      </c>
      <c r="R4299" s="10">
        <v>0.7109100357610859</v>
      </c>
      <c r="S4299" s="10">
        <v>0.03314970325437066</v>
      </c>
      <c r="T4299" s="10">
        <v>20.238794616438355</v>
      </c>
      <c r="U4299" s="11">
        <v>0.2763120484629713</v>
      </c>
      <c r="V4299" s="11">
        <v>0.2776378835217321</v>
      </c>
      <c r="W4299" s="11">
        <v>0.13885053116197635</v>
      </c>
      <c r="X4299" s="11">
        <v>0.11616770431117655</v>
      </c>
      <c r="Y4299" s="11">
        <v>0.16446882379859268</v>
      </c>
      <c r="Z4299" s="11">
        <v>0.02656300874355116</v>
      </c>
    </row>
    <row r="4300" ht="22.5" customHeight="1">
      <c r="Q4300" s="9" t="s">
        <v>4338</v>
      </c>
      <c r="R4300" s="10">
        <v>0.46527214919739557</v>
      </c>
      <c r="S4300" s="10">
        <v>0.02101413618284254</v>
      </c>
      <c r="T4300" s="10">
        <v>20.237431864775797</v>
      </c>
      <c r="U4300" s="11">
        <v>0.1894140046525685</v>
      </c>
      <c r="V4300" s="11">
        <v>0.18364360100993876</v>
      </c>
      <c r="W4300" s="11">
        <v>0.0432619792118728</v>
      </c>
      <c r="X4300" s="11">
        <v>0.2601359616032581</v>
      </c>
      <c r="Y4300" s="11">
        <v>0.14855872443583817</v>
      </c>
      <c r="Z4300" s="11">
        <v>0.17498572908652374</v>
      </c>
    </row>
    <row r="4301" ht="22.5" customHeight="1">
      <c r="Q4301" s="9" t="s">
        <v>4339</v>
      </c>
      <c r="R4301" s="10">
        <v>0.7327328779357829</v>
      </c>
      <c r="S4301" s="10">
        <v>0.03423075198887659</v>
      </c>
      <c r="T4301" s="10">
        <v>20.237150447670242</v>
      </c>
      <c r="U4301" s="11">
        <v>0.009204738139719016</v>
      </c>
      <c r="V4301" s="11">
        <v>0.2810452105242542</v>
      </c>
      <c r="W4301" s="11">
        <v>0.1657165170137409</v>
      </c>
      <c r="X4301" s="11">
        <v>0.1491382204569812</v>
      </c>
      <c r="Y4301" s="11">
        <v>0.10625375691613706</v>
      </c>
      <c r="Z4301" s="11">
        <v>0.2886415569491677</v>
      </c>
    </row>
    <row r="4302" ht="22.5" customHeight="1">
      <c r="Q4302" s="9" t="s">
        <v>4340</v>
      </c>
      <c r="R4302" s="10">
        <v>0.782974718650514</v>
      </c>
      <c r="S4302" s="10">
        <v>0.036714821786864464</v>
      </c>
      <c r="T4302" s="10">
        <v>20.236370013277025</v>
      </c>
      <c r="U4302" s="11">
        <v>0.25821102746073576</v>
      </c>
      <c r="V4302" s="11">
        <v>0.2179888609975165</v>
      </c>
      <c r="W4302" s="11">
        <v>0.26084731657919874</v>
      </c>
      <c r="X4302" s="11">
        <v>0.08491834833038785</v>
      </c>
      <c r="Y4302" s="11">
        <v>0.14871072146136502</v>
      </c>
      <c r="Z4302" s="11">
        <v>0.029323725170796063</v>
      </c>
    </row>
    <row r="4303" ht="22.5" customHeight="1">
      <c r="Q4303" s="9" t="s">
        <v>4341</v>
      </c>
      <c r="R4303" s="10">
        <v>0.585192019990964</v>
      </c>
      <c r="S4303" s="10">
        <v>0.026941351715989683</v>
      </c>
      <c r="T4303" s="10">
        <v>20.236253389891818</v>
      </c>
      <c r="U4303" s="11">
        <v>0.2623454313426767</v>
      </c>
      <c r="V4303" s="11">
        <v>0.2211654056081751</v>
      </c>
      <c r="W4303" s="11">
        <v>0.10884346000147042</v>
      </c>
      <c r="X4303" s="11">
        <v>0.04979804378624385</v>
      </c>
      <c r="Y4303" s="11">
        <v>0.2509880909674355</v>
      </c>
      <c r="Z4303" s="11">
        <v>0.10685956829399844</v>
      </c>
    </row>
    <row r="4304" ht="22.5" customHeight="1">
      <c r="Q4304" s="9" t="s">
        <v>4342</v>
      </c>
      <c r="R4304" s="10">
        <v>0.783603146292167</v>
      </c>
      <c r="S4304" s="10">
        <v>0.03674746631007145</v>
      </c>
      <c r="T4304" s="10">
        <v>20.235494333615218</v>
      </c>
      <c r="U4304" s="11">
        <v>0.15519557802473202</v>
      </c>
      <c r="V4304" s="11">
        <v>0.26005962385848447</v>
      </c>
      <c r="W4304" s="11">
        <v>0.2235415374039363</v>
      </c>
      <c r="X4304" s="11">
        <v>0.022658512866785763</v>
      </c>
      <c r="Y4304" s="11">
        <v>0.25155687121699766</v>
      </c>
      <c r="Z4304" s="11">
        <v>0.08698787662906378</v>
      </c>
    </row>
    <row r="4305" ht="22.5" customHeight="1">
      <c r="Q4305" s="9" t="s">
        <v>4343</v>
      </c>
      <c r="R4305" s="10">
        <v>0.8088196691995259</v>
      </c>
      <c r="S4305" s="10">
        <v>0.037994862163786086</v>
      </c>
      <c r="T4305" s="10">
        <v>20.23483243301007</v>
      </c>
      <c r="U4305" s="11">
        <v>0.004299688523289262</v>
      </c>
      <c r="V4305" s="11">
        <v>0.20199250637540478</v>
      </c>
      <c r="W4305" s="11">
        <v>0.28764910305785846</v>
      </c>
      <c r="X4305" s="11">
        <v>0.2720399355264738</v>
      </c>
      <c r="Y4305" s="11">
        <v>0.11875328947576003</v>
      </c>
      <c r="Z4305" s="11">
        <v>0.11526547704121362</v>
      </c>
    </row>
    <row r="4306" ht="22.5" customHeight="1">
      <c r="Q4306" s="9" t="s">
        <v>4344</v>
      </c>
      <c r="R4306" s="10">
        <v>0.5329681036998196</v>
      </c>
      <c r="S4306" s="10">
        <v>0.02436265431768068</v>
      </c>
      <c r="T4306" s="10">
        <v>20.23458106295333</v>
      </c>
      <c r="U4306" s="11">
        <v>0.018724322277113514</v>
      </c>
      <c r="V4306" s="11">
        <v>0.209108038646512</v>
      </c>
      <c r="W4306" s="11">
        <v>0.08187624428646981</v>
      </c>
      <c r="X4306" s="11">
        <v>0.1518274684772605</v>
      </c>
      <c r="Y4306" s="11">
        <v>0.26144418810608416</v>
      </c>
      <c r="Z4306" s="11">
        <v>0.2770197382065601</v>
      </c>
    </row>
    <row r="4307" ht="22.5" customHeight="1">
      <c r="Q4307" s="9" t="s">
        <v>4345</v>
      </c>
      <c r="R4307" s="10">
        <v>0.6347047739641889</v>
      </c>
      <c r="S4307" s="10">
        <v>0.029391066678923734</v>
      </c>
      <c r="T4307" s="10">
        <v>20.234201788622062</v>
      </c>
      <c r="U4307" s="11">
        <v>0.12319944588622518</v>
      </c>
      <c r="V4307" s="11">
        <v>0.187416137174642</v>
      </c>
      <c r="W4307" s="11">
        <v>0.19795272965059296</v>
      </c>
      <c r="X4307" s="11">
        <v>0.027048092392325397</v>
      </c>
      <c r="Y4307" s="11">
        <v>0.16060345684023383</v>
      </c>
      <c r="Z4307" s="11">
        <v>0.3037801380559807</v>
      </c>
    </row>
    <row r="4308" ht="22.5" customHeight="1">
      <c r="Q4308" s="9" t="s">
        <v>4346</v>
      </c>
      <c r="R4308" s="10">
        <v>0.6693308369835782</v>
      </c>
      <c r="S4308" s="10">
        <v>0.031102429436431867</v>
      </c>
      <c r="T4308" s="10">
        <v>20.23413760233182</v>
      </c>
      <c r="U4308" s="11">
        <v>0.17801056140291954</v>
      </c>
      <c r="V4308" s="11">
        <v>0.26005882181072004</v>
      </c>
      <c r="W4308" s="11">
        <v>0.12807476949630664</v>
      </c>
      <c r="X4308" s="11">
        <v>0.0986546844734796</v>
      </c>
      <c r="Y4308" s="11">
        <v>0.2504044349600793</v>
      </c>
      <c r="Z4308" s="11">
        <v>0.084796727856495</v>
      </c>
    </row>
    <row r="4309" ht="22.5" customHeight="1">
      <c r="Q4309" s="9" t="s">
        <v>4347</v>
      </c>
      <c r="R4309" s="10">
        <v>0.4949902302033498</v>
      </c>
      <c r="S4309" s="10">
        <v>0.022486415423349216</v>
      </c>
      <c r="T4309" s="10">
        <v>20.234004470579233</v>
      </c>
      <c r="U4309" s="11">
        <v>0.2959401792217237</v>
      </c>
      <c r="V4309" s="11">
        <v>0.06889638197246926</v>
      </c>
      <c r="W4309" s="11">
        <v>0.18061544421500203</v>
      </c>
      <c r="X4309" s="11">
        <v>0.30974210059964885</v>
      </c>
      <c r="Y4309" s="11">
        <v>0.046903111531293805</v>
      </c>
      <c r="Z4309" s="11">
        <v>0.09790278245986246</v>
      </c>
    </row>
    <row r="4310" ht="22.5" customHeight="1">
      <c r="Q4310" s="9" t="s">
        <v>4348</v>
      </c>
      <c r="R4310" s="10">
        <v>0.45115341163900285</v>
      </c>
      <c r="S4310" s="10">
        <v>0.020320214912885357</v>
      </c>
      <c r="T4310" s="10">
        <v>20.23371373785443</v>
      </c>
      <c r="U4310" s="11">
        <v>0.14481500500495206</v>
      </c>
      <c r="V4310" s="11">
        <v>0.13534562866573638</v>
      </c>
      <c r="W4310" s="11">
        <v>0.09823946504223861</v>
      </c>
      <c r="X4310" s="11">
        <v>0.012290235619139507</v>
      </c>
      <c r="Y4310" s="11">
        <v>0.4337234227119104</v>
      </c>
      <c r="Z4310" s="11">
        <v>0.1755862429560231</v>
      </c>
    </row>
    <row r="4311" ht="22.5" customHeight="1">
      <c r="Q4311" s="9" t="s">
        <v>4349</v>
      </c>
      <c r="R4311" s="10">
        <v>0.3859460546289451</v>
      </c>
      <c r="S4311" s="10">
        <v>0.017097831892441212</v>
      </c>
      <c r="T4311" s="10">
        <v>20.23332881064789</v>
      </c>
      <c r="U4311" s="11">
        <v>0.11579862324859133</v>
      </c>
      <c r="V4311" s="11">
        <v>0.048813329035855176</v>
      </c>
      <c r="W4311" s="11">
        <v>0.12733099394990618</v>
      </c>
      <c r="X4311" s="11">
        <v>0.21172617854584136</v>
      </c>
      <c r="Y4311" s="11">
        <v>0.27849137149261727</v>
      </c>
      <c r="Z4311" s="11">
        <v>0.2178395037271887</v>
      </c>
    </row>
    <row r="4312" ht="22.5" customHeight="1">
      <c r="Q4312" s="9" t="s">
        <v>4350</v>
      </c>
      <c r="R4312" s="10">
        <v>0.6004784869100442</v>
      </c>
      <c r="S4312" s="10">
        <v>0.027700792802630696</v>
      </c>
      <c r="T4312" s="10">
        <v>20.233301295868202</v>
      </c>
      <c r="U4312" s="11">
        <v>0.22371234707339577</v>
      </c>
      <c r="V4312" s="11">
        <v>0.10535293473470154</v>
      </c>
      <c r="W4312" s="11">
        <v>0.22296286113637634</v>
      </c>
      <c r="X4312" s="11">
        <v>0.28489621776365337</v>
      </c>
      <c r="Y4312" s="11">
        <v>0.10585196869444996</v>
      </c>
      <c r="Z4312" s="11">
        <v>0.05722367059742299</v>
      </c>
    </row>
    <row r="4313" ht="22.5" customHeight="1">
      <c r="Q4313" s="9" t="s">
        <v>4351</v>
      </c>
      <c r="R4313" s="10">
        <v>0.7021743654820577</v>
      </c>
      <c r="S4313" s="10">
        <v>0.0327274725267635</v>
      </c>
      <c r="T4313" s="10">
        <v>20.232982089910923</v>
      </c>
      <c r="U4313" s="11">
        <v>0.035890813031605844</v>
      </c>
      <c r="V4313" s="11">
        <v>0.1729935502623619</v>
      </c>
      <c r="W4313" s="11">
        <v>0.2441063752153619</v>
      </c>
      <c r="X4313" s="11">
        <v>0.1495009354655919</v>
      </c>
      <c r="Y4313" s="11">
        <v>0.2568452234956618</v>
      </c>
      <c r="Z4313" s="11">
        <v>0.1406631025294167</v>
      </c>
    </row>
    <row r="4314" ht="22.5" customHeight="1">
      <c r="Q4314" s="9" t="s">
        <v>4352</v>
      </c>
      <c r="R4314" s="10">
        <v>0.8944713242455881</v>
      </c>
      <c r="S4314" s="10">
        <v>0.04223169609391028</v>
      </c>
      <c r="T4314" s="10">
        <v>20.23293884161098</v>
      </c>
      <c r="U4314" s="11">
        <v>0.029902336822520754</v>
      </c>
      <c r="V4314" s="11">
        <v>0.3087348130636509</v>
      </c>
      <c r="W4314" s="11">
        <v>0.25737823060251513</v>
      </c>
      <c r="X4314" s="11">
        <v>0.17697365798126763</v>
      </c>
      <c r="Y4314" s="11">
        <v>0.017954141407720173</v>
      </c>
      <c r="Z4314" s="11">
        <v>0.20905682012232527</v>
      </c>
    </row>
    <row r="4315" ht="22.5" customHeight="1">
      <c r="Q4315" s="9" t="s">
        <v>4353</v>
      </c>
      <c r="R4315" s="10">
        <v>0.47986917294113524</v>
      </c>
      <c r="S4315" s="10">
        <v>0.021740486771852207</v>
      </c>
      <c r="T4315" s="10">
        <v>20.232719605461718</v>
      </c>
      <c r="U4315" s="11">
        <v>0.19360653039148285</v>
      </c>
      <c r="V4315" s="11">
        <v>0.07849135960701885</v>
      </c>
      <c r="W4315" s="11">
        <v>0.17294957694688598</v>
      </c>
      <c r="X4315" s="11">
        <v>0.20951239703117958</v>
      </c>
      <c r="Y4315" s="11">
        <v>0.12092491039145004</v>
      </c>
      <c r="Z4315" s="11">
        <v>0.22451522563198284</v>
      </c>
    </row>
    <row r="4316" ht="22.5" customHeight="1">
      <c r="Q4316" s="9" t="s">
        <v>4354</v>
      </c>
      <c r="R4316" s="10">
        <v>0.7638980591753998</v>
      </c>
      <c r="S4316" s="10">
        <v>0.035778999824264586</v>
      </c>
      <c r="T4316" s="10">
        <v>20.232484494562836</v>
      </c>
      <c r="U4316" s="11">
        <v>0.137048912862956</v>
      </c>
      <c r="V4316" s="11">
        <v>0.27960022971192494</v>
      </c>
      <c r="W4316" s="11">
        <v>0.18852753696850982</v>
      </c>
      <c r="X4316" s="11">
        <v>0.05359159707362577</v>
      </c>
      <c r="Y4316" s="11">
        <v>0.20843282753411008</v>
      </c>
      <c r="Z4316" s="11">
        <v>0.1327988958488735</v>
      </c>
    </row>
    <row r="4317" ht="22.5" customHeight="1">
      <c r="Q4317" s="9" t="s">
        <v>4355</v>
      </c>
      <c r="R4317" s="10">
        <v>0.5887102862961375</v>
      </c>
      <c r="S4317" s="10">
        <v>0.027121027914011688</v>
      </c>
      <c r="T4317" s="10">
        <v>20.23191333440036</v>
      </c>
      <c r="U4317" s="11">
        <v>0.20280977851637758</v>
      </c>
      <c r="V4317" s="11">
        <v>0.11434419177122576</v>
      </c>
      <c r="W4317" s="11">
        <v>0.21434994448365013</v>
      </c>
      <c r="X4317" s="11">
        <v>0.19625303445534073</v>
      </c>
      <c r="Y4317" s="11">
        <v>0.15358536633051503</v>
      </c>
      <c r="Z4317" s="11">
        <v>0.11865768444289075</v>
      </c>
    </row>
    <row r="4318" ht="22.5" customHeight="1">
      <c r="Q4318" s="9" t="s">
        <v>4356</v>
      </c>
      <c r="R4318" s="10">
        <v>0.5687809210880798</v>
      </c>
      <c r="S4318" s="10">
        <v>0.0261360182874914</v>
      </c>
      <c r="T4318" s="10">
        <v>20.231885181269263</v>
      </c>
      <c r="U4318" s="11">
        <v>0.4480827111108339</v>
      </c>
      <c r="V4318" s="11">
        <v>0.1228439232915005</v>
      </c>
      <c r="W4318" s="11">
        <v>0.19663296186518373</v>
      </c>
      <c r="X4318" s="11">
        <v>0.1266006338715414</v>
      </c>
      <c r="Y4318" s="11">
        <v>0.018366952870080118</v>
      </c>
      <c r="Z4318" s="11">
        <v>0.08747281699086043</v>
      </c>
    </row>
    <row r="4319" ht="22.5" customHeight="1">
      <c r="Q4319" s="9" t="s">
        <v>4357</v>
      </c>
      <c r="R4319" s="10">
        <v>0.8497487707515461</v>
      </c>
      <c r="S4319" s="10">
        <v>0.04002512753094877</v>
      </c>
      <c r="T4319" s="10">
        <v>20.231010385299115</v>
      </c>
      <c r="U4319" s="11">
        <v>0.21735166332359365</v>
      </c>
      <c r="V4319" s="11">
        <v>0.24354512805830295</v>
      </c>
      <c r="W4319" s="11">
        <v>0.283550320327891</v>
      </c>
      <c r="X4319" s="11">
        <v>0.13238295170557818</v>
      </c>
      <c r="Y4319" s="11">
        <v>0.08753135202123463</v>
      </c>
      <c r="Z4319" s="11">
        <v>0.035638584563399724</v>
      </c>
    </row>
    <row r="4320" ht="22.5" customHeight="1">
      <c r="Q4320" s="9" t="s">
        <v>4358</v>
      </c>
      <c r="R4320" s="10">
        <v>0.7642953059089546</v>
      </c>
      <c r="S4320" s="10">
        <v>0.035801893678008234</v>
      </c>
      <c r="T4320" s="10">
        <v>20.23064233481767</v>
      </c>
      <c r="U4320" s="11">
        <v>0.12292511978184886</v>
      </c>
      <c r="V4320" s="11">
        <v>0.21344533911369212</v>
      </c>
      <c r="W4320" s="11">
        <v>0.25834851438801826</v>
      </c>
      <c r="X4320" s="11">
        <v>0.16178739252265023</v>
      </c>
      <c r="Y4320" s="11">
        <v>0.02016970159998591</v>
      </c>
      <c r="Z4320" s="11">
        <v>0.22332393259380448</v>
      </c>
    </row>
    <row r="4321" ht="22.5" customHeight="1">
      <c r="Q4321" s="9" t="s">
        <v>4359</v>
      </c>
      <c r="R4321" s="10">
        <v>0.5504038288567629</v>
      </c>
      <c r="S4321" s="10">
        <v>0.025229965017804484</v>
      </c>
      <c r="T4321" s="10">
        <v>20.230064865194105</v>
      </c>
      <c r="U4321" s="11">
        <v>0.17151284390242827</v>
      </c>
      <c r="V4321" s="11">
        <v>0.22293086609587492</v>
      </c>
      <c r="W4321" s="11">
        <v>0.06950501091363391</v>
      </c>
      <c r="X4321" s="11">
        <v>0.24477068297833773</v>
      </c>
      <c r="Y4321" s="11">
        <v>0.12449484053512018</v>
      </c>
      <c r="Z4321" s="11">
        <v>0.16678575557460493</v>
      </c>
    </row>
    <row r="4322" ht="22.5" customHeight="1">
      <c r="Q4322" s="9" t="s">
        <v>4360</v>
      </c>
      <c r="R4322" s="10">
        <v>0.6309513846579652</v>
      </c>
      <c r="S4322" s="10">
        <v>0.029211719901903157</v>
      </c>
      <c r="T4322" s="10">
        <v>20.229941497537926</v>
      </c>
      <c r="U4322" s="11">
        <v>0.24409906455813468</v>
      </c>
      <c r="V4322" s="11">
        <v>0.2482206271464685</v>
      </c>
      <c r="W4322" s="11">
        <v>0.10546793478405375</v>
      </c>
      <c r="X4322" s="11">
        <v>0.12883405266101836</v>
      </c>
      <c r="Y4322" s="11">
        <v>0.23870279668198485</v>
      </c>
      <c r="Z4322" s="11">
        <v>0.03467552416833975</v>
      </c>
    </row>
    <row r="4323" ht="22.5" customHeight="1">
      <c r="Q4323" s="9" t="s">
        <v>4361</v>
      </c>
      <c r="R4323" s="10">
        <v>0.6208132211667302</v>
      </c>
      <c r="S4323" s="10">
        <v>0.028710579382615804</v>
      </c>
      <c r="T4323" s="10">
        <v>20.229937314271385</v>
      </c>
      <c r="U4323" s="11">
        <v>0.07646724975856431</v>
      </c>
      <c r="V4323" s="11">
        <v>0.1863448436222142</v>
      </c>
      <c r="W4323" s="11">
        <v>0.18680246899917505</v>
      </c>
      <c r="X4323" s="11">
        <v>0.007588116902514548</v>
      </c>
      <c r="Y4323" s="11">
        <v>0.25875080334209477</v>
      </c>
      <c r="Z4323" s="11">
        <v>0.2840465173754373</v>
      </c>
    </row>
    <row r="4324" ht="22.5" customHeight="1">
      <c r="Q4324" s="9" t="s">
        <v>4362</v>
      </c>
      <c r="R4324" s="10">
        <v>0.5489495627127091</v>
      </c>
      <c r="S4324" s="10">
        <v>0.025158829910184418</v>
      </c>
      <c r="T4324" s="10">
        <v>20.229460771014782</v>
      </c>
      <c r="U4324" s="11">
        <v>0.19709591159722636</v>
      </c>
      <c r="V4324" s="11">
        <v>0.11741384546161426</v>
      </c>
      <c r="W4324" s="11">
        <v>0.18747327451516016</v>
      </c>
      <c r="X4324" s="11">
        <v>0.08532098088609225</v>
      </c>
      <c r="Y4324" s="11">
        <v>0.2835312183100874</v>
      </c>
      <c r="Z4324" s="11">
        <v>0.12916476922981945</v>
      </c>
    </row>
    <row r="4325" ht="22.5" customHeight="1">
      <c r="Q4325" s="9" t="s">
        <v>4363</v>
      </c>
      <c r="R4325" s="10">
        <v>0.5163145933530615</v>
      </c>
      <c r="S4325" s="10">
        <v>0.023545921758439815</v>
      </c>
      <c r="T4325" s="10">
        <v>20.229175915881527</v>
      </c>
      <c r="U4325" s="11">
        <v>0.08077030939870658</v>
      </c>
      <c r="V4325" s="11">
        <v>0.19832865314771253</v>
      </c>
      <c r="W4325" s="11">
        <v>0.07094748780439895</v>
      </c>
      <c r="X4325" s="11">
        <v>0.15509365772015818</v>
      </c>
      <c r="Y4325" s="11">
        <v>0.34572466728750734</v>
      </c>
      <c r="Z4325" s="11">
        <v>0.14913522464151635</v>
      </c>
    </row>
    <row r="4326" ht="22.5" customHeight="1">
      <c r="Q4326" s="9" t="s">
        <v>4364</v>
      </c>
      <c r="R4326" s="10">
        <v>0.5244046461439748</v>
      </c>
      <c r="S4326" s="10">
        <v>0.02394614088454306</v>
      </c>
      <c r="T4326" s="10">
        <v>20.22892325237475</v>
      </c>
      <c r="U4326" s="11">
        <v>0.29955714044475884</v>
      </c>
      <c r="V4326" s="11">
        <v>0.13379707043034528</v>
      </c>
      <c r="W4326" s="11">
        <v>0.1671303078422754</v>
      </c>
      <c r="X4326" s="11">
        <v>0.014199146616260204</v>
      </c>
      <c r="Y4326" s="11">
        <v>0.13342628693860906</v>
      </c>
      <c r="Z4326" s="11">
        <v>0.25189004772775136</v>
      </c>
    </row>
    <row r="4327" ht="22.5" customHeight="1">
      <c r="Q4327" s="9" t="s">
        <v>4365</v>
      </c>
      <c r="R4327" s="10">
        <v>0.6121214490649324</v>
      </c>
      <c r="S4327" s="10">
        <v>0.028282438472586286</v>
      </c>
      <c r="T4327" s="10">
        <v>20.22885861201397</v>
      </c>
      <c r="U4327" s="11">
        <v>0.08800726425026098</v>
      </c>
      <c r="V4327" s="11">
        <v>0.2505351156308464</v>
      </c>
      <c r="W4327" s="11">
        <v>0.08319860452371278</v>
      </c>
      <c r="X4327" s="11">
        <v>0.30687549828987865</v>
      </c>
      <c r="Y4327" s="11">
        <v>0.11107298425726252</v>
      </c>
      <c r="Z4327" s="11">
        <v>0.16031053304803872</v>
      </c>
    </row>
    <row r="4328" ht="22.5" customHeight="1">
      <c r="Q4328" s="9" t="s">
        <v>4366</v>
      </c>
      <c r="R4328" s="10">
        <v>0.691208956833462</v>
      </c>
      <c r="S4328" s="10">
        <v>0.032193908967200285</v>
      </c>
      <c r="T4328" s="10">
        <v>20.227706970810065</v>
      </c>
      <c r="U4328" s="11">
        <v>0.17237168296847363</v>
      </c>
      <c r="V4328" s="11">
        <v>0.1711974320110066</v>
      </c>
      <c r="W4328" s="11">
        <v>0.24046362897530435</v>
      </c>
      <c r="X4328" s="11">
        <v>0.11506534966159483</v>
      </c>
      <c r="Y4328" s="11">
        <v>0.18362167056466394</v>
      </c>
      <c r="Z4328" s="11">
        <v>0.11728023581895676</v>
      </c>
    </row>
    <row r="4329" ht="22.5" customHeight="1">
      <c r="Q4329" s="9" t="s">
        <v>4367</v>
      </c>
      <c r="R4329" s="10">
        <v>0.9394704430487947</v>
      </c>
      <c r="S4329" s="10">
        <v>0.04446756533552762</v>
      </c>
      <c r="T4329" s="10">
        <v>20.227562185199233</v>
      </c>
      <c r="U4329" s="11">
        <v>0.03343586188214411</v>
      </c>
      <c r="V4329" s="11">
        <v>0.3355393120288255</v>
      </c>
      <c r="W4329" s="11">
        <v>0.2589983247195134</v>
      </c>
      <c r="X4329" s="11">
        <v>0.21032082125849236</v>
      </c>
      <c r="Y4329" s="11">
        <v>6.404114732525243E-4</v>
      </c>
      <c r="Z4329" s="11">
        <v>0.16106526863777232</v>
      </c>
    </row>
    <row r="4330" ht="22.5" customHeight="1">
      <c r="Q4330" s="9" t="s">
        <v>4368</v>
      </c>
      <c r="R4330" s="10">
        <v>0.7532276654845713</v>
      </c>
      <c r="S4330" s="10">
        <v>0.03526184419303437</v>
      </c>
      <c r="T4330" s="10">
        <v>20.226612697286615</v>
      </c>
      <c r="U4330" s="11">
        <v>0.20412244234477545</v>
      </c>
      <c r="V4330" s="11">
        <v>0.22944978371345448</v>
      </c>
      <c r="W4330" s="11">
        <v>0.2367196418748283</v>
      </c>
      <c r="X4330" s="11">
        <v>0.04794100700166218</v>
      </c>
      <c r="Y4330" s="11">
        <v>0.12240623412771476</v>
      </c>
      <c r="Z4330" s="11">
        <v>0.1593608909375648</v>
      </c>
    </row>
    <row r="4331" ht="22.5" customHeight="1">
      <c r="Q4331" s="9" t="s">
        <v>4369</v>
      </c>
      <c r="R4331" s="10">
        <v>0.414117188111701</v>
      </c>
      <c r="S4331" s="10">
        <v>0.018496331888622333</v>
      </c>
      <c r="T4331" s="10">
        <v>20.226561156259965</v>
      </c>
      <c r="U4331" s="11">
        <v>0.1953481166129435</v>
      </c>
      <c r="V4331" s="11">
        <v>0.040019229903823304</v>
      </c>
      <c r="W4331" s="11">
        <v>0.1447884011220525</v>
      </c>
      <c r="X4331" s="11">
        <v>0.3850239736577826</v>
      </c>
      <c r="Y4331" s="11">
        <v>0.07401422140910413</v>
      </c>
      <c r="Z4331" s="11">
        <v>0.16080605729429398</v>
      </c>
    </row>
    <row r="4332" ht="22.5" customHeight="1">
      <c r="Q4332" s="9" t="s">
        <v>4370</v>
      </c>
      <c r="R4332" s="10">
        <v>0.6803130011867045</v>
      </c>
      <c r="S4332" s="10">
        <v>0.031657206820045594</v>
      </c>
      <c r="T4332" s="10">
        <v>20.22645285247507</v>
      </c>
      <c r="U4332" s="11">
        <v>0.2896928784150746</v>
      </c>
      <c r="V4332" s="11">
        <v>0.1890901682169497</v>
      </c>
      <c r="W4332" s="11">
        <v>0.22113487076563573</v>
      </c>
      <c r="X4332" s="11">
        <v>0.030848828330405576</v>
      </c>
      <c r="Y4332" s="11">
        <v>0.1481841339184481</v>
      </c>
      <c r="Z4332" s="11">
        <v>0.12104912035348628</v>
      </c>
    </row>
    <row r="4333" ht="22.5" customHeight="1">
      <c r="Q4333" s="9" t="s">
        <v>4371</v>
      </c>
      <c r="R4333" s="10">
        <v>0.8973374310295913</v>
      </c>
      <c r="S4333" s="10">
        <v>0.0423871562619099</v>
      </c>
      <c r="T4333" s="10">
        <v>20.226349362342454</v>
      </c>
      <c r="U4333" s="11">
        <v>0.013236063108360108</v>
      </c>
      <c r="V4333" s="11">
        <v>0.28411737415247384</v>
      </c>
      <c r="W4333" s="11">
        <v>0.28317919906979994</v>
      </c>
      <c r="X4333" s="11">
        <v>0.20489529852469443</v>
      </c>
      <c r="Y4333" s="11">
        <v>0.008707566995460013</v>
      </c>
      <c r="Z4333" s="11">
        <v>0.20586449814921148</v>
      </c>
    </row>
    <row r="4334" ht="22.5" customHeight="1">
      <c r="Q4334" s="9" t="s">
        <v>4372</v>
      </c>
      <c r="R4334" s="10">
        <v>0.6506258388066722</v>
      </c>
      <c r="S4334" s="10">
        <v>0.030190983194654936</v>
      </c>
      <c r="T4334" s="10">
        <v>20.22543733901248</v>
      </c>
      <c r="U4334" s="11">
        <v>0.07789531411278645</v>
      </c>
      <c r="V4334" s="11">
        <v>0.1378984635796286</v>
      </c>
      <c r="W4334" s="11">
        <v>0.23828522084954157</v>
      </c>
      <c r="X4334" s="11">
        <v>0.2704026707786494</v>
      </c>
      <c r="Y4334" s="11">
        <v>0.06908109657263665</v>
      </c>
      <c r="Z4334" s="11">
        <v>0.20643723410675727</v>
      </c>
    </row>
    <row r="4335" ht="22.5" customHeight="1">
      <c r="Q4335" s="9" t="s">
        <v>4373</v>
      </c>
      <c r="R4335" s="10">
        <v>0.7701686527620736</v>
      </c>
      <c r="S4335" s="10">
        <v>0.03610412639934089</v>
      </c>
      <c r="T4335" s="10">
        <v>20.223966775592814</v>
      </c>
      <c r="U4335" s="11">
        <v>0.2878690921757351</v>
      </c>
      <c r="V4335" s="11">
        <v>0.25160405408340963</v>
      </c>
      <c r="W4335" s="11">
        <v>0.22300640696723728</v>
      </c>
      <c r="X4335" s="11">
        <v>0.006961667942511291</v>
      </c>
      <c r="Y4335" s="11">
        <v>0.17513982216146992</v>
      </c>
      <c r="Z4335" s="11">
        <v>0.05541895666963694</v>
      </c>
    </row>
    <row r="4336" ht="22.5" customHeight="1">
      <c r="Q4336" s="9" t="s">
        <v>4374</v>
      </c>
      <c r="R4336" s="10">
        <v>0.8777944196843445</v>
      </c>
      <c r="S4336" s="10">
        <v>0.04142664448043498</v>
      </c>
      <c r="T4336" s="10">
        <v>20.22356457279611</v>
      </c>
      <c r="U4336" s="11">
        <v>0.23474460458460597</v>
      </c>
      <c r="V4336" s="11">
        <v>0.30030157790614287</v>
      </c>
      <c r="W4336" s="11">
        <v>0.24887323202033854</v>
      </c>
      <c r="X4336" s="11">
        <v>0.061624345112970866</v>
      </c>
      <c r="Y4336" s="11">
        <v>0.14583713458822953</v>
      </c>
      <c r="Z4336" s="11">
        <v>0.008619105787712213</v>
      </c>
    </row>
    <row r="4337" ht="22.5" customHeight="1">
      <c r="Q4337" s="9" t="s">
        <v>4375</v>
      </c>
      <c r="R4337" s="10">
        <v>0.2529280131545882</v>
      </c>
      <c r="S4337" s="10">
        <v>0.010528874380589266</v>
      </c>
      <c r="T4337" s="10">
        <v>20.223245663101103</v>
      </c>
      <c r="U4337" s="11">
        <v>4.0263440972127505E-4</v>
      </c>
      <c r="V4337" s="11">
        <v>0.02858998654932716</v>
      </c>
      <c r="W4337" s="11">
        <v>0.048471152277267227</v>
      </c>
      <c r="X4337" s="11">
        <v>0.3394986255888226</v>
      </c>
      <c r="Y4337" s="11">
        <v>0.15995223437191744</v>
      </c>
      <c r="Z4337" s="11">
        <v>0.4230853668029443</v>
      </c>
    </row>
    <row r="4338" ht="22.5" customHeight="1">
      <c r="Q4338" s="9" t="s">
        <v>4376</v>
      </c>
      <c r="R4338" s="10">
        <v>0.6258266075071609</v>
      </c>
      <c r="S4338" s="10">
        <v>0.028968352376041208</v>
      </c>
      <c r="T4338" s="10">
        <v>20.222986792706898</v>
      </c>
      <c r="U4338" s="11">
        <v>0.2666636406384936</v>
      </c>
      <c r="V4338" s="11">
        <v>0.12227251569627776</v>
      </c>
      <c r="W4338" s="11">
        <v>0.23066968835202603</v>
      </c>
      <c r="X4338" s="11">
        <v>0.2593061518142119</v>
      </c>
      <c r="Y4338" s="11">
        <v>0.02781984148326304</v>
      </c>
      <c r="Z4338" s="11">
        <v>0.09326816201572755</v>
      </c>
    </row>
    <row r="4339" ht="22.5" customHeight="1">
      <c r="Q4339" s="9" t="s">
        <v>4377</v>
      </c>
      <c r="R4339" s="10">
        <v>0.522331348251574</v>
      </c>
      <c r="S4339" s="10">
        <v>0.025561421754596945</v>
      </c>
      <c r="T4339" s="10">
        <v>20.22288936499058</v>
      </c>
      <c r="U4339" s="11">
        <v>0.2545829058951233</v>
      </c>
      <c r="V4339" s="11">
        <v>0.21231402845464056</v>
      </c>
      <c r="W4339" s="11">
        <v>0.10617972151237244</v>
      </c>
      <c r="X4339" s="11">
        <v>0.05780001924702902</v>
      </c>
      <c r="Y4339" s="11">
        <v>0.12111490884689877</v>
      </c>
      <c r="Z4339" s="11">
        <v>0.2480084160439359</v>
      </c>
    </row>
    <row r="4340" ht="22.5" customHeight="1">
      <c r="Q4340" s="9" t="s">
        <v>4378</v>
      </c>
      <c r="R4340" s="10">
        <v>0.5752236303510445</v>
      </c>
      <c r="S4340" s="10">
        <v>0.02646635911530859</v>
      </c>
      <c r="T4340" s="10">
        <v>20.222790298400433</v>
      </c>
      <c r="U4340" s="11">
        <v>0.2681640789556585</v>
      </c>
      <c r="V4340" s="11">
        <v>0.09440632303666459</v>
      </c>
      <c r="W4340" s="11">
        <v>0.21368591861093766</v>
      </c>
      <c r="X4340" s="11">
        <v>0.2999433427012743</v>
      </c>
      <c r="Y4340" s="11">
        <v>0.07500650399450018</v>
      </c>
      <c r="Z4340" s="11">
        <v>0.048793832700964816</v>
      </c>
    </row>
    <row r="4341" ht="22.5" customHeight="1">
      <c r="Q4341" s="9" t="s">
        <v>4379</v>
      </c>
      <c r="R4341" s="10">
        <v>0.685998828753876</v>
      </c>
      <c r="S4341" s="10">
        <v>0.03194481903036379</v>
      </c>
      <c r="T4341" s="10">
        <v>20.222334900061547</v>
      </c>
      <c r="U4341" s="11">
        <v>0.1279245068279042</v>
      </c>
      <c r="V4341" s="11">
        <v>0.24581486700777436</v>
      </c>
      <c r="W4341" s="11">
        <v>0.1771615395729886</v>
      </c>
      <c r="X4341" s="11">
        <v>0.06637895090486153</v>
      </c>
      <c r="Y4341" s="11">
        <v>0.04794081535405963</v>
      </c>
      <c r="Z4341" s="11">
        <v>0.3347793203324117</v>
      </c>
    </row>
    <row r="4342" ht="22.5" customHeight="1">
      <c r="Q4342" s="9" t="s">
        <v>4380</v>
      </c>
      <c r="R4342" s="10">
        <v>1.0245688883517432</v>
      </c>
      <c r="S4342" s="10">
        <v>0.04868765687293189</v>
      </c>
      <c r="T4342" s="10">
        <v>20.222145644045533</v>
      </c>
      <c r="U4342" s="11">
        <v>0.09423121715897405</v>
      </c>
      <c r="V4342" s="11">
        <v>0.34287761974628755</v>
      </c>
      <c r="W4342" s="11">
        <v>0.3089446296135758</v>
      </c>
      <c r="X4342" s="11">
        <v>0.21878044430455196</v>
      </c>
      <c r="Y4342" s="11">
        <v>0.00861839094548908</v>
      </c>
      <c r="Z4342" s="11">
        <v>0.02654769823112159</v>
      </c>
    </row>
    <row r="4343" ht="22.5" customHeight="1">
      <c r="Q4343" s="9" t="s">
        <v>4381</v>
      </c>
      <c r="R4343" s="10">
        <v>0.7856712702779073</v>
      </c>
      <c r="S4343" s="10">
        <v>0.036874340173378164</v>
      </c>
      <c r="T4343" s="10">
        <v>20.221955613900118</v>
      </c>
      <c r="U4343" s="11">
        <v>0.027651768244297183</v>
      </c>
      <c r="V4343" s="11">
        <v>0.20584570387879517</v>
      </c>
      <c r="W4343" s="11">
        <v>0.2708343063999491</v>
      </c>
      <c r="X4343" s="11">
        <v>0.16354922783477188</v>
      </c>
      <c r="Y4343" s="11">
        <v>0.24109517675319278</v>
      </c>
      <c r="Z4343" s="11">
        <v>0.09102381688899389</v>
      </c>
    </row>
    <row r="4344" ht="22.5" customHeight="1">
      <c r="Q4344" s="9" t="s">
        <v>4382</v>
      </c>
      <c r="R4344" s="10">
        <v>0.4864129503269466</v>
      </c>
      <c r="S4344" s="10">
        <v>0.022075974741246732</v>
      </c>
      <c r="T4344" s="10">
        <v>20.22166430064214</v>
      </c>
      <c r="U4344" s="11">
        <v>0.21085348594269626</v>
      </c>
      <c r="V4344" s="11">
        <v>0.08687027664612461</v>
      </c>
      <c r="W4344" s="11">
        <v>0.17131112739653134</v>
      </c>
      <c r="X4344" s="11">
        <v>0.14225664239343305</v>
      </c>
      <c r="Y4344" s="11">
        <v>0.1989938187434442</v>
      </c>
      <c r="Z4344" s="11">
        <v>0.18971464887777054</v>
      </c>
    </row>
    <row r="4345" ht="22.5" customHeight="1">
      <c r="Q4345" s="9" t="s">
        <v>4383</v>
      </c>
      <c r="R4345" s="10">
        <v>0.522331348251574</v>
      </c>
      <c r="S4345" s="10">
        <v>0.030763729004926795</v>
      </c>
      <c r="T4345" s="10">
        <v>20.221460235246504</v>
      </c>
      <c r="U4345" s="11">
        <v>0.2992908638527173</v>
      </c>
      <c r="V4345" s="11">
        <v>0.16928898271000042</v>
      </c>
      <c r="W4345" s="11">
        <v>0.22703428428617</v>
      </c>
      <c r="X4345" s="11">
        <v>0.11603181320183546</v>
      </c>
      <c r="Y4345" s="11">
        <v>0.005518429134582837</v>
      </c>
      <c r="Z4345" s="11">
        <v>0.1828356268146939</v>
      </c>
    </row>
    <row r="4346" ht="22.5" customHeight="1">
      <c r="Q4346" s="9" t="s">
        <v>4384</v>
      </c>
      <c r="R4346" s="10">
        <v>0.522331348251574</v>
      </c>
      <c r="S4346" s="10">
        <v>0.03691183133057386</v>
      </c>
      <c r="T4346" s="10">
        <v>20.220920193995852</v>
      </c>
      <c r="U4346" s="11">
        <v>0.009681342518180043</v>
      </c>
      <c r="V4346" s="11">
        <v>0.24469616067350516</v>
      </c>
      <c r="W4346" s="11">
        <v>0.2410643848822394</v>
      </c>
      <c r="X4346" s="11">
        <v>0.06464517266826511</v>
      </c>
      <c r="Y4346" s="11">
        <v>0.2918824009210458</v>
      </c>
      <c r="Z4346" s="11">
        <v>0.14803053833676452</v>
      </c>
    </row>
    <row r="4347" ht="22.5" customHeight="1">
      <c r="Q4347" s="9" t="s">
        <v>4385</v>
      </c>
      <c r="R4347" s="10">
        <v>0.6311672195565133</v>
      </c>
      <c r="S4347" s="10">
        <v>0.029235926566011844</v>
      </c>
      <c r="T4347" s="10">
        <v>20.220574101584088</v>
      </c>
      <c r="U4347" s="11">
        <v>0.21382100655262912</v>
      </c>
      <c r="V4347" s="11">
        <v>0.2482102503249146</v>
      </c>
      <c r="W4347" s="11">
        <v>0.12138791802728115</v>
      </c>
      <c r="X4347" s="11">
        <v>0.14061816389166495</v>
      </c>
      <c r="Y4347" s="11">
        <v>0.02454638418051189</v>
      </c>
      <c r="Z4347" s="11">
        <v>0.2514162770229983</v>
      </c>
    </row>
    <row r="4348" ht="22.5" customHeight="1">
      <c r="Q4348" s="9" t="s">
        <v>4386</v>
      </c>
      <c r="R4348" s="10">
        <v>0.6886560244617207</v>
      </c>
      <c r="S4348" s="10">
        <v>0.032079038111355915</v>
      </c>
      <c r="T4348" s="10">
        <v>20.22055718161006</v>
      </c>
      <c r="U4348" s="11">
        <v>0.31087862872569605</v>
      </c>
      <c r="V4348" s="11">
        <v>0.26923113642844243</v>
      </c>
      <c r="W4348" s="11">
        <v>0.12907010493379478</v>
      </c>
      <c r="X4348" s="11">
        <v>0.11098006297083592</v>
      </c>
      <c r="Y4348" s="11">
        <v>0.1785535805747099</v>
      </c>
      <c r="Z4348" s="11">
        <v>0.001286486366520888</v>
      </c>
    </row>
    <row r="4349" ht="22.5" customHeight="1">
      <c r="Q4349" s="9" t="s">
        <v>4387</v>
      </c>
      <c r="R4349" s="10">
        <v>0.8953708584532705</v>
      </c>
      <c r="S4349" s="10">
        <v>0.042302711955518914</v>
      </c>
      <c r="T4349" s="10">
        <v>20.220236928372074</v>
      </c>
      <c r="U4349" s="11">
        <v>0.0226939394587852</v>
      </c>
      <c r="V4349" s="11">
        <v>0.3062529364605845</v>
      </c>
      <c r="W4349" s="11">
        <v>0.25881485652123576</v>
      </c>
      <c r="X4349" s="11">
        <v>0.12454632468634878</v>
      </c>
      <c r="Y4349" s="11">
        <v>0.14403689108201875</v>
      </c>
      <c r="Z4349" s="11">
        <v>0.14365505179102714</v>
      </c>
    </row>
    <row r="4350" ht="22.5" customHeight="1">
      <c r="Q4350" s="9" t="s">
        <v>4388</v>
      </c>
      <c r="R4350" s="10">
        <v>0.6172470692378561</v>
      </c>
      <c r="S4350" s="10">
        <v>0.0285481343070844</v>
      </c>
      <c r="T4350" s="10">
        <v>20.22013288254037</v>
      </c>
      <c r="U4350" s="11">
        <v>0.004030683032008916</v>
      </c>
      <c r="V4350" s="11">
        <v>0.2496959480437638</v>
      </c>
      <c r="W4350" s="11">
        <v>0.096029828140033</v>
      </c>
      <c r="X4350" s="11">
        <v>0.23285960263698954</v>
      </c>
      <c r="Y4350" s="11">
        <v>0.19688641072537977</v>
      </c>
      <c r="Z4350" s="11">
        <v>0.22049752742182485</v>
      </c>
    </row>
    <row r="4351" ht="22.5" customHeight="1">
      <c r="Q4351" s="9" t="s">
        <v>4389</v>
      </c>
      <c r="R4351" s="10">
        <v>0.4697890788141264</v>
      </c>
      <c r="S4351" s="10">
        <v>0.021256221869248373</v>
      </c>
      <c r="T4351" s="10">
        <v>20.21944828473527</v>
      </c>
      <c r="U4351" s="11">
        <v>0.09312168466131476</v>
      </c>
      <c r="V4351" s="11">
        <v>0.16892113046954674</v>
      </c>
      <c r="W4351" s="11">
        <v>0.0883644595509385</v>
      </c>
      <c r="X4351" s="11">
        <v>0.029830593824853646</v>
      </c>
      <c r="Y4351" s="11">
        <v>0.2810289239331122</v>
      </c>
      <c r="Z4351" s="11">
        <v>0.3387332075602341</v>
      </c>
    </row>
    <row r="4352" ht="22.5" customHeight="1">
      <c r="Q4352" s="9" t="s">
        <v>4390</v>
      </c>
      <c r="R4352" s="10">
        <v>0.735466963729473</v>
      </c>
      <c r="S4352" s="10">
        <v>0.0343961416079866</v>
      </c>
      <c r="T4352" s="10">
        <v>20.219330750981364</v>
      </c>
      <c r="U4352" s="11">
        <v>0.21017557811015017</v>
      </c>
      <c r="V4352" s="11">
        <v>0.23673344310256303</v>
      </c>
      <c r="W4352" s="11">
        <v>0.2161130842644532</v>
      </c>
      <c r="X4352" s="11">
        <v>0.005628264655373654</v>
      </c>
      <c r="Y4352" s="11">
        <v>0.19355502187334178</v>
      </c>
      <c r="Z4352" s="11">
        <v>0.1377946079941182</v>
      </c>
    </row>
    <row r="4353" ht="22.5" customHeight="1">
      <c r="Q4353" s="9" t="s">
        <v>4391</v>
      </c>
      <c r="R4353" s="10">
        <v>0.7666670775768609</v>
      </c>
      <c r="S4353" s="10">
        <v>0.03594112906950033</v>
      </c>
      <c r="T4353" s="10">
        <v>20.218259592559964</v>
      </c>
      <c r="U4353" s="11">
        <v>0.16879712612144643</v>
      </c>
      <c r="V4353" s="11">
        <v>0.23805072500865967</v>
      </c>
      <c r="W4353" s="11">
        <v>0.24073437502401532</v>
      </c>
      <c r="X4353" s="11">
        <v>0.09238300774625757</v>
      </c>
      <c r="Y4353" s="11">
        <v>0.02451811224724424</v>
      </c>
      <c r="Z4353" s="11">
        <v>0.23551665385237674</v>
      </c>
    </row>
    <row r="4354" ht="22.5" customHeight="1">
      <c r="Q4354" s="9" t="s">
        <v>4392</v>
      </c>
      <c r="R4354" s="10">
        <v>0.870209146967201</v>
      </c>
      <c r="S4354" s="10">
        <v>0.04106284699583251</v>
      </c>
      <c r="T4354" s="10">
        <v>20.21801233244883</v>
      </c>
      <c r="U4354" s="11">
        <v>0.1753559382803747</v>
      </c>
      <c r="V4354" s="11">
        <v>0.28280514137179513</v>
      </c>
      <c r="W4354" s="11">
        <v>0.26304666298720025</v>
      </c>
      <c r="X4354" s="11">
        <v>0.07215384108503005</v>
      </c>
      <c r="Y4354" s="11">
        <v>0.15165793111815387</v>
      </c>
      <c r="Z4354" s="11">
        <v>0.05498048515744615</v>
      </c>
    </row>
    <row r="4355" ht="22.5" customHeight="1">
      <c r="Q4355" s="9" t="s">
        <v>4393</v>
      </c>
      <c r="R4355" s="10">
        <v>0.542581601441862</v>
      </c>
      <c r="S4355" s="10">
        <v>0.024858289737050284</v>
      </c>
      <c r="T4355" s="10">
        <v>20.21786722892622</v>
      </c>
      <c r="U4355" s="11">
        <v>0.21834976545927984</v>
      </c>
      <c r="V4355" s="11">
        <v>0.09061005257415806</v>
      </c>
      <c r="W4355" s="11">
        <v>0.19782755306563332</v>
      </c>
      <c r="X4355" s="11">
        <v>0.22242739197811892</v>
      </c>
      <c r="Y4355" s="11">
        <v>0.19621987922972883</v>
      </c>
      <c r="Z4355" s="11">
        <v>0.074565357693081</v>
      </c>
    </row>
    <row r="4356" ht="22.5" customHeight="1">
      <c r="Q4356" s="9" t="s">
        <v>4394</v>
      </c>
      <c r="R4356" s="10">
        <v>0.4210450854894111</v>
      </c>
      <c r="S4356" s="10">
        <v>0.018847140069712807</v>
      </c>
      <c r="T4356" s="10">
        <v>20.21766082705287</v>
      </c>
      <c r="U4356" s="11">
        <v>0.36529462743386226</v>
      </c>
      <c r="V4356" s="11">
        <v>0.10777553966226838</v>
      </c>
      <c r="W4356" s="11">
        <v>0.12024113814738197</v>
      </c>
      <c r="X4356" s="11">
        <v>0.03421471790885235</v>
      </c>
      <c r="Y4356" s="11">
        <v>0.02195586967449286</v>
      </c>
      <c r="Z4356" s="11">
        <v>0.35051810717314213</v>
      </c>
    </row>
    <row r="4357" ht="22.5" customHeight="1">
      <c r="Q4357" s="9" t="s">
        <v>4395</v>
      </c>
      <c r="R4357" s="10">
        <v>0.5361999689204784</v>
      </c>
      <c r="S4357" s="10">
        <v>0.02454300756120228</v>
      </c>
      <c r="T4357" s="10">
        <v>20.21756981833286</v>
      </c>
      <c r="U4357" s="11">
        <v>0.2074458500300472</v>
      </c>
      <c r="V4357" s="11">
        <v>0.21489660359125998</v>
      </c>
      <c r="W4357" s="11">
        <v>0.07564157209636323</v>
      </c>
      <c r="X4357" s="11">
        <v>0.1795573285392544</v>
      </c>
      <c r="Y4357" s="11">
        <v>0.10539779570602972</v>
      </c>
      <c r="Z4357" s="11">
        <v>0.21706085003704537</v>
      </c>
    </row>
    <row r="4358" ht="22.5" customHeight="1">
      <c r="Q4358" s="9" t="s">
        <v>4396</v>
      </c>
      <c r="R4358" s="10">
        <v>0.6560836478945509</v>
      </c>
      <c r="S4358" s="10">
        <v>0.030472775166062505</v>
      </c>
      <c r="T4358" s="10">
        <v>20.217510369081268</v>
      </c>
      <c r="U4358" s="11">
        <v>0.16522076080033737</v>
      </c>
      <c r="V4358" s="11">
        <v>0.19456366702299063</v>
      </c>
      <c r="W4358" s="11">
        <v>0.20178154075373844</v>
      </c>
      <c r="X4358" s="11">
        <v>6.520857546640533E-4</v>
      </c>
      <c r="Y4358" s="11">
        <v>0.23787234360762435</v>
      </c>
      <c r="Z4358" s="11">
        <v>0.19990960206064504</v>
      </c>
    </row>
    <row r="4359" ht="22.5" customHeight="1">
      <c r="Q4359" s="9" t="s">
        <v>4397</v>
      </c>
      <c r="R4359" s="10">
        <v>0.8487291493476152</v>
      </c>
      <c r="S4359" s="10">
        <v>0.04000167326750485</v>
      </c>
      <c r="T4359" s="10">
        <v>20.217383006439935</v>
      </c>
      <c r="U4359" s="11">
        <v>0.022925068544537974</v>
      </c>
      <c r="V4359" s="11">
        <v>0.3036323137582899</v>
      </c>
      <c r="W4359" s="11">
        <v>0.23126074145964534</v>
      </c>
      <c r="X4359" s="11">
        <v>0.17215210650547738</v>
      </c>
      <c r="Y4359" s="11">
        <v>0.0017241022164203468</v>
      </c>
      <c r="Z4359" s="11">
        <v>0.268305667515629</v>
      </c>
    </row>
    <row r="4360" ht="22.5" customHeight="1">
      <c r="Q4360" s="9" t="s">
        <v>4398</v>
      </c>
      <c r="R4360" s="10">
        <v>0.793467166192592</v>
      </c>
      <c r="S4360" s="10">
        <v>0.037268775538602715</v>
      </c>
      <c r="T4360" s="10">
        <v>20.21711621333404</v>
      </c>
      <c r="U4360" s="11">
        <v>0.055896411330761786</v>
      </c>
      <c r="V4360" s="11">
        <v>0.2101941412872418</v>
      </c>
      <c r="W4360" s="11">
        <v>0.27631520470309545</v>
      </c>
      <c r="X4360" s="11">
        <v>0.20269200035014986</v>
      </c>
      <c r="Y4360" s="11">
        <v>0.08987257201205383</v>
      </c>
      <c r="Z4360" s="11">
        <v>0.16502967031669738</v>
      </c>
    </row>
    <row r="4361" ht="22.5" customHeight="1">
      <c r="Q4361" s="9" t="s">
        <v>4399</v>
      </c>
      <c r="R4361" s="10">
        <v>0.6593242846134241</v>
      </c>
      <c r="S4361" s="10">
        <v>0.030635159400208455</v>
      </c>
      <c r="T4361" s="10">
        <v>20.216127375828503</v>
      </c>
      <c r="U4361" s="11">
        <v>0.28845619228871194</v>
      </c>
      <c r="V4361" s="11">
        <v>0.16599024286430233</v>
      </c>
      <c r="W4361" s="11">
        <v>0.22559307609519538</v>
      </c>
      <c r="X4361" s="11">
        <v>0.07633501059473446</v>
      </c>
      <c r="Y4361" s="11">
        <v>0.1252248907074324</v>
      </c>
      <c r="Z4361" s="11">
        <v>0.11840058744962355</v>
      </c>
    </row>
    <row r="4362" ht="22.5" customHeight="1">
      <c r="Q4362" s="9" t="s">
        <v>4400</v>
      </c>
      <c r="R4362" s="10">
        <v>0.6454688382622004</v>
      </c>
      <c r="S4362" s="10">
        <v>0.02995065344160343</v>
      </c>
      <c r="T4362" s="10">
        <v>20.215546864201773</v>
      </c>
      <c r="U4362" s="11">
        <v>0.23528389207279374</v>
      </c>
      <c r="V4362" s="11">
        <v>0.1669572093440369</v>
      </c>
      <c r="W4362" s="11">
        <v>0.21404199397184223</v>
      </c>
      <c r="X4362" s="11">
        <v>0.03632506360102869</v>
      </c>
      <c r="Y4362" s="11">
        <v>0.24229025399048645</v>
      </c>
      <c r="Z4362" s="11">
        <v>0.10510158701981205</v>
      </c>
    </row>
    <row r="4363" ht="22.5" customHeight="1">
      <c r="Q4363" s="9" t="s">
        <v>4401</v>
      </c>
      <c r="R4363" s="10">
        <v>0.662447181420148</v>
      </c>
      <c r="S4363" s="10">
        <v>0.030790787839745412</v>
      </c>
      <c r="T4363" s="10">
        <v>20.215370410778505</v>
      </c>
      <c r="U4363" s="11">
        <v>0.06620762216316159</v>
      </c>
      <c r="V4363" s="11">
        <v>0.18456492830837135</v>
      </c>
      <c r="W4363" s="11">
        <v>0.21370499263715212</v>
      </c>
      <c r="X4363" s="11">
        <v>0.04439569481414326</v>
      </c>
      <c r="Y4363" s="11">
        <v>0.27600037173123115</v>
      </c>
      <c r="Z4363" s="11">
        <v>0.21512639034594055</v>
      </c>
    </row>
    <row r="4364" ht="22.5" customHeight="1">
      <c r="Q4364" s="9" t="s">
        <v>4402</v>
      </c>
      <c r="R4364" s="10">
        <v>0.601298974221742</v>
      </c>
      <c r="S4364" s="10">
        <v>0.02776741833909511</v>
      </c>
      <c r="T4364" s="10">
        <v>20.214301789499157</v>
      </c>
      <c r="U4364" s="11">
        <v>0.3452184302487342</v>
      </c>
      <c r="V4364" s="11">
        <v>0.12021328250520419</v>
      </c>
      <c r="W4364" s="11">
        <v>0.21745725405584815</v>
      </c>
      <c r="X4364" s="11">
        <v>0.18039798324254835</v>
      </c>
      <c r="Y4364" s="11">
        <v>0.07686077486621634</v>
      </c>
      <c r="Z4364" s="11">
        <v>0.059852275081449094</v>
      </c>
    </row>
    <row r="4365" ht="22.5" customHeight="1">
      <c r="Q4365" s="9" t="s">
        <v>4403</v>
      </c>
      <c r="R4365" s="10">
        <v>0.7430878251029469</v>
      </c>
      <c r="S4365" s="10">
        <v>0.03478268635372534</v>
      </c>
      <c r="T4365" s="10">
        <v>20.21372984112953</v>
      </c>
      <c r="U4365" s="11">
        <v>0.20629713511959488</v>
      </c>
      <c r="V4365" s="11">
        <v>0.23413083538237067</v>
      </c>
      <c r="W4365" s="11">
        <v>0.22600576559929642</v>
      </c>
      <c r="X4365" s="11">
        <v>0.026466549400793023</v>
      </c>
      <c r="Y4365" s="11">
        <v>0.1372349834092343</v>
      </c>
      <c r="Z4365" s="11">
        <v>0.16986473108871067</v>
      </c>
    </row>
    <row r="4366" ht="22.5" customHeight="1">
      <c r="Q4366" s="9" t="s">
        <v>4404</v>
      </c>
      <c r="R4366" s="10">
        <v>0.6711423032305148</v>
      </c>
      <c r="S4366" s="10">
        <v>0.031223571713297826</v>
      </c>
      <c r="T4366" s="10">
        <v>20.213648490499796</v>
      </c>
      <c r="U4366" s="11">
        <v>0.31644140101724405</v>
      </c>
      <c r="V4366" s="11">
        <v>0.1673928751726166</v>
      </c>
      <c r="W4366" s="11">
        <v>0.22939372185917387</v>
      </c>
      <c r="X4366" s="11">
        <v>0.07098225474085999</v>
      </c>
      <c r="Y4366" s="11">
        <v>0.1610731089168666</v>
      </c>
      <c r="Z4366" s="11">
        <v>0.05471663829323906</v>
      </c>
    </row>
    <row r="4367" ht="22.5" customHeight="1">
      <c r="Q4367" s="9" t="s">
        <v>4405</v>
      </c>
      <c r="R4367" s="10">
        <v>0.7113914201085736</v>
      </c>
      <c r="S4367" s="10">
        <v>0.03321523514137308</v>
      </c>
      <c r="T4367" s="10">
        <v>20.213357432243033</v>
      </c>
      <c r="U4367" s="11">
        <v>0.12425956951513421</v>
      </c>
      <c r="V4367" s="11">
        <v>0.21179060348351927</v>
      </c>
      <c r="W4367" s="11">
        <v>0.22558292089607843</v>
      </c>
      <c r="X4367" s="11">
        <v>0.041630327553760366</v>
      </c>
      <c r="Y4367" s="11">
        <v>0.1776942257424944</v>
      </c>
      <c r="Z4367" s="11">
        <v>0.2190423528090134</v>
      </c>
    </row>
    <row r="4368" ht="22.5" customHeight="1">
      <c r="Q4368" s="9" t="s">
        <v>4406</v>
      </c>
      <c r="R4368" s="10">
        <v>0.9644549709366951</v>
      </c>
      <c r="S4368" s="10">
        <v>0.045735729183328626</v>
      </c>
      <c r="T4368" s="10">
        <v>20.212971071939815</v>
      </c>
      <c r="U4368" s="11">
        <v>0.05105312012989604</v>
      </c>
      <c r="V4368" s="11">
        <v>0.3239509519651853</v>
      </c>
      <c r="W4368" s="11">
        <v>0.2883155084079034</v>
      </c>
      <c r="X4368" s="11">
        <v>0.1682848630324618</v>
      </c>
      <c r="Y4368" s="11">
        <v>0.08133119767981227</v>
      </c>
      <c r="Z4368" s="11">
        <v>0.08706435878474135</v>
      </c>
    </row>
    <row r="4369" ht="22.5" customHeight="1">
      <c r="Q4369" s="9" t="s">
        <v>4407</v>
      </c>
      <c r="R4369" s="10">
        <v>0.930639254565355</v>
      </c>
      <c r="S4369" s="10">
        <v>0.0440629649968005</v>
      </c>
      <c r="T4369" s="10">
        <v>20.212876156428106</v>
      </c>
      <c r="U4369" s="11">
        <v>0.13124864745484585</v>
      </c>
      <c r="V4369" s="11">
        <v>0.352681676944646</v>
      </c>
      <c r="W4369" s="11">
        <v>0.22789694356899945</v>
      </c>
      <c r="X4369" s="11">
        <v>0.19928018998189162</v>
      </c>
      <c r="Y4369" s="11">
        <v>0.038391311973521136</v>
      </c>
      <c r="Z4369" s="11">
        <v>0.05050123007609592</v>
      </c>
    </row>
    <row r="4370" ht="22.5" customHeight="1">
      <c r="Q4370" s="9" t="s">
        <v>4408</v>
      </c>
      <c r="R4370" s="10">
        <v>0.4830907019714401</v>
      </c>
      <c r="S4370" s="10">
        <v>0.021921427512386217</v>
      </c>
      <c r="T4370" s="10">
        <v>20.212675553226703</v>
      </c>
      <c r="U4370" s="11">
        <v>0.2780756738605889</v>
      </c>
      <c r="V4370" s="11">
        <v>0.09510180639133871</v>
      </c>
      <c r="W4370" s="11">
        <v>0.16862443135373423</v>
      </c>
      <c r="X4370" s="11">
        <v>0.1453306254082895</v>
      </c>
      <c r="Y4370" s="11">
        <v>0.02875118698256184</v>
      </c>
      <c r="Z4370" s="11">
        <v>0.2841162760034869</v>
      </c>
    </row>
    <row r="4371" ht="22.5" customHeight="1">
      <c r="Q4371" s="9" t="s">
        <v>4409</v>
      </c>
      <c r="R4371" s="10">
        <v>0.6320749012883161</v>
      </c>
      <c r="S4371" s="10">
        <v>0.029292420843611323</v>
      </c>
      <c r="T4371" s="10">
        <v>20.212562985126155</v>
      </c>
      <c r="U4371" s="11">
        <v>0.20769984514600784</v>
      </c>
      <c r="V4371" s="11">
        <v>0.24784696666018233</v>
      </c>
      <c r="W4371" s="11">
        <v>0.1106550854152648</v>
      </c>
      <c r="X4371" s="11">
        <v>0.10919673635550374</v>
      </c>
      <c r="Y4371" s="11">
        <v>0.24738797474732332</v>
      </c>
      <c r="Z4371" s="11">
        <v>0.077213391675718</v>
      </c>
    </row>
    <row r="4372" ht="22.5" customHeight="1">
      <c r="Q4372" s="9" t="s">
        <v>4410</v>
      </c>
      <c r="R4372" s="10">
        <v>0.7699250974361989</v>
      </c>
      <c r="S4372" s="10">
        <v>0.036112676152146236</v>
      </c>
      <c r="T4372" s="10">
        <v>20.212434391761857</v>
      </c>
      <c r="U4372" s="11">
        <v>0.27309790760913744</v>
      </c>
      <c r="V4372" s="11">
        <v>0.19674047817822973</v>
      </c>
      <c r="W4372" s="11">
        <v>0.26857558521688496</v>
      </c>
      <c r="X4372" s="11">
        <v>0.13759054293214337</v>
      </c>
      <c r="Y4372" s="11">
        <v>0.1093071577477458</v>
      </c>
      <c r="Z4372" s="11">
        <v>0.014688328315858739</v>
      </c>
    </row>
    <row r="4373" ht="22.5" customHeight="1">
      <c r="Q4373" s="9" t="s">
        <v>4411</v>
      </c>
      <c r="R4373" s="10">
        <v>0.6086707424631511</v>
      </c>
      <c r="S4373" s="10">
        <v>0.028135484920269137</v>
      </c>
      <c r="T4373" s="10">
        <v>20.211869248909725</v>
      </c>
      <c r="U4373" s="11">
        <v>0.2965459054980227</v>
      </c>
      <c r="V4373" s="11">
        <v>0.12722921877800641</v>
      </c>
      <c r="W4373" s="11">
        <v>0.21607351942859068</v>
      </c>
      <c r="X4373" s="11">
        <v>0.12856465146733362</v>
      </c>
      <c r="Y4373" s="11">
        <v>0.20009195524448664</v>
      </c>
      <c r="Z4373" s="11">
        <v>0.031494749583559904</v>
      </c>
    </row>
    <row r="4374" ht="22.5" customHeight="1">
      <c r="Q4374" s="9" t="s">
        <v>4412</v>
      </c>
      <c r="R4374" s="10">
        <v>0.7650310317222305</v>
      </c>
      <c r="S4374" s="10">
        <v>0.03587185308452896</v>
      </c>
      <c r="T4374" s="10">
        <v>20.21169717699715</v>
      </c>
      <c r="U4374" s="11">
        <v>0.05783543566967493</v>
      </c>
      <c r="V4374" s="11">
        <v>0.2879070803953576</v>
      </c>
      <c r="W4374" s="11">
        <v>0.1843299047844728</v>
      </c>
      <c r="X4374" s="11">
        <v>0.11561255404058111</v>
      </c>
      <c r="Y4374" s="11">
        <v>0.10362827082338585</v>
      </c>
      <c r="Z4374" s="11">
        <v>0.2506867542865277</v>
      </c>
    </row>
    <row r="4375" ht="22.5" customHeight="1">
      <c r="Q4375" s="9" t="s">
        <v>4413</v>
      </c>
      <c r="R4375" s="10">
        <v>0.349992015693498</v>
      </c>
      <c r="S4375" s="10">
        <v>0.015337379165284094</v>
      </c>
      <c r="T4375" s="10">
        <v>20.21153760058041</v>
      </c>
      <c r="U4375" s="11">
        <v>0.21274051742781527</v>
      </c>
      <c r="V4375" s="11">
        <v>0.03455099439919931</v>
      </c>
      <c r="W4375" s="11">
        <v>0.1139689373155249</v>
      </c>
      <c r="X4375" s="11">
        <v>0.24258586731881723</v>
      </c>
      <c r="Y4375" s="11">
        <v>0.1755281349922755</v>
      </c>
      <c r="Z4375" s="11">
        <v>0.2206255485463679</v>
      </c>
    </row>
    <row r="4376" ht="22.5" customHeight="1">
      <c r="Q4376" s="9" t="s">
        <v>4414</v>
      </c>
      <c r="R4376" s="10">
        <v>0.606216673403707</v>
      </c>
      <c r="S4376" s="10">
        <v>0.02801560394756733</v>
      </c>
      <c r="T4376" s="10">
        <v>20.210760919643608</v>
      </c>
      <c r="U4376" s="11">
        <v>0.10464683055513228</v>
      </c>
      <c r="V4376" s="11">
        <v>0.24207130786299869</v>
      </c>
      <c r="W4376" s="11">
        <v>0.10381324108625481</v>
      </c>
      <c r="X4376" s="11">
        <v>0.14810231969879833</v>
      </c>
      <c r="Y4376" s="11">
        <v>0.16901305076674594</v>
      </c>
      <c r="Z4376" s="11">
        <v>0.23235325003006996</v>
      </c>
    </row>
    <row r="4377" ht="22.5" customHeight="1">
      <c r="Q4377" s="9" t="s">
        <v>4415</v>
      </c>
      <c r="R4377" s="10">
        <v>0.7342072488209744</v>
      </c>
      <c r="S4377" s="10">
        <v>0.03434864895313646</v>
      </c>
      <c r="T4377" s="10">
        <v>20.21061293467802</v>
      </c>
      <c r="U4377" s="11">
        <v>0.049850087199907446</v>
      </c>
      <c r="V4377" s="11">
        <v>0.2936042561168564</v>
      </c>
      <c r="W4377" s="11">
        <v>0.13857896267442532</v>
      </c>
      <c r="X4377" s="11">
        <v>0.19582920674216542</v>
      </c>
      <c r="Y4377" s="11">
        <v>0.19625471997120672</v>
      </c>
      <c r="Z4377" s="11">
        <v>0.12588276729543857</v>
      </c>
    </row>
    <row r="4378" ht="22.5" customHeight="1">
      <c r="Q4378" s="9" t="s">
        <v>4416</v>
      </c>
      <c r="R4378" s="10">
        <v>0.7591140501486924</v>
      </c>
      <c r="S4378" s="10">
        <v>0.03558123611431883</v>
      </c>
      <c r="T4378" s="10">
        <v>20.210485319797584</v>
      </c>
      <c r="U4378" s="11">
        <v>0.1560415409090642</v>
      </c>
      <c r="V4378" s="11">
        <v>0.24993226074493347</v>
      </c>
      <c r="W4378" s="11">
        <v>0.2221399808764151</v>
      </c>
      <c r="X4378" s="11">
        <v>0.029420337529862957</v>
      </c>
      <c r="Y4378" s="11">
        <v>0.15660256217731283</v>
      </c>
      <c r="Z4378" s="11">
        <v>0.1858633177624115</v>
      </c>
    </row>
    <row r="4379" ht="22.5" customHeight="1">
      <c r="Q4379" s="9" t="s">
        <v>4417</v>
      </c>
      <c r="R4379" s="10">
        <v>0.6293900096099684</v>
      </c>
      <c r="S4379" s="10">
        <v>0.029164755445639918</v>
      </c>
      <c r="T4379" s="10">
        <v>20.208981717968808</v>
      </c>
      <c r="U4379" s="11">
        <v>0.025227512574082123</v>
      </c>
      <c r="V4379" s="11">
        <v>0.25452554366069924</v>
      </c>
      <c r="W4379" s="11">
        <v>0.10357544230871617</v>
      </c>
      <c r="X4379" s="11">
        <v>0.2136523424898848</v>
      </c>
      <c r="Y4379" s="11">
        <v>0.16605886675584594</v>
      </c>
      <c r="Z4379" s="11">
        <v>0.23696029221077164</v>
      </c>
    </row>
    <row r="4380" ht="22.5" customHeight="1">
      <c r="Q4380" s="9" t="s">
        <v>4418</v>
      </c>
      <c r="R4380" s="10">
        <v>0.5722384453870318</v>
      </c>
      <c r="S4380" s="10">
        <v>0.02633738956122119</v>
      </c>
      <c r="T4380" s="10">
        <v>20.208473742238006</v>
      </c>
      <c r="U4380" s="11">
        <v>0.2260965362376107</v>
      </c>
      <c r="V4380" s="11">
        <v>0.11934990382809149</v>
      </c>
      <c r="W4380" s="11">
        <v>0.2062496944670337</v>
      </c>
      <c r="X4380" s="11">
        <v>0.19813121866650701</v>
      </c>
      <c r="Y4380" s="11">
        <v>0.0060650795626429575</v>
      </c>
      <c r="Z4380" s="11">
        <v>0.24410756723811405</v>
      </c>
    </row>
    <row r="4381" ht="22.5" customHeight="1">
      <c r="Q4381" s="9" t="s">
        <v>4419</v>
      </c>
      <c r="R4381" s="10">
        <v>0.7020587637266111</v>
      </c>
      <c r="S4381" s="10">
        <v>0.03276189453463043</v>
      </c>
      <c r="T4381" s="10">
        <v>20.20819531748363</v>
      </c>
      <c r="U4381" s="11">
        <v>0.2285087639677906</v>
      </c>
      <c r="V4381" s="11">
        <v>0.18771619046437066</v>
      </c>
      <c r="W4381" s="11">
        <v>0.2375239926457769</v>
      </c>
      <c r="X4381" s="11">
        <v>0.0776031768362193</v>
      </c>
      <c r="Y4381" s="11">
        <v>0.12280956240347304</v>
      </c>
      <c r="Z4381" s="11">
        <v>0.14583831368236952</v>
      </c>
    </row>
    <row r="4382" ht="22.5" customHeight="1">
      <c r="Q4382" s="9" t="s">
        <v>4420</v>
      </c>
      <c r="R4382" s="10">
        <v>0.757402045570205</v>
      </c>
      <c r="S4382" s="10">
        <v>0.03550117670345168</v>
      </c>
      <c r="T4382" s="10">
        <v>20.20783850526436</v>
      </c>
      <c r="U4382" s="11">
        <v>0.0827396639037016</v>
      </c>
      <c r="V4382" s="11">
        <v>0.23959836000799903</v>
      </c>
      <c r="W4382" s="11">
        <v>0.2326210595624158</v>
      </c>
      <c r="X4382" s="11">
        <v>0.06011441191733304</v>
      </c>
      <c r="Y4382" s="11">
        <v>0.14275243012554426</v>
      </c>
      <c r="Z4382" s="11">
        <v>0.2421740744830063</v>
      </c>
    </row>
    <row r="4383" ht="22.5" customHeight="1">
      <c r="Q4383" s="9" t="s">
        <v>4421</v>
      </c>
      <c r="R4383" s="10">
        <v>0.6756967677134414</v>
      </c>
      <c r="S4383" s="10">
        <v>0.031459031573829954</v>
      </c>
      <c r="T4383" s="10">
        <v>20.20713085911592</v>
      </c>
      <c r="U4383" s="11">
        <v>0.1283715466112929</v>
      </c>
      <c r="V4383" s="11">
        <v>0.13230796700730624</v>
      </c>
      <c r="W4383" s="11">
        <v>0.2518627898290656</v>
      </c>
      <c r="X4383" s="11">
        <v>0.3219838916132766</v>
      </c>
      <c r="Y4383" s="11">
        <v>0.08430249854631292</v>
      </c>
      <c r="Z4383" s="11">
        <v>0.08117130639274567</v>
      </c>
    </row>
    <row r="4384" ht="22.5" customHeight="1">
      <c r="Q4384" s="9" t="s">
        <v>4422</v>
      </c>
      <c r="R4384" s="10">
        <v>0.8410146219467327</v>
      </c>
      <c r="S4384" s="10">
        <v>0.039641394041834484</v>
      </c>
      <c r="T4384" s="10">
        <v>20.20652001040638</v>
      </c>
      <c r="U4384" s="11">
        <v>0.08497420124810301</v>
      </c>
      <c r="V4384" s="11">
        <v>0.310149605625132</v>
      </c>
      <c r="W4384" s="11">
        <v>0.2096550719559444</v>
      </c>
      <c r="X4384" s="11">
        <v>0.087268426277691</v>
      </c>
      <c r="Y4384" s="11">
        <v>0.2347131849955513</v>
      </c>
      <c r="Z4384" s="11">
        <v>0.07323950989757827</v>
      </c>
    </row>
    <row r="4385" ht="22.5" customHeight="1">
      <c r="Q4385" s="9" t="s">
        <v>4423</v>
      </c>
      <c r="R4385" s="10">
        <v>0.567333386373333</v>
      </c>
      <c r="S4385" s="10">
        <v>0.026097366257849572</v>
      </c>
      <c r="T4385" s="10">
        <v>20.20638332478173</v>
      </c>
      <c r="U4385" s="11">
        <v>0.1547964428250453</v>
      </c>
      <c r="V4385" s="11">
        <v>0.11554302597128302</v>
      </c>
      <c r="W4385" s="11">
        <v>0.2025318769759162</v>
      </c>
      <c r="X4385" s="11">
        <v>0.14481842295562955</v>
      </c>
      <c r="Y4385" s="11">
        <v>0.2123521499793324</v>
      </c>
      <c r="Z4385" s="11">
        <v>0.1699580812927937</v>
      </c>
    </row>
    <row r="4386" ht="22.5" customHeight="1">
      <c r="Q4386" s="9" t="s">
        <v>4424</v>
      </c>
      <c r="R4386" s="10">
        <v>0.7535197680379124</v>
      </c>
      <c r="S4386" s="10">
        <v>0.03531247654538499</v>
      </c>
      <c r="T4386" s="10">
        <v>20.205882958134318</v>
      </c>
      <c r="U4386" s="11">
        <v>0.17573362222392416</v>
      </c>
      <c r="V4386" s="11">
        <v>0.3017508813479246</v>
      </c>
      <c r="W4386" s="11">
        <v>0.13873170064237278</v>
      </c>
      <c r="X4386" s="11">
        <v>0.1895717451970728</v>
      </c>
      <c r="Y4386" s="11">
        <v>0.18960353167386948</v>
      </c>
      <c r="Z4386" s="11">
        <v>0.004608518914836062</v>
      </c>
    </row>
    <row r="4387" ht="22.5" customHeight="1">
      <c r="Q4387" s="9" t="s">
        <v>4425</v>
      </c>
      <c r="R4387" s="10">
        <v>0.7378439467677955</v>
      </c>
      <c r="S4387" s="10">
        <v>0.03453731786137299</v>
      </c>
      <c r="T4387" s="10">
        <v>20.205504943053892</v>
      </c>
      <c r="U4387" s="11">
        <v>0.17971551586124368</v>
      </c>
      <c r="V4387" s="11">
        <v>0.28415530029644837</v>
      </c>
      <c r="W4387" s="11">
        <v>0.15961435704587054</v>
      </c>
      <c r="X4387" s="11">
        <v>0.08886963097327001</v>
      </c>
      <c r="Y4387" s="11">
        <v>0.17988853035921756</v>
      </c>
      <c r="Z4387" s="11">
        <v>0.1077566654639496</v>
      </c>
    </row>
    <row r="4388" ht="22.5" customHeight="1">
      <c r="Q4388" s="9" t="s">
        <v>4426</v>
      </c>
      <c r="R4388" s="10">
        <v>0.30427510589308043</v>
      </c>
      <c r="S4388" s="10">
        <v>0.013079465796105133</v>
      </c>
      <c r="T4388" s="10">
        <v>20.205344011204</v>
      </c>
      <c r="U4388" s="11">
        <v>0.1661914445090236</v>
      </c>
      <c r="V4388" s="11">
        <v>0.02602909278647224</v>
      </c>
      <c r="W4388" s="11">
        <v>0.08144801193322393</v>
      </c>
      <c r="X4388" s="11">
        <v>0.25496733276266653</v>
      </c>
      <c r="Y4388" s="11">
        <v>0.29399634135555014</v>
      </c>
      <c r="Z4388" s="11">
        <v>0.17736777665306372</v>
      </c>
    </row>
    <row r="4389" ht="22.5" customHeight="1">
      <c r="Q4389" s="9" t="s">
        <v>4427</v>
      </c>
      <c r="R4389" s="10">
        <v>0.5305701712325236</v>
      </c>
      <c r="S4389" s="10">
        <v>0.02427958908514631</v>
      </c>
      <c r="T4389" s="10">
        <v>20.205044225095353</v>
      </c>
      <c r="U4389" s="11">
        <v>0.2646124108945411</v>
      </c>
      <c r="V4389" s="11">
        <v>0.2007206154069832</v>
      </c>
      <c r="W4389" s="11">
        <v>0.09540848214210186</v>
      </c>
      <c r="X4389" s="11">
        <v>0.04462085847888054</v>
      </c>
      <c r="Y4389" s="11">
        <v>0.1859684252806943</v>
      </c>
      <c r="Z4389" s="11">
        <v>0.20866920779679907</v>
      </c>
    </row>
    <row r="4390" ht="22.5" customHeight="1">
      <c r="Q4390" s="9" t="s">
        <v>4428</v>
      </c>
      <c r="R4390" s="10">
        <v>0.8197276142830868</v>
      </c>
      <c r="S4390" s="10">
        <v>0.03859102191036385</v>
      </c>
      <c r="T4390" s="10">
        <v>20.204896778690546</v>
      </c>
      <c r="U4390" s="11">
        <v>0.009244007928256113</v>
      </c>
      <c r="V4390" s="11">
        <v>0.32236250058216964</v>
      </c>
      <c r="W4390" s="11">
        <v>0.1682198162426243</v>
      </c>
      <c r="X4390" s="11">
        <v>0.1968418905407004</v>
      </c>
      <c r="Y4390" s="11">
        <v>0.26759111708646965</v>
      </c>
      <c r="Z4390" s="11">
        <v>0.03574066761977999</v>
      </c>
    </row>
    <row r="4391" ht="22.5" customHeight="1">
      <c r="Q4391" s="9" t="s">
        <v>4429</v>
      </c>
      <c r="R4391" s="10">
        <v>0.80845172832711</v>
      </c>
      <c r="S4391" s="10">
        <v>0.03803307011796068</v>
      </c>
      <c r="T4391" s="10">
        <v>20.20483032118455</v>
      </c>
      <c r="U4391" s="11">
        <v>0.01360017872703231</v>
      </c>
      <c r="V4391" s="11">
        <v>0.20047947021836532</v>
      </c>
      <c r="W4391" s="11">
        <v>0.2865791407335697</v>
      </c>
      <c r="X4391" s="11">
        <v>0.22799405468156184</v>
      </c>
      <c r="Y4391" s="11">
        <v>0.22487518048463834</v>
      </c>
      <c r="Z4391" s="11">
        <v>0.046471975154832375</v>
      </c>
    </row>
    <row r="4392" ht="22.5" customHeight="1">
      <c r="Q4392" s="9" t="s">
        <v>4430</v>
      </c>
      <c r="R4392" s="10">
        <v>0.45445728078861153</v>
      </c>
      <c r="S4392" s="10">
        <v>0.020512950408001746</v>
      </c>
      <c r="T4392" s="10">
        <v>20.204664494627696</v>
      </c>
      <c r="U4392" s="11">
        <v>0.4018376107114352</v>
      </c>
      <c r="V4392" s="11">
        <v>0.07773850320895569</v>
      </c>
      <c r="W4392" s="11">
        <v>0.1495013801918106</v>
      </c>
      <c r="X4392" s="11">
        <v>0.10493548785867161</v>
      </c>
      <c r="Y4392" s="11">
        <v>0.2327520201747924</v>
      </c>
      <c r="Z4392" s="11">
        <v>0.033234997854334564</v>
      </c>
    </row>
    <row r="4393" ht="22.5" customHeight="1">
      <c r="Q4393" s="9" t="s">
        <v>4431</v>
      </c>
      <c r="R4393" s="10">
        <v>0.8711755535462826</v>
      </c>
      <c r="S4393" s="10">
        <v>0.041138071940896824</v>
      </c>
      <c r="T4393" s="10">
        <v>20.20453352165932</v>
      </c>
      <c r="U4393" s="11">
        <v>0.04152987200500356</v>
      </c>
      <c r="V4393" s="11">
        <v>0.307354376052921</v>
      </c>
      <c r="W4393" s="11">
        <v>0.24044956927245242</v>
      </c>
      <c r="X4393" s="11">
        <v>0.10275411639629925</v>
      </c>
      <c r="Y4393" s="11">
        <v>0.16152938666258612</v>
      </c>
      <c r="Z4393" s="11">
        <v>0.14638267961073775</v>
      </c>
    </row>
    <row r="4394" ht="22.5" customHeight="1">
      <c r="Q4394" s="9" t="s">
        <v>4432</v>
      </c>
      <c r="R4394" s="10">
        <v>0.5074383859694336</v>
      </c>
      <c r="S4394" s="10">
        <v>0.02313583482757689</v>
      </c>
      <c r="T4394" s="10">
        <v>20.204085543188082</v>
      </c>
      <c r="U4394" s="11">
        <v>0.18156430922741684</v>
      </c>
      <c r="V4394" s="11">
        <v>0.20257358784902996</v>
      </c>
      <c r="W4394" s="11">
        <v>0.061952540311729455</v>
      </c>
      <c r="X4394" s="11">
        <v>0.19196860331877438</v>
      </c>
      <c r="Y4394" s="11">
        <v>0.17629564534519598</v>
      </c>
      <c r="Z4394" s="11">
        <v>0.18564531394785336</v>
      </c>
    </row>
    <row r="4395" ht="22.5" customHeight="1">
      <c r="Q4395" s="9" t="s">
        <v>4433</v>
      </c>
      <c r="R4395" s="10">
        <v>0.5383536352150757</v>
      </c>
      <c r="S4395" s="10">
        <v>0.02466628992969711</v>
      </c>
      <c r="T4395" s="10">
        <v>20.203834327556503</v>
      </c>
      <c r="U4395" s="11">
        <v>0.14155195461884384</v>
      </c>
      <c r="V4395" s="11">
        <v>0.08029194728527102</v>
      </c>
      <c r="W4395" s="11">
        <v>0.19667691110283186</v>
      </c>
      <c r="X4395" s="11">
        <v>0.291077831387975</v>
      </c>
      <c r="Y4395" s="11">
        <v>0.2489960961282241</v>
      </c>
      <c r="Z4395" s="11">
        <v>0.04140525947685407</v>
      </c>
    </row>
    <row r="4396" ht="22.5" customHeight="1">
      <c r="Q4396" s="9" t="s">
        <v>4434</v>
      </c>
      <c r="R4396" s="10">
        <v>0.7887090320948799</v>
      </c>
      <c r="S4396" s="10">
        <v>0.037058241969418475</v>
      </c>
      <c r="T4396" s="10">
        <v>20.20357664869089</v>
      </c>
      <c r="U4396" s="11">
        <v>0.32245799795257274</v>
      </c>
      <c r="V4396" s="11">
        <v>0.26634579861570234</v>
      </c>
      <c r="W4396" s="11">
        <v>0.22446303498450637</v>
      </c>
      <c r="X4396" s="11">
        <v>0.04064234230118043</v>
      </c>
      <c r="Y4396" s="11">
        <v>0.0432103930660892</v>
      </c>
      <c r="Z4396" s="11">
        <v>0.10288043307994901</v>
      </c>
    </row>
    <row r="4397" ht="22.5" customHeight="1">
      <c r="Q4397" s="9" t="s">
        <v>4435</v>
      </c>
      <c r="R4397" s="10">
        <v>0.4111947184460826</v>
      </c>
      <c r="S4397" s="10">
        <v>0.018372768671371525</v>
      </c>
      <c r="T4397" s="10">
        <v>20.203526484523735</v>
      </c>
      <c r="U4397" s="11">
        <v>0.3310790083235335</v>
      </c>
      <c r="V4397" s="11">
        <v>0.09424351309035944</v>
      </c>
      <c r="W4397" s="11">
        <v>0.11208801866761851</v>
      </c>
      <c r="X4397" s="11">
        <v>0.006279403700189667</v>
      </c>
      <c r="Y4397" s="11">
        <v>0.30464042946299863</v>
      </c>
      <c r="Z4397" s="11">
        <v>0.1516696267553002</v>
      </c>
    </row>
    <row r="4398" ht="22.5" customHeight="1">
      <c r="Q4398" s="9" t="s">
        <v>4436</v>
      </c>
      <c r="R4398" s="10">
        <v>0.6294488778052156</v>
      </c>
      <c r="S4398" s="10">
        <v>0.0291756254495037</v>
      </c>
      <c r="T4398" s="10">
        <v>20.203470147552316</v>
      </c>
      <c r="U4398" s="11">
        <v>0.28358539669882377</v>
      </c>
      <c r="V4398" s="11">
        <v>0.2228516107111448</v>
      </c>
      <c r="W4398" s="11">
        <v>0.1583919147874852</v>
      </c>
      <c r="X4398" s="11">
        <v>0.033728755720825905</v>
      </c>
      <c r="Y4398" s="11">
        <v>0.008791994197846055</v>
      </c>
      <c r="Z4398" s="11">
        <v>0.29265032788387435</v>
      </c>
    </row>
    <row r="4399" ht="22.5" customHeight="1">
      <c r="Q4399" s="9" t="s">
        <v>4437</v>
      </c>
      <c r="R4399" s="10">
        <v>0.7957983483674061</v>
      </c>
      <c r="S4399" s="10">
        <v>0.03741172462564392</v>
      </c>
      <c r="T4399" s="10">
        <v>20.202178753591678</v>
      </c>
      <c r="U4399" s="11">
        <v>0.30895744771767003</v>
      </c>
      <c r="V4399" s="11">
        <v>0.23951923180663526</v>
      </c>
      <c r="W4399" s="11">
        <v>0.25281188486235584</v>
      </c>
      <c r="X4399" s="11">
        <v>0.04656527503616926</v>
      </c>
      <c r="Y4399" s="11">
        <v>0.11112954642969579</v>
      </c>
      <c r="Z4399" s="11">
        <v>0.04101661414747379</v>
      </c>
    </row>
    <row r="4400" ht="22.5" customHeight="1">
      <c r="Q4400" s="9" t="s">
        <v>4438</v>
      </c>
      <c r="R4400" s="10">
        <v>0.8145251042735915</v>
      </c>
      <c r="S4400" s="10">
        <v>0.03833889079576794</v>
      </c>
      <c r="T4400" s="10">
        <v>20.202073878441155</v>
      </c>
      <c r="U4400" s="11">
        <v>0.0532268610566009</v>
      </c>
      <c r="V4400" s="11">
        <v>0.2147354534479363</v>
      </c>
      <c r="W4400" s="11">
        <v>0.285749269147047</v>
      </c>
      <c r="X4400" s="11">
        <v>0.24172643253006876</v>
      </c>
      <c r="Y4400" s="11">
        <v>0.038428205294876776</v>
      </c>
      <c r="Z4400" s="11">
        <v>0.16613377852347036</v>
      </c>
    </row>
    <row r="4401" ht="22.5" customHeight="1">
      <c r="Q4401" s="9" t="s">
        <v>4439</v>
      </c>
      <c r="R4401" s="10">
        <v>0.5377647030332228</v>
      </c>
      <c r="S4401" s="10">
        <v>0.02463933137210233</v>
      </c>
      <c r="T4401" s="10">
        <v>20.20203777107412</v>
      </c>
      <c r="U4401" s="11">
        <v>0.23871618843240086</v>
      </c>
      <c r="V4401" s="11">
        <v>0.09220488712068621</v>
      </c>
      <c r="W4401" s="11">
        <v>0.19451521584761025</v>
      </c>
      <c r="X4401" s="11">
        <v>0.19247246138539573</v>
      </c>
      <c r="Y4401" s="11">
        <v>0.2097223547869883</v>
      </c>
      <c r="Z4401" s="11">
        <v>0.07236889242691856</v>
      </c>
    </row>
    <row r="4402" ht="22.5" customHeight="1">
      <c r="Q4402" s="9" t="s">
        <v>4440</v>
      </c>
      <c r="R4402" s="10">
        <v>0.7614635390268556</v>
      </c>
      <c r="S4402" s="10">
        <v>0.03571243280716085</v>
      </c>
      <c r="T4402" s="10">
        <v>20.20202720219587</v>
      </c>
      <c r="U4402" s="11">
        <v>0.10482393185783921</v>
      </c>
      <c r="V4402" s="11">
        <v>0.27098956373686073</v>
      </c>
      <c r="W4402" s="11">
        <v>0.2037300783935246</v>
      </c>
      <c r="X4402" s="11">
        <v>0.0648432833256885</v>
      </c>
      <c r="Y4402" s="11">
        <v>0.10313236412341137</v>
      </c>
      <c r="Z4402" s="11">
        <v>0.25248077856267553</v>
      </c>
    </row>
    <row r="4403" ht="22.5" customHeight="1">
      <c r="Q4403" s="9" t="s">
        <v>4441</v>
      </c>
      <c r="R4403" s="10">
        <v>0.6659364115507336</v>
      </c>
      <c r="S4403" s="10">
        <v>0.03098418911738136</v>
      </c>
      <c r="T4403" s="10">
        <v>20.20180064030137</v>
      </c>
      <c r="U4403" s="11">
        <v>0.26786079882153085</v>
      </c>
      <c r="V4403" s="11">
        <v>0.24631516514951043</v>
      </c>
      <c r="W4403" s="11">
        <v>0.15579310901423193</v>
      </c>
      <c r="X4403" s="11">
        <v>0.038131355789630166</v>
      </c>
      <c r="Y4403" s="11">
        <v>0.07853106894619255</v>
      </c>
      <c r="Z4403" s="11">
        <v>0.21336850227890403</v>
      </c>
    </row>
    <row r="4404" ht="22.5" customHeight="1">
      <c r="Q4404" s="9" t="s">
        <v>4442</v>
      </c>
      <c r="R4404" s="10">
        <v>0.48560690343630225</v>
      </c>
      <c r="S4404" s="10">
        <v>0.022058052777201475</v>
      </c>
      <c r="T4404" s="10">
        <v>20.201552146836274</v>
      </c>
      <c r="U4404" s="11">
        <v>0.022826959802365394</v>
      </c>
      <c r="V4404" s="11">
        <v>0.19301606419310172</v>
      </c>
      <c r="W4404" s="11">
        <v>0.04221936838419632</v>
      </c>
      <c r="X4404" s="11">
        <v>0.36514455997690076</v>
      </c>
      <c r="Y4404" s="11">
        <v>0.16488661793568074</v>
      </c>
      <c r="Z4404" s="11">
        <v>0.21190642970775517</v>
      </c>
    </row>
    <row r="4405" ht="22.5" customHeight="1">
      <c r="Q4405" s="9" t="s">
        <v>4443</v>
      </c>
      <c r="R4405" s="10">
        <v>0.26030462509581703</v>
      </c>
      <c r="S4405" s="10">
        <v>0.01090541446158307</v>
      </c>
      <c r="T4405" s="10">
        <v>20.201398660444564</v>
      </c>
      <c r="U4405" s="11">
        <v>0.3803815349315043</v>
      </c>
      <c r="V4405" s="11">
        <v>0.021542976262386798</v>
      </c>
      <c r="W4405" s="11">
        <v>0.04265084131404548</v>
      </c>
      <c r="X4405" s="11">
        <v>0.3543602865715478</v>
      </c>
      <c r="Y4405" s="11">
        <v>0.10547558928542458</v>
      </c>
      <c r="Z4405" s="11">
        <v>0.09558877163509108</v>
      </c>
    </row>
    <row r="4406" ht="22.5" customHeight="1">
      <c r="Q4406" s="9" t="s">
        <v>4444</v>
      </c>
      <c r="R4406" s="10">
        <v>0.5216793928354256</v>
      </c>
      <c r="S4406" s="10">
        <v>0.02384494788534537</v>
      </c>
      <c r="T4406" s="10">
        <v>20.200479999012963</v>
      </c>
      <c r="U4406" s="11">
        <v>0.2057067427312965</v>
      </c>
      <c r="V4406" s="11">
        <v>0.20615818529725488</v>
      </c>
      <c r="W4406" s="11">
        <v>0.07096290922264878</v>
      </c>
      <c r="X4406" s="11">
        <v>0.14687652514682178</v>
      </c>
      <c r="Y4406" s="11">
        <v>0.2094891010662291</v>
      </c>
      <c r="Z4406" s="11">
        <v>0.16080653653574903</v>
      </c>
    </row>
    <row r="4407" ht="22.5" customHeight="1">
      <c r="Q4407" s="9" t="s">
        <v>4445</v>
      </c>
      <c r="R4407" s="10">
        <v>0.5645202343220905</v>
      </c>
      <c r="S4407" s="10">
        <v>0.025965744011897447</v>
      </c>
      <c r="T4407" s="10">
        <v>20.200470053226915</v>
      </c>
      <c r="U4407" s="11">
        <v>0.27283825389010224</v>
      </c>
      <c r="V4407" s="11">
        <v>0.21355088346708379</v>
      </c>
      <c r="W4407" s="11">
        <v>0.09859726892085488</v>
      </c>
      <c r="X4407" s="11">
        <v>0.0549603128923599</v>
      </c>
      <c r="Y4407" s="11">
        <v>0.2749632591163887</v>
      </c>
      <c r="Z4407" s="11">
        <v>0.08509002171321034</v>
      </c>
    </row>
    <row r="4408" ht="22.5" customHeight="1">
      <c r="Q4408" s="9" t="s">
        <v>4446</v>
      </c>
      <c r="R4408" s="10">
        <v>0.6992632492383904</v>
      </c>
      <c r="S4408" s="10">
        <v>0.03263672617615875</v>
      </c>
      <c r="T4408" s="10">
        <v>20.200042298359712</v>
      </c>
      <c r="U4408" s="11">
        <v>0.14026584695840238</v>
      </c>
      <c r="V4408" s="11">
        <v>0.22058614398589882</v>
      </c>
      <c r="W4408" s="11">
        <v>0.20929317263933492</v>
      </c>
      <c r="X4408" s="11">
        <v>0.007813476784835028</v>
      </c>
      <c r="Y4408" s="11">
        <v>0.20196084782535517</v>
      </c>
      <c r="Z4408" s="11">
        <v>0.2200805118061736</v>
      </c>
    </row>
    <row r="4409" ht="22.5" customHeight="1">
      <c r="Q4409" s="9" t="s">
        <v>4447</v>
      </c>
      <c r="R4409" s="10">
        <v>0.7355889164489829</v>
      </c>
      <c r="S4409" s="10">
        <v>0.03443659184239079</v>
      </c>
      <c r="T4409" s="10">
        <v>20.199121900115742</v>
      </c>
      <c r="U4409" s="11">
        <v>0.031160383714763654</v>
      </c>
      <c r="V4409" s="11">
        <v>0.2063234969051625</v>
      </c>
      <c r="W4409" s="11">
        <v>0.2438316281194088</v>
      </c>
      <c r="X4409" s="11">
        <v>0.09161781420417</v>
      </c>
      <c r="Y4409" s="11">
        <v>0.22804914784418667</v>
      </c>
      <c r="Z4409" s="11">
        <v>0.19901752921230825</v>
      </c>
    </row>
    <row r="4410" ht="22.5" customHeight="1">
      <c r="Q4410" s="9" t="s">
        <v>4448</v>
      </c>
      <c r="R4410" s="10">
        <v>0.6270298401879549</v>
      </c>
      <c r="S4410" s="10">
        <v>0.029063381716135258</v>
      </c>
      <c r="T4410" s="10">
        <v>20.198263434087945</v>
      </c>
      <c r="U4410" s="11">
        <v>0.23844550966655556</v>
      </c>
      <c r="V4410" s="11">
        <v>0.14071381416474416</v>
      </c>
      <c r="W4410" s="11">
        <v>0.21894386993653966</v>
      </c>
      <c r="X4410" s="11">
        <v>0.09840694718610027</v>
      </c>
      <c r="Y4410" s="11">
        <v>0.2504164106274745</v>
      </c>
      <c r="Z4410" s="11">
        <v>0.05307344841858587</v>
      </c>
    </row>
    <row r="4411" ht="22.5" customHeight="1">
      <c r="Q4411" s="9" t="s">
        <v>4449</v>
      </c>
      <c r="R4411" s="10">
        <v>0.750878102392527</v>
      </c>
      <c r="S4411" s="10">
        <v>0.03519589491601557</v>
      </c>
      <c r="T4411" s="10">
        <v>20.19775613289061</v>
      </c>
      <c r="U4411" s="11">
        <v>0.11122913333320754</v>
      </c>
      <c r="V4411" s="11">
        <v>0.2200505263751146</v>
      </c>
      <c r="W4411" s="11">
        <v>0.2399011557278778</v>
      </c>
      <c r="X4411" s="11">
        <v>0.04344017269706812</v>
      </c>
      <c r="Y4411" s="11">
        <v>0.26724516097375506</v>
      </c>
      <c r="Z4411" s="11">
        <v>0.11813385089297686</v>
      </c>
    </row>
    <row r="4412" ht="22.5" customHeight="1">
      <c r="Q4412" s="9" t="s">
        <v>4450</v>
      </c>
      <c r="R4412" s="10">
        <v>0.37730305021141797</v>
      </c>
      <c r="S4412" s="10">
        <v>0.01670035762382577</v>
      </c>
      <c r="T4412" s="10">
        <v>20.19735491952582</v>
      </c>
      <c r="U4412" s="11">
        <v>0.40260897779549365</v>
      </c>
      <c r="V4412" s="11">
        <v>0.13055539369710015</v>
      </c>
      <c r="W4412" s="11">
        <v>0.022279298449879525</v>
      </c>
      <c r="X4412" s="11">
        <v>0.2628494598650501</v>
      </c>
      <c r="Y4412" s="11">
        <v>0.14822722619202885</v>
      </c>
      <c r="Z4412" s="11">
        <v>0.03347964400044788</v>
      </c>
    </row>
    <row r="4413" ht="22.5" customHeight="1">
      <c r="Q4413" s="9" t="s">
        <v>4451</v>
      </c>
      <c r="R4413" s="10">
        <v>0.9349186083771924</v>
      </c>
      <c r="S4413" s="10">
        <v>0.044310090791512616</v>
      </c>
      <c r="T4413" s="10">
        <v>20.196722516050674</v>
      </c>
      <c r="U4413" s="11">
        <v>0.11548614916034192</v>
      </c>
      <c r="V4413" s="11">
        <v>0.344853507734249</v>
      </c>
      <c r="W4413" s="11">
        <v>0.2435880410713524</v>
      </c>
      <c r="X4413" s="11">
        <v>0.16438174658696422</v>
      </c>
      <c r="Y4413" s="11">
        <v>0.05477177126238551</v>
      </c>
      <c r="Z4413" s="11">
        <v>0.07691878418470685</v>
      </c>
    </row>
    <row r="4414" ht="22.5" customHeight="1">
      <c r="Q4414" s="9" t="s">
        <v>4452</v>
      </c>
      <c r="R4414" s="10">
        <v>0.6377630076327334</v>
      </c>
      <c r="S4414" s="10">
        <v>0.029597467189787507</v>
      </c>
      <c r="T4414" s="10">
        <v>20.196424369683537</v>
      </c>
      <c r="U4414" s="11">
        <v>0.1579096893385054</v>
      </c>
      <c r="V4414" s="11">
        <v>0.24643389903453436</v>
      </c>
      <c r="W4414" s="11">
        <v>0.12315321282842175</v>
      </c>
      <c r="X4414" s="11">
        <v>0.07325314705145074</v>
      </c>
      <c r="Y4414" s="11">
        <v>0.25674493526504144</v>
      </c>
      <c r="Z4414" s="11">
        <v>0.14250511648204633</v>
      </c>
    </row>
    <row r="4415" ht="22.5" customHeight="1">
      <c r="Q4415" s="9" t="s">
        <v>4453</v>
      </c>
      <c r="R4415" s="10">
        <v>0.7833313995896445</v>
      </c>
      <c r="S4415" s="10">
        <v>0.03680511054699477</v>
      </c>
      <c r="T4415" s="10">
        <v>20.19641806646711</v>
      </c>
      <c r="U4415" s="11">
        <v>0.034277387167223776</v>
      </c>
      <c r="V4415" s="11">
        <v>0.21716723529431997</v>
      </c>
      <c r="W4415" s="11">
        <v>0.26737728398617433</v>
      </c>
      <c r="X4415" s="11">
        <v>0.1774634299200433</v>
      </c>
      <c r="Y4415" s="11">
        <v>0.0721431713567951</v>
      </c>
      <c r="Z4415" s="11">
        <v>0.2315714922754435</v>
      </c>
    </row>
    <row r="4416" ht="22.5" customHeight="1">
      <c r="Q4416" s="9" t="s">
        <v>4454</v>
      </c>
      <c r="R4416" s="10">
        <v>0.8181228807078872</v>
      </c>
      <c r="S4416" s="10">
        <v>0.038527773096991215</v>
      </c>
      <c r="T4416" s="10">
        <v>20.1964146422118</v>
      </c>
      <c r="U4416" s="11">
        <v>0.05258484547520113</v>
      </c>
      <c r="V4416" s="11">
        <v>0.20692263859722307</v>
      </c>
      <c r="W4416" s="11">
        <v>0.2918936081191871</v>
      </c>
      <c r="X4416" s="11">
        <v>0.2795535769967298</v>
      </c>
      <c r="Y4416" s="11">
        <v>0.03411272090506816</v>
      </c>
      <c r="Z4416" s="11">
        <v>0.13493260990659076</v>
      </c>
    </row>
    <row r="4417" ht="22.5" customHeight="1">
      <c r="Q4417" s="9" t="s">
        <v>4455</v>
      </c>
      <c r="R4417" s="10">
        <v>0.6616773114099153</v>
      </c>
      <c r="S4417" s="10">
        <v>0.03078191501113824</v>
      </c>
      <c r="T4417" s="10">
        <v>20.196186987877955</v>
      </c>
      <c r="U4417" s="11">
        <v>0.3069528274894673</v>
      </c>
      <c r="V4417" s="11">
        <v>0.13899123539475913</v>
      </c>
      <c r="W4417" s="11">
        <v>0.24140559752166366</v>
      </c>
      <c r="X4417" s="11">
        <v>0.2010042333153849</v>
      </c>
      <c r="Y4417" s="11">
        <v>0.07863480746645629</v>
      </c>
      <c r="Z4417" s="11">
        <v>0.03301129881226871</v>
      </c>
    </row>
    <row r="4418" ht="22.5" customHeight="1">
      <c r="Q4418" s="9" t="s">
        <v>4456</v>
      </c>
      <c r="R4418" s="10">
        <v>0.4843210797038811</v>
      </c>
      <c r="S4418" s="10">
        <v>0.022000260347561834</v>
      </c>
      <c r="T4418" s="10">
        <v>20.196173712695302</v>
      </c>
      <c r="U4418" s="11">
        <v>0.2334765219137122</v>
      </c>
      <c r="V4418" s="11">
        <v>0.10547226317489117</v>
      </c>
      <c r="W4418" s="11">
        <v>0.1612861316164788</v>
      </c>
      <c r="X4418" s="11">
        <v>0.05002222568812152</v>
      </c>
      <c r="Y4418" s="11">
        <v>0.19980319382566444</v>
      </c>
      <c r="Z4418" s="11">
        <v>0.24993966378113192</v>
      </c>
    </row>
    <row r="4419" ht="22.5" customHeight="1">
      <c r="Q4419" s="9" t="s">
        <v>4457</v>
      </c>
      <c r="R4419" s="10">
        <v>0.6759366309828246</v>
      </c>
      <c r="S4419" s="10">
        <v>0.03148802213396349</v>
      </c>
      <c r="T4419" s="10">
        <v>20.196144053674715</v>
      </c>
      <c r="U4419" s="11">
        <v>0.11789398844553371</v>
      </c>
      <c r="V4419" s="11">
        <v>0.17063749086358235</v>
      </c>
      <c r="W4419" s="11">
        <v>0.23186605811783093</v>
      </c>
      <c r="X4419" s="11">
        <v>0.09021335568644706</v>
      </c>
      <c r="Y4419" s="11">
        <v>0.24128001785661585</v>
      </c>
      <c r="Z4419" s="11">
        <v>0.14810908902999018</v>
      </c>
    </row>
    <row r="4420" ht="22.5" customHeight="1">
      <c r="Q4420" s="9" t="s">
        <v>4458</v>
      </c>
      <c r="R4420" s="10">
        <v>0.40082260032068523</v>
      </c>
      <c r="S4420" s="10">
        <v>0.01786606580590703</v>
      </c>
      <c r="T4420" s="10">
        <v>20.19597399005365</v>
      </c>
      <c r="U4420" s="11">
        <v>0.328799077426939</v>
      </c>
      <c r="V4420" s="11">
        <v>0.07909350860401078</v>
      </c>
      <c r="W4420" s="11">
        <v>0.11326719738642772</v>
      </c>
      <c r="X4420" s="11">
        <v>0.046149608209944355</v>
      </c>
      <c r="Y4420" s="11">
        <v>0.3303036152802761</v>
      </c>
      <c r="Z4420" s="11">
        <v>0.10238699309240207</v>
      </c>
    </row>
    <row r="4421" ht="22.5" customHeight="1">
      <c r="Q4421" s="9" t="s">
        <v>4459</v>
      </c>
      <c r="R4421" s="10">
        <v>0.6496883089112995</v>
      </c>
      <c r="S4421" s="10">
        <v>0.030188684528779004</v>
      </c>
      <c r="T4421" s="10">
        <v>20.19592169808131</v>
      </c>
      <c r="U4421" s="11">
        <v>0.254811390719356</v>
      </c>
      <c r="V4421" s="11">
        <v>0.15774935094925527</v>
      </c>
      <c r="W4421" s="11">
        <v>0.2251866069779245</v>
      </c>
      <c r="X4421" s="11">
        <v>0.0835498223598711</v>
      </c>
      <c r="Y4421" s="11">
        <v>0.1638033703506363</v>
      </c>
      <c r="Z4421" s="11">
        <v>0.11489945864295671</v>
      </c>
    </row>
    <row r="4422" ht="22.5" customHeight="1">
      <c r="Q4422" s="9" t="s">
        <v>4460</v>
      </c>
      <c r="R4422" s="10">
        <v>0.6092638098264954</v>
      </c>
      <c r="S4422" s="10">
        <v>0.028187092606525067</v>
      </c>
      <c r="T4422" s="10">
        <v>20.19590376961105</v>
      </c>
      <c r="U4422" s="11">
        <v>0.08210642682886028</v>
      </c>
      <c r="V4422" s="11">
        <v>0.12530599000200568</v>
      </c>
      <c r="W4422" s="11">
        <v>0.22129522874969795</v>
      </c>
      <c r="X4422" s="11">
        <v>0.19918173857461763</v>
      </c>
      <c r="Y4422" s="11">
        <v>0.19255303121715245</v>
      </c>
      <c r="Z4422" s="11">
        <v>0.17955758462766594</v>
      </c>
    </row>
    <row r="4423" ht="22.5" customHeight="1">
      <c r="Q4423" s="9" t="s">
        <v>4461</v>
      </c>
      <c r="R4423" s="10">
        <v>0.5030757738147691</v>
      </c>
      <c r="S4423" s="10">
        <v>0.02292937029406581</v>
      </c>
      <c r="T4423" s="10">
        <v>20.1957475445636</v>
      </c>
      <c r="U4423" s="11">
        <v>0.06188475885869638</v>
      </c>
      <c r="V4423" s="11">
        <v>0.08174074135897617</v>
      </c>
      <c r="W4423" s="11">
        <v>0.18161537626008084</v>
      </c>
      <c r="X4423" s="11">
        <v>0.238423948354107</v>
      </c>
      <c r="Y4423" s="11">
        <v>0.2343849352279261</v>
      </c>
      <c r="Z4423" s="11">
        <v>0.20195023994021333</v>
      </c>
    </row>
    <row r="4424" ht="22.5" customHeight="1">
      <c r="Q4424" s="9" t="s">
        <v>4462</v>
      </c>
      <c r="R4424" s="10">
        <v>0.7809466631974477</v>
      </c>
      <c r="S4424" s="10">
        <v>0.03668891249768745</v>
      </c>
      <c r="T4424" s="10">
        <v>20.195383639243886</v>
      </c>
      <c r="U4424" s="11">
        <v>0.2136633589411844</v>
      </c>
      <c r="V4424" s="11">
        <v>0.18264225273524773</v>
      </c>
      <c r="W4424" s="11">
        <v>0.2834432316688866</v>
      </c>
      <c r="X4424" s="11">
        <v>0.23748881468129013</v>
      </c>
      <c r="Y4424" s="11">
        <v>0.08093652877474786</v>
      </c>
      <c r="Z4424" s="11">
        <v>0.00182581319864344</v>
      </c>
    </row>
    <row r="4425" ht="22.5" customHeight="1">
      <c r="Q4425" s="9" t="s">
        <v>4463</v>
      </c>
      <c r="R4425" s="10">
        <v>0.6295061715483331</v>
      </c>
      <c r="S4425" s="10">
        <v>0.029190543277447155</v>
      </c>
      <c r="T4425" s="10">
        <v>20.195107913725955</v>
      </c>
      <c r="U4425" s="11">
        <v>0.25650480581658264</v>
      </c>
      <c r="V4425" s="11">
        <v>0.25688422842261316</v>
      </c>
      <c r="W4425" s="11">
        <v>0.0885947046840193</v>
      </c>
      <c r="X4425" s="11">
        <v>0.26580427512017507</v>
      </c>
      <c r="Y4425" s="11">
        <v>0.07112030577613777</v>
      </c>
      <c r="Z4425" s="11">
        <v>0.06109168018047198</v>
      </c>
    </row>
    <row r="4426" ht="22.5" customHeight="1">
      <c r="Q4426" s="9" t="s">
        <v>4464</v>
      </c>
      <c r="R4426" s="10">
        <v>0.8574768284937458</v>
      </c>
      <c r="S4426" s="10">
        <v>0.04048007185834831</v>
      </c>
      <c r="T4426" s="10">
        <v>20.19454983564105</v>
      </c>
      <c r="U4426" s="11">
        <v>0.08876199505780129</v>
      </c>
      <c r="V4426" s="11">
        <v>0.2795471770671723</v>
      </c>
      <c r="W4426" s="11">
        <v>0.2621971714053733</v>
      </c>
      <c r="X4426" s="11">
        <v>0.11162743397027015</v>
      </c>
      <c r="Y4426" s="11">
        <v>0.07411111293785727</v>
      </c>
      <c r="Z4426" s="11">
        <v>0.18375510956152571</v>
      </c>
    </row>
    <row r="4427" ht="22.5" customHeight="1">
      <c r="Q4427" s="9" t="s">
        <v>4465</v>
      </c>
      <c r="R4427" s="10">
        <v>0.8186365161529696</v>
      </c>
      <c r="S4427" s="10">
        <v>0.03855722656867812</v>
      </c>
      <c r="T4427" s="10">
        <v>20.19430818671728</v>
      </c>
      <c r="U4427" s="11">
        <v>0.09755898520539935</v>
      </c>
      <c r="V4427" s="11">
        <v>0.2957341196332809</v>
      </c>
      <c r="W4427" s="11">
        <v>0.2101995937931398</v>
      </c>
      <c r="X4427" s="11">
        <v>0.055611122115567777</v>
      </c>
      <c r="Y4427" s="11">
        <v>0.257322013916512</v>
      </c>
      <c r="Z4427" s="11">
        <v>0.0835741653361002</v>
      </c>
    </row>
    <row r="4428" ht="22.5" customHeight="1">
      <c r="Q4428" s="9" t="s">
        <v>4466</v>
      </c>
      <c r="R4428" s="10">
        <v>0.4099778195501304</v>
      </c>
      <c r="S4428" s="10">
        <v>0.018321093128730793</v>
      </c>
      <c r="T4428" s="10">
        <v>20.194090873864845</v>
      </c>
      <c r="U4428" s="11">
        <v>0.21362239711029252</v>
      </c>
      <c r="V4428" s="11">
        <v>0.057798285429422724</v>
      </c>
      <c r="W4428" s="11">
        <v>0.13948882738100046</v>
      </c>
      <c r="X4428" s="11">
        <v>0.16886009376550046</v>
      </c>
      <c r="Y4428" s="11">
        <v>0.23099294712897328</v>
      </c>
      <c r="Z4428" s="11">
        <v>0.18923744918481047</v>
      </c>
    </row>
    <row r="4429" ht="22.5" customHeight="1">
      <c r="Q4429" s="9" t="s">
        <v>4467</v>
      </c>
      <c r="R4429" s="10">
        <v>0.6512814877308759</v>
      </c>
      <c r="S4429" s="10">
        <v>0.030271069038338917</v>
      </c>
      <c r="T4429" s="10">
        <v>20.193587710981586</v>
      </c>
      <c r="U4429" s="11">
        <v>0.04330496063434098</v>
      </c>
      <c r="V4429" s="11">
        <v>0.1347041499359302</v>
      </c>
      <c r="W4429" s="11">
        <v>0.24016674413452307</v>
      </c>
      <c r="X4429" s="11">
        <v>0.29674589722997985</v>
      </c>
      <c r="Y4429" s="11">
        <v>0.07335027486275845</v>
      </c>
      <c r="Z4429" s="11">
        <v>0.21172797320246725</v>
      </c>
    </row>
    <row r="4430" ht="22.5" customHeight="1">
      <c r="Q4430" s="9" t="s">
        <v>4468</v>
      </c>
      <c r="R4430" s="10">
        <v>0.6493160219231067</v>
      </c>
      <c r="S4430" s="10">
        <v>0.03017379662386519</v>
      </c>
      <c r="T4430" s="10">
        <v>20.19354837969524</v>
      </c>
      <c r="U4430" s="11">
        <v>0.18710682384434332</v>
      </c>
      <c r="V4430" s="11">
        <v>0.14957148715501872</v>
      </c>
      <c r="W4430" s="11">
        <v>0.23293699104810006</v>
      </c>
      <c r="X4430" s="11">
        <v>0.171997515190351</v>
      </c>
      <c r="Y4430" s="11">
        <v>0.06020967678152619</v>
      </c>
      <c r="Z4430" s="11">
        <v>0.19817750598066072</v>
      </c>
    </row>
    <row r="4431" ht="22.5" customHeight="1">
      <c r="Q4431" s="9" t="s">
        <v>4469</v>
      </c>
      <c r="R4431" s="10">
        <v>0.5173903949680148</v>
      </c>
      <c r="S4431" s="10">
        <v>0.023641919518253254</v>
      </c>
      <c r="T4431" s="10">
        <v>20.1925395524435</v>
      </c>
      <c r="U4431" s="11">
        <v>0.14930307371120102</v>
      </c>
      <c r="V4431" s="11">
        <v>0.20529546702236656</v>
      </c>
      <c r="W4431" s="11">
        <v>0.0521269939939869</v>
      </c>
      <c r="X4431" s="11">
        <v>0.2673149604405143</v>
      </c>
      <c r="Y4431" s="11">
        <v>0.25794508076129097</v>
      </c>
      <c r="Z4431" s="11">
        <v>0.06801442407064028</v>
      </c>
    </row>
    <row r="4432" ht="22.5" customHeight="1">
      <c r="Q4432" s="9" t="s">
        <v>4470</v>
      </c>
      <c r="R4432" s="10">
        <v>0.7278179871111862</v>
      </c>
      <c r="S4432" s="10">
        <v>0.03406313728849527</v>
      </c>
      <c r="T4432" s="10">
        <v>20.192443851714586</v>
      </c>
      <c r="U4432" s="11">
        <v>0.020457019078943126</v>
      </c>
      <c r="V4432" s="11">
        <v>0.23917489848706835</v>
      </c>
      <c r="W4432" s="11">
        <v>0.21372181929069203</v>
      </c>
      <c r="X4432" s="11">
        <v>0.049434286487333834</v>
      </c>
      <c r="Y4432" s="11">
        <v>0.17512418381135111</v>
      </c>
      <c r="Z4432" s="11">
        <v>0.3020877928446117</v>
      </c>
    </row>
    <row r="4433" ht="22.5" customHeight="1">
      <c r="Q4433" s="9" t="s">
        <v>4471</v>
      </c>
      <c r="R4433" s="10">
        <v>0.6825405248849484</v>
      </c>
      <c r="S4433" s="10">
        <v>0.031820993768676906</v>
      </c>
      <c r="T4433" s="10">
        <v>20.19234627164395</v>
      </c>
      <c r="U4433" s="11">
        <v>0.10975536035015875</v>
      </c>
      <c r="V4433" s="11">
        <v>0.1808863907804842</v>
      </c>
      <c r="W4433" s="11">
        <v>0.23188186420161552</v>
      </c>
      <c r="X4433" s="11">
        <v>0.08675406430878854</v>
      </c>
      <c r="Y4433" s="11">
        <v>0.17291158631670914</v>
      </c>
      <c r="Z4433" s="11">
        <v>0.21781073404224383</v>
      </c>
    </row>
    <row r="4434" ht="22.5" customHeight="1">
      <c r="Q4434" s="9" t="s">
        <v>4472</v>
      </c>
      <c r="R4434" s="10">
        <v>0.812007030671144</v>
      </c>
      <c r="S4434" s="10">
        <v>0.03823321500288664</v>
      </c>
      <c r="T4434" s="10">
        <v>20.192051089945135</v>
      </c>
      <c r="U4434" s="11">
        <v>0.31262297253109805</v>
      </c>
      <c r="V4434" s="11">
        <v>0.28374225227389493</v>
      </c>
      <c r="W4434" s="11">
        <v>0.21923833663906164</v>
      </c>
      <c r="X4434" s="11">
        <v>0.023422986088086815</v>
      </c>
      <c r="Y4434" s="11">
        <v>0.13823998826728953</v>
      </c>
      <c r="Z4434" s="11">
        <v>0.022733464200569105</v>
      </c>
    </row>
    <row r="4435" ht="22.5" customHeight="1">
      <c r="Q4435" s="9" t="s">
        <v>4473</v>
      </c>
      <c r="R4435" s="10">
        <v>0.626380216381501</v>
      </c>
      <c r="S4435" s="10">
        <v>0.02904055263660162</v>
      </c>
      <c r="T4435" s="10">
        <v>20.19177195830803</v>
      </c>
      <c r="U4435" s="11">
        <v>0.1298490983252927</v>
      </c>
      <c r="V4435" s="11">
        <v>0.15699913094547052</v>
      </c>
      <c r="W4435" s="11">
        <v>0.21418087519812642</v>
      </c>
      <c r="X4435" s="11">
        <v>0.07633650642349601</v>
      </c>
      <c r="Y4435" s="11">
        <v>0.19637123643149246</v>
      </c>
      <c r="Z4435" s="11">
        <v>0.22626315267612188</v>
      </c>
    </row>
    <row r="4436" ht="22.5" customHeight="1">
      <c r="Q4436" s="9" t="s">
        <v>4474</v>
      </c>
      <c r="R4436" s="10">
        <v>0.41175492766656313</v>
      </c>
      <c r="S4436" s="10">
        <v>0.01841162817310886</v>
      </c>
      <c r="T4436" s="10">
        <v>20.19131193457027</v>
      </c>
      <c r="U4436" s="11">
        <v>0.24351239652175516</v>
      </c>
      <c r="V4436" s="11">
        <v>0.15828686657897326</v>
      </c>
      <c r="W4436" s="11">
        <v>0.03697165573515422</v>
      </c>
      <c r="X4436" s="11">
        <v>0.24261452610054643</v>
      </c>
      <c r="Y4436" s="11">
        <v>0.051551583326070564</v>
      </c>
      <c r="Z4436" s="11">
        <v>0.2670629717375004</v>
      </c>
    </row>
    <row r="4437" ht="22.5" customHeight="1">
      <c r="Q4437" s="9" t="s">
        <v>4475</v>
      </c>
      <c r="R4437" s="10">
        <v>0.8020989415934513</v>
      </c>
      <c r="S4437" s="10">
        <v>0.037743949014590744</v>
      </c>
      <c r="T4437" s="10">
        <v>20.19128791475543</v>
      </c>
      <c r="U4437" s="11">
        <v>0.028725609905757652</v>
      </c>
      <c r="V4437" s="11">
        <v>0.27931140551960065</v>
      </c>
      <c r="W4437" s="11">
        <v>0.22598367225556576</v>
      </c>
      <c r="X4437" s="11">
        <v>0.11204776279570233</v>
      </c>
      <c r="Y4437" s="11">
        <v>0.058899554443177626</v>
      </c>
      <c r="Z4437" s="11">
        <v>0.29503199508019606</v>
      </c>
    </row>
    <row r="4438" ht="22.5" customHeight="1">
      <c r="Q4438" s="9" t="s">
        <v>4476</v>
      </c>
      <c r="R4438" s="10">
        <v>0.619114079552351</v>
      </c>
      <c r="S4438" s="10">
        <v>0.02868187131658696</v>
      </c>
      <c r="T4438" s="10">
        <v>20.190944766475003</v>
      </c>
      <c r="U4438" s="11">
        <v>0.2821332407696806</v>
      </c>
      <c r="V4438" s="11">
        <v>0.13265668037017245</v>
      </c>
      <c r="W4438" s="11">
        <v>0.22409045688818188</v>
      </c>
      <c r="X4438" s="11">
        <v>0.19801818969839818</v>
      </c>
      <c r="Y4438" s="11">
        <v>0.0017123618651915327</v>
      </c>
      <c r="Z4438" s="11">
        <v>0.16138907040837538</v>
      </c>
    </row>
    <row r="4439" ht="22.5" customHeight="1">
      <c r="Q4439" s="9" t="s">
        <v>4477</v>
      </c>
      <c r="R4439" s="10">
        <v>0.6474883254397453</v>
      </c>
      <c r="S4439" s="10">
        <v>0.030087399577232728</v>
      </c>
      <c r="T4439" s="10">
        <v>20.190788634968456</v>
      </c>
      <c r="U4439" s="11">
        <v>0.24763895792068064</v>
      </c>
      <c r="V4439" s="11">
        <v>0.1698019293307269</v>
      </c>
      <c r="W4439" s="11">
        <v>0.21772711378490683</v>
      </c>
      <c r="X4439" s="11">
        <v>0.05155742055881876</v>
      </c>
      <c r="Y4439" s="11">
        <v>0.13450465587582433</v>
      </c>
      <c r="Z4439" s="11">
        <v>0.17876992252904256</v>
      </c>
    </row>
    <row r="4440" ht="22.5" customHeight="1">
      <c r="Q4440" s="9" t="s">
        <v>4478</v>
      </c>
      <c r="R4440" s="10">
        <v>0.6631291784970279</v>
      </c>
      <c r="S4440" s="10">
        <v>0.030862415667368748</v>
      </c>
      <c r="T4440" s="10">
        <v>20.19055103181281</v>
      </c>
      <c r="U4440" s="11">
        <v>0.1779348631467445</v>
      </c>
      <c r="V4440" s="11">
        <v>0.1338350995356095</v>
      </c>
      <c r="W4440" s="11">
        <v>0.24480536652832333</v>
      </c>
      <c r="X4440" s="11">
        <v>0.23954616904066253</v>
      </c>
      <c r="Y4440" s="11">
        <v>0.14612221882045692</v>
      </c>
      <c r="Z4440" s="11">
        <v>0.057756282928203284</v>
      </c>
    </row>
    <row r="4441" ht="22.5" customHeight="1">
      <c r="Q4441" s="9" t="s">
        <v>4479</v>
      </c>
      <c r="R4441" s="10">
        <v>0.6280739520452255</v>
      </c>
      <c r="S4441" s="10">
        <v>0.0291262883003222</v>
      </c>
      <c r="T4441" s="10">
        <v>20.190487232069323</v>
      </c>
      <c r="U4441" s="11">
        <v>0.12149875544828133</v>
      </c>
      <c r="V4441" s="11">
        <v>0.2327005060409342</v>
      </c>
      <c r="W4441" s="11">
        <v>0.11987879800777913</v>
      </c>
      <c r="X4441" s="11">
        <v>0.07187783109832369</v>
      </c>
      <c r="Y4441" s="11">
        <v>0.4304403103252206</v>
      </c>
      <c r="Z4441" s="11">
        <v>0.023603799079460978</v>
      </c>
    </row>
    <row r="4442" ht="22.5" customHeight="1">
      <c r="Q4442" s="9" t="s">
        <v>4480</v>
      </c>
      <c r="R4442" s="10">
        <v>0.5501636786365649</v>
      </c>
      <c r="S4442" s="10">
        <v>0.025268976012058825</v>
      </c>
      <c r="T4442" s="10">
        <v>20.189329333848164</v>
      </c>
      <c r="U4442" s="11">
        <v>0.012192461693913284</v>
      </c>
      <c r="V4442" s="11">
        <v>0.22270978040854167</v>
      </c>
      <c r="W4442" s="11">
        <v>0.079045124787978</v>
      </c>
      <c r="X4442" s="11">
        <v>0.22819135040871766</v>
      </c>
      <c r="Y4442" s="11">
        <v>0.14348495015007354</v>
      </c>
      <c r="Z4442" s="11">
        <v>0.3143763325507759</v>
      </c>
    </row>
    <row r="4443" ht="22.5" customHeight="1">
      <c r="Q4443" s="9" t="s">
        <v>4481</v>
      </c>
      <c r="R4443" s="10">
        <v>0.70328413382919</v>
      </c>
      <c r="S4443" s="10">
        <v>0.032853263297489076</v>
      </c>
      <c r="T4443" s="10">
        <v>20.18929224238993</v>
      </c>
      <c r="U4443" s="11">
        <v>0.0964522765909507</v>
      </c>
      <c r="V4443" s="11">
        <v>0.2327679168683798</v>
      </c>
      <c r="W4443" s="11">
        <v>0.2058427870915318</v>
      </c>
      <c r="X4443" s="11">
        <v>0.0685589850704558</v>
      </c>
      <c r="Y4443" s="11">
        <v>0.036496141059059684</v>
      </c>
      <c r="Z4443" s="11">
        <v>0.35988189331962217</v>
      </c>
    </row>
    <row r="4444" ht="22.5" customHeight="1">
      <c r="Q4444" s="9" t="s">
        <v>4482</v>
      </c>
      <c r="R4444" s="10">
        <v>0.8242358987641532</v>
      </c>
      <c r="S4444" s="10">
        <v>0.03884508175106653</v>
      </c>
      <c r="T4444" s="10">
        <v>20.18880803983946</v>
      </c>
      <c r="U4444" s="11">
        <v>0.2258830555403871</v>
      </c>
      <c r="V4444" s="11">
        <v>0.23420452883559453</v>
      </c>
      <c r="W4444" s="11">
        <v>0.2741738888189208</v>
      </c>
      <c r="X4444" s="11">
        <v>0.08431262988595752</v>
      </c>
      <c r="Y4444" s="11">
        <v>0.17433207555030858</v>
      </c>
      <c r="Z4444" s="11">
        <v>0.007093821368831374</v>
      </c>
    </row>
    <row r="4445" ht="22.5" customHeight="1">
      <c r="Q4445" s="9" t="s">
        <v>4483</v>
      </c>
      <c r="R4445" s="10">
        <v>0.5785544876289521</v>
      </c>
      <c r="S4445" s="10">
        <v>0.026676740647122756</v>
      </c>
      <c r="T4445" s="10">
        <v>20.18816671620033</v>
      </c>
      <c r="U4445" s="11">
        <v>0.24196185216103946</v>
      </c>
      <c r="V4445" s="11">
        <v>0.2305961838753947</v>
      </c>
      <c r="W4445" s="11">
        <v>0.09135961592731101</v>
      </c>
      <c r="X4445" s="11">
        <v>0.13574884949098887</v>
      </c>
      <c r="Y4445" s="11">
        <v>0.14601572945056446</v>
      </c>
      <c r="Z4445" s="11">
        <v>0.15431776909470143</v>
      </c>
    </row>
    <row r="4446" ht="22.5" customHeight="1">
      <c r="Q4446" s="9" t="s">
        <v>4484</v>
      </c>
      <c r="R4446" s="10">
        <v>0.7340133802221387</v>
      </c>
      <c r="S4446" s="10">
        <v>0.03437750547656515</v>
      </c>
      <c r="T4446" s="10">
        <v>20.188008716782594</v>
      </c>
      <c r="U4446" s="11">
        <v>0.16474312769387858</v>
      </c>
      <c r="V4446" s="11">
        <v>0.2577753345231533</v>
      </c>
      <c r="W4446" s="11">
        <v>0.18789836466173673</v>
      </c>
      <c r="X4446" s="11">
        <v>9.062535813735665E-4</v>
      </c>
      <c r="Y4446" s="11">
        <v>0.30497313331588705</v>
      </c>
      <c r="Z4446" s="11">
        <v>0.0837037862239707</v>
      </c>
    </row>
    <row r="4447" ht="22.5" customHeight="1">
      <c r="Q4447" s="9" t="s">
        <v>4485</v>
      </c>
      <c r="R4447" s="10">
        <v>0.726146472379931</v>
      </c>
      <c r="S4447" s="10">
        <v>0.0339881729815271</v>
      </c>
      <c r="T4447" s="10">
        <v>20.18780099633064</v>
      </c>
      <c r="U4447" s="11">
        <v>0.23994158115573538</v>
      </c>
      <c r="V4447" s="11">
        <v>0.23147408777197168</v>
      </c>
      <c r="W4447" s="11">
        <v>0.2200458048578236</v>
      </c>
      <c r="X4447" s="11">
        <v>0.04822571388371697</v>
      </c>
      <c r="Y4447" s="11">
        <v>0.021624026575975678</v>
      </c>
      <c r="Z4447" s="11">
        <v>0.23868878575477673</v>
      </c>
    </row>
    <row r="4448" ht="22.5" customHeight="1">
      <c r="Q4448" s="9" t="s">
        <v>4486</v>
      </c>
      <c r="R4448" s="10">
        <v>0.285499464532578</v>
      </c>
      <c r="S4448" s="10">
        <v>0.012160931652226625</v>
      </c>
      <c r="T4448" s="10">
        <v>20.187554009287428</v>
      </c>
      <c r="U4448" s="11">
        <v>0.09732245776437198</v>
      </c>
      <c r="V4448" s="11">
        <v>0.08515962055157732</v>
      </c>
      <c r="W4448" s="11">
        <v>0.03715552521152612</v>
      </c>
      <c r="X4448" s="11">
        <v>0.1598479367606683</v>
      </c>
      <c r="Y4448" s="11">
        <v>0.0871740628226453</v>
      </c>
      <c r="Z4448" s="11">
        <v>0.5333403968892111</v>
      </c>
    </row>
    <row r="4449" ht="22.5" customHeight="1">
      <c r="Q4449" s="9" t="s">
        <v>4487</v>
      </c>
      <c r="R4449" s="10">
        <v>0.7865271216498322</v>
      </c>
      <c r="S4449" s="10">
        <v>0.03697962718544196</v>
      </c>
      <c r="T4449" s="10">
        <v>20.187524279415204</v>
      </c>
      <c r="U4449" s="11">
        <v>0.10362675026192031</v>
      </c>
      <c r="V4449" s="11">
        <v>0.22998302496569176</v>
      </c>
      <c r="W4449" s="11">
        <v>0.2602736516666947</v>
      </c>
      <c r="X4449" s="11">
        <v>0.12423298608303114</v>
      </c>
      <c r="Y4449" s="11">
        <v>0.06328811733640814</v>
      </c>
      <c r="Z4449" s="11">
        <v>0.21859546968625398</v>
      </c>
    </row>
    <row r="4450" ht="22.5" customHeight="1">
      <c r="Q4450" s="9" t="s">
        <v>4488</v>
      </c>
      <c r="R4450" s="10">
        <v>0.6442075313364635</v>
      </c>
      <c r="S4450" s="10">
        <v>0.029929976096755104</v>
      </c>
      <c r="T4450" s="10">
        <v>20.187370994992854</v>
      </c>
      <c r="U4450" s="11">
        <v>0.050606610381270324</v>
      </c>
      <c r="V4450" s="11">
        <v>0.23145888393565406</v>
      </c>
      <c r="W4450" s="11">
        <v>0.14822007762467823</v>
      </c>
      <c r="X4450" s="11">
        <v>0.02200913553712831</v>
      </c>
      <c r="Y4450" s="11">
        <v>0.36710368679883887</v>
      </c>
      <c r="Z4450" s="11">
        <v>0.18060160572243014</v>
      </c>
    </row>
    <row r="4451" ht="22.5" customHeight="1">
      <c r="Q4451" s="9" t="s">
        <v>4489</v>
      </c>
      <c r="R4451" s="10">
        <v>0.7772528235269939</v>
      </c>
      <c r="S4451" s="10">
        <v>0.03652093494450925</v>
      </c>
      <c r="T4451" s="10">
        <v>20.187128961709025</v>
      </c>
      <c r="U4451" s="11">
        <v>0.1862013148957935</v>
      </c>
      <c r="V4451" s="11">
        <v>0.2100209307265014</v>
      </c>
      <c r="W4451" s="11">
        <v>0.26137871705365295</v>
      </c>
      <c r="X4451" s="11">
        <v>0.078555909295927</v>
      </c>
      <c r="Y4451" s="11">
        <v>0.263202879344757</v>
      </c>
      <c r="Z4451" s="11">
        <v>6.402486833682075E-4</v>
      </c>
    </row>
    <row r="4452" ht="22.5" customHeight="1">
      <c r="Q4452" s="9" t="s">
        <v>4490</v>
      </c>
      <c r="R4452" s="10">
        <v>0.5881931454012406</v>
      </c>
      <c r="S4452" s="10">
        <v>0.027155603268293225</v>
      </c>
      <c r="T4452" s="10">
        <v>20.187109819847336</v>
      </c>
      <c r="U4452" s="11">
        <v>0.27111905733705344</v>
      </c>
      <c r="V4452" s="11">
        <v>0.23085323516347553</v>
      </c>
      <c r="W4452" s="11">
        <v>0.1075143678340229</v>
      </c>
      <c r="X4452" s="11">
        <v>0.12871683781907026</v>
      </c>
      <c r="Y4452" s="11">
        <v>0.009830838624094727</v>
      </c>
      <c r="Z4452" s="11">
        <v>0.2519656632222832</v>
      </c>
    </row>
    <row r="4453" ht="22.5" customHeight="1">
      <c r="Q4453" s="9" t="s">
        <v>4491</v>
      </c>
      <c r="R4453" s="10">
        <v>0.77473573942238</v>
      </c>
      <c r="S4453" s="10">
        <v>0.03639660335341892</v>
      </c>
      <c r="T4453" s="10">
        <v>20.186931519074363</v>
      </c>
      <c r="U4453" s="11">
        <v>0.2291297192245756</v>
      </c>
      <c r="V4453" s="11">
        <v>0.2471841485332254</v>
      </c>
      <c r="W4453" s="11">
        <v>0.2374430399531145</v>
      </c>
      <c r="X4453" s="11">
        <v>0.06396159158697251</v>
      </c>
      <c r="Y4453" s="11">
        <v>0.02679429688253469</v>
      </c>
      <c r="Z4453" s="11">
        <v>0.19548720381957724</v>
      </c>
    </row>
    <row r="4454" ht="22.5" customHeight="1">
      <c r="Q4454" s="9" t="s">
        <v>4492</v>
      </c>
      <c r="R4454" s="10">
        <v>0.667342555654692</v>
      </c>
      <c r="S4454" s="10">
        <v>0.031076760894826562</v>
      </c>
      <c r="T4454" s="10">
        <v>20.186870754574926</v>
      </c>
      <c r="U4454" s="11">
        <v>0.2789502025147351</v>
      </c>
      <c r="V4454" s="11">
        <v>0.19052891724220433</v>
      </c>
      <c r="W4454" s="11">
        <v>0.21486155941768265</v>
      </c>
      <c r="X4454" s="11">
        <v>0.02545103861876382</v>
      </c>
      <c r="Y4454" s="11">
        <v>0.10061105806846714</v>
      </c>
      <c r="Z4454" s="11">
        <v>0.1895972241381469</v>
      </c>
    </row>
    <row r="4455" ht="22.5" customHeight="1">
      <c r="Q4455" s="9" t="s">
        <v>4493</v>
      </c>
      <c r="R4455" s="10">
        <v>0.8375241217106419</v>
      </c>
      <c r="S4455" s="10">
        <v>0.03950730260400659</v>
      </c>
      <c r="T4455" s="10">
        <v>20.18675204694339</v>
      </c>
      <c r="U4455" s="11">
        <v>0.2588343502251901</v>
      </c>
      <c r="V4455" s="11">
        <v>0.304059047268264</v>
      </c>
      <c r="W4455" s="11">
        <v>0.21562863351501504</v>
      </c>
      <c r="X4455" s="11">
        <v>0.05417816424024407</v>
      </c>
      <c r="Y4455" s="11">
        <v>0.13669677942788996</v>
      </c>
      <c r="Z4455" s="11">
        <v>0.030603025323396624</v>
      </c>
    </row>
    <row r="4456" ht="22.5" customHeight="1">
      <c r="Q4456" s="9" t="s">
        <v>4494</v>
      </c>
      <c r="R4456" s="10">
        <v>0.6180011883088844</v>
      </c>
      <c r="S4456" s="10">
        <v>0.028632829003309004</v>
      </c>
      <c r="T4456" s="10">
        <v>20.186660153004322</v>
      </c>
      <c r="U4456" s="11">
        <v>0.2189372602073044</v>
      </c>
      <c r="V4456" s="11">
        <v>0.16966317431213906</v>
      </c>
      <c r="W4456" s="11">
        <v>0.199175425374257</v>
      </c>
      <c r="X4456" s="11">
        <v>0.009662659791800296</v>
      </c>
      <c r="Y4456" s="11">
        <v>0.19108894067079452</v>
      </c>
      <c r="Z4456" s="11">
        <v>0.21147253964370483</v>
      </c>
    </row>
    <row r="4457" ht="22.5" customHeight="1">
      <c r="Q4457" s="9" t="s">
        <v>4495</v>
      </c>
      <c r="R4457" s="10">
        <v>0.7273454392536995</v>
      </c>
      <c r="S4457" s="10">
        <v>0.0340501518855982</v>
      </c>
      <c r="T4457" s="10">
        <v>20.186266468444686</v>
      </c>
      <c r="U4457" s="11">
        <v>0.20215999652792085</v>
      </c>
      <c r="V4457" s="11">
        <v>0.24840740801856492</v>
      </c>
      <c r="W4457" s="11">
        <v>0.20262699134659254</v>
      </c>
      <c r="X4457" s="11">
        <v>0.016945655770847737</v>
      </c>
      <c r="Y4457" s="11">
        <v>0.1139849779483232</v>
      </c>
      <c r="Z4457" s="11">
        <v>0.2158749703877507</v>
      </c>
    </row>
    <row r="4458" ht="22.5" customHeight="1">
      <c r="Q4458" s="9" t="s">
        <v>4496</v>
      </c>
      <c r="R4458" s="10">
        <v>0.8027589268528716</v>
      </c>
      <c r="S4458" s="10">
        <v>0.03778700512772713</v>
      </c>
      <c r="T4458" s="10">
        <v>20.185747038554762</v>
      </c>
      <c r="U4458" s="11">
        <v>0.02610611308521377</v>
      </c>
      <c r="V4458" s="11">
        <v>0.23956461937822296</v>
      </c>
      <c r="W4458" s="11">
        <v>0.263487601570683</v>
      </c>
      <c r="X4458" s="11">
        <v>0.1662352655463716</v>
      </c>
      <c r="Y4458" s="11">
        <v>0.026140288840363856</v>
      </c>
      <c r="Z4458" s="11">
        <v>0.27846611157914475</v>
      </c>
    </row>
    <row r="4459" ht="22.5" customHeight="1">
      <c r="Q4459" s="9" t="s">
        <v>4497</v>
      </c>
      <c r="R4459" s="10">
        <v>0.7422741073929167</v>
      </c>
      <c r="S4459" s="10">
        <v>0.03479077819298087</v>
      </c>
      <c r="T4459" s="10">
        <v>20.185639524861283</v>
      </c>
      <c r="U4459" s="11">
        <v>0.1945967111939181</v>
      </c>
      <c r="V4459" s="11">
        <v>0.224805840411109</v>
      </c>
      <c r="W4459" s="11">
        <v>0.2305877935839004</v>
      </c>
      <c r="X4459" s="11">
        <v>0.010765063364005966</v>
      </c>
      <c r="Y4459" s="11">
        <v>0.2375098790696476</v>
      </c>
      <c r="Z4459" s="11">
        <v>0.10173471237741896</v>
      </c>
    </row>
    <row r="4460" ht="22.5" customHeight="1">
      <c r="Q4460" s="9" t="s">
        <v>4498</v>
      </c>
      <c r="R4460" s="10">
        <v>0.6904613190155167</v>
      </c>
      <c r="S4460" s="10">
        <v>0.03222422183542573</v>
      </c>
      <c r="T4460" s="10">
        <v>20.185477940709536</v>
      </c>
      <c r="U4460" s="11">
        <v>0.37634822419848507</v>
      </c>
      <c r="V4460" s="11">
        <v>0.2027279838490234</v>
      </c>
      <c r="W4460" s="11">
        <v>0.21702742061350178</v>
      </c>
      <c r="X4460" s="11">
        <v>0.015680401155842953</v>
      </c>
      <c r="Y4460" s="11">
        <v>0.07420993647842142</v>
      </c>
      <c r="Z4460" s="11">
        <v>0.11400603370472534</v>
      </c>
    </row>
    <row r="4461" ht="22.5" customHeight="1">
      <c r="Q4461" s="9" t="s">
        <v>4499</v>
      </c>
      <c r="R4461" s="10">
        <v>0.6427264450167641</v>
      </c>
      <c r="S4461" s="10">
        <v>0.02985972511087513</v>
      </c>
      <c r="T4461" s="10">
        <v>20.185264357884083</v>
      </c>
      <c r="U4461" s="11">
        <v>0.22994757225659335</v>
      </c>
      <c r="V4461" s="11">
        <v>0.15147184005259448</v>
      </c>
      <c r="W4461" s="11">
        <v>0.22846807204478642</v>
      </c>
      <c r="X4461" s="11">
        <v>0.15866818812018507</v>
      </c>
      <c r="Y4461" s="11">
        <v>0.020260406072341256</v>
      </c>
      <c r="Z4461" s="11">
        <v>0.21118392145349926</v>
      </c>
    </row>
    <row r="4462" ht="22.5" customHeight="1">
      <c r="Q4462" s="9" t="s">
        <v>4500</v>
      </c>
      <c r="R4462" s="10">
        <v>0.5504464353490611</v>
      </c>
      <c r="S4462" s="10">
        <v>0.025288653439567432</v>
      </c>
      <c r="T4462" s="10">
        <v>20.184800925398438</v>
      </c>
      <c r="U4462" s="11">
        <v>0.05540971319492372</v>
      </c>
      <c r="V4462" s="11">
        <v>0.0819059994441709</v>
      </c>
      <c r="W4462" s="11">
        <v>0.19790826271705209</v>
      </c>
      <c r="X4462" s="11">
        <v>0.3236436523386657</v>
      </c>
      <c r="Y4462" s="11">
        <v>0.33515159345814555</v>
      </c>
      <c r="Z4462" s="11">
        <v>0.005980778847042107</v>
      </c>
    </row>
    <row r="4463" ht="22.5" customHeight="1">
      <c r="Q4463" s="9" t="s">
        <v>4501</v>
      </c>
      <c r="R4463" s="10">
        <v>0.6200329197772234</v>
      </c>
      <c r="S4463" s="10">
        <v>0.028737537172339886</v>
      </c>
      <c r="T4463" s="10">
        <v>20.18380755103502</v>
      </c>
      <c r="U4463" s="11">
        <v>0.029166546220232358</v>
      </c>
      <c r="V4463" s="11">
        <v>0.18274427822338335</v>
      </c>
      <c r="W4463" s="11">
        <v>0.18920668567811916</v>
      </c>
      <c r="X4463" s="11">
        <v>0.013825971090546493</v>
      </c>
      <c r="Y4463" s="11">
        <v>0.2934067245021091</v>
      </c>
      <c r="Z4463" s="11">
        <v>0.29164979428560955</v>
      </c>
    </row>
    <row r="4464" ht="22.5" customHeight="1">
      <c r="Q4464" s="9" t="s">
        <v>4502</v>
      </c>
      <c r="R4464" s="10">
        <v>0.7139663023614788</v>
      </c>
      <c r="S4464" s="10">
        <v>0.03339145682146745</v>
      </c>
      <c r="T4464" s="10">
        <v>20.183794494650027</v>
      </c>
      <c r="U4464" s="11">
        <v>0.3292155292810152</v>
      </c>
      <c r="V4464" s="11">
        <v>0.2840143913904383</v>
      </c>
      <c r="W4464" s="11">
        <v>0.1329679510794327</v>
      </c>
      <c r="X4464" s="11">
        <v>0.1591003294408195</v>
      </c>
      <c r="Y4464" s="11">
        <v>0.06647813227970377</v>
      </c>
      <c r="Z4464" s="11">
        <v>0.0282236665285905</v>
      </c>
    </row>
    <row r="4465" ht="22.5" customHeight="1">
      <c r="Q4465" s="9" t="s">
        <v>4503</v>
      </c>
      <c r="R4465" s="10">
        <v>0.6749724109948008</v>
      </c>
      <c r="S4465" s="10">
        <v>0.03145976277461171</v>
      </c>
      <c r="T4465" s="10">
        <v>20.18363633394047</v>
      </c>
      <c r="U4465" s="11">
        <v>0.2626359185738653</v>
      </c>
      <c r="V4465" s="11">
        <v>0.16671603090505296</v>
      </c>
      <c r="W4465" s="11">
        <v>0.23584835111987418</v>
      </c>
      <c r="X4465" s="11">
        <v>0.10686440649382704</v>
      </c>
      <c r="Y4465" s="11">
        <v>0.0955668662093648</v>
      </c>
      <c r="Z4465" s="11">
        <v>0.13236842669801557</v>
      </c>
    </row>
    <row r="4466" ht="22.5" customHeight="1">
      <c r="Q4466" s="9" t="s">
        <v>4504</v>
      </c>
      <c r="R4466" s="10">
        <v>0.984082600788528</v>
      </c>
      <c r="S4466" s="10">
        <v>0.04677545372626282</v>
      </c>
      <c r="T4466" s="10">
        <v>20.183291140550878</v>
      </c>
      <c r="U4466" s="11">
        <v>9.810267943577966E-5</v>
      </c>
      <c r="V4466" s="11">
        <v>0.3086333604184241</v>
      </c>
      <c r="W4466" s="11">
        <v>0.316527710387115</v>
      </c>
      <c r="X4466" s="11">
        <v>0.24428121367613598</v>
      </c>
      <c r="Y4466" s="11">
        <v>0.012089056993864969</v>
      </c>
      <c r="Z4466" s="11">
        <v>0.11837055584502414</v>
      </c>
    </row>
    <row r="4467" ht="22.5" customHeight="1">
      <c r="Q4467" s="9" t="s">
        <v>4505</v>
      </c>
      <c r="R4467" s="10">
        <v>0.490404995030748</v>
      </c>
      <c r="S4467" s="10">
        <v>0.02231668942125948</v>
      </c>
      <c r="T4467" s="10">
        <v>20.182428788101525</v>
      </c>
      <c r="U4467" s="11">
        <v>0.23470817332128252</v>
      </c>
      <c r="V4467" s="11">
        <v>0.19397060082231887</v>
      </c>
      <c r="W4467" s="11">
        <v>0.05972015649165217</v>
      </c>
      <c r="X4467" s="11">
        <v>0.1673903458211353</v>
      </c>
      <c r="Y4467" s="11">
        <v>0.16422628736329686</v>
      </c>
      <c r="Z4467" s="11">
        <v>0.17998443618031434</v>
      </c>
    </row>
    <row r="4468" ht="22.5" customHeight="1">
      <c r="Q4468" s="9" t="s">
        <v>4506</v>
      </c>
      <c r="R4468" s="10">
        <v>0.9225028962990147</v>
      </c>
      <c r="S4468" s="10">
        <v>0.043726356159132146</v>
      </c>
      <c r="T4468" s="10">
        <v>20.18240196112719</v>
      </c>
      <c r="U4468" s="11">
        <v>0.1016660787989848</v>
      </c>
      <c r="V4468" s="11">
        <v>0.31838644265481497</v>
      </c>
      <c r="W4468" s="11">
        <v>0.26346187321147146</v>
      </c>
      <c r="X4468" s="11">
        <v>0.09062210287919426</v>
      </c>
      <c r="Y4468" s="11">
        <v>0.18283220495939023</v>
      </c>
      <c r="Z4468" s="11">
        <v>0.04303129749614428</v>
      </c>
    </row>
    <row r="4469" ht="22.5" customHeight="1">
      <c r="Q4469" s="9" t="s">
        <v>4507</v>
      </c>
      <c r="R4469" s="10">
        <v>0.7534962075177016</v>
      </c>
      <c r="S4469" s="10">
        <v>0.03535277760803726</v>
      </c>
      <c r="T4469" s="10">
        <v>20.182182442023795</v>
      </c>
      <c r="U4469" s="11">
        <v>0.14435613444041923</v>
      </c>
      <c r="V4469" s="11">
        <v>0.2421735876988829</v>
      </c>
      <c r="W4469" s="11">
        <v>0.22629929333903098</v>
      </c>
      <c r="X4469" s="11">
        <v>0.023680030763154124</v>
      </c>
      <c r="Y4469" s="11">
        <v>0.1736765316032304</v>
      </c>
      <c r="Z4469" s="11">
        <v>0.1898144221552823</v>
      </c>
    </row>
    <row r="4470" ht="22.5" customHeight="1">
      <c r="Q4470" s="9" t="s">
        <v>4508</v>
      </c>
      <c r="R4470" s="10">
        <v>0.445928408537866</v>
      </c>
      <c r="S4470" s="10">
        <v>0.020113521037951096</v>
      </c>
      <c r="T4470" s="10">
        <v>20.18186710183374</v>
      </c>
      <c r="U4470" s="11">
        <v>0.17987280823265261</v>
      </c>
      <c r="V4470" s="11">
        <v>0.15069702885811717</v>
      </c>
      <c r="W4470" s="11">
        <v>0.08377060508786421</v>
      </c>
      <c r="X4470" s="11">
        <v>0.00701052387689911</v>
      </c>
      <c r="Y4470" s="11">
        <v>0.3423187122181931</v>
      </c>
      <c r="Z4470" s="11">
        <v>0.23633032172627372</v>
      </c>
    </row>
    <row r="4471" ht="22.5" customHeight="1">
      <c r="Q4471" s="9" t="s">
        <v>4509</v>
      </c>
      <c r="R4471" s="10">
        <v>0.6648144217551823</v>
      </c>
      <c r="S4471" s="10">
        <v>0.030960371958775906</v>
      </c>
      <c r="T4471" s="10">
        <v>20.181101912700854</v>
      </c>
      <c r="U4471" s="11">
        <v>0.059975053799137805</v>
      </c>
      <c r="V4471" s="11">
        <v>0.1750237983437123</v>
      </c>
      <c r="W4471" s="11">
        <v>0.2147871076836283</v>
      </c>
      <c r="X4471" s="11">
        <v>0.05587062693098203</v>
      </c>
      <c r="Y4471" s="11">
        <v>0.40549101631313245</v>
      </c>
      <c r="Z4471" s="11">
        <v>0.08885239692940725</v>
      </c>
    </row>
    <row r="4472" ht="22.5" customHeight="1">
      <c r="Q4472" s="9" t="s">
        <v>4510</v>
      </c>
      <c r="R4472" s="10">
        <v>0.7318631358603023</v>
      </c>
      <c r="S4472" s="10">
        <v>0.034282937256843275</v>
      </c>
      <c r="T4472" s="10">
        <v>20.180976054558986</v>
      </c>
      <c r="U4472" s="11">
        <v>0.20497970210224142</v>
      </c>
      <c r="V4472" s="11">
        <v>0.2619902109631388</v>
      </c>
      <c r="W4472" s="11">
        <v>0.18521182830060798</v>
      </c>
      <c r="X4472" s="11">
        <v>0.006095459280100742</v>
      </c>
      <c r="Y4472" s="11">
        <v>0.2202700983991593</v>
      </c>
      <c r="Z4472" s="11">
        <v>0.1214527009547518</v>
      </c>
    </row>
    <row r="4473" ht="22.5" customHeight="1">
      <c r="Q4473" s="9" t="s">
        <v>4511</v>
      </c>
      <c r="R4473" s="10">
        <v>0.7065303684145988</v>
      </c>
      <c r="S4473" s="10">
        <v>0.03302792055198125</v>
      </c>
      <c r="T4473" s="10">
        <v>20.180815421472715</v>
      </c>
      <c r="U4473" s="11">
        <v>0.2890050782637844</v>
      </c>
      <c r="V4473" s="11">
        <v>0.24475547865847003</v>
      </c>
      <c r="W4473" s="11">
        <v>0.18922426064922349</v>
      </c>
      <c r="X4473" s="11">
        <v>0.001710322984795428</v>
      </c>
      <c r="Y4473" s="11">
        <v>0.10338846646415424</v>
      </c>
      <c r="Z4473" s="11">
        <v>0.17191639297957245</v>
      </c>
    </row>
    <row r="4474" ht="22.5" customHeight="1">
      <c r="Q4474" s="9" t="s">
        <v>4512</v>
      </c>
      <c r="R4474" s="10">
        <v>0.7952827579271533</v>
      </c>
      <c r="S4474" s="10">
        <v>0.03742613893895272</v>
      </c>
      <c r="T4474" s="10">
        <v>20.180621868558905</v>
      </c>
      <c r="U4474" s="11">
        <v>0.07803305665765845</v>
      </c>
      <c r="V4474" s="11">
        <v>0.24279406876714005</v>
      </c>
      <c r="W4474" s="11">
        <v>0.24966040652517163</v>
      </c>
      <c r="X4474" s="11">
        <v>0.05041309554157474</v>
      </c>
      <c r="Y4474" s="11">
        <v>0.2664269673034709</v>
      </c>
      <c r="Z4474" s="11">
        <v>0.11267240520498417</v>
      </c>
    </row>
    <row r="4475" ht="22.5" customHeight="1">
      <c r="Q4475" s="9" t="s">
        <v>4513</v>
      </c>
      <c r="R4475" s="10">
        <v>0.79089410054723</v>
      </c>
      <c r="S4475" s="10">
        <v>0.037209389701088544</v>
      </c>
      <c r="T4475" s="10">
        <v>20.18023156464893</v>
      </c>
      <c r="U4475" s="11">
        <v>0.2603370923504179</v>
      </c>
      <c r="V4475" s="11">
        <v>0.282818868248728</v>
      </c>
      <c r="W4475" s="11">
        <v>0.20562751716151328</v>
      </c>
      <c r="X4475" s="11">
        <v>0.02289815560105797</v>
      </c>
      <c r="Y4475" s="11">
        <v>0.16478987485709565</v>
      </c>
      <c r="Z4475" s="11">
        <v>0.06352849178118726</v>
      </c>
    </row>
    <row r="4476" ht="22.5" customHeight="1">
      <c r="Q4476" s="9" t="s">
        <v>4514</v>
      </c>
      <c r="R4476" s="10">
        <v>0.8133599831908578</v>
      </c>
      <c r="S4476" s="10">
        <v>0.03832284333553492</v>
      </c>
      <c r="T4476" s="10">
        <v>20.180130592600324</v>
      </c>
      <c r="U4476" s="11">
        <v>0.22069756582071226</v>
      </c>
      <c r="V4476" s="11">
        <v>0.24315044953370912</v>
      </c>
      <c r="W4476" s="11">
        <v>0.2649102470352355</v>
      </c>
      <c r="X4476" s="11">
        <v>0.09645786364915199</v>
      </c>
      <c r="Y4476" s="11">
        <v>0.04488594559163854</v>
      </c>
      <c r="Z4476" s="11">
        <v>0.1298979283695526</v>
      </c>
    </row>
    <row r="4477" ht="22.5" customHeight="1">
      <c r="Q4477" s="9" t="s">
        <v>4515</v>
      </c>
      <c r="R4477" s="10">
        <v>0.6924742122134399</v>
      </c>
      <c r="S4477" s="10">
        <v>0.032333099426055924</v>
      </c>
      <c r="T4477" s="10">
        <v>20.179760796072568</v>
      </c>
      <c r="U4477" s="11">
        <v>0.1292268233932913</v>
      </c>
      <c r="V4477" s="11">
        <v>0.2635056617015631</v>
      </c>
      <c r="W4477" s="11">
        <v>0.14904658836450602</v>
      </c>
      <c r="X4477" s="11">
        <v>0.05640962660737134</v>
      </c>
      <c r="Y4477" s="11">
        <v>0.2606785392193529</v>
      </c>
      <c r="Z4477" s="11">
        <v>0.14113276071391534</v>
      </c>
    </row>
    <row r="4478" ht="22.5" customHeight="1">
      <c r="Q4478" s="9" t="s">
        <v>4516</v>
      </c>
      <c r="R4478" s="10">
        <v>0.692931113246952</v>
      </c>
      <c r="S4478" s="10">
        <v>0.03235703769452087</v>
      </c>
      <c r="T4478" s="10">
        <v>20.178952084897286</v>
      </c>
      <c r="U4478" s="11">
        <v>0.20589028478107207</v>
      </c>
      <c r="V4478" s="11">
        <v>0.2842048488525561</v>
      </c>
      <c r="W4478" s="11">
        <v>0.1053817970235337</v>
      </c>
      <c r="X4478" s="11">
        <v>0.2785063807002796</v>
      </c>
      <c r="Y4478" s="11">
        <v>0.10247305044618044</v>
      </c>
      <c r="Z4478" s="11">
        <v>0.023543638196378162</v>
      </c>
    </row>
    <row r="4479" ht="22.5" customHeight="1">
      <c r="Q4479" s="9" t="s">
        <v>4517</v>
      </c>
      <c r="R4479" s="10">
        <v>0.5891486076533167</v>
      </c>
      <c r="S4479" s="10">
        <v>0.027214319408507687</v>
      </c>
      <c r="T4479" s="10">
        <v>20.17866401177179</v>
      </c>
      <c r="U4479" s="11">
        <v>0.005722307736936641</v>
      </c>
      <c r="V4479" s="11">
        <v>0.208025391888998</v>
      </c>
      <c r="W4479" s="11">
        <v>0.14194951267435474</v>
      </c>
      <c r="X4479" s="11">
        <v>0.014208769110262707</v>
      </c>
      <c r="Y4479" s="11">
        <v>0.2824734140634157</v>
      </c>
      <c r="Z4479" s="11">
        <v>0.3476206045260323</v>
      </c>
    </row>
    <row r="4480" ht="22.5" customHeight="1">
      <c r="Q4480" s="9" t="s">
        <v>4518</v>
      </c>
      <c r="R4480" s="10">
        <v>0.7668302098330504</v>
      </c>
      <c r="S4480" s="10">
        <v>0.0360202565181972</v>
      </c>
      <c r="T4480" s="10">
        <v>20.178374061990937</v>
      </c>
      <c r="U4480" s="11">
        <v>0.04312660561763577</v>
      </c>
      <c r="V4480" s="11">
        <v>0.24805113535214401</v>
      </c>
      <c r="W4480" s="11">
        <v>0.22988150233036936</v>
      </c>
      <c r="X4480" s="11">
        <v>0.044491338907205254</v>
      </c>
      <c r="Y4480" s="11">
        <v>0.21174619993677626</v>
      </c>
      <c r="Z4480" s="11">
        <v>0.22270321785586944</v>
      </c>
    </row>
    <row r="4481" ht="22.5" customHeight="1">
      <c r="Q4481" s="9" t="s">
        <v>4519</v>
      </c>
      <c r="R4481" s="10">
        <v>0.5633924592027878</v>
      </c>
      <c r="S4481" s="10">
        <v>0.025938862387988322</v>
      </c>
      <c r="T4481" s="10">
        <v>20.17792651713047</v>
      </c>
      <c r="U4481" s="11">
        <v>0.11488256519485611</v>
      </c>
      <c r="V4481" s="11">
        <v>0.09905471472920283</v>
      </c>
      <c r="W4481" s="11">
        <v>0.20748564669169928</v>
      </c>
      <c r="X4481" s="11">
        <v>0.24154595963172282</v>
      </c>
      <c r="Y4481" s="11">
        <v>0.19445617171077922</v>
      </c>
      <c r="Z4481" s="11">
        <v>0.14257494204173973</v>
      </c>
    </row>
    <row r="4482" ht="22.5" customHeight="1">
      <c r="Q4482" s="9" t="s">
        <v>4520</v>
      </c>
      <c r="R4482" s="10">
        <v>0.8326692170255037</v>
      </c>
      <c r="S4482" s="10">
        <v>0.03928621928518811</v>
      </c>
      <c r="T4482" s="10">
        <v>20.17677525219027</v>
      </c>
      <c r="U4482" s="11">
        <v>0.04349776646875612</v>
      </c>
      <c r="V4482" s="11">
        <v>0.32125990697756934</v>
      </c>
      <c r="W4482" s="11">
        <v>0.1844547551614037</v>
      </c>
      <c r="X4482" s="11">
        <v>0.138240527351568</v>
      </c>
      <c r="Y4482" s="11">
        <v>0.27339959551685283</v>
      </c>
      <c r="Z4482" s="11">
        <v>0.03914744852384992</v>
      </c>
    </row>
    <row r="4483" ht="22.5" customHeight="1">
      <c r="Q4483" s="9" t="s">
        <v>4521</v>
      </c>
      <c r="R4483" s="10">
        <v>0.7910625122300021</v>
      </c>
      <c r="S4483" s="10">
        <v>0.037224417225652506</v>
      </c>
      <c r="T4483" s="10">
        <v>20.176609016525354</v>
      </c>
      <c r="U4483" s="11">
        <v>0.14551322772472794</v>
      </c>
      <c r="V4483" s="11">
        <v>0.22990914346754826</v>
      </c>
      <c r="W4483" s="11">
        <v>0.2632138508504322</v>
      </c>
      <c r="X4483" s="11">
        <v>0.12742930313515533</v>
      </c>
      <c r="Y4483" s="11">
        <v>0.03287887436338009</v>
      </c>
      <c r="Z4483" s="11">
        <v>0.20105560045875623</v>
      </c>
    </row>
    <row r="4484" ht="22.5" customHeight="1">
      <c r="Q4484" s="9" t="s">
        <v>4522</v>
      </c>
      <c r="R4484" s="10">
        <v>0.42751838671987213</v>
      </c>
      <c r="S4484" s="10">
        <v>0.01920685849965216</v>
      </c>
      <c r="T4484" s="10">
        <v>20.176042153217832</v>
      </c>
      <c r="U4484" s="11">
        <v>0.079768186251309</v>
      </c>
      <c r="V4484" s="11">
        <v>0.1502728835909072</v>
      </c>
      <c r="W4484" s="11">
        <v>0.06395537564009764</v>
      </c>
      <c r="X4484" s="11">
        <v>0.07957579944981395</v>
      </c>
      <c r="Y4484" s="11">
        <v>0.37568123357703287</v>
      </c>
      <c r="Z4484" s="11">
        <v>0.2507465214908394</v>
      </c>
    </row>
    <row r="4485" ht="22.5" customHeight="1">
      <c r="Q4485" s="9" t="s">
        <v>4523</v>
      </c>
      <c r="R4485" s="10">
        <v>0.5027773727157966</v>
      </c>
      <c r="S4485" s="10">
        <v>0.022937269049197552</v>
      </c>
      <c r="T4485" s="10">
        <v>20.175783425794826</v>
      </c>
      <c r="U4485" s="11">
        <v>0.11342025792797772</v>
      </c>
      <c r="V4485" s="11">
        <v>0.09005490624596971</v>
      </c>
      <c r="W4485" s="11">
        <v>0.1829024189557948</v>
      </c>
      <c r="X4485" s="11">
        <v>0.23674646116132303</v>
      </c>
      <c r="Y4485" s="11">
        <v>0.059417970138589224</v>
      </c>
      <c r="Z4485" s="11">
        <v>0.31745798557034544</v>
      </c>
    </row>
    <row r="4486" ht="22.5" customHeight="1">
      <c r="Q4486" s="9" t="s">
        <v>4524</v>
      </c>
      <c r="R4486" s="10">
        <v>0.7424105405908141</v>
      </c>
      <c r="S4486" s="10">
        <v>0.03481589259493881</v>
      </c>
      <c r="T4486" s="10">
        <v>20.174997342820493</v>
      </c>
      <c r="U4486" s="11">
        <v>0.12847365912851588</v>
      </c>
      <c r="V4486" s="11">
        <v>0.16589434519941798</v>
      </c>
      <c r="W4486" s="11">
        <v>0.271700566194434</v>
      </c>
      <c r="X4486" s="11">
        <v>0.2400897997387399</v>
      </c>
      <c r="Y4486" s="11">
        <v>0.1523116698518892</v>
      </c>
      <c r="Z4486" s="11">
        <v>0.04152995988700298</v>
      </c>
    </row>
    <row r="4487" ht="22.5" customHeight="1">
      <c r="Q4487" s="9" t="s">
        <v>4525</v>
      </c>
      <c r="R4487" s="10">
        <v>0.398859128919583</v>
      </c>
      <c r="S4487" s="10">
        <v>0.01778756852471804</v>
      </c>
      <c r="T4487" s="10">
        <v>20.174715190606495</v>
      </c>
      <c r="U4487" s="11">
        <v>0.1903416725683846</v>
      </c>
      <c r="V4487" s="11">
        <v>0.06652447012109497</v>
      </c>
      <c r="W4487" s="11">
        <v>0.12855122805570107</v>
      </c>
      <c r="X4487" s="11">
        <v>0.10298105728129972</v>
      </c>
      <c r="Y4487" s="11">
        <v>0.2810111821150712</v>
      </c>
      <c r="Z4487" s="11">
        <v>0.23059038985844835</v>
      </c>
    </row>
    <row r="4488" ht="22.5" customHeight="1">
      <c r="Q4488" s="9" t="s">
        <v>4526</v>
      </c>
      <c r="R4488" s="10">
        <v>0.9719186932767665</v>
      </c>
      <c r="S4488" s="10">
        <v>0.04619332813739089</v>
      </c>
      <c r="T4488" s="10">
        <v>20.174313712685944</v>
      </c>
      <c r="U4488" s="11">
        <v>0.04621834702489419</v>
      </c>
      <c r="V4488" s="11">
        <v>0.337491673163374</v>
      </c>
      <c r="W4488" s="11">
        <v>0.2789701513548442</v>
      </c>
      <c r="X4488" s="11">
        <v>0.13490508369256404</v>
      </c>
      <c r="Y4488" s="11">
        <v>0.1544510177719841</v>
      </c>
      <c r="Z4488" s="11">
        <v>0.047963726992339493</v>
      </c>
    </row>
    <row r="4489" ht="22.5" customHeight="1">
      <c r="Q4489" s="9" t="s">
        <v>4527</v>
      </c>
      <c r="R4489" s="10">
        <v>0.5663698117254756</v>
      </c>
      <c r="S4489" s="10">
        <v>0.02609177287303711</v>
      </c>
      <c r="T4489" s="10">
        <v>20.17378482814478</v>
      </c>
      <c r="U4489" s="11">
        <v>0.2334879575867653</v>
      </c>
      <c r="V4489" s="11">
        <v>0.22197446695310616</v>
      </c>
      <c r="W4489" s="11">
        <v>0.10081757836464746</v>
      </c>
      <c r="X4489" s="11">
        <v>0.09236920099576458</v>
      </c>
      <c r="Y4489" s="11">
        <v>0.10338406834285595</v>
      </c>
      <c r="Z4489" s="11">
        <v>0.24796672775686068</v>
      </c>
    </row>
    <row r="4490" ht="22.5" customHeight="1">
      <c r="Q4490" s="9" t="s">
        <v>4528</v>
      </c>
      <c r="R4490" s="10">
        <v>0.378809962916659</v>
      </c>
      <c r="S4490" s="10">
        <v>0.016794994172312852</v>
      </c>
      <c r="T4490" s="10">
        <v>20.17327064484484</v>
      </c>
      <c r="U4490" s="11">
        <v>0.2461517577296643</v>
      </c>
      <c r="V4490" s="11">
        <v>0.13177251582579677</v>
      </c>
      <c r="W4490" s="11">
        <v>0.03708989077518637</v>
      </c>
      <c r="X4490" s="11">
        <v>0.13450851471004918</v>
      </c>
      <c r="Y4490" s="11">
        <v>0.2941214728130867</v>
      </c>
      <c r="Z4490" s="11">
        <v>0.15635584814621659</v>
      </c>
    </row>
    <row r="4491" ht="22.5" customHeight="1">
      <c r="Q4491" s="9" t="s">
        <v>4529</v>
      </c>
      <c r="R4491" s="10">
        <v>0.7647389796030262</v>
      </c>
      <c r="S4491" s="10">
        <v>0.035925817721196664</v>
      </c>
      <c r="T4491" s="10">
        <v>20.173207614295205</v>
      </c>
      <c r="U4491" s="11">
        <v>0.10760951711938235</v>
      </c>
      <c r="V4491" s="11">
        <v>0.1801689256457902</v>
      </c>
      <c r="W4491" s="11">
        <v>0.27814746343669267</v>
      </c>
      <c r="X4491" s="11">
        <v>0.25591179727806784</v>
      </c>
      <c r="Y4491" s="11">
        <v>0.07079318048139607</v>
      </c>
      <c r="Z4491" s="11">
        <v>0.10736911603867084</v>
      </c>
    </row>
    <row r="4492" ht="22.5" customHeight="1">
      <c r="Q4492" s="9" t="s">
        <v>4530</v>
      </c>
      <c r="R4492" s="10">
        <v>0.6072520743083734</v>
      </c>
      <c r="S4492" s="10">
        <v>0.028119307689319917</v>
      </c>
      <c r="T4492" s="10">
        <v>20.17304553069858</v>
      </c>
      <c r="U4492" s="11">
        <v>0.29159361291192076</v>
      </c>
      <c r="V4492" s="11">
        <v>0.24390847850525552</v>
      </c>
      <c r="W4492" s="11">
        <v>0.08947046165909743</v>
      </c>
      <c r="X4492" s="11">
        <v>0.17514501618146686</v>
      </c>
      <c r="Y4492" s="11">
        <v>0.16083599674246682</v>
      </c>
      <c r="Z4492" s="11">
        <v>0.03904643399979269</v>
      </c>
    </row>
    <row r="4493" ht="22.5" customHeight="1">
      <c r="Q4493" s="9" t="s">
        <v>4531</v>
      </c>
      <c r="R4493" s="10">
        <v>0.4004840098519436</v>
      </c>
      <c r="S4493" s="10">
        <v>0.017869813244678956</v>
      </c>
      <c r="T4493" s="10">
        <v>20.17279111516646</v>
      </c>
      <c r="U4493" s="11">
        <v>0.32995666014716785</v>
      </c>
      <c r="V4493" s="11">
        <v>0.14919223252585723</v>
      </c>
      <c r="W4493" s="11">
        <v>0.03519022836743502</v>
      </c>
      <c r="X4493" s="11">
        <v>0.190746924167968</v>
      </c>
      <c r="Y4493" s="11">
        <v>0.12343824348882267</v>
      </c>
      <c r="Z4493" s="11">
        <v>0.17147571130274925</v>
      </c>
    </row>
    <row r="4494" ht="22.5" customHeight="1">
      <c r="Q4494" s="9" t="s">
        <v>4532</v>
      </c>
      <c r="R4494" s="10">
        <v>0.7897741874527183</v>
      </c>
      <c r="S4494" s="10">
        <v>0.037168718463811735</v>
      </c>
      <c r="T4494" s="10">
        <v>20.172182911894435</v>
      </c>
      <c r="U4494" s="11">
        <v>0.06929227117441034</v>
      </c>
      <c r="V4494" s="11">
        <v>0.31951966307932395</v>
      </c>
      <c r="W4494" s="11">
        <v>0.14632592524876217</v>
      </c>
      <c r="X4494" s="11">
        <v>0.24315524869896668</v>
      </c>
      <c r="Y4494" s="11">
        <v>0.1769658113198531</v>
      </c>
      <c r="Z4494" s="11">
        <v>0.04474108047868379</v>
      </c>
    </row>
    <row r="4495" ht="22.5" customHeight="1">
      <c r="Q4495" s="9" t="s">
        <v>4533</v>
      </c>
      <c r="R4495" s="10">
        <v>0.46033259755379474</v>
      </c>
      <c r="S4495" s="10">
        <v>0.020837823774094686</v>
      </c>
      <c r="T4495" s="10">
        <v>20.17161686895283</v>
      </c>
      <c r="U4495" s="11">
        <v>0.2887083997071274</v>
      </c>
      <c r="V4495" s="11">
        <v>0.05344307568060781</v>
      </c>
      <c r="W4495" s="11">
        <v>0.16442609361052046</v>
      </c>
      <c r="X4495" s="11">
        <v>0.2892627226956226</v>
      </c>
      <c r="Y4495" s="11">
        <v>0.1837344841062564</v>
      </c>
      <c r="Z4495" s="11">
        <v>0.020425224199865196</v>
      </c>
    </row>
    <row r="4496" ht="22.5" customHeight="1">
      <c r="Q4496" s="9" t="s">
        <v>4534</v>
      </c>
      <c r="R4496" s="10">
        <v>0.6860088421674875</v>
      </c>
      <c r="S4496" s="10">
        <v>0.03202647235947569</v>
      </c>
      <c r="T4496" s="10">
        <v>20.171089557303443</v>
      </c>
      <c r="U4496" s="11">
        <v>0.25469150639235444</v>
      </c>
      <c r="V4496" s="11">
        <v>0.152054319571321</v>
      </c>
      <c r="W4496" s="11">
        <v>0.2501930286069836</v>
      </c>
      <c r="X4496" s="11">
        <v>0.20838542288333914</v>
      </c>
      <c r="Y4496" s="11">
        <v>0.04138279301232086</v>
      </c>
      <c r="Z4496" s="11">
        <v>0.09329292953368092</v>
      </c>
    </row>
    <row r="4497" ht="22.5" customHeight="1">
      <c r="Q4497" s="9" t="s">
        <v>4535</v>
      </c>
      <c r="R4497" s="10">
        <v>0.33481917348705625</v>
      </c>
      <c r="S4497" s="10">
        <v>0.01461597923365749</v>
      </c>
      <c r="T4497" s="10">
        <v>20.1710175400462</v>
      </c>
      <c r="U4497" s="11">
        <v>0.36059761654693673</v>
      </c>
      <c r="V4497" s="11">
        <v>0.0802224002311536</v>
      </c>
      <c r="W4497" s="11">
        <v>0.07203948930573152</v>
      </c>
      <c r="X4497" s="11">
        <v>0.027086807960979415</v>
      </c>
      <c r="Y4497" s="11">
        <v>0.22454384327478022</v>
      </c>
      <c r="Z4497" s="11">
        <v>0.23550984268041852</v>
      </c>
    </row>
    <row r="4498" ht="22.5" customHeight="1">
      <c r="Q4498" s="9" t="s">
        <v>4536</v>
      </c>
      <c r="R4498" s="10">
        <v>0.6845662676810406</v>
      </c>
      <c r="S4498" s="10">
        <v>0.03195557418000202</v>
      </c>
      <c r="T4498" s="10">
        <v>20.17069898510582</v>
      </c>
      <c r="U4498" s="11">
        <v>0.13266855648302425</v>
      </c>
      <c r="V4498" s="11">
        <v>0.20650567125597624</v>
      </c>
      <c r="W4498" s="11">
        <v>0.2127788896101501</v>
      </c>
      <c r="X4498" s="11">
        <v>0.010147368910497693</v>
      </c>
      <c r="Y4498" s="11">
        <v>0.20977125814966346</v>
      </c>
      <c r="Z4498" s="11">
        <v>0.22812825559068817</v>
      </c>
    </row>
    <row r="4499" ht="22.5" customHeight="1">
      <c r="Q4499" s="9" t="s">
        <v>4537</v>
      </c>
      <c r="R4499" s="10">
        <v>0.7392973672358648</v>
      </c>
      <c r="S4499" s="10">
        <v>0.03466955357478827</v>
      </c>
      <c r="T4499" s="10">
        <v>20.170359728669666</v>
      </c>
      <c r="U4499" s="11">
        <v>0.16303576350047663</v>
      </c>
      <c r="V4499" s="11">
        <v>0.24437972886703568</v>
      </c>
      <c r="W4499" s="11">
        <v>0.21702877691148958</v>
      </c>
      <c r="X4499" s="11">
        <v>0.031575087957197386</v>
      </c>
      <c r="Y4499" s="11">
        <v>0.09757144156663197</v>
      </c>
      <c r="Z4499" s="11">
        <v>0.24640920119716864</v>
      </c>
    </row>
    <row r="4500" ht="22.5" customHeight="1">
      <c r="Q4500" s="9" t="s">
        <v>4538</v>
      </c>
      <c r="R4500" s="10">
        <v>0.750408582882938</v>
      </c>
      <c r="S4500" s="10">
        <v>0.03522155133745333</v>
      </c>
      <c r="T4500" s="10">
        <v>20.169713028157137</v>
      </c>
      <c r="U4500" s="11">
        <v>0.1871603934508213</v>
      </c>
      <c r="V4500" s="11">
        <v>0.231675650192289</v>
      </c>
      <c r="W4500" s="11">
        <v>0.2304000583368013</v>
      </c>
      <c r="X4500" s="11">
        <v>0.006083954848834207</v>
      </c>
      <c r="Y4500" s="11">
        <v>0.2374696210053671</v>
      </c>
      <c r="Z4500" s="11">
        <v>0.10721032216588701</v>
      </c>
    </row>
    <row r="4501" ht="22.5" customHeight="1">
      <c r="Q4501" s="9" t="s">
        <v>4539</v>
      </c>
      <c r="R4501" s="10">
        <v>0.8543143424143161</v>
      </c>
      <c r="S4501" s="10">
        <v>0.040373200018927795</v>
      </c>
      <c r="T4501" s="10">
        <v>20.169675478598393</v>
      </c>
      <c r="U4501" s="11">
        <v>0.1039738011857835</v>
      </c>
      <c r="V4501" s="11">
        <v>0.24112180759627316</v>
      </c>
      <c r="W4501" s="11">
        <v>0.2861478526892353</v>
      </c>
      <c r="X4501" s="11">
        <v>0.11216406738026388</v>
      </c>
      <c r="Y4501" s="11">
        <v>0.2537938381372762</v>
      </c>
      <c r="Z4501" s="11">
        <v>0.002798633011167867</v>
      </c>
    </row>
    <row r="4502" ht="22.5" customHeight="1">
      <c r="Q4502" s="9" t="s">
        <v>4540</v>
      </c>
      <c r="R4502" s="10">
        <v>0.3593002349605457</v>
      </c>
      <c r="S4502" s="10">
        <v>0.01583158470336401</v>
      </c>
      <c r="T4502" s="10">
        <v>20.16855804035199</v>
      </c>
      <c r="U4502" s="11">
        <v>0.14208817807669852</v>
      </c>
      <c r="V4502" s="11">
        <v>0.12887246592135093</v>
      </c>
      <c r="W4502" s="11">
        <v>0.04310715335365676</v>
      </c>
      <c r="X4502" s="11">
        <v>0.10988375331917556</v>
      </c>
      <c r="Y4502" s="11">
        <v>0.17949161923763865</v>
      </c>
      <c r="Z4502" s="11">
        <v>0.3965568300914797</v>
      </c>
    </row>
    <row r="4503" ht="22.5" customHeight="1">
      <c r="Q4503" s="9" t="s">
        <v>4541</v>
      </c>
      <c r="R4503" s="10">
        <v>0.6536428818975349</v>
      </c>
      <c r="S4503" s="10">
        <v>0.03042614472985879</v>
      </c>
      <c r="T4503" s="10">
        <v>20.168275913554524</v>
      </c>
      <c r="U4503" s="11">
        <v>0.06637382942868111</v>
      </c>
      <c r="V4503" s="11">
        <v>0.267547079957299</v>
      </c>
      <c r="W4503" s="11">
        <v>0.10473879046768737</v>
      </c>
      <c r="X4503" s="11">
        <v>0.30859715155502154</v>
      </c>
      <c r="Y4503" s="11">
        <v>0.0035262730354297016</v>
      </c>
      <c r="Z4503" s="11">
        <v>0.2492168755558813</v>
      </c>
    </row>
    <row r="4504" ht="22.5" customHeight="1">
      <c r="Q4504" s="9" t="s">
        <v>4542</v>
      </c>
      <c r="R4504" s="10">
        <v>0.6948680391592882</v>
      </c>
      <c r="S4504" s="10">
        <v>0.03247126827045461</v>
      </c>
      <c r="T4504" s="10">
        <v>20.16761506525904</v>
      </c>
      <c r="U4504" s="11">
        <v>0.14667694935630832</v>
      </c>
      <c r="V4504" s="11">
        <v>0.20368385486571638</v>
      </c>
      <c r="W4504" s="11">
        <v>0.2213414689654633</v>
      </c>
      <c r="X4504" s="11">
        <v>0.019746358730218124</v>
      </c>
      <c r="Y4504" s="11">
        <v>0.2089690901699941</v>
      </c>
      <c r="Z4504" s="11">
        <v>0.19958227791229977</v>
      </c>
    </row>
    <row r="4505" ht="22.5" customHeight="1">
      <c r="Q4505" s="9" t="s">
        <v>4543</v>
      </c>
      <c r="R4505" s="10">
        <v>0.9028270832276813</v>
      </c>
      <c r="S4505" s="10">
        <v>0.042783024036668</v>
      </c>
      <c r="T4505" s="10">
        <v>20.16751042395178</v>
      </c>
      <c r="U4505" s="11">
        <v>0.16149593659756645</v>
      </c>
      <c r="V4505" s="11">
        <v>0.2663679470444018</v>
      </c>
      <c r="W4505" s="11">
        <v>0.2997695692968404</v>
      </c>
      <c r="X4505" s="11">
        <v>0.13511503376838094</v>
      </c>
      <c r="Y4505" s="11">
        <v>0.10914939366903542</v>
      </c>
      <c r="Z4505" s="11">
        <v>0.028102119623775075</v>
      </c>
    </row>
    <row r="4506" ht="22.5" customHeight="1">
      <c r="Q4506" s="9" t="s">
        <v>4544</v>
      </c>
      <c r="R4506" s="10">
        <v>0.8903079303776205</v>
      </c>
      <c r="S4506" s="10">
        <v>0.04216270400954556</v>
      </c>
      <c r="T4506" s="10">
        <v>20.167300706926014</v>
      </c>
      <c r="U4506" s="11">
        <v>0.052210521905189294</v>
      </c>
      <c r="V4506" s="11">
        <v>0.32928155603595766</v>
      </c>
      <c r="W4506" s="11">
        <v>0.23118342746448373</v>
      </c>
      <c r="X4506" s="11">
        <v>0.1460973806781328</v>
      </c>
      <c r="Y4506" s="11">
        <v>0.07909740788996697</v>
      </c>
      <c r="Z4506" s="11">
        <v>0.1621297060262695</v>
      </c>
    </row>
    <row r="4507" ht="22.5" customHeight="1">
      <c r="Q4507" s="9" t="s">
        <v>4545</v>
      </c>
      <c r="R4507" s="10">
        <v>0.7291283441275817</v>
      </c>
      <c r="S4507" s="10">
        <v>0.034170900768905506</v>
      </c>
      <c r="T4507" s="10">
        <v>20.167110863950878</v>
      </c>
      <c r="U4507" s="11">
        <v>0.21630925136062465</v>
      </c>
      <c r="V4507" s="11">
        <v>0.2927675603369315</v>
      </c>
      <c r="W4507" s="11">
        <v>0.1335633733263836</v>
      </c>
      <c r="X4507" s="11">
        <v>0.16765685811465766</v>
      </c>
      <c r="Y4507" s="11">
        <v>0.15354493945044498</v>
      </c>
      <c r="Z4507" s="11">
        <v>0.036158017410957595</v>
      </c>
    </row>
    <row r="4508" ht="22.5" customHeight="1">
      <c r="Q4508" s="9" t="s">
        <v>4546</v>
      </c>
      <c r="R4508" s="10">
        <v>0.7445579254836427</v>
      </c>
      <c r="S4508" s="10">
        <v>0.03493629223041227</v>
      </c>
      <c r="T4508" s="10">
        <v>20.166934740439352</v>
      </c>
      <c r="U4508" s="11">
        <v>0.17035073763347935</v>
      </c>
      <c r="V4508" s="11">
        <v>0.30457598622071963</v>
      </c>
      <c r="W4508" s="11">
        <v>0.12419810981571187</v>
      </c>
      <c r="X4508" s="11">
        <v>0.2635572795284867</v>
      </c>
      <c r="Y4508" s="11">
        <v>0.12637193125099486</v>
      </c>
      <c r="Z4508" s="11">
        <v>0.01094595555060741</v>
      </c>
    </row>
    <row r="4509" ht="22.5" customHeight="1">
      <c r="Q4509" s="9" t="s">
        <v>4547</v>
      </c>
      <c r="R4509" s="10">
        <v>0.6987649233482808</v>
      </c>
      <c r="S4509" s="10">
        <v>0.032665843681486374</v>
      </c>
      <c r="T4509" s="10">
        <v>20.166781233990935</v>
      </c>
      <c r="U4509" s="11">
        <v>0.20602201396303266</v>
      </c>
      <c r="V4509" s="11">
        <v>0.1604810740133049</v>
      </c>
      <c r="W4509" s="11">
        <v>0.25385837978203607</v>
      </c>
      <c r="X4509" s="11">
        <v>0.21947002098309246</v>
      </c>
      <c r="Y4509" s="11">
        <v>0.014701911342034472</v>
      </c>
      <c r="Z4509" s="11">
        <v>0.1454665999164994</v>
      </c>
    </row>
    <row r="4510" ht="22.5" customHeight="1">
      <c r="Q4510" s="9" t="s">
        <v>4548</v>
      </c>
      <c r="R4510" s="10">
        <v>0.522331348251574</v>
      </c>
      <c r="S4510" s="10">
        <v>0.024751212143820825</v>
      </c>
      <c r="T4510" s="10">
        <v>20.166780088789807</v>
      </c>
      <c r="U4510" s="11">
        <v>0.18193516450841218</v>
      </c>
      <c r="V4510" s="11">
        <v>0.21561784749915813</v>
      </c>
      <c r="W4510" s="11">
        <v>0.05794070118468599</v>
      </c>
      <c r="X4510" s="11">
        <v>0.25521598453083477</v>
      </c>
      <c r="Y4510" s="11">
        <v>0.24730568578087217</v>
      </c>
      <c r="Z4510" s="11">
        <v>0.04198461649603674</v>
      </c>
    </row>
    <row r="4511" ht="22.5" customHeight="1">
      <c r="Q4511" s="9" t="s">
        <v>4549</v>
      </c>
      <c r="R4511" s="10">
        <v>0.32649452982529986</v>
      </c>
      <c r="S4511" s="10">
        <v>0.014206784170741945</v>
      </c>
      <c r="T4511" s="10">
        <v>20.166036618992134</v>
      </c>
      <c r="U4511" s="11">
        <v>0.1817792172039018</v>
      </c>
      <c r="V4511" s="11">
        <v>0.053307508545545654</v>
      </c>
      <c r="W4511" s="11">
        <v>0.07326787539052469</v>
      </c>
      <c r="X4511" s="11">
        <v>0.15066733591057804</v>
      </c>
      <c r="Y4511" s="11">
        <v>0.41699642691876476</v>
      </c>
      <c r="Z4511" s="11">
        <v>0.12398163603068507</v>
      </c>
    </row>
    <row r="4512" ht="22.5" customHeight="1">
      <c r="Q4512" s="9" t="s">
        <v>4550</v>
      </c>
      <c r="R4512" s="10">
        <v>0.8813247268036326</v>
      </c>
      <c r="S4512" s="10">
        <v>0.04172161744364595</v>
      </c>
      <c r="T4512" s="10">
        <v>20.16519920254825</v>
      </c>
      <c r="U4512" s="11">
        <v>0.15620484165394924</v>
      </c>
      <c r="V4512" s="11">
        <v>0.2780238487128116</v>
      </c>
      <c r="W4512" s="11">
        <v>0.2788390902893802</v>
      </c>
      <c r="X4512" s="11">
        <v>0.10927794339989651</v>
      </c>
      <c r="Y4512" s="11">
        <v>0.06274500162806604</v>
      </c>
      <c r="Z4512" s="11">
        <v>0.11490927431589643</v>
      </c>
    </row>
    <row r="4513" ht="22.5" customHeight="1">
      <c r="Q4513" s="9" t="s">
        <v>4551</v>
      </c>
      <c r="R4513" s="10">
        <v>0.522331348251574</v>
      </c>
      <c r="S4513" s="10">
        <v>0.028853068962933485</v>
      </c>
      <c r="T4513" s="10">
        <v>20.164673602942287</v>
      </c>
      <c r="U4513" s="11">
        <v>0.21583197224040976</v>
      </c>
      <c r="V4513" s="11">
        <v>0.11775109378613008</v>
      </c>
      <c r="W4513" s="11">
        <v>0.23142187279785847</v>
      </c>
      <c r="X4513" s="11">
        <v>0.2537490679238537</v>
      </c>
      <c r="Y4513" s="11">
        <v>0.08987428418122446</v>
      </c>
      <c r="Z4513" s="11">
        <v>0.09137170907052339</v>
      </c>
    </row>
    <row r="4514" ht="22.5" customHeight="1">
      <c r="Q4514" s="9" t="s">
        <v>4552</v>
      </c>
      <c r="R4514" s="10">
        <v>0.8567434731522157</v>
      </c>
      <c r="S4514" s="10">
        <v>0.04050495268771909</v>
      </c>
      <c r="T4514" s="10">
        <v>20.164039678037902</v>
      </c>
      <c r="U4514" s="11">
        <v>0.11344841465799012</v>
      </c>
      <c r="V4514" s="11">
        <v>0.27822542147982876</v>
      </c>
      <c r="W4514" s="11">
        <v>0.2644330067235866</v>
      </c>
      <c r="X4514" s="11">
        <v>0.11886283871937006</v>
      </c>
      <c r="Y4514" s="11">
        <v>0.023611595194332535</v>
      </c>
      <c r="Z4514" s="11">
        <v>0.2014187232248919</v>
      </c>
    </row>
    <row r="4515" ht="22.5" customHeight="1">
      <c r="Q4515" s="9" t="s">
        <v>4553</v>
      </c>
      <c r="R4515" s="10">
        <v>0.45162759115457046</v>
      </c>
      <c r="S4515" s="10">
        <v>0.02041406589787905</v>
      </c>
      <c r="T4515" s="10">
        <v>20.16391997624232</v>
      </c>
      <c r="U4515" s="11">
        <v>0.13211210213243335</v>
      </c>
      <c r="V4515" s="11">
        <v>0.043045690933122535</v>
      </c>
      <c r="W4515" s="11">
        <v>0.15881812822899627</v>
      </c>
      <c r="X4515" s="11">
        <v>0.4038865288717702</v>
      </c>
      <c r="Y4515" s="11">
        <v>0.22878894094700797</v>
      </c>
      <c r="Z4515" s="11">
        <v>0.0333486088866696</v>
      </c>
    </row>
    <row r="4516" ht="22.5" customHeight="1">
      <c r="Q4516" s="9" t="s">
        <v>4554</v>
      </c>
      <c r="R4516" s="10">
        <v>0.46507565567640957</v>
      </c>
      <c r="S4516" s="10">
        <v>0.02108110260845288</v>
      </c>
      <c r="T4516" s="10">
        <v>20.16382461446619</v>
      </c>
      <c r="U4516" s="11">
        <v>0.407197697242049</v>
      </c>
      <c r="V4516" s="11">
        <v>0.1696830137327172</v>
      </c>
      <c r="W4516" s="11">
        <v>0.07907070184396722</v>
      </c>
      <c r="X4516" s="11">
        <v>0.05795406229068608</v>
      </c>
      <c r="Y4516" s="11">
        <v>0.06514460820740686</v>
      </c>
      <c r="Z4516" s="11">
        <v>0.22094991668317365</v>
      </c>
    </row>
    <row r="4517" ht="22.5" customHeight="1">
      <c r="Q4517" s="9" t="s">
        <v>4555</v>
      </c>
      <c r="R4517" s="10">
        <v>0.6382448518554339</v>
      </c>
      <c r="S4517" s="10">
        <v>0.029669751112648367</v>
      </c>
      <c r="T4517" s="10">
        <v>20.16346040733719</v>
      </c>
      <c r="U4517" s="11">
        <v>0.14668592252247387</v>
      </c>
      <c r="V4517" s="11">
        <v>0.1541943111876729</v>
      </c>
      <c r="W4517" s="11">
        <v>0.2219228476135289</v>
      </c>
      <c r="X4517" s="11">
        <v>0.08828901870874097</v>
      </c>
      <c r="Y4517" s="11">
        <v>0.21585589873931796</v>
      </c>
      <c r="Z4517" s="11">
        <v>0.17305200122826533</v>
      </c>
    </row>
    <row r="4518" ht="22.5" customHeight="1">
      <c r="Q4518" s="9" t="s">
        <v>4556</v>
      </c>
      <c r="R4518" s="10">
        <v>0.6322738376184783</v>
      </c>
      <c r="S4518" s="10">
        <v>0.029373705907079047</v>
      </c>
      <c r="T4518" s="10">
        <v>20.1634019041411</v>
      </c>
      <c r="U4518" s="11">
        <v>0.0631305967519185</v>
      </c>
      <c r="V4518" s="11">
        <v>0.23858106345653218</v>
      </c>
      <c r="W4518" s="11">
        <v>0.1365538764622594</v>
      </c>
      <c r="X4518" s="11">
        <v>0.04471568761424366</v>
      </c>
      <c r="Y4518" s="11">
        <v>0.2535492711420207</v>
      </c>
      <c r="Z4518" s="11">
        <v>0.26346950457302565</v>
      </c>
    </row>
    <row r="4519" ht="22.5" customHeight="1">
      <c r="Q4519" s="9" t="s">
        <v>4557</v>
      </c>
      <c r="R4519" s="10">
        <v>0.5182689876603552</v>
      </c>
      <c r="S4519" s="10">
        <v>0.023720025218679563</v>
      </c>
      <c r="T4519" s="10">
        <v>20.163089341225387</v>
      </c>
      <c r="U4519" s="11">
        <v>0.1561306506891685</v>
      </c>
      <c r="V4519" s="11">
        <v>0.08177026426991514</v>
      </c>
      <c r="W4519" s="11">
        <v>0.1873979681298061</v>
      </c>
      <c r="X4519" s="11">
        <v>0.2243171386871073</v>
      </c>
      <c r="Y4519" s="11">
        <v>0.26359534669420875</v>
      </c>
      <c r="Z4519" s="11">
        <v>0.08678863152979407</v>
      </c>
    </row>
    <row r="4520" ht="22.5" customHeight="1">
      <c r="Q4520" s="9" t="s">
        <v>4558</v>
      </c>
      <c r="R4520" s="10">
        <v>0.733180186748387</v>
      </c>
      <c r="S4520" s="10">
        <v>0.034378681055981505</v>
      </c>
      <c r="T4520" s="10">
        <v>20.163082627272036</v>
      </c>
      <c r="U4520" s="11">
        <v>0.11702602089900745</v>
      </c>
      <c r="V4520" s="11">
        <v>0.183309741026793</v>
      </c>
      <c r="W4520" s="11">
        <v>0.26110485418255397</v>
      </c>
      <c r="X4520" s="11">
        <v>0.19887715629368222</v>
      </c>
      <c r="Y4520" s="11">
        <v>0.03826043187338054</v>
      </c>
      <c r="Z4520" s="11">
        <v>0.20142179572458288</v>
      </c>
    </row>
    <row r="4521" ht="22.5" customHeight="1">
      <c r="Q4521" s="9" t="s">
        <v>4559</v>
      </c>
      <c r="R4521" s="10">
        <v>0.8069983429141953</v>
      </c>
      <c r="S4521" s="10">
        <v>0.0380406241227637</v>
      </c>
      <c r="T4521" s="10">
        <v>20.162611960281158</v>
      </c>
      <c r="U4521" s="11">
        <v>0.27440578022615836</v>
      </c>
      <c r="V4521" s="11">
        <v>0.2051430229096647</v>
      </c>
      <c r="W4521" s="11">
        <v>0.285793128698738</v>
      </c>
      <c r="X4521" s="11">
        <v>0.17427667602905114</v>
      </c>
      <c r="Y4521" s="11">
        <v>0.05861777181338809</v>
      </c>
      <c r="Z4521" s="11">
        <v>0.0017636203229996598</v>
      </c>
    </row>
    <row r="4522" ht="22.5" customHeight="1">
      <c r="Q4522" s="9" t="s">
        <v>4560</v>
      </c>
      <c r="R4522" s="10">
        <v>0.7929725507126222</v>
      </c>
      <c r="S4522" s="10">
        <v>0.037345564927230526</v>
      </c>
      <c r="T4522" s="10">
        <v>20.162301793528155</v>
      </c>
      <c r="U4522" s="11">
        <v>0.03141518908050608</v>
      </c>
      <c r="V4522" s="11">
        <v>0.28337160646431847</v>
      </c>
      <c r="W4522" s="11">
        <v>0.21134486825147134</v>
      </c>
      <c r="X4522" s="11">
        <v>0.05948844347389685</v>
      </c>
      <c r="Y4522" s="11">
        <v>0.20280335642380787</v>
      </c>
      <c r="Z4522" s="11">
        <v>0.21157653630599937</v>
      </c>
    </row>
    <row r="4523" ht="22.5" customHeight="1">
      <c r="Q4523" s="9" t="s">
        <v>4561</v>
      </c>
      <c r="R4523" s="10">
        <v>0.8056174894774273</v>
      </c>
      <c r="S4523" s="10">
        <v>0.03797283889912021</v>
      </c>
      <c r="T4523" s="10">
        <v>20.162239950281034</v>
      </c>
      <c r="U4523" s="11">
        <v>0.036325087516675576</v>
      </c>
      <c r="V4523" s="11">
        <v>0.2143506949935277</v>
      </c>
      <c r="W4523" s="11">
        <v>0.27705387235580275</v>
      </c>
      <c r="X4523" s="11">
        <v>0.14271991007834078</v>
      </c>
      <c r="Y4523" s="11">
        <v>0.266430528584948</v>
      </c>
      <c r="Z4523" s="11">
        <v>0.06311990647070512</v>
      </c>
    </row>
    <row r="4524" ht="22.5" customHeight="1">
      <c r="Q4524" s="9" t="s">
        <v>4562</v>
      </c>
      <c r="R4524" s="10">
        <v>0.24907324434188266</v>
      </c>
      <c r="S4524" s="10">
        <v>0.010369622036227214</v>
      </c>
      <c r="T4524" s="10">
        <v>20.162089188156166</v>
      </c>
      <c r="U4524" s="11">
        <v>0.2928007284641574</v>
      </c>
      <c r="V4524" s="11">
        <v>0.03655417478917232</v>
      </c>
      <c r="W4524" s="11">
        <v>0.024538754018066777</v>
      </c>
      <c r="X4524" s="11">
        <v>0.27802745312741517</v>
      </c>
      <c r="Y4524" s="11">
        <v>0.2290622568812896</v>
      </c>
      <c r="Z4524" s="11">
        <v>0.13901663271989878</v>
      </c>
    </row>
    <row r="4525" ht="22.5" customHeight="1">
      <c r="Q4525" s="9" t="s">
        <v>4563</v>
      </c>
      <c r="R4525" s="10">
        <v>0.46696338604752585</v>
      </c>
      <c r="S4525" s="10">
        <v>0.021176909952027437</v>
      </c>
      <c r="T4525" s="10">
        <v>20.161741586224633</v>
      </c>
      <c r="U4525" s="11">
        <v>0.013376365546868767</v>
      </c>
      <c r="V4525" s="11">
        <v>0.17315051801957723</v>
      </c>
      <c r="W4525" s="11">
        <v>0.051612462497296355</v>
      </c>
      <c r="X4525" s="11">
        <v>0.21753084820201463</v>
      </c>
      <c r="Y4525" s="11">
        <v>0.41041481533339463</v>
      </c>
      <c r="Z4525" s="11">
        <v>0.13391499040084837</v>
      </c>
    </row>
    <row r="4526" ht="22.5" customHeight="1">
      <c r="Q4526" s="9" t="s">
        <v>4564</v>
      </c>
      <c r="R4526" s="10">
        <v>0.8292146000509004</v>
      </c>
      <c r="S4526" s="10">
        <v>0.03914530557432491</v>
      </c>
      <c r="T4526" s="10">
        <v>20.161155685767334</v>
      </c>
      <c r="U4526" s="11">
        <v>0.34152600583906517</v>
      </c>
      <c r="V4526" s="11">
        <v>0.3141363173864941</v>
      </c>
      <c r="W4526" s="11">
        <v>0.19615924085259406</v>
      </c>
      <c r="X4526" s="11">
        <v>0.11010340521187989</v>
      </c>
      <c r="Y4526" s="11">
        <v>0.011067271841909003</v>
      </c>
      <c r="Z4526" s="11">
        <v>0.027007758868057775</v>
      </c>
    </row>
    <row r="4527" ht="22.5" customHeight="1">
      <c r="Q4527" s="9" t="s">
        <v>4565</v>
      </c>
      <c r="R4527" s="10">
        <v>0.32957791814172255</v>
      </c>
      <c r="S4527" s="10">
        <v>0.014363850479364018</v>
      </c>
      <c r="T4527" s="10">
        <v>20.160187448187923</v>
      </c>
      <c r="U4527" s="11">
        <v>0.254979408561696</v>
      </c>
      <c r="V4527" s="11">
        <v>0.11366827669004508</v>
      </c>
      <c r="W4527" s="11">
        <v>0.018188438066460165</v>
      </c>
      <c r="X4527" s="11">
        <v>0.23333943730504159</v>
      </c>
      <c r="Y4527" s="11">
        <v>0.12964524079711484</v>
      </c>
      <c r="Z4527" s="11">
        <v>0.2501791985796423</v>
      </c>
    </row>
    <row r="4528" ht="22.5" customHeight="1">
      <c r="Q4528" s="9" t="s">
        <v>4566</v>
      </c>
      <c r="R4528" s="10">
        <v>0.8291444407344526</v>
      </c>
      <c r="S4528" s="10">
        <v>0.03914375460714267</v>
      </c>
      <c r="T4528" s="10">
        <v>20.160162167746044</v>
      </c>
      <c r="U4528" s="11">
        <v>0.21749729832670328</v>
      </c>
      <c r="V4528" s="11">
        <v>0.2723224324612381</v>
      </c>
      <c r="W4528" s="11">
        <v>0.24335458742256802</v>
      </c>
      <c r="X4528" s="11">
        <v>0.01231205439357168</v>
      </c>
      <c r="Y4528" s="11">
        <v>0.2358467254645811</v>
      </c>
      <c r="Z4528" s="11">
        <v>0.018666901931337687</v>
      </c>
    </row>
    <row r="4529" ht="22.5" customHeight="1">
      <c r="Q4529" s="9" t="s">
        <v>4567</v>
      </c>
      <c r="R4529" s="10">
        <v>0.7469838824955845</v>
      </c>
      <c r="S4529" s="10">
        <v>0.0350683869679517</v>
      </c>
      <c r="T4529" s="10">
        <v>20.160148316536</v>
      </c>
      <c r="U4529" s="11">
        <v>0.10800988924596197</v>
      </c>
      <c r="V4529" s="11">
        <v>0.23429412629593774</v>
      </c>
      <c r="W4529" s="11">
        <v>0.2330567306709341</v>
      </c>
      <c r="X4529" s="11">
        <v>0.06398334181417156</v>
      </c>
      <c r="Y4529" s="11">
        <v>0.082236997531904</v>
      </c>
      <c r="Z4529" s="11">
        <v>0.2784189144410907</v>
      </c>
    </row>
    <row r="4530" ht="22.5" customHeight="1">
      <c r="Q4530" s="9" t="s">
        <v>4568</v>
      </c>
      <c r="R4530" s="10">
        <v>0.7518526041147304</v>
      </c>
      <c r="S4530" s="10">
        <v>0.035310205680732024</v>
      </c>
      <c r="T4530" s="10">
        <v>20.159967646497517</v>
      </c>
      <c r="U4530" s="11">
        <v>8.768053134970752E-4</v>
      </c>
      <c r="V4530" s="11">
        <v>0.27362499846078225</v>
      </c>
      <c r="W4530" s="11">
        <v>0.19394971282740311</v>
      </c>
      <c r="X4530" s="11">
        <v>0.07389062011603473</v>
      </c>
      <c r="Y4530" s="11">
        <v>0.1629036679316099</v>
      </c>
      <c r="Z4530" s="11">
        <v>0.29475419535067293</v>
      </c>
    </row>
    <row r="4531" ht="22.5" customHeight="1">
      <c r="Q4531" s="9" t="s">
        <v>4569</v>
      </c>
      <c r="R4531" s="10">
        <v>0.6967828079991207</v>
      </c>
      <c r="S4531" s="10">
        <v>0.03257858524406934</v>
      </c>
      <c r="T4531" s="10">
        <v>20.159954862333457</v>
      </c>
      <c r="U4531" s="11">
        <v>0.15519044123704379</v>
      </c>
      <c r="V4531" s="11">
        <v>0.19880269153654337</v>
      </c>
      <c r="W4531" s="11">
        <v>0.22546932151913868</v>
      </c>
      <c r="X4531" s="11">
        <v>0.02369312083189085</v>
      </c>
      <c r="Y4531" s="11">
        <v>0.22830219891948675</v>
      </c>
      <c r="Z4531" s="11">
        <v>0.16854222595589657</v>
      </c>
    </row>
    <row r="4532" ht="22.5" customHeight="1">
      <c r="Q4532" s="9" t="s">
        <v>4570</v>
      </c>
      <c r="R4532" s="10">
        <v>0.660968792636941</v>
      </c>
      <c r="S4532" s="10">
        <v>0.030802516349386695</v>
      </c>
      <c r="T4532" s="10">
        <v>20.159677397567712</v>
      </c>
      <c r="U4532" s="11">
        <v>0.13013956352273584</v>
      </c>
      <c r="V4532" s="11">
        <v>0.2634985088866813</v>
      </c>
      <c r="W4532" s="11">
        <v>0.11722224984666095</v>
      </c>
      <c r="X4532" s="11">
        <v>0.13355454498575142</v>
      </c>
      <c r="Y4532" s="11">
        <v>0.2370222928380818</v>
      </c>
      <c r="Z4532" s="11">
        <v>0.11856283992008863</v>
      </c>
    </row>
    <row r="4533" ht="22.5" customHeight="1">
      <c r="Q4533" s="9" t="s">
        <v>4571</v>
      </c>
      <c r="R4533" s="10">
        <v>0.745225294297581</v>
      </c>
      <c r="S4533" s="10">
        <v>0.0349824637098304</v>
      </c>
      <c r="T4533" s="10">
        <v>20.159394722659457</v>
      </c>
      <c r="U4533" s="11">
        <v>0.14416150690106705</v>
      </c>
      <c r="V4533" s="11">
        <v>0.19884544789037004</v>
      </c>
      <c r="W4533" s="11">
        <v>0.2560520849438846</v>
      </c>
      <c r="X4533" s="11">
        <v>0.10128199083540386</v>
      </c>
      <c r="Y4533" s="11">
        <v>0.16374732583722182</v>
      </c>
      <c r="Z4533" s="11">
        <v>0.1359116435920526</v>
      </c>
    </row>
    <row r="4534" ht="22.5" customHeight="1">
      <c r="Q4534" s="9" t="s">
        <v>4572</v>
      </c>
      <c r="R4534" s="10">
        <v>0.7371742774413553</v>
      </c>
      <c r="S4534" s="10">
        <v>0.03458328671024091</v>
      </c>
      <c r="T4534" s="10">
        <v>20.159283392659894</v>
      </c>
      <c r="U4534" s="11">
        <v>0.15547511516823018</v>
      </c>
      <c r="V4534" s="11">
        <v>0.2113678754511771</v>
      </c>
      <c r="W4534" s="11">
        <v>0.2440796605884397</v>
      </c>
      <c r="X4534" s="11">
        <v>0.07099085596434404</v>
      </c>
      <c r="Y4534" s="11">
        <v>0.11367187996116708</v>
      </c>
      <c r="Z4534" s="11">
        <v>0.2044146128666419</v>
      </c>
    </row>
    <row r="4535" ht="22.5" customHeight="1">
      <c r="Q4535" s="9" t="s">
        <v>4573</v>
      </c>
      <c r="R4535" s="10">
        <v>0.7112640186490079</v>
      </c>
      <c r="S4535" s="10">
        <v>0.03329804832159231</v>
      </c>
      <c r="T4535" s="10">
        <v>20.159260151404215</v>
      </c>
      <c r="U4535" s="11">
        <v>0.10574867479549725</v>
      </c>
      <c r="V4535" s="11">
        <v>0.19081077558934223</v>
      </c>
      <c r="W4535" s="11">
        <v>0.24277839953199426</v>
      </c>
      <c r="X4535" s="11">
        <v>0.09327598301287805</v>
      </c>
      <c r="Y4535" s="11">
        <v>0.16177512242486483</v>
      </c>
      <c r="Z4535" s="11">
        <v>0.20561104464542343</v>
      </c>
    </row>
    <row r="4536" ht="22.5" customHeight="1">
      <c r="Q4536" s="9" t="s">
        <v>4574</v>
      </c>
      <c r="R4536" s="10">
        <v>0.8003170082483965</v>
      </c>
      <c r="S4536" s="10">
        <v>0.037715735689687696</v>
      </c>
      <c r="T4536" s="10">
        <v>20.15914562834005</v>
      </c>
      <c r="U4536" s="11">
        <v>0.1763852063428496</v>
      </c>
      <c r="V4536" s="11">
        <v>0.19633039932422516</v>
      </c>
      <c r="W4536" s="11">
        <v>0.2888782519244465</v>
      </c>
      <c r="X4536" s="11">
        <v>0.2533242592863673</v>
      </c>
      <c r="Y4536" s="11">
        <v>0.0040525254015010915</v>
      </c>
      <c r="Z4536" s="11">
        <v>0.08102935772061048</v>
      </c>
    </row>
    <row r="4537" ht="22.5" customHeight="1">
      <c r="Q4537" s="9" t="s">
        <v>4575</v>
      </c>
      <c r="R4537" s="10">
        <v>0.668037441875142</v>
      </c>
      <c r="S4537" s="10">
        <v>0.031154177151220815</v>
      </c>
      <c r="T4537" s="10">
        <v>20.15901234774007</v>
      </c>
      <c r="U4537" s="11">
        <v>0.14316853982274602</v>
      </c>
      <c r="V4537" s="11">
        <v>0.12142653103469621</v>
      </c>
      <c r="W4537" s="11">
        <v>0.25189458517013186</v>
      </c>
      <c r="X4537" s="11">
        <v>0.382155878074348</v>
      </c>
      <c r="Y4537" s="11">
        <v>0.04198186467280824</v>
      </c>
      <c r="Z4537" s="11">
        <v>0.05937260122526975</v>
      </c>
    </row>
    <row r="4538" ht="22.5" customHeight="1">
      <c r="Q4538" s="9" t="s">
        <v>4576</v>
      </c>
      <c r="R4538" s="10">
        <v>0.905619969005242</v>
      </c>
      <c r="S4538" s="10">
        <v>0.0429396506696013</v>
      </c>
      <c r="T4538" s="10">
        <v>20.158989547114526</v>
      </c>
      <c r="U4538" s="11">
        <v>0.04419294312002082</v>
      </c>
      <c r="V4538" s="11">
        <v>0.281600577917413</v>
      </c>
      <c r="W4538" s="11">
        <v>0.29174488451695524</v>
      </c>
      <c r="X4538" s="11">
        <v>0.1543682028618309</v>
      </c>
      <c r="Y4538" s="11">
        <v>0.08038112525057341</v>
      </c>
      <c r="Z4538" s="11">
        <v>0.14771226633320678</v>
      </c>
    </row>
    <row r="4539" ht="22.5" customHeight="1">
      <c r="Q4539" s="9" t="s">
        <v>4577</v>
      </c>
      <c r="R4539" s="10">
        <v>0.6123533311448229</v>
      </c>
      <c r="S4539" s="10">
        <v>0.028392142782095158</v>
      </c>
      <c r="T4539" s="10">
        <v>20.158863511554475</v>
      </c>
      <c r="U4539" s="11">
        <v>0.15231068200198183</v>
      </c>
      <c r="V4539" s="11">
        <v>0.12968464496737875</v>
      </c>
      <c r="W4539" s="11">
        <v>0.2239597041897191</v>
      </c>
      <c r="X4539" s="11">
        <v>0.2234371253781534</v>
      </c>
      <c r="Y4539" s="11">
        <v>0.0280625553084947</v>
      </c>
      <c r="Z4539" s="11">
        <v>0.24254528815427223</v>
      </c>
    </row>
    <row r="4540" ht="22.5" customHeight="1">
      <c r="Q4540" s="9" t="s">
        <v>4578</v>
      </c>
      <c r="R4540" s="10">
        <v>0.6845518894225824</v>
      </c>
      <c r="S4540" s="10">
        <v>0.03197398253369534</v>
      </c>
      <c r="T4540" s="10">
        <v>20.158636439590538</v>
      </c>
      <c r="U4540" s="11">
        <v>0.16965859683569026</v>
      </c>
      <c r="V4540" s="11">
        <v>0.2346548329511699</v>
      </c>
      <c r="W4540" s="11">
        <v>0.18787420354687895</v>
      </c>
      <c r="X4540" s="11">
        <v>0.0034776784066076418</v>
      </c>
      <c r="Y4540" s="11">
        <v>0.13093773507427042</v>
      </c>
      <c r="Z4540" s="11">
        <v>0.2733969531853829</v>
      </c>
    </row>
    <row r="4541" ht="22.5" customHeight="1">
      <c r="Q4541" s="9" t="s">
        <v>4579</v>
      </c>
      <c r="R4541" s="10">
        <v>0.5562667211781827</v>
      </c>
      <c r="S4541" s="10">
        <v>0.025610364446665628</v>
      </c>
      <c r="T4541" s="10">
        <v>20.15850739856998</v>
      </c>
      <c r="U4541" s="11">
        <v>0.23259860609317787</v>
      </c>
      <c r="V4541" s="11">
        <v>0.21751618859813046</v>
      </c>
      <c r="W4541" s="11">
        <v>0.09482535609231467</v>
      </c>
      <c r="X4541" s="11">
        <v>0.07984510716505257</v>
      </c>
      <c r="Y4541" s="11">
        <v>0.17105150806907637</v>
      </c>
      <c r="Z4541" s="11">
        <v>0.20416323398224817</v>
      </c>
    </row>
    <row r="4542" ht="22.5" customHeight="1">
      <c r="Q4542" s="9" t="s">
        <v>4580</v>
      </c>
      <c r="R4542" s="10">
        <v>0.6790354420906716</v>
      </c>
      <c r="S4542" s="10">
        <v>0.03170076274593754</v>
      </c>
      <c r="T4542" s="10">
        <v>20.158361715525725</v>
      </c>
      <c r="U4542" s="11">
        <v>0.012066830750252769</v>
      </c>
      <c r="V4542" s="11">
        <v>0.26573411394500307</v>
      </c>
      <c r="W4542" s="11">
        <v>0.13410902573902012</v>
      </c>
      <c r="X4542" s="11">
        <v>0.11648722936300746</v>
      </c>
      <c r="Y4542" s="11">
        <v>0.27485510127316987</v>
      </c>
      <c r="Z4542" s="11">
        <v>0.19674769892954674</v>
      </c>
    </row>
    <row r="4543" ht="22.5" customHeight="1">
      <c r="Q4543" s="9" t="s">
        <v>4581</v>
      </c>
      <c r="R4543" s="10">
        <v>0.6298568613444063</v>
      </c>
      <c r="S4543" s="10">
        <v>0.029261277579105373</v>
      </c>
      <c r="T4543" s="10">
        <v>20.158274352504893</v>
      </c>
      <c r="U4543" s="11">
        <v>0.20730590185996986</v>
      </c>
      <c r="V4543" s="11">
        <v>0.23665200870118094</v>
      </c>
      <c r="W4543" s="11">
        <v>0.1406751302428313</v>
      </c>
      <c r="X4543" s="11">
        <v>0.033360155704744696</v>
      </c>
      <c r="Y4543" s="11">
        <v>0.11431891125194833</v>
      </c>
      <c r="Z4543" s="11">
        <v>0.2676878922393249</v>
      </c>
    </row>
    <row r="4544" ht="22.5" customHeight="1">
      <c r="Q4544" s="9" t="s">
        <v>4582</v>
      </c>
      <c r="R4544" s="10">
        <v>0.3509227472250487</v>
      </c>
      <c r="S4544" s="10">
        <v>0.015424125071807378</v>
      </c>
      <c r="T4544" s="10">
        <v>20.15820967332283</v>
      </c>
      <c r="U4544" s="11">
        <v>0.0948379752413002</v>
      </c>
      <c r="V4544" s="11">
        <v>0.11883530152032067</v>
      </c>
      <c r="W4544" s="11">
        <v>0.015034892944395152</v>
      </c>
      <c r="X4544" s="11">
        <v>0.311738950943098</v>
      </c>
      <c r="Y4544" s="11">
        <v>0.28905428441302994</v>
      </c>
      <c r="Z4544" s="11">
        <v>0.17049859493785605</v>
      </c>
    </row>
    <row r="4545" ht="22.5" customHeight="1">
      <c r="Q4545" s="9" t="s">
        <v>4583</v>
      </c>
      <c r="R4545" s="10">
        <v>0.5797415484873126</v>
      </c>
      <c r="S4545" s="10">
        <v>0.026776214121922114</v>
      </c>
      <c r="T4545" s="10">
        <v>20.157500460284172</v>
      </c>
      <c r="U4545" s="11">
        <v>0.26733759159174186</v>
      </c>
      <c r="V4545" s="11">
        <v>0.22459482757794325</v>
      </c>
      <c r="W4545" s="11">
        <v>0.10857259505003908</v>
      </c>
      <c r="X4545" s="11">
        <v>0.06402129519869648</v>
      </c>
      <c r="Y4545" s="11">
        <v>0.12102558939370019</v>
      </c>
      <c r="Z4545" s="11">
        <v>0.2144481011878792</v>
      </c>
    </row>
    <row r="4546" ht="22.5" customHeight="1">
      <c r="Q4546" s="9" t="s">
        <v>4584</v>
      </c>
      <c r="R4546" s="10">
        <v>0.8269063256907149</v>
      </c>
      <c r="S4546" s="10">
        <v>0.03903885142909299</v>
      </c>
      <c r="T4546" s="10">
        <v>20.157005057384637</v>
      </c>
      <c r="U4546" s="11">
        <v>0.10564769943632436</v>
      </c>
      <c r="V4546" s="11">
        <v>0.2897981597093908</v>
      </c>
      <c r="W4546" s="11">
        <v>0.2254094872381937</v>
      </c>
      <c r="X4546" s="11">
        <v>0.03531899763479953</v>
      </c>
      <c r="Y4546" s="11">
        <v>0.24890974388502385</v>
      </c>
      <c r="Z4546" s="11">
        <v>0.09491591209626776</v>
      </c>
    </row>
    <row r="4547" ht="22.5" customHeight="1">
      <c r="Q4547" s="9" t="s">
        <v>4585</v>
      </c>
      <c r="R4547" s="10">
        <v>0.8535364362482967</v>
      </c>
      <c r="S4547" s="10">
        <v>0.0403600214022493</v>
      </c>
      <c r="T4547" s="10">
        <v>20.15698723596211</v>
      </c>
      <c r="U4547" s="11">
        <v>0.083851412154263</v>
      </c>
      <c r="V4547" s="11">
        <v>0.27759643310867865</v>
      </c>
      <c r="W4547" s="11">
        <v>0.26284096335157603</v>
      </c>
      <c r="X4547" s="11">
        <v>0.10523368474805349</v>
      </c>
      <c r="Y4547" s="11">
        <v>0.06897134090268736</v>
      </c>
      <c r="Z4547" s="11">
        <v>0.20150616573474134</v>
      </c>
    </row>
    <row r="4548" ht="22.5" customHeight="1">
      <c r="Q4548" s="9" t="s">
        <v>4586</v>
      </c>
      <c r="R4548" s="10">
        <v>0.5279747446033164</v>
      </c>
      <c r="S4548" s="10">
        <v>0.024208777334958697</v>
      </c>
      <c r="T4548" s="10">
        <v>20.156934728738086</v>
      </c>
      <c r="U4548" s="11">
        <v>0.1939783080673744</v>
      </c>
      <c r="V4548" s="11">
        <v>0.2102034292672257</v>
      </c>
      <c r="W4548" s="11">
        <v>0.07333555214054914</v>
      </c>
      <c r="X4548" s="11">
        <v>0.14314551047521157</v>
      </c>
      <c r="Y4548" s="11">
        <v>0.19792656465485942</v>
      </c>
      <c r="Z4548" s="11">
        <v>0.1814106353947799</v>
      </c>
    </row>
    <row r="4549" ht="22.5" customHeight="1">
      <c r="Q4549" s="9" t="s">
        <v>4587</v>
      </c>
      <c r="R4549" s="10">
        <v>0.7162379927208143</v>
      </c>
      <c r="S4549" s="10">
        <v>0.03354917386445749</v>
      </c>
      <c r="T4549" s="10">
        <v>20.156621306172642</v>
      </c>
      <c r="U4549" s="11">
        <v>0.07621346196052546</v>
      </c>
      <c r="V4549" s="11">
        <v>0.2545257899592811</v>
      </c>
      <c r="W4549" s="11">
        <v>0.18631165436358316</v>
      </c>
      <c r="X4549" s="11">
        <v>0.01743604794668727</v>
      </c>
      <c r="Y4549" s="11">
        <v>0.2299800067286278</v>
      </c>
      <c r="Z4549" s="11">
        <v>0.23553303904129508</v>
      </c>
    </row>
    <row r="4550" ht="22.5" customHeight="1">
      <c r="Q4550" s="9" t="s">
        <v>4588</v>
      </c>
      <c r="R4550" s="10">
        <v>0.7130051289153424</v>
      </c>
      <c r="S4550" s="10">
        <v>0.03338917105247349</v>
      </c>
      <c r="T4550" s="10">
        <v>20.156389263383215</v>
      </c>
      <c r="U4550" s="11">
        <v>0.18942040469237578</v>
      </c>
      <c r="V4550" s="11">
        <v>0.19722294286684003</v>
      </c>
      <c r="W4550" s="11">
        <v>0.2365569231441916</v>
      </c>
      <c r="X4550" s="11">
        <v>0.041267493179835676</v>
      </c>
      <c r="Y4550" s="11">
        <v>0.20518329876444166</v>
      </c>
      <c r="Z4550" s="11">
        <v>0.13034893735231529</v>
      </c>
    </row>
    <row r="4551" ht="22.5" customHeight="1">
      <c r="Q4551" s="9" t="s">
        <v>4589</v>
      </c>
      <c r="R4551" s="10">
        <v>0.5887649941376345</v>
      </c>
      <c r="S4551" s="10">
        <v>0.02722548695023543</v>
      </c>
      <c r="T4551" s="10">
        <v>20.15629675019969</v>
      </c>
      <c r="U4551" s="11">
        <v>0.08339891737969585</v>
      </c>
      <c r="V4551" s="11">
        <v>0.13483472849964412</v>
      </c>
      <c r="W4551" s="11">
        <v>0.20754863637017368</v>
      </c>
      <c r="X4551" s="11">
        <v>0.11923302359430661</v>
      </c>
      <c r="Y4551" s="11">
        <v>0.18253347092012276</v>
      </c>
      <c r="Z4551" s="11">
        <v>0.27245122323605697</v>
      </c>
    </row>
    <row r="4552" ht="22.5" customHeight="1">
      <c r="Q4552" s="9" t="s">
        <v>4590</v>
      </c>
      <c r="R4552" s="10">
        <v>0.45232137724124166</v>
      </c>
      <c r="S4552" s="10">
        <v>0.020456270747748057</v>
      </c>
      <c r="T4552" s="10">
        <v>20.156233867144742</v>
      </c>
      <c r="U4552" s="11">
        <v>0.31061516765651126</v>
      </c>
      <c r="V4552" s="11">
        <v>0.16545763106951025</v>
      </c>
      <c r="W4552" s="11">
        <v>0.08165985985559429</v>
      </c>
      <c r="X4552" s="11">
        <v>0.07286423838989417</v>
      </c>
      <c r="Y4552" s="11">
        <v>0.006544829834535461</v>
      </c>
      <c r="Z4552" s="11">
        <v>0.36285827319395453</v>
      </c>
    </row>
    <row r="4553" ht="22.5" customHeight="1">
      <c r="Q4553" s="9" t="s">
        <v>4591</v>
      </c>
      <c r="R4553" s="10">
        <v>0.7458506090705254</v>
      </c>
      <c r="S4553" s="10">
        <v>0.03501908663378492</v>
      </c>
      <c r="T4553" s="10">
        <v>20.156168447567413</v>
      </c>
      <c r="U4553" s="11">
        <v>0.10105609649098006</v>
      </c>
      <c r="V4553" s="11">
        <v>0.28926393974916204</v>
      </c>
      <c r="W4553" s="11">
        <v>0.15618182311481021</v>
      </c>
      <c r="X4553" s="11">
        <v>0.0971374962100456</v>
      </c>
      <c r="Y4553" s="11">
        <v>0.2773550738999009</v>
      </c>
      <c r="Z4553" s="11">
        <v>0.07900557053510114</v>
      </c>
    </row>
    <row r="4554" ht="22.5" customHeight="1">
      <c r="Q4554" s="9" t="s">
        <v>4592</v>
      </c>
      <c r="R4554" s="10">
        <v>0.6791162889633318</v>
      </c>
      <c r="S4554" s="10">
        <v>0.03170822863991195</v>
      </c>
      <c r="T4554" s="10">
        <v>20.156165020169556</v>
      </c>
      <c r="U4554" s="11">
        <v>0.12735087992548563</v>
      </c>
      <c r="V4554" s="11">
        <v>0.27060922712279717</v>
      </c>
      <c r="W4554" s="11">
        <v>0.13128797314875035</v>
      </c>
      <c r="X4554" s="11">
        <v>0.13636982007479923</v>
      </c>
      <c r="Y4554" s="11">
        <v>0.12242856532114633</v>
      </c>
      <c r="Z4554" s="11">
        <v>0.21195353440702144</v>
      </c>
    </row>
    <row r="4555" ht="22.5" customHeight="1">
      <c r="Q4555" s="9" t="s">
        <v>4593</v>
      </c>
      <c r="R4555" s="10">
        <v>0.8704486593074906</v>
      </c>
      <c r="S4555" s="10">
        <v>0.04120237519758011</v>
      </c>
      <c r="T4555" s="10">
        <v>20.155358891937478</v>
      </c>
      <c r="U4555" s="11">
        <v>0.04104672969400747</v>
      </c>
      <c r="V4555" s="11">
        <v>0.28306696862380987</v>
      </c>
      <c r="W4555" s="11">
        <v>0.2603363836326883</v>
      </c>
      <c r="X4555" s="11">
        <v>0.05815825775402675</v>
      </c>
      <c r="Y4555" s="11">
        <v>0.3125820053014345</v>
      </c>
      <c r="Z4555" s="11">
        <v>0.044809654994033325</v>
      </c>
    </row>
    <row r="4556" ht="22.5" customHeight="1">
      <c r="Q4556" s="9" t="s">
        <v>4594</v>
      </c>
      <c r="R4556" s="10">
        <v>0.817847368615484</v>
      </c>
      <c r="S4556" s="10">
        <v>0.038593071851704144</v>
      </c>
      <c r="T4556" s="10">
        <v>20.155103786617513</v>
      </c>
      <c r="U4556" s="11">
        <v>0.05555656137100033</v>
      </c>
      <c r="V4556" s="11">
        <v>0.2847557148281171</v>
      </c>
      <c r="W4556" s="11">
        <v>0.22506260265629274</v>
      </c>
      <c r="X4556" s="11">
        <v>0.041037958232663395</v>
      </c>
      <c r="Y4556" s="11">
        <v>0.2615632072785552</v>
      </c>
      <c r="Z4556" s="11">
        <v>0.13202395563337138</v>
      </c>
    </row>
    <row r="4557" ht="22.5" customHeight="1">
      <c r="Q4557" s="9" t="s">
        <v>4595</v>
      </c>
      <c r="R4557" s="10">
        <v>0.6775234052388343</v>
      </c>
      <c r="S4557" s="10">
        <v>0.031630964420320894</v>
      </c>
      <c r="T4557" s="10">
        <v>20.15504164739491</v>
      </c>
      <c r="U4557" s="11">
        <v>0.260284637907924</v>
      </c>
      <c r="V4557" s="11">
        <v>0.26630718969226197</v>
      </c>
      <c r="W4557" s="11">
        <v>0.12780329340769042</v>
      </c>
      <c r="X4557" s="11">
        <v>0.09305833981744356</v>
      </c>
      <c r="Y4557" s="11">
        <v>0.19608048438908976</v>
      </c>
      <c r="Z4557" s="11">
        <v>0.056466054785590504</v>
      </c>
    </row>
    <row r="4558" ht="22.5" customHeight="1">
      <c r="Q4558" s="9" t="s">
        <v>4596</v>
      </c>
      <c r="R4558" s="10">
        <v>0.6159035029112183</v>
      </c>
      <c r="S4558" s="10">
        <v>0.028573669844715453</v>
      </c>
      <c r="T4558" s="10">
        <v>20.155041548424993</v>
      </c>
      <c r="U4558" s="11">
        <v>0.2296089874401749</v>
      </c>
      <c r="V4558" s="11">
        <v>0.10425116760949454</v>
      </c>
      <c r="W4558" s="11">
        <v>0.23116637035861753</v>
      </c>
      <c r="X4558" s="11">
        <v>0.30399596650356825</v>
      </c>
      <c r="Y4558" s="11">
        <v>0.1254988993430827</v>
      </c>
      <c r="Z4558" s="11">
        <v>0.00547860874506204</v>
      </c>
    </row>
    <row r="4559" ht="22.5" customHeight="1">
      <c r="Q4559" s="9" t="s">
        <v>4597</v>
      </c>
      <c r="R4559" s="10">
        <v>0.6586495934305305</v>
      </c>
      <c r="S4559" s="10">
        <v>0.0306951151842103</v>
      </c>
      <c r="T4559" s="10">
        <v>20.154659453722022</v>
      </c>
      <c r="U4559" s="11">
        <v>0.10575489454003763</v>
      </c>
      <c r="V4559" s="11">
        <v>0.26532954327059066</v>
      </c>
      <c r="W4559" s="11">
        <v>0.10693703618582436</v>
      </c>
      <c r="X4559" s="11">
        <v>0.18023673773125232</v>
      </c>
      <c r="Y4559" s="11">
        <v>0.26078670435762913</v>
      </c>
      <c r="Z4559" s="11">
        <v>0.08095508391466588</v>
      </c>
    </row>
    <row r="4560" ht="22.5" customHeight="1">
      <c r="Q4560" s="9" t="s">
        <v>4598</v>
      </c>
      <c r="R4560" s="10">
        <v>0.821184453958623</v>
      </c>
      <c r="S4560" s="10">
        <v>0.03875968541030098</v>
      </c>
      <c r="T4560" s="10">
        <v>20.154561258410297</v>
      </c>
      <c r="U4560" s="11">
        <v>0.013220781629916105</v>
      </c>
      <c r="V4560" s="11">
        <v>0.1966774811599479</v>
      </c>
      <c r="W4560" s="11">
        <v>0.2974612067458533</v>
      </c>
      <c r="X4560" s="11">
        <v>0.2746615949243262</v>
      </c>
      <c r="Y4560" s="11">
        <v>0.17389453429657403</v>
      </c>
      <c r="Z4560" s="11">
        <v>0.04408440124338238</v>
      </c>
    </row>
    <row r="4561" ht="22.5" customHeight="1">
      <c r="Q4561" s="9" t="s">
        <v>4599</v>
      </c>
      <c r="R4561" s="10">
        <v>0.40383233427642384</v>
      </c>
      <c r="S4561" s="10">
        <v>0.01805231863528552</v>
      </c>
      <c r="T4561" s="10">
        <v>20.154327077147197</v>
      </c>
      <c r="U4561" s="11">
        <v>0.0027593012785236634</v>
      </c>
      <c r="V4561" s="11">
        <v>0.13651985243644854</v>
      </c>
      <c r="W4561" s="11">
        <v>0.03140142936878626</v>
      </c>
      <c r="X4561" s="11">
        <v>0.3027921060903398</v>
      </c>
      <c r="Y4561" s="11">
        <v>0.4288402219238025</v>
      </c>
      <c r="Z4561" s="11">
        <v>0.09768708890209914</v>
      </c>
    </row>
    <row r="4562" ht="22.5" customHeight="1">
      <c r="Q4562" s="9" t="s">
        <v>4600</v>
      </c>
      <c r="R4562" s="10">
        <v>0.6164917537666056</v>
      </c>
      <c r="S4562" s="10">
        <v>0.028604062105091345</v>
      </c>
      <c r="T4562" s="10">
        <v>20.154191794458228</v>
      </c>
      <c r="U4562" s="11">
        <v>0.15569864572976713</v>
      </c>
      <c r="V4562" s="11">
        <v>0.13279736838045172</v>
      </c>
      <c r="W4562" s="11">
        <v>0.224699536383211</v>
      </c>
      <c r="X4562" s="11">
        <v>0.1965087399599587</v>
      </c>
      <c r="Y4562" s="11">
        <v>0.06160956393090139</v>
      </c>
      <c r="Z4562" s="11">
        <v>0.2286861456157099</v>
      </c>
    </row>
    <row r="4563" ht="22.5" customHeight="1">
      <c r="Q4563" s="9" t="s">
        <v>4601</v>
      </c>
      <c r="R4563" s="10">
        <v>0.8288576267504713</v>
      </c>
      <c r="S4563" s="10">
        <v>0.03914124248458787</v>
      </c>
      <c r="T4563" s="10">
        <v>20.15412839950314</v>
      </c>
      <c r="U4563" s="11">
        <v>0.18565974645509412</v>
      </c>
      <c r="V4563" s="11">
        <v>0.25956211118972145</v>
      </c>
      <c r="W4563" s="11">
        <v>0.2612913466491706</v>
      </c>
      <c r="X4563" s="11">
        <v>0.06742327479838074</v>
      </c>
      <c r="Y4563" s="11">
        <v>0.09392643496129763</v>
      </c>
      <c r="Z4563" s="11">
        <v>0.1321370859463355</v>
      </c>
    </row>
    <row r="4564" ht="22.5" customHeight="1">
      <c r="Q4564" s="9" t="s">
        <v>4602</v>
      </c>
      <c r="R4564" s="10">
        <v>0.7146599405388444</v>
      </c>
      <c r="S4564" s="10">
        <v>0.03347521934634984</v>
      </c>
      <c r="T4564" s="10">
        <v>20.15401104794881</v>
      </c>
      <c r="U4564" s="11">
        <v>0.0735381242278661</v>
      </c>
      <c r="V4564" s="11">
        <v>0.27006974061171946</v>
      </c>
      <c r="W4564" s="11">
        <v>0.16786389749754388</v>
      </c>
      <c r="X4564" s="11">
        <v>0.07124780148946006</v>
      </c>
      <c r="Y4564" s="11">
        <v>0.14695680829684032</v>
      </c>
      <c r="Z4564" s="11">
        <v>0.27032362787657016</v>
      </c>
    </row>
    <row r="4565" ht="22.5" customHeight="1">
      <c r="Q4565" s="9" t="s">
        <v>4603</v>
      </c>
      <c r="R4565" s="10">
        <v>0.7528314893707244</v>
      </c>
      <c r="S4565" s="10">
        <v>0.03536926424097256</v>
      </c>
      <c r="T4565" s="10">
        <v>20.153981279174143</v>
      </c>
      <c r="U4565" s="11">
        <v>0.13840777285909248</v>
      </c>
      <c r="V4565" s="11">
        <v>0.21067279978005063</v>
      </c>
      <c r="W4565" s="11">
        <v>0.2521524687276196</v>
      </c>
      <c r="X4565" s="11">
        <v>0.07244670847437909</v>
      </c>
      <c r="Y4565" s="11">
        <v>0.18087023065234883</v>
      </c>
      <c r="Z4565" s="11">
        <v>0.1454500195065094</v>
      </c>
    </row>
    <row r="4566" ht="22.5" customHeight="1">
      <c r="Q4566" s="9" t="s">
        <v>4604</v>
      </c>
      <c r="R4566" s="10">
        <v>0.28861211451117685</v>
      </c>
      <c r="S4566" s="10">
        <v>0.012335755540411912</v>
      </c>
      <c r="T4566" s="10">
        <v>20.153780909221492</v>
      </c>
      <c r="U4566" s="11">
        <v>0.27237437339330894</v>
      </c>
      <c r="V4566" s="11">
        <v>0.041666415675485007</v>
      </c>
      <c r="W4566" s="11">
        <v>0.07492469585979213</v>
      </c>
      <c r="X4566" s="11">
        <v>0.1265048113736779</v>
      </c>
      <c r="Y4566" s="11">
        <v>0.1571039506082664</v>
      </c>
      <c r="Z4566" s="11">
        <v>0.3274257530894696</v>
      </c>
    </row>
    <row r="4567" ht="22.5" customHeight="1">
      <c r="Q4567" s="9" t="s">
        <v>4605</v>
      </c>
      <c r="R4567" s="10">
        <v>0.6396235387271931</v>
      </c>
      <c r="S4567" s="10">
        <v>0.02975241118144907</v>
      </c>
      <c r="T4567" s="10">
        <v>20.15377964059143</v>
      </c>
      <c r="U4567" s="11">
        <v>0.1107456791627942</v>
      </c>
      <c r="V4567" s="11">
        <v>0.15638708018254957</v>
      </c>
      <c r="W4567" s="11">
        <v>0.2232574798145121</v>
      </c>
      <c r="X4567" s="11">
        <v>0.10061836625572004</v>
      </c>
      <c r="Y4567" s="11">
        <v>0.18422482299304693</v>
      </c>
      <c r="Z4567" s="11">
        <v>0.22476657159137708</v>
      </c>
    </row>
    <row r="4568" ht="22.5" customHeight="1">
      <c r="Q4568" s="9" t="s">
        <v>4606</v>
      </c>
      <c r="R4568" s="10">
        <v>0.7024176948856418</v>
      </c>
      <c r="S4568" s="10">
        <v>0.03286839899147184</v>
      </c>
      <c r="T4568" s="10">
        <v>20.153634348223505</v>
      </c>
      <c r="U4568" s="11">
        <v>0.093349835113502</v>
      </c>
      <c r="V4568" s="11">
        <v>0.19206185469844647</v>
      </c>
      <c r="W4568" s="11">
        <v>0.23565287979486813</v>
      </c>
      <c r="X4568" s="11">
        <v>0.06733030864080435</v>
      </c>
      <c r="Y4568" s="11">
        <v>0.20875949161309776</v>
      </c>
      <c r="Z4568" s="11">
        <v>0.20284563013928125</v>
      </c>
    </row>
    <row r="4569" ht="22.5" customHeight="1">
      <c r="Q4569" s="9" t="s">
        <v>4607</v>
      </c>
      <c r="R4569" s="10">
        <v>0.7538227464370422</v>
      </c>
      <c r="S4569" s="10">
        <v>0.03541955089817515</v>
      </c>
      <c r="T4569" s="10">
        <v>20.153353962311783</v>
      </c>
      <c r="U4569" s="11">
        <v>0.048371840925376317</v>
      </c>
      <c r="V4569" s="11">
        <v>0.17893819284741166</v>
      </c>
      <c r="W4569" s="11">
        <v>0.27188953114013287</v>
      </c>
      <c r="X4569" s="11">
        <v>0.21357387267889066</v>
      </c>
      <c r="Y4569" s="11">
        <v>0.18538735985863716</v>
      </c>
      <c r="Z4569" s="11">
        <v>0.1018392025495514</v>
      </c>
    </row>
    <row r="4570" ht="22.5" customHeight="1">
      <c r="Q4570" s="9" t="s">
        <v>4608</v>
      </c>
      <c r="R4570" s="10">
        <v>0.48098129618203384</v>
      </c>
      <c r="S4570" s="10">
        <v>0.021881565207070387</v>
      </c>
      <c r="T4570" s="10">
        <v>20.15309654537618</v>
      </c>
      <c r="U4570" s="11">
        <v>0.027526661001026114</v>
      </c>
      <c r="V4570" s="11">
        <v>0.1891327466336809</v>
      </c>
      <c r="W4570" s="11">
        <v>0.06995968869618167</v>
      </c>
      <c r="X4570" s="11">
        <v>0.14243828960313365</v>
      </c>
      <c r="Y4570" s="11">
        <v>0.19829764736222347</v>
      </c>
      <c r="Z4570" s="11">
        <v>0.3726449667037542</v>
      </c>
    </row>
    <row r="4571" ht="22.5" customHeight="1">
      <c r="Q4571" s="9" t="s">
        <v>4609</v>
      </c>
      <c r="R4571" s="10">
        <v>0.5011442595965154</v>
      </c>
      <c r="S4571" s="10">
        <v>0.02288216091600497</v>
      </c>
      <c r="T4571" s="10">
        <v>20.15300308783194</v>
      </c>
      <c r="U4571" s="11">
        <v>0.2526173166262574</v>
      </c>
      <c r="V4571" s="11">
        <v>0.1966073897861273</v>
      </c>
      <c r="W4571" s="11">
        <v>0.06568658604199604</v>
      </c>
      <c r="X4571" s="11">
        <v>0.13223762597507857</v>
      </c>
      <c r="Y4571" s="11">
        <v>0.20384051886030374</v>
      </c>
      <c r="Z4571" s="11">
        <v>0.14901056271023685</v>
      </c>
    </row>
    <row r="4572" ht="22.5" customHeight="1">
      <c r="Q4572" s="9" t="s">
        <v>4610</v>
      </c>
      <c r="R4572" s="10">
        <v>0.4373755424040099</v>
      </c>
      <c r="S4572" s="10">
        <v>0.019718220172820603</v>
      </c>
      <c r="T4572" s="10">
        <v>20.15270845548973</v>
      </c>
      <c r="U4572" s="11">
        <v>0.17241415822151954</v>
      </c>
      <c r="V4572" s="11">
        <v>0.16682804354779762</v>
      </c>
      <c r="W4572" s="11">
        <v>0.059596050019331805</v>
      </c>
      <c r="X4572" s="11">
        <v>0.09646288445820722</v>
      </c>
      <c r="Y4572" s="11">
        <v>0.19741887262220256</v>
      </c>
      <c r="Z4572" s="11">
        <v>0.30727999113094123</v>
      </c>
    </row>
    <row r="4573" ht="22.5" customHeight="1">
      <c r="Q4573" s="9" t="s">
        <v>4611</v>
      </c>
      <c r="R4573" s="10">
        <v>0.4827898687251636</v>
      </c>
      <c r="S4573" s="10">
        <v>0.02197216412894774</v>
      </c>
      <c r="T4573" s="10">
        <v>20.15231026523235</v>
      </c>
      <c r="U4573" s="11">
        <v>0.23139965690963119</v>
      </c>
      <c r="V4573" s="11">
        <v>0.1923127000720478</v>
      </c>
      <c r="W4573" s="11">
        <v>0.05592029209961846</v>
      </c>
      <c r="X4573" s="11">
        <v>0.1884748445849041</v>
      </c>
      <c r="Y4573" s="11">
        <v>0.1272585630484024</v>
      </c>
      <c r="Z4573" s="11">
        <v>0.20463394328539602</v>
      </c>
    </row>
    <row r="4574" ht="22.5" customHeight="1">
      <c r="Q4574" s="9" t="s">
        <v>4612</v>
      </c>
      <c r="R4574" s="10">
        <v>0.3617179349520684</v>
      </c>
      <c r="S4574" s="10">
        <v>0.015964386485879216</v>
      </c>
      <c r="T4574" s="10">
        <v>20.152226660049458</v>
      </c>
      <c r="U4574" s="11">
        <v>0.28120869133378823</v>
      </c>
      <c r="V4574" s="11">
        <v>0.12291249182956814</v>
      </c>
      <c r="W4574" s="11">
        <v>0.043783512138361194</v>
      </c>
      <c r="X4574" s="11">
        <v>0.07996888853919026</v>
      </c>
      <c r="Y4574" s="11">
        <v>0.23136682311804074</v>
      </c>
      <c r="Z4574" s="11">
        <v>0.24075959304105155</v>
      </c>
    </row>
    <row r="4575" ht="22.5" customHeight="1">
      <c r="Q4575" s="9" t="s">
        <v>4613</v>
      </c>
      <c r="R4575" s="10">
        <v>0.5778200890186286</v>
      </c>
      <c r="S4575" s="10">
        <v>0.026687901719459405</v>
      </c>
      <c r="T4575" s="10">
        <v>20.152205844885835</v>
      </c>
      <c r="U4575" s="11">
        <v>0.2543161889722781</v>
      </c>
      <c r="V4575" s="11">
        <v>0.12469957475336942</v>
      </c>
      <c r="W4575" s="11">
        <v>0.2055160608191287</v>
      </c>
      <c r="X4575" s="11">
        <v>0.11149213975104326</v>
      </c>
      <c r="Y4575" s="11">
        <v>0.13277338105570313</v>
      </c>
      <c r="Z4575" s="11">
        <v>0.17120265464847736</v>
      </c>
    </row>
    <row r="4576" ht="22.5" customHeight="1">
      <c r="Q4576" s="9" t="s">
        <v>4614</v>
      </c>
      <c r="R4576" s="10">
        <v>0.6249197584229648</v>
      </c>
      <c r="S4576" s="10">
        <v>0.02902529593057456</v>
      </c>
      <c r="T4576" s="10">
        <v>20.152068727293287</v>
      </c>
      <c r="U4576" s="11">
        <v>0.2715381243772319</v>
      </c>
      <c r="V4576" s="11">
        <v>0.256120298845884</v>
      </c>
      <c r="W4576" s="11">
        <v>0.07921537640074704</v>
      </c>
      <c r="X4576" s="11">
        <v>0.34948733265827325</v>
      </c>
      <c r="Y4576" s="11">
        <v>9.263138667997961E-5</v>
      </c>
      <c r="Z4576" s="11">
        <v>0.043546236331183846</v>
      </c>
    </row>
    <row r="4577" ht="22.5" customHeight="1">
      <c r="Q4577" s="9" t="s">
        <v>4615</v>
      </c>
      <c r="R4577" s="10">
        <v>0.3541219082318221</v>
      </c>
      <c r="S4577" s="10">
        <v>0.015587957273681188</v>
      </c>
      <c r="T4577" s="10">
        <v>20.15157616336219</v>
      </c>
      <c r="U4577" s="11">
        <v>0.19845232710114272</v>
      </c>
      <c r="V4577" s="11">
        <v>0.08716533095708748</v>
      </c>
      <c r="W4577" s="11">
        <v>0.0782040935502013</v>
      </c>
      <c r="X4577" s="11">
        <v>0.026495595858036708</v>
      </c>
      <c r="Y4577" s="11">
        <v>0.35639886438308044</v>
      </c>
      <c r="Z4577" s="11">
        <v>0.25328378815045133</v>
      </c>
    </row>
    <row r="4578" ht="22.5" customHeight="1">
      <c r="Q4578" s="9" t="s">
        <v>4616</v>
      </c>
      <c r="R4578" s="10">
        <v>0.8151657473154122</v>
      </c>
      <c r="S4578" s="10">
        <v>0.038466849255939135</v>
      </c>
      <c r="T4578" s="10">
        <v>20.151526894179657</v>
      </c>
      <c r="U4578" s="11">
        <v>0.23332140698023743</v>
      </c>
      <c r="V4578" s="11">
        <v>0.26087013472343296</v>
      </c>
      <c r="W4578" s="11">
        <v>0.24991407641438662</v>
      </c>
      <c r="X4578" s="11">
        <v>0.03708286966640037</v>
      </c>
      <c r="Y4578" s="11">
        <v>0.1128692500569486</v>
      </c>
      <c r="Z4578" s="11">
        <v>0.10594226215859397</v>
      </c>
    </row>
    <row r="4579" ht="22.5" customHeight="1">
      <c r="Q4579" s="9" t="s">
        <v>4617</v>
      </c>
      <c r="R4579" s="10">
        <v>0.517248256829681</v>
      </c>
      <c r="S4579" s="10">
        <v>0.02368356284335937</v>
      </c>
      <c r="T4579" s="10">
        <v>20.151033017546876</v>
      </c>
      <c r="U4579" s="11">
        <v>0.21179407735595576</v>
      </c>
      <c r="V4579" s="11">
        <v>0.14680388116122997</v>
      </c>
      <c r="W4579" s="11">
        <v>0.15761959801888856</v>
      </c>
      <c r="X4579" s="11">
        <v>0.004315345320635462</v>
      </c>
      <c r="Y4579" s="11">
        <v>0.08806643210797009</v>
      </c>
      <c r="Z4579" s="11">
        <v>0.39140066603532014</v>
      </c>
    </row>
    <row r="4580" ht="22.5" customHeight="1">
      <c r="Q4580" s="9" t="s">
        <v>4618</v>
      </c>
      <c r="R4580" s="10">
        <v>0.3208253546166254</v>
      </c>
      <c r="S4580" s="10">
        <v>0.013936579232669534</v>
      </c>
      <c r="T4580" s="10">
        <v>20.15023557275279</v>
      </c>
      <c r="U4580" s="11">
        <v>0.32468732429289743</v>
      </c>
      <c r="V4580" s="11">
        <v>0.04672400887793721</v>
      </c>
      <c r="W4580" s="11">
        <v>0.08554649193097244</v>
      </c>
      <c r="X4580" s="11">
        <v>0.11090423931078076</v>
      </c>
      <c r="Y4580" s="11">
        <v>0.2531785801960452</v>
      </c>
      <c r="Z4580" s="11">
        <v>0.17895935539136687</v>
      </c>
    </row>
    <row r="4581" ht="22.5" customHeight="1">
      <c r="Q4581" s="9" t="s">
        <v>4619</v>
      </c>
      <c r="R4581" s="10">
        <v>0.8740251586220996</v>
      </c>
      <c r="S4581" s="10">
        <v>0.041390412826383186</v>
      </c>
      <c r="T4581" s="10">
        <v>20.15020150005542</v>
      </c>
      <c r="U4581" s="11">
        <v>0.12563558881111767</v>
      </c>
      <c r="V4581" s="11">
        <v>0.2534616072246383</v>
      </c>
      <c r="W4581" s="11">
        <v>0.29175740836380293</v>
      </c>
      <c r="X4581" s="11">
        <v>0.11426195239403757</v>
      </c>
      <c r="Y4581" s="11">
        <v>0.17861259329709364</v>
      </c>
      <c r="Z4581" s="11">
        <v>0.036270849909309996</v>
      </c>
    </row>
    <row r="4582" ht="22.5" customHeight="1">
      <c r="Q4582" s="9" t="s">
        <v>4620</v>
      </c>
      <c r="R4582" s="10">
        <v>0.6371721121042299</v>
      </c>
      <c r="S4582" s="10">
        <v>0.029636346207167888</v>
      </c>
      <c r="T4582" s="10">
        <v>20.149991093024717</v>
      </c>
      <c r="U4582" s="11">
        <v>0.01450393334517723</v>
      </c>
      <c r="V4582" s="11">
        <v>0.24522827108956924</v>
      </c>
      <c r="W4582" s="11">
        <v>0.13036918636957345</v>
      </c>
      <c r="X4582" s="11">
        <v>0.07801188543802264</v>
      </c>
      <c r="Y4582" s="11">
        <v>0.2672915305339586</v>
      </c>
      <c r="Z4582" s="11">
        <v>0.2645951932236988</v>
      </c>
    </row>
    <row r="4583" ht="22.5" customHeight="1">
      <c r="Q4583" s="9" t="s">
        <v>4621</v>
      </c>
      <c r="R4583" s="10">
        <v>0.8093243995615667</v>
      </c>
      <c r="S4583" s="10">
        <v>0.038180065338926095</v>
      </c>
      <c r="T4583" s="10">
        <v>20.149897406728893</v>
      </c>
      <c r="U4583" s="11">
        <v>0.1315065725006985</v>
      </c>
      <c r="V4583" s="11">
        <v>0.255387134310397</v>
      </c>
      <c r="W4583" s="11">
        <v>0.2508743117291729</v>
      </c>
      <c r="X4583" s="11">
        <v>0.040933627007181624</v>
      </c>
      <c r="Y4583" s="11">
        <v>0.18815450393743272</v>
      </c>
      <c r="Z4583" s="11">
        <v>0.1331438505151173</v>
      </c>
    </row>
    <row r="4584" ht="22.5" customHeight="1">
      <c r="Q4584" s="9" t="s">
        <v>4622</v>
      </c>
      <c r="R4584" s="10">
        <v>0.7683032944756656</v>
      </c>
      <c r="S4584" s="10">
        <v>0.036145923216279664</v>
      </c>
      <c r="T4584" s="10">
        <v>20.14897475761933</v>
      </c>
      <c r="U4584" s="11">
        <v>0.11859395764304129</v>
      </c>
      <c r="V4584" s="11">
        <v>0.22911589004071903</v>
      </c>
      <c r="W4584" s="11">
        <v>0.2508913002497125</v>
      </c>
      <c r="X4584" s="11">
        <v>0.09156040314028091</v>
      </c>
      <c r="Y4584" s="11">
        <v>0.06911298403791913</v>
      </c>
      <c r="Z4584" s="11">
        <v>0.2407254648883271</v>
      </c>
    </row>
    <row r="4585" ht="22.5" customHeight="1">
      <c r="Q4585" s="9" t="s">
        <v>4623</v>
      </c>
      <c r="R4585" s="10">
        <v>0.508136146993545</v>
      </c>
      <c r="S4585" s="10">
        <v>0.02323396905078386</v>
      </c>
      <c r="T4585" s="10">
        <v>20.148780691336558</v>
      </c>
      <c r="U4585" s="11">
        <v>0.23420910656413446</v>
      </c>
      <c r="V4585" s="11">
        <v>0.08982886994098861</v>
      </c>
      <c r="W4585" s="11">
        <v>0.1839612628975224</v>
      </c>
      <c r="X4585" s="11">
        <v>0.16959373422048762</v>
      </c>
      <c r="Y4585" s="11">
        <v>0.13504514602468767</v>
      </c>
      <c r="Z4585" s="11">
        <v>0.18736188035217918</v>
      </c>
    </row>
    <row r="4586" ht="22.5" customHeight="1">
      <c r="Q4586" s="9" t="s">
        <v>4624</v>
      </c>
      <c r="R4586" s="10">
        <v>0.8546555296954345</v>
      </c>
      <c r="S4586" s="10">
        <v>0.040432597789475645</v>
      </c>
      <c r="T4586" s="10">
        <v>20.14848350672843</v>
      </c>
      <c r="U4586" s="11">
        <v>0.19982510322703437</v>
      </c>
      <c r="V4586" s="11">
        <v>0.2704503269098283</v>
      </c>
      <c r="W4586" s="11">
        <v>0.26949788097821087</v>
      </c>
      <c r="X4586" s="11">
        <v>0.10489851376680018</v>
      </c>
      <c r="Y4586" s="11">
        <v>0.006281064964537608</v>
      </c>
      <c r="Z4586" s="11">
        <v>0.14904711015358862</v>
      </c>
    </row>
    <row r="4587" ht="22.5" customHeight="1">
      <c r="Q4587" s="9" t="s">
        <v>4625</v>
      </c>
      <c r="R4587" s="10">
        <v>0.4717879795574861</v>
      </c>
      <c r="S4587" s="10">
        <v>0.02143159832715525</v>
      </c>
      <c r="T4587" s="10">
        <v>20.147259806114516</v>
      </c>
      <c r="U4587" s="11">
        <v>0.3014825968408586</v>
      </c>
      <c r="V4587" s="11">
        <v>0.07340128954818398</v>
      </c>
      <c r="W4587" s="11">
        <v>0.17040828694162102</v>
      </c>
      <c r="X4587" s="11">
        <v>0.22080749871324</v>
      </c>
      <c r="Y4587" s="11">
        <v>0.04662644591487383</v>
      </c>
      <c r="Z4587" s="11">
        <v>0.18727388204122253</v>
      </c>
    </row>
    <row r="4588" ht="22.5" customHeight="1">
      <c r="Q4588" s="9" t="s">
        <v>4626</v>
      </c>
      <c r="R4588" s="10">
        <v>0.5284383204010894</v>
      </c>
      <c r="S4588" s="10">
        <v>0.024243636704066443</v>
      </c>
      <c r="T4588" s="10">
        <v>20.147073079970816</v>
      </c>
      <c r="U4588" s="11">
        <v>0.155117555944667</v>
      </c>
      <c r="V4588" s="11">
        <v>0.10836580447784638</v>
      </c>
      <c r="W4588" s="11">
        <v>0.18761965325716332</v>
      </c>
      <c r="X4588" s="11">
        <v>0.12024563428355425</v>
      </c>
      <c r="Y4588" s="11">
        <v>0.17233834437205459</v>
      </c>
      <c r="Z4588" s="11">
        <v>0.25631300766471443</v>
      </c>
    </row>
    <row r="4589" ht="22.5" customHeight="1">
      <c r="Q4589" s="9" t="s">
        <v>4627</v>
      </c>
      <c r="R4589" s="10">
        <v>0.7700750120918438</v>
      </c>
      <c r="S4589" s="10">
        <v>0.036237359891790485</v>
      </c>
      <c r="T4589" s="10">
        <v>20.14702545306677</v>
      </c>
      <c r="U4589" s="11">
        <v>0.13359359419883</v>
      </c>
      <c r="V4589" s="11">
        <v>0.21464908440486152</v>
      </c>
      <c r="W4589" s="11">
        <v>0.2617899215076728</v>
      </c>
      <c r="X4589" s="11">
        <v>0.1122501038427204</v>
      </c>
      <c r="Y4589" s="11">
        <v>0.09657078885071238</v>
      </c>
      <c r="Z4589" s="11">
        <v>0.18114650719520292</v>
      </c>
    </row>
    <row r="4590" ht="22.5" customHeight="1">
      <c r="Q4590" s="9" t="s">
        <v>4628</v>
      </c>
      <c r="R4590" s="10">
        <v>0.6857386155190004</v>
      </c>
      <c r="S4590" s="10">
        <v>0.03205136057580714</v>
      </c>
      <c r="T4590" s="10">
        <v>20.146995444755436</v>
      </c>
      <c r="U4590" s="11">
        <v>0.0285722237381184</v>
      </c>
      <c r="V4590" s="11">
        <v>0.27982086825243924</v>
      </c>
      <c r="W4590" s="11">
        <v>0.11260269509460467</v>
      </c>
      <c r="X4590" s="11">
        <v>0.23602059306661666</v>
      </c>
      <c r="Y4590" s="11">
        <v>0.20355398446124126</v>
      </c>
      <c r="Z4590" s="11">
        <v>0.13942963538697986</v>
      </c>
    </row>
    <row r="4591" ht="22.5" customHeight="1">
      <c r="Q4591" s="9" t="s">
        <v>4629</v>
      </c>
      <c r="R4591" s="10">
        <v>0.7037224615672513</v>
      </c>
      <c r="S4591" s="10">
        <v>0.032944524815168276</v>
      </c>
      <c r="T4591" s="10">
        <v>20.146669751377352</v>
      </c>
      <c r="U4591" s="11">
        <v>0.165666514811239</v>
      </c>
      <c r="V4591" s="11">
        <v>0.18890257689634646</v>
      </c>
      <c r="W4591" s="11">
        <v>0.23798570416945825</v>
      </c>
      <c r="X4591" s="11">
        <v>0.05975601122226617</v>
      </c>
      <c r="Y4591" s="11">
        <v>0.19546269597905896</v>
      </c>
      <c r="Z4591" s="11">
        <v>0.15222649692163118</v>
      </c>
    </row>
    <row r="4592" ht="22.5" customHeight="1">
      <c r="Q4592" s="9" t="s">
        <v>4630</v>
      </c>
      <c r="R4592" s="10">
        <v>0.9613074691938145</v>
      </c>
      <c r="S4592" s="10">
        <v>0.04573036057961032</v>
      </c>
      <c r="T4592" s="10">
        <v>20.146516614273</v>
      </c>
      <c r="U4592" s="11">
        <v>0.008876889682432929</v>
      </c>
      <c r="V4592" s="11">
        <v>0.2644405320659039</v>
      </c>
      <c r="W4592" s="11">
        <v>0.33543725066821056</v>
      </c>
      <c r="X4592" s="11">
        <v>0.2868030254968514</v>
      </c>
      <c r="Y4592" s="11">
        <v>0.07415972867815472</v>
      </c>
      <c r="Z4592" s="11">
        <v>0.03028257340844626</v>
      </c>
    </row>
    <row r="4593" ht="22.5" customHeight="1">
      <c r="Q4593" s="9" t="s">
        <v>4631</v>
      </c>
      <c r="R4593" s="10">
        <v>0.8039650109945694</v>
      </c>
      <c r="S4593" s="10">
        <v>0.037920695514953924</v>
      </c>
      <c r="T4593" s="10">
        <v>20.146387101294117</v>
      </c>
      <c r="U4593" s="11">
        <v>0.2633035475124057</v>
      </c>
      <c r="V4593" s="11">
        <v>0.2937060551005217</v>
      </c>
      <c r="W4593" s="11">
        <v>0.20175753668453755</v>
      </c>
      <c r="X4593" s="11">
        <v>0.026212361520670614</v>
      </c>
      <c r="Y4593" s="11">
        <v>0.184777725650955</v>
      </c>
      <c r="Z4593" s="11">
        <v>0.030242773530909334</v>
      </c>
    </row>
    <row r="4594" ht="22.5" customHeight="1">
      <c r="Q4594" s="9" t="s">
        <v>4632</v>
      </c>
      <c r="R4594" s="10">
        <v>0.7153229596589753</v>
      </c>
      <c r="S4594" s="10">
        <v>0.03352085005261131</v>
      </c>
      <c r="T4594" s="10">
        <v>20.146355435469243</v>
      </c>
      <c r="U4594" s="11">
        <v>0.2875069617155972</v>
      </c>
      <c r="V4594" s="11">
        <v>0.18765414718127738</v>
      </c>
      <c r="W4594" s="11">
        <v>0.2465793576458558</v>
      </c>
      <c r="X4594" s="11">
        <v>0.09560174122871717</v>
      </c>
      <c r="Y4594" s="11">
        <v>0.056775585313035906</v>
      </c>
      <c r="Z4594" s="11">
        <v>0.1258822069155166</v>
      </c>
    </row>
    <row r="4595" ht="22.5" customHeight="1">
      <c r="Q4595" s="9" t="s">
        <v>4633</v>
      </c>
      <c r="R4595" s="10">
        <v>0.6643913275165552</v>
      </c>
      <c r="S4595" s="10">
        <v>0.030993660387397783</v>
      </c>
      <c r="T4595" s="10">
        <v>20.14577561062896</v>
      </c>
      <c r="U4595" s="11">
        <v>0.06787767054223594</v>
      </c>
      <c r="V4595" s="11">
        <v>0.24119215414871426</v>
      </c>
      <c r="W4595" s="11">
        <v>0.16165841142534218</v>
      </c>
      <c r="X4595" s="11">
        <v>0.01418751911705761</v>
      </c>
      <c r="Y4595" s="11">
        <v>0.24849317188081552</v>
      </c>
      <c r="Z4595" s="11">
        <v>0.26659107288583456</v>
      </c>
    </row>
    <row r="4596" ht="22.5" customHeight="1">
      <c r="Q4596" s="9" t="s">
        <v>4634</v>
      </c>
      <c r="R4596" s="10">
        <v>0.5537998028372978</v>
      </c>
      <c r="S4596" s="10">
        <v>0.025504276381733984</v>
      </c>
      <c r="T4596" s="10">
        <v>20.14563342817592</v>
      </c>
      <c r="U4596" s="11">
        <v>0.23004778368719864</v>
      </c>
      <c r="V4596" s="11">
        <v>0.2128200203385493</v>
      </c>
      <c r="W4596" s="11">
        <v>0.09533980894880634</v>
      </c>
      <c r="X4596" s="11">
        <v>0.056390021461108324</v>
      </c>
      <c r="Y4596" s="11">
        <v>0.25125790201666676</v>
      </c>
      <c r="Z4596" s="11">
        <v>0.15414446354767067</v>
      </c>
    </row>
    <row r="4597" ht="22.5" customHeight="1">
      <c r="Q4597" s="9" t="s">
        <v>4635</v>
      </c>
      <c r="R4597" s="10">
        <v>0.7875399849622745</v>
      </c>
      <c r="S4597" s="10">
        <v>0.03710708190388522</v>
      </c>
      <c r="T4597" s="10">
        <v>20.14548023200943</v>
      </c>
      <c r="U4597" s="11">
        <v>0.05125233861359678</v>
      </c>
      <c r="V4597" s="11">
        <v>0.24128937622131771</v>
      </c>
      <c r="W4597" s="11">
        <v>0.25118899407710016</v>
      </c>
      <c r="X4597" s="11">
        <v>0.07029534666001408</v>
      </c>
      <c r="Y4597" s="11">
        <v>0.17282137662025984</v>
      </c>
      <c r="Z4597" s="11">
        <v>0.21315256780771139</v>
      </c>
    </row>
    <row r="4598" ht="22.5" customHeight="1">
      <c r="Q4598" s="9" t="s">
        <v>4636</v>
      </c>
      <c r="R4598" s="10">
        <v>0.6588786638208048</v>
      </c>
      <c r="S4598" s="10">
        <v>0.03072061559348142</v>
      </c>
      <c r="T4598" s="10">
        <v>20.145386147539444</v>
      </c>
      <c r="U4598" s="11">
        <v>0.09683285264131838</v>
      </c>
      <c r="V4598" s="11">
        <v>0.13378468694030574</v>
      </c>
      <c r="W4598" s="11">
        <v>0.24530348263430288</v>
      </c>
      <c r="X4598" s="11">
        <v>0.2902663491372933</v>
      </c>
      <c r="Y4598" s="11">
        <v>0.06488415750674938</v>
      </c>
      <c r="Z4598" s="11">
        <v>0.16892847114003035</v>
      </c>
    </row>
    <row r="4599" ht="22.5" customHeight="1">
      <c r="Q4599" s="9" t="s">
        <v>4637</v>
      </c>
      <c r="R4599" s="10">
        <v>0.5219235234755586</v>
      </c>
      <c r="S4599" s="10">
        <v>0.02392228067768162</v>
      </c>
      <c r="T4599" s="10">
        <v>20.14538371022337</v>
      </c>
      <c r="U4599" s="11">
        <v>0.17833048418464315</v>
      </c>
      <c r="V4599" s="11">
        <v>0.20870485873050162</v>
      </c>
      <c r="W4599" s="11">
        <v>0.054685888788567755</v>
      </c>
      <c r="X4599" s="11">
        <v>0.2451132075313066</v>
      </c>
      <c r="Y4599" s="11">
        <v>0.23870180726746423</v>
      </c>
      <c r="Z4599" s="11">
        <v>0.07446375349751677</v>
      </c>
    </row>
    <row r="4600" ht="22.5" customHeight="1">
      <c r="Q4600" s="9" t="s">
        <v>4638</v>
      </c>
      <c r="R4600" s="10">
        <v>0.6161179554531447</v>
      </c>
      <c r="S4600" s="10">
        <v>0.028598332703914157</v>
      </c>
      <c r="T4600" s="10">
        <v>20.145158860058068</v>
      </c>
      <c r="U4600" s="11">
        <v>0.21667187243680652</v>
      </c>
      <c r="V4600" s="11">
        <v>0.13237488684920826</v>
      </c>
      <c r="W4600" s="11">
        <v>0.22413103430458609</v>
      </c>
      <c r="X4600" s="11">
        <v>0.1747954071094883</v>
      </c>
      <c r="Y4600" s="11">
        <v>0.06605629121093455</v>
      </c>
      <c r="Z4600" s="11">
        <v>0.18597050808897617</v>
      </c>
    </row>
    <row r="4601" ht="22.5" customHeight="1">
      <c r="Q4601" s="9" t="s">
        <v>4639</v>
      </c>
      <c r="R4601" s="10">
        <v>0.5666058729254393</v>
      </c>
      <c r="S4601" s="10">
        <v>0.026140854301838955</v>
      </c>
      <c r="T4601" s="10">
        <v>20.14493737828582</v>
      </c>
      <c r="U4601" s="11">
        <v>0.025417062583088987</v>
      </c>
      <c r="V4601" s="11">
        <v>0.22932936857671662</v>
      </c>
      <c r="W4601" s="11">
        <v>0.07729123185541986</v>
      </c>
      <c r="X4601" s="11">
        <v>0.22005328159356358</v>
      </c>
      <c r="Y4601" s="11">
        <v>0.24295736884227476</v>
      </c>
      <c r="Z4601" s="11">
        <v>0.20495168654893622</v>
      </c>
    </row>
    <row r="4602" ht="22.5" customHeight="1">
      <c r="Q4602" s="9" t="s">
        <v>4640</v>
      </c>
      <c r="R4602" s="10">
        <v>0.646072532769891</v>
      </c>
      <c r="S4602" s="10">
        <v>0.03008702697372867</v>
      </c>
      <c r="T4602" s="10">
        <v>20.143982098965783</v>
      </c>
      <c r="U4602" s="11">
        <v>0.17886909998481373</v>
      </c>
      <c r="V4602" s="11">
        <v>0.1498265728662467</v>
      </c>
      <c r="W4602" s="11">
        <v>0.23134157986026116</v>
      </c>
      <c r="X4602" s="11">
        <v>0.13799650860777218</v>
      </c>
      <c r="Y4602" s="11">
        <v>0.11391537464269288</v>
      </c>
      <c r="Z4602" s="11">
        <v>0.18805086403821344</v>
      </c>
    </row>
    <row r="4603" ht="22.5" customHeight="1">
      <c r="Q4603" s="9" t="s">
        <v>4641</v>
      </c>
      <c r="R4603" s="10">
        <v>0.8036664741133547</v>
      </c>
      <c r="S4603" s="10">
        <v>0.03791097212482435</v>
      </c>
      <c r="T4603" s="10">
        <v>20.143679555325907</v>
      </c>
      <c r="U4603" s="11">
        <v>0.23061897527273187</v>
      </c>
      <c r="V4603" s="11">
        <v>0.2684017668431931</v>
      </c>
      <c r="W4603" s="11">
        <v>0.2355840394696253</v>
      </c>
      <c r="X4603" s="11">
        <v>0.02755804088183275</v>
      </c>
      <c r="Y4603" s="11">
        <v>0.10434927652296352</v>
      </c>
      <c r="Z4603" s="11">
        <v>0.13348790100965338</v>
      </c>
    </row>
    <row r="4604" ht="22.5" customHeight="1">
      <c r="Q4604" s="9" t="s">
        <v>4642</v>
      </c>
      <c r="R4604" s="10">
        <v>0.7786380840027122</v>
      </c>
      <c r="S4604" s="10">
        <v>0.036668586061732275</v>
      </c>
      <c r="T4604" s="10">
        <v>20.14362055736757</v>
      </c>
      <c r="U4604" s="11">
        <v>0.17803288458001523</v>
      </c>
      <c r="V4604" s="11">
        <v>0.28058909242576713</v>
      </c>
      <c r="W4604" s="11">
        <v>0.2054079569073316</v>
      </c>
      <c r="X4604" s="11">
        <v>0.044188196744744244</v>
      </c>
      <c r="Y4604" s="11">
        <v>0.09870583519669013</v>
      </c>
      <c r="Z4604" s="11">
        <v>0.1930760341454517</v>
      </c>
    </row>
    <row r="4605" ht="22.5" customHeight="1">
      <c r="Q4605" s="9" t="s">
        <v>4643</v>
      </c>
      <c r="R4605" s="10">
        <v>0.825051058641341</v>
      </c>
      <c r="S4605" s="10">
        <v>0.038973026828931806</v>
      </c>
      <c r="T4605" s="10">
        <v>20.14344592959751</v>
      </c>
      <c r="U4605" s="11">
        <v>0.31350570379336085</v>
      </c>
      <c r="V4605" s="11">
        <v>0.313470698307725</v>
      </c>
      <c r="W4605" s="11">
        <v>0.19506168875974117</v>
      </c>
      <c r="X4605" s="11">
        <v>0.10138828071380392</v>
      </c>
      <c r="Y4605" s="11">
        <v>0.030435138020186357</v>
      </c>
      <c r="Z4605" s="11">
        <v>0.0461384904051828</v>
      </c>
    </row>
    <row r="4606" ht="22.5" customHeight="1">
      <c r="Q4606" s="9" t="s">
        <v>4644</v>
      </c>
      <c r="R4606" s="10">
        <v>0.6015917595624087</v>
      </c>
      <c r="S4606" s="10">
        <v>0.02788057444693852</v>
      </c>
      <c r="T4606" s="10">
        <v>20.142761428076508</v>
      </c>
      <c r="U4606" s="11">
        <v>0.22098314704231967</v>
      </c>
      <c r="V4606" s="11">
        <v>0.2455986617597761</v>
      </c>
      <c r="W4606" s="11">
        <v>0.07668855784558172</v>
      </c>
      <c r="X4606" s="11">
        <v>0.250620294663401</v>
      </c>
      <c r="Y4606" s="11">
        <v>0.1688558651607967</v>
      </c>
      <c r="Z4606" s="11">
        <v>0.03725347352812478</v>
      </c>
    </row>
    <row r="4607" ht="22.5" customHeight="1">
      <c r="Q4607" s="9" t="s">
        <v>4645</v>
      </c>
      <c r="R4607" s="10">
        <v>0.7100731291287993</v>
      </c>
      <c r="S4607" s="10">
        <v>0.033266355623690486</v>
      </c>
      <c r="T4607" s="10">
        <v>20.142667165248774</v>
      </c>
      <c r="U4607" s="11">
        <v>0.25235698705598847</v>
      </c>
      <c r="V4607" s="11">
        <v>0.14710072686337838</v>
      </c>
      <c r="W4607" s="11">
        <v>0.2642462963883334</v>
      </c>
      <c r="X4607" s="11">
        <v>0.2693586502209711</v>
      </c>
      <c r="Y4607" s="11">
        <v>0.05290432628713422</v>
      </c>
      <c r="Z4607" s="11">
        <v>0.01403301318419423</v>
      </c>
    </row>
    <row r="4608" ht="22.5" customHeight="1">
      <c r="Q4608" s="9" t="s">
        <v>4646</v>
      </c>
      <c r="R4608" s="10">
        <v>0.6634576263685877</v>
      </c>
      <c r="S4608" s="10">
        <v>0.03095305790189542</v>
      </c>
      <c r="T4608" s="10">
        <v>20.14203663963069</v>
      </c>
      <c r="U4608" s="11">
        <v>0.09325203502608742</v>
      </c>
      <c r="V4608" s="11">
        <v>0.20844137333867527</v>
      </c>
      <c r="W4608" s="11">
        <v>0.20286444514268148</v>
      </c>
      <c r="X4608" s="11">
        <v>0.04425568033758968</v>
      </c>
      <c r="Y4608" s="11">
        <v>0.07210212281807357</v>
      </c>
      <c r="Z4608" s="11">
        <v>0.37908434333689256</v>
      </c>
    </row>
    <row r="4609" ht="22.5" customHeight="1">
      <c r="Q4609" s="9" t="s">
        <v>4647</v>
      </c>
      <c r="R4609" s="10">
        <v>0.7972144713099933</v>
      </c>
      <c r="S4609" s="10">
        <v>0.03759374148867229</v>
      </c>
      <c r="T4609" s="10">
        <v>20.142035384750315</v>
      </c>
      <c r="U4609" s="11">
        <v>0.2542228127143617</v>
      </c>
      <c r="V4609" s="11">
        <v>0.26723538226452054</v>
      </c>
      <c r="W4609" s="11">
        <v>0.2337000867206203</v>
      </c>
      <c r="X4609" s="11">
        <v>0.04857889337491297</v>
      </c>
      <c r="Y4609" s="11">
        <v>0.02600534496630882</v>
      </c>
      <c r="Z4609" s="11">
        <v>0.17025747995927543</v>
      </c>
    </row>
    <row r="4610" ht="22.5" customHeight="1">
      <c r="Q4610" s="9" t="s">
        <v>4648</v>
      </c>
      <c r="R4610" s="10">
        <v>0.7560370450604701</v>
      </c>
      <c r="S4610" s="10">
        <v>0.035549601763541105</v>
      </c>
      <c r="T4610" s="10">
        <v>20.14191466400116</v>
      </c>
      <c r="U4610" s="11">
        <v>0.3346829095373807</v>
      </c>
      <c r="V4610" s="11">
        <v>0.21079274073597015</v>
      </c>
      <c r="W4610" s="11">
        <v>0.25122085341876066</v>
      </c>
      <c r="X4610" s="11">
        <v>0.043998463953347125</v>
      </c>
      <c r="Y4610" s="11">
        <v>0.1303636319231328</v>
      </c>
      <c r="Z4610" s="11">
        <v>0.028941400431408564</v>
      </c>
    </row>
    <row r="4611" ht="22.5" customHeight="1">
      <c r="Q4611" s="9" t="s">
        <v>4649</v>
      </c>
      <c r="R4611" s="10">
        <v>0.9979996202236079</v>
      </c>
      <c r="S4611" s="10">
        <v>0.04756347257638257</v>
      </c>
      <c r="T4611" s="10">
        <v>20.141498682316527</v>
      </c>
      <c r="U4611" s="11">
        <v>0.0027765230497535875</v>
      </c>
      <c r="V4611" s="11">
        <v>0.35044668270089185</v>
      </c>
      <c r="W4611" s="11">
        <v>0.2871383058851063</v>
      </c>
      <c r="X4611" s="11">
        <v>0.19462459364266188</v>
      </c>
      <c r="Y4611" s="11">
        <v>0.042693156084099015</v>
      </c>
      <c r="Z4611" s="11">
        <v>0.12232073863748738</v>
      </c>
    </row>
    <row r="4612" ht="22.5" customHeight="1">
      <c r="Q4612" s="9" t="s">
        <v>4650</v>
      </c>
      <c r="R4612" s="10">
        <v>0.6104590006782689</v>
      </c>
      <c r="S4612" s="10">
        <v>0.02832290634416857</v>
      </c>
      <c r="T4612" s="10">
        <v>20.14125929543672</v>
      </c>
      <c r="U4612" s="11">
        <v>0.23901542695551342</v>
      </c>
      <c r="V4612" s="11">
        <v>0.15708657472405607</v>
      </c>
      <c r="W4612" s="11">
        <v>0.2020060617942658</v>
      </c>
      <c r="X4612" s="11">
        <v>0.015148194100614246</v>
      </c>
      <c r="Y4612" s="11">
        <v>0.23195169251180392</v>
      </c>
      <c r="Z4612" s="11">
        <v>0.15479204991374654</v>
      </c>
    </row>
    <row r="4613" ht="22.5" customHeight="1">
      <c r="Q4613" s="9" t="s">
        <v>4651</v>
      </c>
      <c r="R4613" s="10">
        <v>0.8003663482159303</v>
      </c>
      <c r="S4613" s="10">
        <v>0.03775175272176366</v>
      </c>
      <c r="T4613" s="10">
        <v>20.14121976852173</v>
      </c>
      <c r="U4613" s="11">
        <v>0.2554226212308657</v>
      </c>
      <c r="V4613" s="11">
        <v>0.24314779176521809</v>
      </c>
      <c r="W4613" s="11">
        <v>0.25738297997461435</v>
      </c>
      <c r="X4613" s="11">
        <v>0.06696934196037373</v>
      </c>
      <c r="Y4613" s="11">
        <v>0.045106218320359825</v>
      </c>
      <c r="Z4613" s="11">
        <v>0.1319710467485683</v>
      </c>
    </row>
    <row r="4614" ht="22.5" customHeight="1">
      <c r="Q4614" s="9" t="s">
        <v>4652</v>
      </c>
      <c r="R4614" s="10">
        <v>0.503746660609821</v>
      </c>
      <c r="S4614" s="10">
        <v>0.023024762282397145</v>
      </c>
      <c r="T4614" s="10">
        <v>20.141213834132127</v>
      </c>
      <c r="U4614" s="11">
        <v>0.1502572982072244</v>
      </c>
      <c r="V4614" s="11">
        <v>0.08378253789529047</v>
      </c>
      <c r="W4614" s="11">
        <v>0.18290973970310803</v>
      </c>
      <c r="X4614" s="11">
        <v>0.19695546557593738</v>
      </c>
      <c r="Y4614" s="11">
        <v>0.20429873929805384</v>
      </c>
      <c r="Z4614" s="11">
        <v>0.1817962193203858</v>
      </c>
    </row>
    <row r="4615" ht="22.5" customHeight="1">
      <c r="Q4615" s="9" t="s">
        <v>4653</v>
      </c>
      <c r="R4615" s="10">
        <v>0.6200885902093942</v>
      </c>
      <c r="S4615" s="10">
        <v>0.028801140211202926</v>
      </c>
      <c r="T4615" s="10">
        <v>20.141167535573963</v>
      </c>
      <c r="U4615" s="11">
        <v>0.2729020254035908</v>
      </c>
      <c r="V4615" s="11">
        <v>0.13322910355302503</v>
      </c>
      <c r="W4615" s="11">
        <v>0.2233945238866651</v>
      </c>
      <c r="X4615" s="11">
        <v>0.13393839900360568</v>
      </c>
      <c r="Y4615" s="11">
        <v>0.13666531311906993</v>
      </c>
      <c r="Z4615" s="11">
        <v>0.09987063503404332</v>
      </c>
    </row>
    <row r="4616" ht="22.5" customHeight="1">
      <c r="Q4616" s="9" t="s">
        <v>4654</v>
      </c>
      <c r="R4616" s="10">
        <v>0.771239450817698</v>
      </c>
      <c r="S4616" s="10">
        <v>0.03630708615834631</v>
      </c>
      <c r="T4616" s="10">
        <v>20.140405859851683</v>
      </c>
      <c r="U4616" s="11">
        <v>0.0017204962001626833</v>
      </c>
      <c r="V4616" s="11">
        <v>0.2209410062738741</v>
      </c>
      <c r="W4616" s="11">
        <v>0.25672920790484394</v>
      </c>
      <c r="X4616" s="11">
        <v>0.10358597922848656</v>
      </c>
      <c r="Y4616" s="11">
        <v>0.2009074422873109</v>
      </c>
      <c r="Z4616" s="11">
        <v>0.21611586810532193</v>
      </c>
    </row>
    <row r="4617" ht="22.5" customHeight="1">
      <c r="Q4617" s="9" t="s">
        <v>4655</v>
      </c>
      <c r="R4617" s="10">
        <v>0.7564933410344362</v>
      </c>
      <c r="S4617" s="10">
        <v>0.03557535537367358</v>
      </c>
      <c r="T4617" s="10">
        <v>20.14015976814822</v>
      </c>
      <c r="U4617" s="11">
        <v>0.03567369593605024</v>
      </c>
      <c r="V4617" s="11">
        <v>0.30930749233656113</v>
      </c>
      <c r="W4617" s="11">
        <v>0.13647677954436335</v>
      </c>
      <c r="X4617" s="11">
        <v>0.29355097796449836</v>
      </c>
      <c r="Y4617" s="11">
        <v>0.05609063440582121</v>
      </c>
      <c r="Z4617" s="11">
        <v>0.16890041981270573</v>
      </c>
    </row>
    <row r="4618" ht="22.5" customHeight="1">
      <c r="Q4618" s="9" t="s">
        <v>4656</v>
      </c>
      <c r="R4618" s="10">
        <v>0.9804327686284497</v>
      </c>
      <c r="S4618" s="10">
        <v>0.04669446314470701</v>
      </c>
      <c r="T4618" s="10">
        <v>20.140134510467142</v>
      </c>
      <c r="U4618" s="11">
        <v>0.16959493387745392</v>
      </c>
      <c r="V4618" s="11">
        <v>0.30349524855331883</v>
      </c>
      <c r="W4618" s="11">
        <v>0.3190433195583293</v>
      </c>
      <c r="X4618" s="11">
        <v>0.17384038117509235</v>
      </c>
      <c r="Y4618" s="11">
        <v>0.017479789559954932</v>
      </c>
      <c r="Z4618" s="11">
        <v>0.016546327275850762</v>
      </c>
    </row>
    <row r="4619" ht="22.5" customHeight="1">
      <c r="Q4619" s="9" t="s">
        <v>4657</v>
      </c>
      <c r="R4619" s="10">
        <v>0.5622606464713604</v>
      </c>
      <c r="S4619" s="10">
        <v>0.02593162301628102</v>
      </c>
      <c r="T4619" s="10">
        <v>20.13991357746725</v>
      </c>
      <c r="U4619" s="11">
        <v>0.1811588357101663</v>
      </c>
      <c r="V4619" s="11">
        <v>0.10156331791944463</v>
      </c>
      <c r="W4619" s="11">
        <v>0.20830304676977038</v>
      </c>
      <c r="X4619" s="11">
        <v>0.2266477548430576</v>
      </c>
      <c r="Y4619" s="11">
        <v>0.11394898300992064</v>
      </c>
      <c r="Z4619" s="11">
        <v>0.16837806174764045</v>
      </c>
    </row>
    <row r="4620" ht="22.5" customHeight="1">
      <c r="Q4620" s="9" t="s">
        <v>4658</v>
      </c>
      <c r="R4620" s="10">
        <v>0.8516405824261747</v>
      </c>
      <c r="S4620" s="10">
        <v>0.04030094094696158</v>
      </c>
      <c r="T4620" s="10">
        <v>20.139494596276094</v>
      </c>
      <c r="U4620" s="11">
        <v>0.252302931949733</v>
      </c>
      <c r="V4620" s="11">
        <v>0.26600060235341383</v>
      </c>
      <c r="W4620" s="11">
        <v>0.26816788670542113</v>
      </c>
      <c r="X4620" s="11">
        <v>0.05003363555235159</v>
      </c>
      <c r="Y4620" s="11">
        <v>0.11913564591513903</v>
      </c>
      <c r="Z4620" s="11">
        <v>0.044359297523941355</v>
      </c>
    </row>
    <row r="4621" ht="22.5" customHeight="1">
      <c r="Q4621" s="9" t="s">
        <v>4659</v>
      </c>
      <c r="R4621" s="10">
        <v>0.7572840780917406</v>
      </c>
      <c r="S4621" s="10">
        <v>0.03561652921171294</v>
      </c>
      <c r="T4621" s="10">
        <v>20.139078511216997</v>
      </c>
      <c r="U4621" s="11">
        <v>0.3226918561172544</v>
      </c>
      <c r="V4621" s="11">
        <v>0.25832021934067445</v>
      </c>
      <c r="W4621" s="11">
        <v>0.21188971205536702</v>
      </c>
      <c r="X4621" s="11">
        <v>0.007110143155120369</v>
      </c>
      <c r="Y4621" s="11">
        <v>0.07497238263649238</v>
      </c>
      <c r="Z4621" s="11">
        <v>0.12501568669509133</v>
      </c>
    </row>
    <row r="4622" ht="22.5" customHeight="1">
      <c r="Q4622" s="9" t="s">
        <v>4660</v>
      </c>
      <c r="R4622" s="10">
        <v>0.47625210746234514</v>
      </c>
      <c r="S4622" s="10">
        <v>0.021662091577087955</v>
      </c>
      <c r="T4622" s="10">
        <v>20.13896515532092</v>
      </c>
      <c r="U4622" s="11">
        <v>0.18983609065846202</v>
      </c>
      <c r="V4622" s="11">
        <v>0.07458155367905464</v>
      </c>
      <c r="W4622" s="11">
        <v>0.1702851214122769</v>
      </c>
      <c r="X4622" s="11">
        <v>0.18314546919888197</v>
      </c>
      <c r="Y4622" s="11">
        <v>0.22792896123262343</v>
      </c>
      <c r="Z4622" s="11">
        <v>0.1542228038187011</v>
      </c>
    </row>
    <row r="4623" ht="22.5" customHeight="1">
      <c r="Q4623" s="9" t="s">
        <v>4661</v>
      </c>
      <c r="R4623" s="10">
        <v>0.7469067250245233</v>
      </c>
      <c r="S4623" s="10">
        <v>0.03510475092664847</v>
      </c>
      <c r="T4623" s="10">
        <v>20.137067102444565</v>
      </c>
      <c r="U4623" s="11">
        <v>0.11284175631319103</v>
      </c>
      <c r="V4623" s="11">
        <v>0.23188002518698114</v>
      </c>
      <c r="W4623" s="11">
        <v>0.23062245490572125</v>
      </c>
      <c r="X4623" s="11">
        <v>0.014801697715575575</v>
      </c>
      <c r="Y4623" s="11">
        <v>0.23552966495394348</v>
      </c>
      <c r="Z4623" s="11">
        <v>0.17432440092458737</v>
      </c>
    </row>
    <row r="4624" ht="22.5" customHeight="1">
      <c r="Q4624" s="9" t="s">
        <v>4662</v>
      </c>
      <c r="R4624" s="10">
        <v>0.6762402752827187</v>
      </c>
      <c r="S4624" s="10">
        <v>0.03159553714593098</v>
      </c>
      <c r="T4624" s="10">
        <v>20.137029870519438</v>
      </c>
      <c r="U4624" s="11">
        <v>0.09019458792423796</v>
      </c>
      <c r="V4624" s="11">
        <v>0.20223521337552586</v>
      </c>
      <c r="W4624" s="11">
        <v>0.21478636053349412</v>
      </c>
      <c r="X4624" s="11">
        <v>0.034573378434122115</v>
      </c>
      <c r="Y4624" s="11">
        <v>0.14676300474067516</v>
      </c>
      <c r="Z4624" s="11">
        <v>0.3114474549919449</v>
      </c>
    </row>
    <row r="4625" ht="22.5" customHeight="1">
      <c r="Q4625" s="9" t="s">
        <v>4663</v>
      </c>
      <c r="R4625" s="10">
        <v>0.3986077687784623</v>
      </c>
      <c r="S4625" s="10">
        <v>0.017808381364271157</v>
      </c>
      <c r="T4625" s="10">
        <v>20.137022082081803</v>
      </c>
      <c r="U4625" s="11">
        <v>0.18044792031373466</v>
      </c>
      <c r="V4625" s="11">
        <v>0.1409816858587487</v>
      </c>
      <c r="W4625" s="11">
        <v>0.01586020142306827</v>
      </c>
      <c r="X4625" s="11">
        <v>0.5054105502886641</v>
      </c>
      <c r="Y4625" s="11">
        <v>0.022736901060664765</v>
      </c>
      <c r="Z4625" s="11">
        <v>0.13456274105511948</v>
      </c>
    </row>
    <row r="4626" ht="22.5" customHeight="1">
      <c r="Q4626" s="9" t="s">
        <v>4664</v>
      </c>
      <c r="R4626" s="10">
        <v>0.44282037004610586</v>
      </c>
      <c r="S4626" s="10">
        <v>0.020004060448124306</v>
      </c>
      <c r="T4626" s="10">
        <v>20.13693025427128</v>
      </c>
      <c r="U4626" s="11">
        <v>0.04362784484433476</v>
      </c>
      <c r="V4626" s="11">
        <v>0.08736261070378647</v>
      </c>
      <c r="W4626" s="11">
        <v>0.14627736558764173</v>
      </c>
      <c r="X4626" s="11">
        <v>0.09835602479123078</v>
      </c>
      <c r="Y4626" s="11">
        <v>0.29967827427852095</v>
      </c>
      <c r="Z4626" s="11">
        <v>0.3246978797944854</v>
      </c>
    </row>
    <row r="4627" ht="22.5" customHeight="1">
      <c r="Q4627" s="9" t="s">
        <v>4665</v>
      </c>
      <c r="R4627" s="10">
        <v>0.7368378889514757</v>
      </c>
      <c r="S4627" s="10">
        <v>0.03460515744564438</v>
      </c>
      <c r="T4627" s="10">
        <v>20.13682180310912</v>
      </c>
      <c r="U4627" s="11">
        <v>0.05057876493435574</v>
      </c>
      <c r="V4627" s="11">
        <v>0.29998099277909124</v>
      </c>
      <c r="W4627" s="11">
        <v>0.13226408197740672</v>
      </c>
      <c r="X4627" s="11">
        <v>0.22745248136195714</v>
      </c>
      <c r="Y4627" s="11">
        <v>0.15926274248046024</v>
      </c>
      <c r="Z4627" s="11">
        <v>0.1304609364667289</v>
      </c>
    </row>
    <row r="4628" ht="22.5" customHeight="1">
      <c r="Q4628" s="9" t="s">
        <v>4666</v>
      </c>
      <c r="R4628" s="10">
        <v>0.8447194290312267</v>
      </c>
      <c r="S4628" s="10">
        <v>0.03996410264822777</v>
      </c>
      <c r="T4628" s="10">
        <v>20.13605650337084</v>
      </c>
      <c r="U4628" s="11">
        <v>0.1277726873484313</v>
      </c>
      <c r="V4628" s="11">
        <v>0.3359949723098349</v>
      </c>
      <c r="W4628" s="11">
        <v>0.17965559195059655</v>
      </c>
      <c r="X4628" s="11">
        <v>0.20563045986422232</v>
      </c>
      <c r="Y4628" s="11">
        <v>0.06329902693295204</v>
      </c>
      <c r="Z4628" s="11">
        <v>0.0876472615939628</v>
      </c>
    </row>
    <row r="4629" ht="22.5" customHeight="1">
      <c r="Q4629" s="9" t="s">
        <v>4667</v>
      </c>
      <c r="R4629" s="10">
        <v>0.8477760762968855</v>
      </c>
      <c r="S4629" s="10">
        <v>0.040116041848799106</v>
      </c>
      <c r="T4629" s="10">
        <v>20.13598647995893</v>
      </c>
      <c r="U4629" s="11">
        <v>0.10708453870948631</v>
      </c>
      <c r="V4629" s="11">
        <v>0.23853001719481032</v>
      </c>
      <c r="W4629" s="11">
        <v>0.29096731825415584</v>
      </c>
      <c r="X4629" s="11">
        <v>0.18051662172382857</v>
      </c>
      <c r="Y4629" s="11">
        <v>0.03225330019290215</v>
      </c>
      <c r="Z4629" s="11">
        <v>0.15064820392481684</v>
      </c>
    </row>
    <row r="4630" ht="22.5" customHeight="1">
      <c r="Q4630" s="9" t="s">
        <v>4668</v>
      </c>
      <c r="R4630" s="10">
        <v>0.713105983864146</v>
      </c>
      <c r="S4630" s="10">
        <v>0.03342817265197214</v>
      </c>
      <c r="T4630" s="10">
        <v>20.13588929529581</v>
      </c>
      <c r="U4630" s="11">
        <v>0.015711393679127477</v>
      </c>
      <c r="V4630" s="11">
        <v>0.21165910665725285</v>
      </c>
      <c r="W4630" s="11">
        <v>0.22798764184219072</v>
      </c>
      <c r="X4630" s="11">
        <v>0.04872420591811868</v>
      </c>
      <c r="Y4630" s="11">
        <v>0.2316038326531011</v>
      </c>
      <c r="Z4630" s="11">
        <v>0.2643138192502091</v>
      </c>
    </row>
    <row r="4631" ht="22.5" customHeight="1">
      <c r="Q4631" s="9" t="s">
        <v>4669</v>
      </c>
      <c r="R4631" s="10">
        <v>0.3812139623851552</v>
      </c>
      <c r="S4631" s="10">
        <v>0.016945715046061075</v>
      </c>
      <c r="T4631" s="10">
        <v>20.135707549529947</v>
      </c>
      <c r="U4631" s="11">
        <v>0.25329178533625324</v>
      </c>
      <c r="V4631" s="11">
        <v>0.13921944680945367</v>
      </c>
      <c r="W4631" s="11">
        <v>0.03416960611363369</v>
      </c>
      <c r="X4631" s="11">
        <v>0.15302377787330323</v>
      </c>
      <c r="Y4631" s="11">
        <v>0.21231791669140254</v>
      </c>
      <c r="Z4631" s="11">
        <v>0.20797746717595372</v>
      </c>
    </row>
    <row r="4632" ht="22.5" customHeight="1">
      <c r="Q4632" s="9" t="s">
        <v>4670</v>
      </c>
      <c r="R4632" s="10">
        <v>0.6830891078919662</v>
      </c>
      <c r="S4632" s="10">
        <v>0.03193851070893099</v>
      </c>
      <c r="T4632" s="10">
        <v>20.135225269352922</v>
      </c>
      <c r="U4632" s="11">
        <v>0.18577279888015366</v>
      </c>
      <c r="V4632" s="11">
        <v>0.23318905591764238</v>
      </c>
      <c r="W4632" s="11">
        <v>0.18964462189401746</v>
      </c>
      <c r="X4632" s="11">
        <v>0.005351042015095763</v>
      </c>
      <c r="Y4632" s="11">
        <v>0.09767649647436451</v>
      </c>
      <c r="Z4632" s="11">
        <v>0.2883659848187262</v>
      </c>
    </row>
    <row r="4633" ht="22.5" customHeight="1">
      <c r="Q4633" s="9" t="s">
        <v>4671</v>
      </c>
      <c r="R4633" s="10">
        <v>0.9316560273564815</v>
      </c>
      <c r="S4633" s="10">
        <v>0.044284064027046974</v>
      </c>
      <c r="T4633" s="10">
        <v>20.134918665366683</v>
      </c>
      <c r="U4633" s="11">
        <v>0.10134526098337661</v>
      </c>
      <c r="V4633" s="11">
        <v>0.34498658131381665</v>
      </c>
      <c r="W4633" s="11">
        <v>0.2418619431874029</v>
      </c>
      <c r="X4633" s="11">
        <v>0.12165211902978673</v>
      </c>
      <c r="Y4633" s="11">
        <v>0.13213868881165772</v>
      </c>
      <c r="Z4633" s="11">
        <v>0.05801540667395942</v>
      </c>
    </row>
    <row r="4634" ht="22.5" customHeight="1">
      <c r="Q4634" s="9" t="s">
        <v>4672</v>
      </c>
      <c r="R4634" s="10">
        <v>0.5898991746564349</v>
      </c>
      <c r="S4634" s="10">
        <v>0.027311615999265876</v>
      </c>
      <c r="T4634" s="10">
        <v>20.134259894076422</v>
      </c>
      <c r="U4634" s="11">
        <v>0.02468503025284584</v>
      </c>
      <c r="V4634" s="11">
        <v>0.12067803478581554</v>
      </c>
      <c r="W4634" s="11">
        <v>0.21624820414380239</v>
      </c>
      <c r="X4634" s="11">
        <v>0.2393646901082483</v>
      </c>
      <c r="Y4634" s="11">
        <v>0.10231874828043526</v>
      </c>
      <c r="Z4634" s="11">
        <v>0.2967052924288526</v>
      </c>
    </row>
    <row r="4635" ht="22.5" customHeight="1">
      <c r="Q4635" s="9" t="s">
        <v>4673</v>
      </c>
      <c r="R4635" s="10">
        <v>0.5385795369820483</v>
      </c>
      <c r="S4635" s="10">
        <v>0.024762857303611916</v>
      </c>
      <c r="T4635" s="10">
        <v>20.13416831785908</v>
      </c>
      <c r="U4635" s="11">
        <v>0.19509942270335617</v>
      </c>
      <c r="V4635" s="11">
        <v>0.19849998834603985</v>
      </c>
      <c r="W4635" s="11">
        <v>0.09861187724451231</v>
      </c>
      <c r="X4635" s="11">
        <v>0.02534610802606202</v>
      </c>
      <c r="Y4635" s="11">
        <v>0.34140324261475424</v>
      </c>
      <c r="Z4635" s="11">
        <v>0.14103936106527526</v>
      </c>
    </row>
    <row r="4636" ht="22.5" customHeight="1">
      <c r="Q4636" s="9" t="s">
        <v>4674</v>
      </c>
      <c r="R4636" s="10">
        <v>0.7341780826932051</v>
      </c>
      <c r="S4636" s="10">
        <v>0.03447915910796258</v>
      </c>
      <c r="T4636" s="10">
        <v>20.133266026574653</v>
      </c>
      <c r="U4636" s="11">
        <v>0.23609656351608097</v>
      </c>
      <c r="V4636" s="11">
        <v>0.20701152954484353</v>
      </c>
      <c r="W4636" s="11">
        <v>0.24608513431892554</v>
      </c>
      <c r="X4636" s="11">
        <v>0.0811471533940534</v>
      </c>
      <c r="Y4636" s="11">
        <v>0.04021027325972461</v>
      </c>
      <c r="Z4636" s="11">
        <v>0.189449345966372</v>
      </c>
    </row>
    <row r="4637" ht="22.5" customHeight="1">
      <c r="Q4637" s="9" t="s">
        <v>4675</v>
      </c>
      <c r="R4637" s="10">
        <v>0.6945963717381972</v>
      </c>
      <c r="S4637" s="10">
        <v>0.03251369950547872</v>
      </c>
      <c r="T4637" s="10">
        <v>20.132940320368476</v>
      </c>
      <c r="U4637" s="11">
        <v>0.004096437090443625</v>
      </c>
      <c r="V4637" s="11">
        <v>0.24689936464475387</v>
      </c>
      <c r="W4637" s="11">
        <v>0.17860938844464683</v>
      </c>
      <c r="X4637" s="11">
        <v>0.021740082768704</v>
      </c>
      <c r="Y4637" s="11">
        <v>0.27251452142536675</v>
      </c>
      <c r="Z4637" s="11">
        <v>0.27614020562608504</v>
      </c>
    </row>
    <row r="4638" ht="22.5" customHeight="1">
      <c r="Q4638" s="9" t="s">
        <v>4676</v>
      </c>
      <c r="R4638" s="10">
        <v>0.522331348251574</v>
      </c>
      <c r="S4638" s="10">
        <v>0.020299398191755986</v>
      </c>
      <c r="T4638" s="10">
        <v>20.13216486620761</v>
      </c>
      <c r="U4638" s="11">
        <v>0.15230688467515366</v>
      </c>
      <c r="V4638" s="11">
        <v>0.06899936817197516</v>
      </c>
      <c r="W4638" s="11">
        <v>0.1422259840887216</v>
      </c>
      <c r="X4638" s="11">
        <v>0.18207083211351394</v>
      </c>
      <c r="Y4638" s="11">
        <v>0.44359566840602305</v>
      </c>
      <c r="Z4638" s="11">
        <v>0.0108012625446126</v>
      </c>
    </row>
    <row r="4639" ht="22.5" customHeight="1">
      <c r="Q4639" s="9" t="s">
        <v>4677</v>
      </c>
      <c r="R4639" s="10">
        <v>0.6142450320192507</v>
      </c>
      <c r="S4639" s="10">
        <v>0.028524018232415748</v>
      </c>
      <c r="T4639" s="10">
        <v>20.13198236448529</v>
      </c>
      <c r="U4639" s="11">
        <v>0.0661566006668188</v>
      </c>
      <c r="V4639" s="11">
        <v>0.24800957696037762</v>
      </c>
      <c r="W4639" s="11">
        <v>0.08254591208533055</v>
      </c>
      <c r="X4639" s="11">
        <v>0.24431881388130197</v>
      </c>
      <c r="Y4639" s="11">
        <v>0.3079928638958866</v>
      </c>
      <c r="Z4639" s="11">
        <v>0.05097623251028466</v>
      </c>
    </row>
    <row r="4640" ht="22.5" customHeight="1">
      <c r="Q4640" s="9" t="s">
        <v>4678</v>
      </c>
      <c r="R4640" s="10">
        <v>0.3882262065341011</v>
      </c>
      <c r="S4640" s="10">
        <v>0.017297224753470383</v>
      </c>
      <c r="T4640" s="10">
        <v>20.13191199728359</v>
      </c>
      <c r="U4640" s="11">
        <v>0.2958054576713398</v>
      </c>
      <c r="V4640" s="11">
        <v>0.04990366526603867</v>
      </c>
      <c r="W4640" s="11">
        <v>0.13332955252286927</v>
      </c>
      <c r="X4640" s="11">
        <v>0.22059369237943374</v>
      </c>
      <c r="Y4640" s="11">
        <v>0.0540554312969417</v>
      </c>
      <c r="Z4640" s="11">
        <v>0.24631220086337663</v>
      </c>
    </row>
    <row r="4641" ht="22.5" customHeight="1">
      <c r="Q4641" s="9" t="s">
        <v>4679</v>
      </c>
      <c r="R4641" s="10">
        <v>0.6745632279635612</v>
      </c>
      <c r="S4641" s="10">
        <v>0.0315204443256351</v>
      </c>
      <c r="T4641" s="10">
        <v>20.131798315021864</v>
      </c>
      <c r="U4641" s="11">
        <v>0.04009517632124323</v>
      </c>
      <c r="V4641" s="11">
        <v>0.18434305863486916</v>
      </c>
      <c r="W4641" s="11">
        <v>0.22435782093171053</v>
      </c>
      <c r="X4641" s="11">
        <v>0.058987862956011425</v>
      </c>
      <c r="Y4641" s="11">
        <v>0.24828864153865193</v>
      </c>
      <c r="Z4641" s="11">
        <v>0.24392743961751362</v>
      </c>
    </row>
    <row r="4642" ht="22.5" customHeight="1">
      <c r="Q4642" s="9" t="s">
        <v>4680</v>
      </c>
      <c r="R4642" s="10">
        <v>0.3379702120832524</v>
      </c>
      <c r="S4642" s="10">
        <v>0.01480099408436854</v>
      </c>
      <c r="T4642" s="10">
        <v>20.131770230078086</v>
      </c>
      <c r="U4642" s="11">
        <v>0.3126358191661812</v>
      </c>
      <c r="V4642" s="11">
        <v>0.07496641208853741</v>
      </c>
      <c r="W4642" s="11">
        <v>0.08146635573069627</v>
      </c>
      <c r="X4642" s="11">
        <v>0.02412564343136351</v>
      </c>
      <c r="Y4642" s="11">
        <v>0.24384553223599031</v>
      </c>
      <c r="Z4642" s="11">
        <v>0.26296023734723134</v>
      </c>
    </row>
    <row r="4643" ht="22.5" customHeight="1">
      <c r="Q4643" s="9" t="s">
        <v>4681</v>
      </c>
      <c r="R4643" s="10">
        <v>0.7630053562703292</v>
      </c>
      <c r="S4643" s="10">
        <v>0.035913953704759645</v>
      </c>
      <c r="T4643" s="10">
        <v>20.13160016337911</v>
      </c>
      <c r="U4643" s="11">
        <v>0.1676325858161063</v>
      </c>
      <c r="V4643" s="11">
        <v>0.25528596082172667</v>
      </c>
      <c r="W4643" s="11">
        <v>0.223126028411944</v>
      </c>
      <c r="X4643" s="11">
        <v>0.027791162929202428</v>
      </c>
      <c r="Y4643" s="11">
        <v>0.09989188227156862</v>
      </c>
      <c r="Z4643" s="11">
        <v>0.226272379749452</v>
      </c>
    </row>
    <row r="4644" ht="22.5" customHeight="1">
      <c r="Q4644" s="9" t="s">
        <v>4682</v>
      </c>
      <c r="R4644" s="10">
        <v>0.774139188741995</v>
      </c>
      <c r="S4644" s="10">
        <v>0.036467158719995535</v>
      </c>
      <c r="T4644" s="10">
        <v>20.131515986175653</v>
      </c>
      <c r="U4644" s="11">
        <v>0.18266241357550836</v>
      </c>
      <c r="V4644" s="11">
        <v>0.2332168565237837</v>
      </c>
      <c r="W4644" s="11">
        <v>0.250655271173939</v>
      </c>
      <c r="X4644" s="11">
        <v>0.06667461677665472</v>
      </c>
      <c r="Y4644" s="11">
        <v>0.07012109813182144</v>
      </c>
      <c r="Z4644" s="11">
        <v>0.19666974381829283</v>
      </c>
    </row>
    <row r="4645" ht="22.5" customHeight="1">
      <c r="Q4645" s="9" t="s">
        <v>4683</v>
      </c>
      <c r="R4645" s="10">
        <v>0.6945726411642498</v>
      </c>
      <c r="S4645" s="10">
        <v>0.032515380515371846</v>
      </c>
      <c r="T4645" s="10">
        <v>20.131169643080035</v>
      </c>
      <c r="U4645" s="11">
        <v>0.08203975666485709</v>
      </c>
      <c r="V4645" s="11">
        <v>0.17635010563099707</v>
      </c>
      <c r="W4645" s="11">
        <v>0.24357888946339273</v>
      </c>
      <c r="X4645" s="11">
        <v>0.12551506928112374</v>
      </c>
      <c r="Y4645" s="11">
        <v>0.14900846570681892</v>
      </c>
      <c r="Z4645" s="11">
        <v>0.2235077132528105</v>
      </c>
    </row>
    <row r="4646" ht="22.5" customHeight="1">
      <c r="Q4646" s="9" t="s">
        <v>4684</v>
      </c>
      <c r="R4646" s="10">
        <v>0.7634036267320607</v>
      </c>
      <c r="S4646" s="10">
        <v>0.0359369104523187</v>
      </c>
      <c r="T4646" s="10">
        <v>20.12982244792236</v>
      </c>
      <c r="U4646" s="11">
        <v>0.10734719506368622</v>
      </c>
      <c r="V4646" s="11">
        <v>0.2334002395338999</v>
      </c>
      <c r="W4646" s="11">
        <v>0.24452590770710356</v>
      </c>
      <c r="X4646" s="11">
        <v>0.06649735311092762</v>
      </c>
      <c r="Y4646" s="11">
        <v>0.0994582923987652</v>
      </c>
      <c r="Z4646" s="11">
        <v>0.2487710121856174</v>
      </c>
    </row>
    <row r="4647" ht="22.5" customHeight="1">
      <c r="Q4647" s="9" t="s">
        <v>4685</v>
      </c>
      <c r="R4647" s="10">
        <v>0.5937656409228176</v>
      </c>
      <c r="S4647" s="10">
        <v>0.02751072477141629</v>
      </c>
      <c r="T4647" s="10">
        <v>20.12908222244226</v>
      </c>
      <c r="U4647" s="11">
        <v>0.10144561800763637</v>
      </c>
      <c r="V4647" s="11">
        <v>0.11149797703587717</v>
      </c>
      <c r="W4647" s="11">
        <v>0.21800580464918104</v>
      </c>
      <c r="X4647" s="11">
        <v>0.21397749886816603</v>
      </c>
      <c r="Y4647" s="11">
        <v>0.2381854396234173</v>
      </c>
      <c r="Z4647" s="11">
        <v>0.11688766181572222</v>
      </c>
    </row>
    <row r="4648" ht="22.5" customHeight="1">
      <c r="Q4648" s="9" t="s">
        <v>4686</v>
      </c>
      <c r="R4648" s="10">
        <v>0.7834593991297105</v>
      </c>
      <c r="S4648" s="10">
        <v>0.036936291112073624</v>
      </c>
      <c r="T4648" s="10">
        <v>20.128155175999538</v>
      </c>
      <c r="U4648" s="11">
        <v>0.14456339160210707</v>
      </c>
      <c r="V4648" s="11">
        <v>0.2981859673849533</v>
      </c>
      <c r="W4648" s="11">
        <v>0.18218615558094176</v>
      </c>
      <c r="X4648" s="11">
        <v>0.06632163920623259</v>
      </c>
      <c r="Y4648" s="11">
        <v>0.19651874798296962</v>
      </c>
      <c r="Z4648" s="11">
        <v>0.11222409824279558</v>
      </c>
    </row>
    <row r="4649" ht="22.5" customHeight="1">
      <c r="Q4649" s="9" t="s">
        <v>4687</v>
      </c>
      <c r="R4649" s="10">
        <v>0.5846545525442767</v>
      </c>
      <c r="S4649" s="10">
        <v>0.027059463591121005</v>
      </c>
      <c r="T4649" s="10">
        <v>20.12806169309999</v>
      </c>
      <c r="U4649" s="11">
        <v>0.13186399024955878</v>
      </c>
      <c r="V4649" s="11">
        <v>0.23376883249011385</v>
      </c>
      <c r="W4649" s="11">
        <v>0.09794483539075165</v>
      </c>
      <c r="X4649" s="11">
        <v>0.11918050559389338</v>
      </c>
      <c r="Y4649" s="11">
        <v>0.18392217360303142</v>
      </c>
      <c r="Z4649" s="11">
        <v>0.23331966267265086</v>
      </c>
    </row>
    <row r="4650" ht="22.5" customHeight="1">
      <c r="Q4650" s="9" t="s">
        <v>4688</v>
      </c>
      <c r="R4650" s="10">
        <v>0.6230867016833402</v>
      </c>
      <c r="S4650" s="10">
        <v>0.028969454557609277</v>
      </c>
      <c r="T4650" s="10">
        <v>20.127638251655775</v>
      </c>
      <c r="U4650" s="11">
        <v>0.276665659873823</v>
      </c>
      <c r="V4650" s="11">
        <v>0.16993847843027207</v>
      </c>
      <c r="W4650" s="11">
        <v>0.20269525323363502</v>
      </c>
      <c r="X4650" s="11">
        <v>0.0025796690978226442</v>
      </c>
      <c r="Y4650" s="11">
        <v>0.16029927326641583</v>
      </c>
      <c r="Z4650" s="11">
        <v>0.1878216660980314</v>
      </c>
    </row>
    <row r="4651" ht="22.5" customHeight="1">
      <c r="Q4651" s="9" t="s">
        <v>4689</v>
      </c>
      <c r="R4651" s="10">
        <v>0.7769380284339916</v>
      </c>
      <c r="S4651" s="10">
        <v>0.036613455388885496</v>
      </c>
      <c r="T4651" s="10">
        <v>20.127519257789007</v>
      </c>
      <c r="U4651" s="11">
        <v>0.13682114131322698</v>
      </c>
      <c r="V4651" s="11">
        <v>0.23794959299311852</v>
      </c>
      <c r="W4651" s="11">
        <v>0.25008711712570286</v>
      </c>
      <c r="X4651" s="11">
        <v>0.09422322548799397</v>
      </c>
      <c r="Y4651" s="11">
        <v>0.021909673936643052</v>
      </c>
      <c r="Z4651" s="11">
        <v>0.25900924914331447</v>
      </c>
    </row>
    <row r="4652" ht="22.5" customHeight="1">
      <c r="Q4652" s="9" t="s">
        <v>4690</v>
      </c>
      <c r="R4652" s="10">
        <v>0.2689270871082912</v>
      </c>
      <c r="S4652" s="10">
        <v>0.011373845097917787</v>
      </c>
      <c r="T4652" s="10">
        <v>20.127501749623875</v>
      </c>
      <c r="U4652" s="11">
        <v>0.43883437860784014</v>
      </c>
      <c r="V4652" s="11">
        <v>0.058335609500554116</v>
      </c>
      <c r="W4652" s="11">
        <v>0.023704609333465368</v>
      </c>
      <c r="X4652" s="11">
        <v>0.24717162736498496</v>
      </c>
      <c r="Y4652" s="11">
        <v>0.07581607411018287</v>
      </c>
      <c r="Z4652" s="11">
        <v>0.15613770108297245</v>
      </c>
    </row>
    <row r="4653" ht="22.5" customHeight="1">
      <c r="Q4653" s="9" t="s">
        <v>4691</v>
      </c>
      <c r="R4653" s="10">
        <v>0.7501539565848748</v>
      </c>
      <c r="S4653" s="10">
        <v>0.035282815308280896</v>
      </c>
      <c r="T4653" s="10">
        <v>20.12747424999845</v>
      </c>
      <c r="U4653" s="11">
        <v>0.11270590384864414</v>
      </c>
      <c r="V4653" s="11">
        <v>0.2627674895116761</v>
      </c>
      <c r="W4653" s="11">
        <v>0.2088684638170946</v>
      </c>
      <c r="X4653" s="11">
        <v>0.08073993315721834</v>
      </c>
      <c r="Y4653" s="11">
        <v>0.0021990113255354955</v>
      </c>
      <c r="Z4653" s="11">
        <v>0.3327191983398313</v>
      </c>
    </row>
    <row r="4654" ht="22.5" customHeight="1">
      <c r="Q4654" s="9" t="s">
        <v>4692</v>
      </c>
      <c r="R4654" s="10">
        <v>0.7383999248109748</v>
      </c>
      <c r="S4654" s="10">
        <v>0.03469884705017231</v>
      </c>
      <c r="T4654" s="10">
        <v>20.12746774557475</v>
      </c>
      <c r="U4654" s="11">
        <v>0.2379181888618597</v>
      </c>
      <c r="V4654" s="11">
        <v>0.15898747288061407</v>
      </c>
      <c r="W4654" s="11">
        <v>0.27417574576438974</v>
      </c>
      <c r="X4654" s="11">
        <v>0.2668674993199175</v>
      </c>
      <c r="Y4654" s="11">
        <v>0.047053441065468216</v>
      </c>
      <c r="Z4654" s="11">
        <v>0.014997652107750826</v>
      </c>
    </row>
    <row r="4655" ht="22.5" customHeight="1">
      <c r="Q4655" s="9" t="s">
        <v>4693</v>
      </c>
      <c r="R4655" s="10">
        <v>0.5928979642460528</v>
      </c>
      <c r="S4655" s="10">
        <v>0.02747049925251554</v>
      </c>
      <c r="T4655" s="10">
        <v>20.126971816699786</v>
      </c>
      <c r="U4655" s="11">
        <v>0.09240579882691749</v>
      </c>
      <c r="V4655" s="11">
        <v>0.23208050943853248</v>
      </c>
      <c r="W4655" s="11">
        <v>0.10342535725674283</v>
      </c>
      <c r="X4655" s="11">
        <v>0.09233560032405515</v>
      </c>
      <c r="Y4655" s="11">
        <v>0.2944909918704355</v>
      </c>
      <c r="Z4655" s="11">
        <v>0.1852617422833166</v>
      </c>
    </row>
    <row r="4656" ht="22.5" customHeight="1">
      <c r="Q4656" s="9" t="s">
        <v>4694</v>
      </c>
      <c r="R4656" s="10">
        <v>0.301879177810043</v>
      </c>
      <c r="S4656" s="10">
        <v>0.01301219656207188</v>
      </c>
      <c r="T4656" s="10">
        <v>20.12567029408177</v>
      </c>
      <c r="U4656" s="11">
        <v>0.01981149610661861</v>
      </c>
      <c r="V4656" s="11">
        <v>0.038759053514365135</v>
      </c>
      <c r="W4656" s="11">
        <v>0.08379507543825906</v>
      </c>
      <c r="X4656" s="11">
        <v>0.19997325922561576</v>
      </c>
      <c r="Y4656" s="11">
        <v>0.2644089474546348</v>
      </c>
      <c r="Z4656" s="11">
        <v>0.39325216826050663</v>
      </c>
    </row>
    <row r="4657" ht="22.5" customHeight="1">
      <c r="Q4657" s="9" t="s">
        <v>4695</v>
      </c>
      <c r="R4657" s="10">
        <v>0.7336030504619987</v>
      </c>
      <c r="S4657" s="10">
        <v>0.03446361975034643</v>
      </c>
      <c r="T4657" s="10">
        <v>20.125658752227455</v>
      </c>
      <c r="U4657" s="11">
        <v>0.30476819466501276</v>
      </c>
      <c r="V4657" s="11">
        <v>0.26668642435123185</v>
      </c>
      <c r="W4657" s="11">
        <v>0.18469233484171482</v>
      </c>
      <c r="X4657" s="11">
        <v>0.01763193085159081</v>
      </c>
      <c r="Y4657" s="11">
        <v>0.08240175650894443</v>
      </c>
      <c r="Z4657" s="11">
        <v>0.1438193587815052</v>
      </c>
    </row>
    <row r="4658" ht="22.5" customHeight="1">
      <c r="Q4658" s="9" t="s">
        <v>4696</v>
      </c>
      <c r="R4658" s="10">
        <v>0.5561546372491681</v>
      </c>
      <c r="S4658" s="10">
        <v>0.025646879899241404</v>
      </c>
      <c r="T4658" s="10">
        <v>20.125435892279246</v>
      </c>
      <c r="U4658" s="11">
        <v>0.11579263686984291</v>
      </c>
      <c r="V4658" s="11">
        <v>0.13786102625731284</v>
      </c>
      <c r="W4658" s="11">
        <v>0.1886909364402762</v>
      </c>
      <c r="X4658" s="11">
        <v>0.06110975574023022</v>
      </c>
      <c r="Y4658" s="11">
        <v>0.15078802258663515</v>
      </c>
      <c r="Z4658" s="11">
        <v>0.3457576221057026</v>
      </c>
    </row>
    <row r="4659" ht="22.5" customHeight="1">
      <c r="Q4659" s="9" t="s">
        <v>4697</v>
      </c>
      <c r="R4659" s="10">
        <v>0.5770246694184309</v>
      </c>
      <c r="S4659" s="10">
        <v>0.02668411605726857</v>
      </c>
      <c r="T4659" s="10">
        <v>20.125256098642588</v>
      </c>
      <c r="U4659" s="11">
        <v>0.181349988836196</v>
      </c>
      <c r="V4659" s="11">
        <v>0.11207010150330247</v>
      </c>
      <c r="W4659" s="11">
        <v>0.2117630216770632</v>
      </c>
      <c r="X4659" s="11">
        <v>0.1813440843015491</v>
      </c>
      <c r="Y4659" s="11">
        <v>0.14713647658214182</v>
      </c>
      <c r="Z4659" s="11">
        <v>0.16633632709974738</v>
      </c>
    </row>
    <row r="4660" ht="22.5" customHeight="1">
      <c r="Q4660" s="9" t="s">
        <v>4698</v>
      </c>
      <c r="R4660" s="10">
        <v>0.522331348251574</v>
      </c>
      <c r="S4660" s="10">
        <v>0.03381280697421442</v>
      </c>
      <c r="T4660" s="10">
        <v>20.125239561368527</v>
      </c>
      <c r="U4660" s="11">
        <v>0.26947759574795355</v>
      </c>
      <c r="V4660" s="11">
        <v>0.17860081028199262</v>
      </c>
      <c r="W4660" s="11">
        <v>0.2536600805123254</v>
      </c>
      <c r="X4660" s="11">
        <v>0.10302622715562568</v>
      </c>
      <c r="Y4660" s="11">
        <v>0.14166523355635016</v>
      </c>
      <c r="Z4660" s="11">
        <v>0.05357005274575246</v>
      </c>
    </row>
    <row r="4661" ht="22.5" customHeight="1">
      <c r="Q4661" s="9" t="s">
        <v>4699</v>
      </c>
      <c r="R4661" s="10">
        <v>0.5789757557408248</v>
      </c>
      <c r="S4661" s="10">
        <v>0.02678125353839953</v>
      </c>
      <c r="T4661" s="10">
        <v>20.125113074637447</v>
      </c>
      <c r="U4661" s="11">
        <v>0.24957483500399036</v>
      </c>
      <c r="V4661" s="11">
        <v>0.23210283934517756</v>
      </c>
      <c r="W4661" s="11">
        <v>0.0945989905033101</v>
      </c>
      <c r="X4661" s="11">
        <v>0.13624326951285343</v>
      </c>
      <c r="Y4661" s="11">
        <v>0.07785555763217673</v>
      </c>
      <c r="Z4661" s="11">
        <v>0.2096245080024918</v>
      </c>
    </row>
    <row r="4662" ht="22.5" customHeight="1">
      <c r="Q4662" s="9" t="s">
        <v>4700</v>
      </c>
      <c r="R4662" s="10">
        <v>0.522331348251574</v>
      </c>
      <c r="S4662" s="10">
        <v>0.04176247504538501</v>
      </c>
      <c r="T4662" s="10">
        <v>20.124515613157534</v>
      </c>
      <c r="U4662" s="11">
        <v>0.027754440328004858</v>
      </c>
      <c r="V4662" s="11">
        <v>0.29307769645997767</v>
      </c>
      <c r="W4662" s="11">
        <v>0.2566553534201246</v>
      </c>
      <c r="X4662" s="11">
        <v>0.050994064878970055</v>
      </c>
      <c r="Y4662" s="11">
        <v>0.3428772248577815</v>
      </c>
      <c r="Z4662" s="11">
        <v>0.028641220055141397</v>
      </c>
    </row>
    <row r="4663" ht="22.5" customHeight="1">
      <c r="Q4663" s="9" t="s">
        <v>4701</v>
      </c>
      <c r="R4663" s="10">
        <v>0.6900434757595937</v>
      </c>
      <c r="S4663" s="10">
        <v>0.03230118848052054</v>
      </c>
      <c r="T4663" s="10">
        <v>20.12444452784166</v>
      </c>
      <c r="U4663" s="11">
        <v>0.223348156006661</v>
      </c>
      <c r="V4663" s="11">
        <v>0.18942407553957777</v>
      </c>
      <c r="W4663" s="11">
        <v>0.23123278113135085</v>
      </c>
      <c r="X4663" s="11">
        <v>0.04486247277377606</v>
      </c>
      <c r="Y4663" s="11">
        <v>0.12701015804195265</v>
      </c>
      <c r="Z4663" s="11">
        <v>0.18412235650668168</v>
      </c>
    </row>
    <row r="4664" ht="22.5" customHeight="1">
      <c r="Q4664" s="9" t="s">
        <v>4702</v>
      </c>
      <c r="R4664" s="10">
        <v>0.5044399951605069</v>
      </c>
      <c r="S4664" s="10">
        <v>0.023078401398725603</v>
      </c>
      <c r="T4664" s="10">
        <v>20.124443939438258</v>
      </c>
      <c r="U4664" s="11">
        <v>0.3086446456341566</v>
      </c>
      <c r="V4664" s="11">
        <v>0.09520922595123633</v>
      </c>
      <c r="W4664" s="11">
        <v>0.1752802885280497</v>
      </c>
      <c r="X4664" s="11">
        <v>0.09499524194403769</v>
      </c>
      <c r="Y4664" s="11">
        <v>0.22025144744950753</v>
      </c>
      <c r="Z4664" s="11">
        <v>0.10561915049301202</v>
      </c>
    </row>
    <row r="4665" ht="22.5" customHeight="1">
      <c r="Q4665" s="9" t="s">
        <v>4703</v>
      </c>
      <c r="R4665" s="10">
        <v>0.6214681445416884</v>
      </c>
      <c r="S4665" s="10">
        <v>0.028894151368386686</v>
      </c>
      <c r="T4665" s="10">
        <v>20.12407760754923</v>
      </c>
      <c r="U4665" s="11">
        <v>0.27224952743344955</v>
      </c>
      <c r="V4665" s="11">
        <v>0.13204099599160654</v>
      </c>
      <c r="W4665" s="11">
        <v>0.22349392467494614</v>
      </c>
      <c r="X4665" s="11">
        <v>0.1250377459904772</v>
      </c>
      <c r="Y4665" s="11">
        <v>0.1829521608959104</v>
      </c>
      <c r="Z4665" s="11">
        <v>0.06422564501361029</v>
      </c>
    </row>
    <row r="4666" ht="22.5" customHeight="1">
      <c r="Q4666" s="9" t="s">
        <v>4704</v>
      </c>
      <c r="R4666" s="10">
        <v>0.6405348636050027</v>
      </c>
      <c r="S4666" s="10">
        <v>0.029841836045247514</v>
      </c>
      <c r="T4666" s="10">
        <v>20.123924771064523</v>
      </c>
      <c r="U4666" s="11">
        <v>0.08165987066194476</v>
      </c>
      <c r="V4666" s="11">
        <v>0.25139377307921307</v>
      </c>
      <c r="W4666" s="11">
        <v>0.1264703864871025</v>
      </c>
      <c r="X4666" s="11">
        <v>0.08641825768055433</v>
      </c>
      <c r="Y4666" s="11">
        <v>0.2007743455641842</v>
      </c>
      <c r="Z4666" s="11">
        <v>0.2532833665270011</v>
      </c>
    </row>
    <row r="4667" ht="22.5" customHeight="1">
      <c r="Q4667" s="9" t="s">
        <v>4705</v>
      </c>
      <c r="R4667" s="10">
        <v>0.6273218233027023</v>
      </c>
      <c r="S4667" s="10">
        <v>0.029185480326146953</v>
      </c>
      <c r="T4667" s="10">
        <v>20.123767597428472</v>
      </c>
      <c r="U4667" s="11">
        <v>0.05899676085017906</v>
      </c>
      <c r="V4667" s="11">
        <v>0.25635951690581227</v>
      </c>
      <c r="W4667" s="11">
        <v>0.07935677055558268</v>
      </c>
      <c r="X4667" s="11">
        <v>0.30261637787807105</v>
      </c>
      <c r="Y4667" s="11">
        <v>0.26224109883134955</v>
      </c>
      <c r="Z4667" s="11">
        <v>0.04042947497900536</v>
      </c>
    </row>
    <row r="4668" ht="22.5" customHeight="1">
      <c r="Q4668" s="9" t="s">
        <v>4706</v>
      </c>
      <c r="R4668" s="10">
        <v>0.8372187497527163</v>
      </c>
      <c r="S4668" s="10">
        <v>0.03961687134573402</v>
      </c>
      <c r="T4668" s="10">
        <v>20.123213233963803</v>
      </c>
      <c r="U4668" s="11">
        <v>0.10723989847033565</v>
      </c>
      <c r="V4668" s="11">
        <v>0.2381506778402925</v>
      </c>
      <c r="W4668" s="11">
        <v>0.28033639050974435</v>
      </c>
      <c r="X4668" s="11">
        <v>0.08996714513572694</v>
      </c>
      <c r="Y4668" s="11">
        <v>0.24191770729626666</v>
      </c>
      <c r="Z4668" s="11">
        <v>0.04238818074763398</v>
      </c>
    </row>
    <row r="4669" ht="22.5" customHeight="1">
      <c r="Q4669" s="9" t="s">
        <v>4707</v>
      </c>
      <c r="R4669" s="10">
        <v>0.7138152106336054</v>
      </c>
      <c r="S4669" s="10">
        <v>0.03348451432785754</v>
      </c>
      <c r="T4669" s="10">
        <v>20.123189007194973</v>
      </c>
      <c r="U4669" s="11">
        <v>0.26969692808045365</v>
      </c>
      <c r="V4669" s="11">
        <v>0.2045612803718421</v>
      </c>
      <c r="W4669" s="11">
        <v>0.23497862184599144</v>
      </c>
      <c r="X4669" s="11">
        <v>0.04822667315960192</v>
      </c>
      <c r="Y4669" s="11">
        <v>0.057386517549030444</v>
      </c>
      <c r="Z4669" s="11">
        <v>0.18514997899308044</v>
      </c>
    </row>
    <row r="4670" ht="22.5" customHeight="1">
      <c r="Q4670" s="9" t="s">
        <v>4708</v>
      </c>
      <c r="R4670" s="10">
        <v>0.522331348251574</v>
      </c>
      <c r="S4670" s="10">
        <v>0.03397664462524221</v>
      </c>
      <c r="T4670" s="10">
        <v>20.123055754527392</v>
      </c>
      <c r="U4670" s="11">
        <v>0.2779962480334075</v>
      </c>
      <c r="V4670" s="11">
        <v>0.1917562408453844</v>
      </c>
      <c r="W4670" s="11">
        <v>0.2494863016493387</v>
      </c>
      <c r="X4670" s="11">
        <v>0.09321477764593211</v>
      </c>
      <c r="Y4670" s="11">
        <v>0.054077966376046734</v>
      </c>
      <c r="Z4670" s="11">
        <v>0.13346846544989044</v>
      </c>
    </row>
    <row r="4671" ht="22.5" customHeight="1">
      <c r="Q4671" s="9" t="s">
        <v>4709</v>
      </c>
      <c r="R4671" s="10">
        <v>0.540244680835645</v>
      </c>
      <c r="S4671" s="10">
        <v>0.024859360119076156</v>
      </c>
      <c r="T4671" s="10">
        <v>20.122991035950907</v>
      </c>
      <c r="U4671" s="11">
        <v>0.20346046877414506</v>
      </c>
      <c r="V4671" s="11">
        <v>0.1004153167975395</v>
      </c>
      <c r="W4671" s="11">
        <v>0.19864794346818748</v>
      </c>
      <c r="X4671" s="11">
        <v>0.23572780105250168</v>
      </c>
      <c r="Y4671" s="11">
        <v>0.0077056105375802285</v>
      </c>
      <c r="Z4671" s="11">
        <v>0.25404285937004606</v>
      </c>
    </row>
    <row r="4672" ht="22.5" customHeight="1">
      <c r="Q4672" s="9" t="s">
        <v>4710</v>
      </c>
      <c r="R4672" s="10">
        <v>0.6908590744390638</v>
      </c>
      <c r="S4672" s="10">
        <v>0.03234474388075044</v>
      </c>
      <c r="T4672" s="10">
        <v>20.12256077335688</v>
      </c>
      <c r="U4672" s="11">
        <v>0.11779942228549706</v>
      </c>
      <c r="V4672" s="11">
        <v>0.21448911912944194</v>
      </c>
      <c r="W4672" s="11">
        <v>0.2128908963604076</v>
      </c>
      <c r="X4672" s="11">
        <v>0.010468872525258525</v>
      </c>
      <c r="Y4672" s="11">
        <v>0.1675312917506485</v>
      </c>
      <c r="Z4672" s="11">
        <v>0.2768203979487463</v>
      </c>
    </row>
    <row r="4673" ht="22.5" customHeight="1">
      <c r="Q4673" s="9" t="s">
        <v>4711</v>
      </c>
      <c r="R4673" s="10">
        <v>0.6673827696172534</v>
      </c>
      <c r="S4673" s="10">
        <v>0.031178110566935386</v>
      </c>
      <c r="T4673" s="10">
        <v>20.122539762964255</v>
      </c>
      <c r="U4673" s="11">
        <v>0.31211111111987183</v>
      </c>
      <c r="V4673" s="11">
        <v>0.16496919434136903</v>
      </c>
      <c r="W4673" s="11">
        <v>0.23296509293069245</v>
      </c>
      <c r="X4673" s="11">
        <v>0.08590212145158033</v>
      </c>
      <c r="Y4673" s="11">
        <v>0.08520140240213814</v>
      </c>
      <c r="Z4673" s="11">
        <v>0.11885107775434824</v>
      </c>
    </row>
    <row r="4674" ht="22.5" customHeight="1">
      <c r="Q4674" s="9" t="s">
        <v>4712</v>
      </c>
      <c r="R4674" s="10">
        <v>1.020734021930169</v>
      </c>
      <c r="S4674" s="10">
        <v>0.04873874874800497</v>
      </c>
      <c r="T4674" s="10">
        <v>20.122265079082762</v>
      </c>
      <c r="U4674" s="11">
        <v>0.09957383512735635</v>
      </c>
      <c r="V4674" s="11">
        <v>0.37233166654103905</v>
      </c>
      <c r="W4674" s="11">
        <v>0.2766891348771711</v>
      </c>
      <c r="X4674" s="11">
        <v>0.16079673381529144</v>
      </c>
      <c r="Y4674" s="11">
        <v>0.09023211476467012</v>
      </c>
      <c r="Z4674" s="11">
        <v>3.7651487447206664E-4</v>
      </c>
    </row>
    <row r="4675" ht="22.5" customHeight="1">
      <c r="Q4675" s="9" t="s">
        <v>4713</v>
      </c>
      <c r="R4675" s="10">
        <v>0.7371953865024665</v>
      </c>
      <c r="S4675" s="10">
        <v>0.03464821051581961</v>
      </c>
      <c r="T4675" s="10">
        <v>20.122118173581935</v>
      </c>
      <c r="U4675" s="11">
        <v>0.31878206949366233</v>
      </c>
      <c r="V4675" s="11">
        <v>0.27775291239553607</v>
      </c>
      <c r="W4675" s="11">
        <v>0.16963703860178614</v>
      </c>
      <c r="X4675" s="11">
        <v>0.034383566364516956</v>
      </c>
      <c r="Y4675" s="11">
        <v>0.12451699201404573</v>
      </c>
      <c r="Z4675" s="11">
        <v>0.07492742113045274</v>
      </c>
    </row>
    <row r="4676" ht="22.5" customHeight="1">
      <c r="Q4676" s="9" t="s">
        <v>4714</v>
      </c>
      <c r="R4676" s="10">
        <v>0.7052888439640544</v>
      </c>
      <c r="S4676" s="10">
        <v>0.03306312381591077</v>
      </c>
      <c r="T4676" s="10">
        <v>20.121778198220383</v>
      </c>
      <c r="U4676" s="11">
        <v>0.21546211475541632</v>
      </c>
      <c r="V4676" s="11">
        <v>0.2683685211100994</v>
      </c>
      <c r="W4676" s="11">
        <v>0.16131525340892078</v>
      </c>
      <c r="X4676" s="11">
        <v>0.053123747581027995</v>
      </c>
      <c r="Y4676" s="11">
        <v>0.09427431882239878</v>
      </c>
      <c r="Z4676" s="11">
        <v>0.2074560443221367</v>
      </c>
    </row>
    <row r="4677" ht="22.5" customHeight="1">
      <c r="Q4677" s="9" t="s">
        <v>4715</v>
      </c>
      <c r="R4677" s="10">
        <v>0.7099324665134848</v>
      </c>
      <c r="S4677" s="10">
        <v>0.03329392808770001</v>
      </c>
      <c r="T4677" s="10">
        <v>20.121761083546712</v>
      </c>
      <c r="U4677" s="11">
        <v>0.03602506848372183</v>
      </c>
      <c r="V4677" s="11">
        <v>0.2888964180943639</v>
      </c>
      <c r="W4677" s="11">
        <v>0.10996762531810042</v>
      </c>
      <c r="X4677" s="11">
        <v>0.26323422744519864</v>
      </c>
      <c r="Y4677" s="11">
        <v>0.2975557851349874</v>
      </c>
      <c r="Z4677" s="11">
        <v>0.004320875523627668</v>
      </c>
    </row>
    <row r="4678" ht="22.5" customHeight="1">
      <c r="Q4678" s="9" t="s">
        <v>4716</v>
      </c>
      <c r="R4678" s="10">
        <v>0.7991277556277906</v>
      </c>
      <c r="S4678" s="10">
        <v>0.037726944699742714</v>
      </c>
      <c r="T4678" s="10">
        <v>20.121633534585364</v>
      </c>
      <c r="U4678" s="11">
        <v>0.1560247108280517</v>
      </c>
      <c r="V4678" s="11">
        <v>0.2159938374420728</v>
      </c>
      <c r="W4678" s="11">
        <v>0.27183495595744106</v>
      </c>
      <c r="X4678" s="11">
        <v>0.08357695477035532</v>
      </c>
      <c r="Y4678" s="11">
        <v>0.26801307486399323</v>
      </c>
      <c r="Z4678" s="11">
        <v>0.004556466138085846</v>
      </c>
    </row>
    <row r="4679" ht="22.5" customHeight="1">
      <c r="Q4679" s="9" t="s">
        <v>4717</v>
      </c>
      <c r="R4679" s="10">
        <v>0.6508101349309627</v>
      </c>
      <c r="S4679" s="10">
        <v>0.030355921875568126</v>
      </c>
      <c r="T4679" s="10">
        <v>20.121613747549254</v>
      </c>
      <c r="U4679" s="11">
        <v>0.16541297249437892</v>
      </c>
      <c r="V4679" s="11">
        <v>0.1860053269055604</v>
      </c>
      <c r="W4679" s="11">
        <v>0.21152924829296535</v>
      </c>
      <c r="X4679" s="11">
        <v>0.026662538275321616</v>
      </c>
      <c r="Y4679" s="11">
        <v>0.12675853438183232</v>
      </c>
      <c r="Z4679" s="11">
        <v>0.2836313796499415</v>
      </c>
    </row>
    <row r="4680" ht="22.5" customHeight="1">
      <c r="Q4680" s="9" t="s">
        <v>4718</v>
      </c>
      <c r="R4680" s="10">
        <v>0.8109974341732039</v>
      </c>
      <c r="S4680" s="10">
        <v>0.038317009102771644</v>
      </c>
      <c r="T4680" s="10">
        <v>20.121545293508674</v>
      </c>
      <c r="U4680" s="11">
        <v>0.1681152143146786</v>
      </c>
      <c r="V4680" s="11">
        <v>0.2192341139707903</v>
      </c>
      <c r="W4680" s="11">
        <v>0.28104311967397166</v>
      </c>
      <c r="X4680" s="11">
        <v>0.12471716037640883</v>
      </c>
      <c r="Y4680" s="11">
        <v>0.13108898651870407</v>
      </c>
      <c r="Z4680" s="11">
        <v>0.0758014051454464</v>
      </c>
    </row>
    <row r="4681" ht="22.5" customHeight="1">
      <c r="Q4681" s="9" t="s">
        <v>4719</v>
      </c>
      <c r="R4681" s="10">
        <v>0.5220452320249386</v>
      </c>
      <c r="S4681" s="10">
        <v>0.023957361686919535</v>
      </c>
      <c r="T4681" s="10">
        <v>20.120964834292675</v>
      </c>
      <c r="U4681" s="11">
        <v>0.25272931700262813</v>
      </c>
      <c r="V4681" s="11">
        <v>0.20943133913566606</v>
      </c>
      <c r="W4681" s="11">
        <v>0.0653020231240279</v>
      </c>
      <c r="X4681" s="11">
        <v>0.17542835221332423</v>
      </c>
      <c r="Y4681" s="11">
        <v>0.15652361351644872</v>
      </c>
      <c r="Z4681" s="11">
        <v>0.14058535500790506</v>
      </c>
    </row>
    <row r="4682" ht="22.5" customHeight="1">
      <c r="Q4682" s="9" t="s">
        <v>4720</v>
      </c>
      <c r="R4682" s="10">
        <v>0.42537957956029415</v>
      </c>
      <c r="S4682" s="10">
        <v>0.019153744799874934</v>
      </c>
      <c r="T4682" s="10">
        <v>20.120325481354985</v>
      </c>
      <c r="U4682" s="11">
        <v>0.27801450394838634</v>
      </c>
      <c r="V4682" s="11">
        <v>0.1039071083823294</v>
      </c>
      <c r="W4682" s="11">
        <v>0.10495953878454617</v>
      </c>
      <c r="X4682" s="11">
        <v>0.015469524116392097</v>
      </c>
      <c r="Y4682" s="11">
        <v>0.4287422337200747</v>
      </c>
      <c r="Z4682" s="11">
        <v>0.06890709104827134</v>
      </c>
    </row>
    <row r="4683" ht="22.5" customHeight="1">
      <c r="Q4683" s="9" t="s">
        <v>4721</v>
      </c>
      <c r="R4683" s="10">
        <v>0.7833831526047829</v>
      </c>
      <c r="S4683" s="10">
        <v>0.03694723490149595</v>
      </c>
      <c r="T4683" s="10">
        <v>20.120129546546504</v>
      </c>
      <c r="U4683" s="11">
        <v>0.11022386324971423</v>
      </c>
      <c r="V4683" s="11">
        <v>0.23381219452184793</v>
      </c>
      <c r="W4683" s="11">
        <v>0.25636316251009184</v>
      </c>
      <c r="X4683" s="11">
        <v>0.07839850413343884</v>
      </c>
      <c r="Y4683" s="11">
        <v>0.10896896304874536</v>
      </c>
      <c r="Z4683" s="11">
        <v>0.21223331253616176</v>
      </c>
    </row>
    <row r="4684" ht="22.5" customHeight="1">
      <c r="Q4684" s="9" t="s">
        <v>4722</v>
      </c>
      <c r="R4684" s="10">
        <v>0.522331348251574</v>
      </c>
      <c r="S4684" s="10">
        <v>0.03446830405945803</v>
      </c>
      <c r="T4684" s="10">
        <v>20.120054125008323</v>
      </c>
      <c r="U4684" s="11">
        <v>0.0601102509929987</v>
      </c>
      <c r="V4684" s="11">
        <v>0.2882750287424085</v>
      </c>
      <c r="W4684" s="11">
        <v>0.15302878050533392</v>
      </c>
      <c r="X4684" s="11">
        <v>0.11163716643606224</v>
      </c>
      <c r="Y4684" s="11">
        <v>0.21433520753996843</v>
      </c>
      <c r="Z4684" s="11">
        <v>0.1726135657832282</v>
      </c>
    </row>
    <row r="4685" ht="22.5" customHeight="1">
      <c r="Q4685" s="9" t="s">
        <v>4723</v>
      </c>
      <c r="R4685" s="10">
        <v>0.8262872259920956</v>
      </c>
      <c r="S4685" s="10">
        <v>0.03908083439302529</v>
      </c>
      <c r="T4685" s="10">
        <v>20.119509683048715</v>
      </c>
      <c r="U4685" s="11">
        <v>0.18977405996237462</v>
      </c>
      <c r="V4685" s="11">
        <v>0.25993080310191824</v>
      </c>
      <c r="W4685" s="11">
        <v>0.26085824052468015</v>
      </c>
      <c r="X4685" s="11">
        <v>0.06524148496738742</v>
      </c>
      <c r="Y4685" s="11">
        <v>0.06963243234194345</v>
      </c>
      <c r="Z4685" s="11">
        <v>0.1545629791016961</v>
      </c>
    </row>
    <row r="4686" ht="22.5" customHeight="1">
      <c r="Q4686" s="9" t="s">
        <v>4724</v>
      </c>
      <c r="R4686" s="10">
        <v>0.803717037393794</v>
      </c>
      <c r="S4686" s="10">
        <v>0.037959421807431525</v>
      </c>
      <c r="T4686" s="10">
        <v>20.11930111233351</v>
      </c>
      <c r="U4686" s="11">
        <v>0.06370561571057115</v>
      </c>
      <c r="V4686" s="11">
        <v>0.29893728175058354</v>
      </c>
      <c r="W4686" s="11">
        <v>0.19154639622298622</v>
      </c>
      <c r="X4686" s="11">
        <v>0.05668510656150517</v>
      </c>
      <c r="Y4686" s="11">
        <v>0.33927337433831994</v>
      </c>
      <c r="Z4686" s="11">
        <v>0.04985222541603404</v>
      </c>
    </row>
    <row r="4687" ht="22.5" customHeight="1">
      <c r="Q4687" s="9" t="s">
        <v>4725</v>
      </c>
      <c r="R4687" s="10">
        <v>0.7265773498278849</v>
      </c>
      <c r="S4687" s="10">
        <v>0.034127253059143256</v>
      </c>
      <c r="T4687" s="10">
        <v>20.118154503617145</v>
      </c>
      <c r="U4687" s="11">
        <v>0.10319320230928647</v>
      </c>
      <c r="V4687" s="11">
        <v>0.21337679320430605</v>
      </c>
      <c r="W4687" s="11">
        <v>0.2354973421221205</v>
      </c>
      <c r="X4687" s="11">
        <v>0.03687804768029068</v>
      </c>
      <c r="Y4687" s="11">
        <v>0.19659809651779392</v>
      </c>
      <c r="Z4687" s="11">
        <v>0.21445651816620234</v>
      </c>
    </row>
    <row r="4688" ht="22.5" customHeight="1">
      <c r="Q4688" s="9" t="s">
        <v>4726</v>
      </c>
      <c r="R4688" s="10">
        <v>0.845348556283084</v>
      </c>
      <c r="S4688" s="10">
        <v>0.040031810044470345</v>
      </c>
      <c r="T4688" s="10">
        <v>20.117715271641284</v>
      </c>
      <c r="U4688" s="11">
        <v>0.01785084953467165</v>
      </c>
      <c r="V4688" s="11">
        <v>0.22180095735588296</v>
      </c>
      <c r="W4688" s="11">
        <v>0.29713766938960107</v>
      </c>
      <c r="X4688" s="11">
        <v>0.1886730035231018</v>
      </c>
      <c r="Y4688" s="11">
        <v>0.21474276679790597</v>
      </c>
      <c r="Z4688" s="11">
        <v>0.05979475339883664</v>
      </c>
    </row>
    <row r="4689" ht="22.5" customHeight="1">
      <c r="Q4689" s="9" t="s">
        <v>4727</v>
      </c>
      <c r="R4689" s="10">
        <v>0.6566248628890987</v>
      </c>
      <c r="S4689" s="10">
        <v>0.030651435753645363</v>
      </c>
      <c r="T4689" s="10">
        <v>20.1173239598006</v>
      </c>
      <c r="U4689" s="11">
        <v>0.3054162953706405</v>
      </c>
      <c r="V4689" s="11">
        <v>0.14885464501673168</v>
      </c>
      <c r="W4689" s="11">
        <v>0.2354929568917579</v>
      </c>
      <c r="X4689" s="11">
        <v>0.1234256941897844</v>
      </c>
      <c r="Y4689" s="11">
        <v>0.10995381989899673</v>
      </c>
      <c r="Z4689" s="11">
        <v>0.07685658863208898</v>
      </c>
    </row>
    <row r="4690" ht="22.5" customHeight="1">
      <c r="Q4690" s="9" t="s">
        <v>4728</v>
      </c>
      <c r="R4690" s="10">
        <v>0.6098141612219795</v>
      </c>
      <c r="S4690" s="10">
        <v>0.028324653281704207</v>
      </c>
      <c r="T4690" s="10">
        <v>20.117251058816684</v>
      </c>
      <c r="U4690" s="11">
        <v>0.013518451771681298</v>
      </c>
      <c r="V4690" s="11">
        <v>0.25196206985842845</v>
      </c>
      <c r="W4690" s="11">
        <v>0.07576833918084265</v>
      </c>
      <c r="X4690" s="11">
        <v>0.36290235603184023</v>
      </c>
      <c r="Y4690" s="11">
        <v>0.12188764968391047</v>
      </c>
      <c r="Z4690" s="11">
        <v>0.17396113347329695</v>
      </c>
    </row>
    <row r="4691" ht="22.5" customHeight="1">
      <c r="Q4691" s="9" t="s">
        <v>4729</v>
      </c>
      <c r="R4691" s="10">
        <v>0.522331348251574</v>
      </c>
      <c r="S4691" s="10">
        <v>0.021757766806074816</v>
      </c>
      <c r="T4691" s="10">
        <v>20.116724804874448</v>
      </c>
      <c r="U4691" s="11">
        <v>0.2176768895375103</v>
      </c>
      <c r="V4691" s="11">
        <v>0.07514218406784373</v>
      </c>
      <c r="W4691" s="11">
        <v>0.17033802323920774</v>
      </c>
      <c r="X4691" s="11">
        <v>0.17148030707539233</v>
      </c>
      <c r="Y4691" s="11">
        <v>0.23431442141536515</v>
      </c>
      <c r="Z4691" s="11">
        <v>0.1310481746646808</v>
      </c>
    </row>
    <row r="4692" ht="22.5" customHeight="1">
      <c r="Q4692" s="9" t="s">
        <v>4730</v>
      </c>
      <c r="R4692" s="10">
        <v>0.6522163774374715</v>
      </c>
      <c r="S4692" s="10">
        <v>0.030433265205622888</v>
      </c>
      <c r="T4692" s="10">
        <v>20.116683941109205</v>
      </c>
      <c r="U4692" s="11">
        <v>0.10511178709666166</v>
      </c>
      <c r="V4692" s="11">
        <v>0.2655682388671843</v>
      </c>
      <c r="W4692" s="11">
        <v>0.09206313753978147</v>
      </c>
      <c r="X4692" s="11">
        <v>0.24488670556707584</v>
      </c>
      <c r="Y4692" s="11">
        <v>0.2782429472243738</v>
      </c>
      <c r="Z4692" s="11">
        <v>0.014127183704922906</v>
      </c>
    </row>
    <row r="4693" ht="22.5" customHeight="1">
      <c r="Q4693" s="9" t="s">
        <v>4731</v>
      </c>
      <c r="R4693" s="10">
        <v>0.6070251068047963</v>
      </c>
      <c r="S4693" s="10">
        <v>0.028187088825150402</v>
      </c>
      <c r="T4693" s="10">
        <v>20.116483483702602</v>
      </c>
      <c r="U4693" s="11">
        <v>0.15787162667779808</v>
      </c>
      <c r="V4693" s="11">
        <v>0.156550066402066</v>
      </c>
      <c r="W4693" s="11">
        <v>0.20815558447189172</v>
      </c>
      <c r="X4693" s="11">
        <v>0.11049437030755561</v>
      </c>
      <c r="Y4693" s="11">
        <v>0.007259560172367762</v>
      </c>
      <c r="Z4693" s="11">
        <v>0.35966879196832074</v>
      </c>
    </row>
    <row r="4694" ht="22.5" customHeight="1">
      <c r="Q4694" s="9" t="s">
        <v>4732</v>
      </c>
      <c r="R4694" s="10">
        <v>0.7773525815048501</v>
      </c>
      <c r="S4694" s="10">
        <v>0.036654394728012046</v>
      </c>
      <c r="T4694" s="10">
        <v>20.116348584562765</v>
      </c>
      <c r="U4694" s="11">
        <v>0.2339810279193348</v>
      </c>
      <c r="V4694" s="11">
        <v>0.2289859043481828</v>
      </c>
      <c r="W4694" s="11">
        <v>0.2559606492597846</v>
      </c>
      <c r="X4694" s="11">
        <v>0.07692681553061893</v>
      </c>
      <c r="Y4694" s="11">
        <v>0.03382442067417865</v>
      </c>
      <c r="Z4694" s="11">
        <v>0.17032118226790013</v>
      </c>
    </row>
    <row r="4695" ht="22.5" customHeight="1">
      <c r="Q4695" s="9" t="s">
        <v>4733</v>
      </c>
      <c r="R4695" s="10">
        <v>0.9152407799976133</v>
      </c>
      <c r="S4695" s="10">
        <v>0.04350970876007091</v>
      </c>
      <c r="T4695" s="10">
        <v>20.115988016008657</v>
      </c>
      <c r="U4695" s="11">
        <v>0.029565861223603294</v>
      </c>
      <c r="V4695" s="11">
        <v>0.3542569813664468</v>
      </c>
      <c r="W4695" s="11">
        <v>0.2178836335251317</v>
      </c>
      <c r="X4695" s="11">
        <v>0.20143492027749552</v>
      </c>
      <c r="Y4695" s="11">
        <v>0.06923531212498506</v>
      </c>
      <c r="Z4695" s="11">
        <v>0.12762329148233764</v>
      </c>
    </row>
    <row r="4696" ht="22.5" customHeight="1">
      <c r="Q4696" s="9" t="s">
        <v>4734</v>
      </c>
      <c r="R4696" s="10">
        <v>0.522331348251574</v>
      </c>
      <c r="S4696" s="10">
        <v>0.044596926890867854</v>
      </c>
      <c r="T4696" s="10">
        <v>20.115655119936438</v>
      </c>
      <c r="U4696" s="11">
        <v>0.167376060671591</v>
      </c>
      <c r="V4696" s="11">
        <v>0.3600599190021093</v>
      </c>
      <c r="W4696" s="11">
        <v>0.2269189166205668</v>
      </c>
      <c r="X4696" s="11">
        <v>0.1834773908190035</v>
      </c>
      <c r="Y4696" s="11">
        <v>0.012954326129276694</v>
      </c>
      <c r="Z4696" s="11">
        <v>0.049213386757452716</v>
      </c>
    </row>
    <row r="4697" ht="22.5" customHeight="1">
      <c r="Q4697" s="9" t="s">
        <v>4735</v>
      </c>
      <c r="R4697" s="10">
        <v>0.5479314309623915</v>
      </c>
      <c r="S4697" s="10">
        <v>0.025251182060172545</v>
      </c>
      <c r="T4697" s="10">
        <v>20.115154599575238</v>
      </c>
      <c r="U4697" s="11">
        <v>0.3652143906476369</v>
      </c>
      <c r="V4697" s="11">
        <v>0.08720478708147876</v>
      </c>
      <c r="W4697" s="11">
        <v>0.2029836491248505</v>
      </c>
      <c r="X4697" s="11">
        <v>0.28179619461898225</v>
      </c>
      <c r="Y4697" s="11">
        <v>0.011009524219420396</v>
      </c>
      <c r="Z4697" s="11">
        <v>0.05179145430763128</v>
      </c>
    </row>
    <row r="4698" ht="22.5" customHeight="1">
      <c r="Q4698" s="9" t="s">
        <v>4736</v>
      </c>
      <c r="R4698" s="10">
        <v>0.7005080773826302</v>
      </c>
      <c r="S4698" s="10">
        <v>0.0328374489860764</v>
      </c>
      <c r="T4698" s="10">
        <v>20.11447593455558</v>
      </c>
      <c r="U4698" s="11">
        <v>0.011431817547697334</v>
      </c>
      <c r="V4698" s="11">
        <v>0.2713349245695645</v>
      </c>
      <c r="W4698" s="11">
        <v>0.14856772101488236</v>
      </c>
      <c r="X4698" s="11">
        <v>0.08775681481495672</v>
      </c>
      <c r="Y4698" s="11">
        <v>0.26598439032774346</v>
      </c>
      <c r="Z4698" s="11">
        <v>0.2149243317251558</v>
      </c>
    </row>
    <row r="4699" ht="22.5" customHeight="1">
      <c r="Q4699" s="9" t="s">
        <v>4737</v>
      </c>
      <c r="R4699" s="10">
        <v>0.44292906763985634</v>
      </c>
      <c r="S4699" s="10">
        <v>0.020032111942158006</v>
      </c>
      <c r="T4699" s="10">
        <v>20.114158147842794</v>
      </c>
      <c r="U4699" s="11">
        <v>0.22339964811828353</v>
      </c>
      <c r="V4699" s="11">
        <v>0.05771772875734926</v>
      </c>
      <c r="W4699" s="11">
        <v>0.15984741977511205</v>
      </c>
      <c r="X4699" s="11">
        <v>0.24366726498899505</v>
      </c>
      <c r="Y4699" s="11">
        <v>0.1416706538249788</v>
      </c>
      <c r="Z4699" s="11">
        <v>0.1736972845352812</v>
      </c>
    </row>
    <row r="4700" ht="22.5" customHeight="1">
      <c r="Q4700" s="9" t="s">
        <v>4738</v>
      </c>
      <c r="R4700" s="10">
        <v>0.8188461870328533</v>
      </c>
      <c r="S4700" s="10">
        <v>0.038721598128794874</v>
      </c>
      <c r="T4700" s="10">
        <v>20.113999025615453</v>
      </c>
      <c r="U4700" s="11">
        <v>0.24049431915160738</v>
      </c>
      <c r="V4700" s="11">
        <v>0.25530560204445524</v>
      </c>
      <c r="W4700" s="11">
        <v>0.2600211999467051</v>
      </c>
      <c r="X4700" s="11">
        <v>0.06725197971099944</v>
      </c>
      <c r="Y4700" s="11">
        <v>0.03121057363650644</v>
      </c>
      <c r="Z4700" s="11">
        <v>0.1457163255097264</v>
      </c>
    </row>
    <row r="4701" ht="22.5" customHeight="1">
      <c r="Q4701" s="9" t="s">
        <v>4739</v>
      </c>
      <c r="R4701" s="10">
        <v>0.41886199199181473</v>
      </c>
      <c r="S4701" s="10">
        <v>0.0188364133484869</v>
      </c>
      <c r="T4701" s="10">
        <v>20.113276608587917</v>
      </c>
      <c r="U4701" s="11">
        <v>0.15529048584901622</v>
      </c>
      <c r="V4701" s="11">
        <v>0.15996766124907266</v>
      </c>
      <c r="W4701" s="11">
        <v>0.024493028533036424</v>
      </c>
      <c r="X4701" s="11">
        <v>0.31237352229307597</v>
      </c>
      <c r="Y4701" s="11">
        <v>0.20748897277430828</v>
      </c>
      <c r="Z4701" s="11">
        <v>0.14038632930149045</v>
      </c>
    </row>
    <row r="4702" ht="22.5" customHeight="1">
      <c r="Q4702" s="9" t="s">
        <v>4740</v>
      </c>
      <c r="R4702" s="10">
        <v>0.726243739666398</v>
      </c>
      <c r="S4702" s="10">
        <v>0.034119302453093955</v>
      </c>
      <c r="T4702" s="10">
        <v>20.11306475593463</v>
      </c>
      <c r="U4702" s="11">
        <v>0.12235249845840691</v>
      </c>
      <c r="V4702" s="11">
        <v>0.22294646966848974</v>
      </c>
      <c r="W4702" s="11">
        <v>0.226417372935559</v>
      </c>
      <c r="X4702" s="11">
        <v>0.00863816649314646</v>
      </c>
      <c r="Y4702" s="11">
        <v>0.21740222861964925</v>
      </c>
      <c r="Z4702" s="11">
        <v>0.2022432638247485</v>
      </c>
    </row>
    <row r="4703" ht="22.5" customHeight="1">
      <c r="Q4703" s="9" t="s">
        <v>4741</v>
      </c>
      <c r="R4703" s="10">
        <v>0.6564059326193206</v>
      </c>
      <c r="S4703" s="10">
        <v>0.030647221075737033</v>
      </c>
      <c r="T4703" s="10">
        <v>20.1129469812622</v>
      </c>
      <c r="U4703" s="11">
        <v>0.17038223973893013</v>
      </c>
      <c r="V4703" s="11">
        <v>0.17560399211966143</v>
      </c>
      <c r="W4703" s="11">
        <v>0.223687942395742</v>
      </c>
      <c r="X4703" s="11">
        <v>0.08016755667568945</v>
      </c>
      <c r="Y4703" s="11">
        <v>0.06471438511480326</v>
      </c>
      <c r="Z4703" s="11">
        <v>0.28544388395517367</v>
      </c>
    </row>
    <row r="4704" ht="22.5" customHeight="1">
      <c r="Q4704" s="9" t="s">
        <v>4742</v>
      </c>
      <c r="R4704" s="10">
        <v>0.5520816521705446</v>
      </c>
      <c r="S4704" s="10">
        <v>0.025461286439307573</v>
      </c>
      <c r="T4704" s="10">
        <v>20.11216728546693</v>
      </c>
      <c r="U4704" s="11">
        <v>0.22123425435800476</v>
      </c>
      <c r="V4704" s="11">
        <v>0.09261194496685703</v>
      </c>
      <c r="W4704" s="11">
        <v>0.20606980588257137</v>
      </c>
      <c r="X4704" s="11">
        <v>0.25447821830563594</v>
      </c>
      <c r="Y4704" s="11">
        <v>0.08983785379574898</v>
      </c>
      <c r="Z4704" s="11">
        <v>0.1357679226911819</v>
      </c>
    </row>
    <row r="4705" ht="22.5" customHeight="1">
      <c r="Q4705" s="9" t="s">
        <v>4743</v>
      </c>
      <c r="R4705" s="10">
        <v>0.7668521482331316</v>
      </c>
      <c r="S4705" s="10">
        <v>0.036140209997502934</v>
      </c>
      <c r="T4705" s="10">
        <v>20.1120067726046</v>
      </c>
      <c r="U4705" s="11">
        <v>0.03794760202404721</v>
      </c>
      <c r="V4705" s="11">
        <v>0.23755633821016325</v>
      </c>
      <c r="W4705" s="11">
        <v>0.2414639582507022</v>
      </c>
      <c r="X4705" s="11">
        <v>0.046947507644775656</v>
      </c>
      <c r="Y4705" s="11">
        <v>0.20359087742739948</v>
      </c>
      <c r="Z4705" s="11">
        <v>0.23249371644291222</v>
      </c>
    </row>
    <row r="4706" ht="22.5" customHeight="1">
      <c r="Q4706" s="9" t="s">
        <v>4744</v>
      </c>
      <c r="R4706" s="10">
        <v>0.7622875986141677</v>
      </c>
      <c r="S4706" s="10">
        <v>0.035913440880709774</v>
      </c>
      <c r="T4706" s="10">
        <v>20.11190186463394</v>
      </c>
      <c r="U4706" s="11">
        <v>0.09658020358992948</v>
      </c>
      <c r="V4706" s="11">
        <v>0.2637843989738877</v>
      </c>
      <c r="W4706" s="11">
        <v>0.21232508401005776</v>
      </c>
      <c r="X4706" s="11">
        <v>0.014741519900003235</v>
      </c>
      <c r="Y4706" s="11">
        <v>0.1949240466590052</v>
      </c>
      <c r="Z4706" s="11">
        <v>0.21764474686711655</v>
      </c>
    </row>
    <row r="4707" ht="22.5" customHeight="1">
      <c r="Q4707" s="9" t="s">
        <v>4745</v>
      </c>
      <c r="R4707" s="10">
        <v>0.7604836891137895</v>
      </c>
      <c r="S4707" s="10">
        <v>0.035824619199558996</v>
      </c>
      <c r="T4707" s="10">
        <v>20.11141235306302</v>
      </c>
      <c r="U4707" s="11">
        <v>0.057097736590419564</v>
      </c>
      <c r="V4707" s="11">
        <v>0.24250816782876397</v>
      </c>
      <c r="W4707" s="11">
        <v>0.23343225073707646</v>
      </c>
      <c r="X4707" s="11">
        <v>0.03428001116082708</v>
      </c>
      <c r="Y4707" s="11">
        <v>0.18715619514266407</v>
      </c>
      <c r="Z4707" s="11">
        <v>0.24552563854024895</v>
      </c>
    </row>
    <row r="4708" ht="22.5" customHeight="1">
      <c r="Q4708" s="9" t="s">
        <v>4746</v>
      </c>
      <c r="R4708" s="10">
        <v>0.5226027070323462</v>
      </c>
      <c r="S4708" s="10">
        <v>0.0239966748712687</v>
      </c>
      <c r="T4708" s="10">
        <v>20.11123247788668</v>
      </c>
      <c r="U4708" s="11">
        <v>0.06492693154380877</v>
      </c>
      <c r="V4708" s="11">
        <v>0.21235267826105683</v>
      </c>
      <c r="W4708" s="11">
        <v>0.06845273857077842</v>
      </c>
      <c r="X4708" s="11">
        <v>0.20700165949417654</v>
      </c>
      <c r="Y4708" s="11">
        <v>0.15897422587591262</v>
      </c>
      <c r="Z4708" s="11">
        <v>0.2882917662542668</v>
      </c>
    </row>
    <row r="4709" ht="22.5" customHeight="1">
      <c r="Q4709" s="9" t="s">
        <v>4747</v>
      </c>
      <c r="R4709" s="10">
        <v>0.7262794579349547</v>
      </c>
      <c r="S4709" s="10">
        <v>0.034124806222377436</v>
      </c>
      <c r="T4709" s="10">
        <v>20.11086754493935</v>
      </c>
      <c r="U4709" s="11">
        <v>0.13222588391914683</v>
      </c>
      <c r="V4709" s="11">
        <v>0.22257476902622098</v>
      </c>
      <c r="W4709" s="11">
        <v>0.22813871814547212</v>
      </c>
      <c r="X4709" s="11">
        <v>0.01597150166127969</v>
      </c>
      <c r="Y4709" s="11">
        <v>0.1788615540780771</v>
      </c>
      <c r="Z4709" s="11">
        <v>0.2222275731698033</v>
      </c>
    </row>
    <row r="4710" ht="22.5" customHeight="1">
      <c r="Q4710" s="9" t="s">
        <v>4748</v>
      </c>
      <c r="R4710" s="10">
        <v>0.6876650358619006</v>
      </c>
      <c r="S4710" s="10">
        <v>0.03220485561070121</v>
      </c>
      <c r="T4710" s="10">
        <v>20.11078837585879</v>
      </c>
      <c r="U4710" s="11">
        <v>0.05992480581789071</v>
      </c>
      <c r="V4710" s="11">
        <v>0.28083945294218876</v>
      </c>
      <c r="W4710" s="11">
        <v>0.12157784546327348</v>
      </c>
      <c r="X4710" s="11">
        <v>0.21593995035031627</v>
      </c>
      <c r="Y4710" s="11">
        <v>0.0991357261985663</v>
      </c>
      <c r="Z4710" s="11">
        <v>0.2225822192277645</v>
      </c>
    </row>
    <row r="4711" ht="22.5" customHeight="1">
      <c r="Q4711" s="9" t="s">
        <v>4749</v>
      </c>
      <c r="R4711" s="10">
        <v>0.6628233390189753</v>
      </c>
      <c r="S4711" s="10">
        <v>0.0309706727538573</v>
      </c>
      <c r="T4711" s="10">
        <v>20.110100415607036</v>
      </c>
      <c r="U4711" s="11">
        <v>0.22176994414607365</v>
      </c>
      <c r="V4711" s="11">
        <v>0.16305780636692369</v>
      </c>
      <c r="W4711" s="11">
        <v>0.2290322428762342</v>
      </c>
      <c r="X4711" s="11">
        <v>0.05944783935208636</v>
      </c>
      <c r="Y4711" s="11">
        <v>0.2358216995991598</v>
      </c>
      <c r="Z4711" s="11">
        <v>0.09087046765952242</v>
      </c>
    </row>
    <row r="4712" ht="22.5" customHeight="1">
      <c r="Q4712" s="9" t="s">
        <v>4750</v>
      </c>
      <c r="R4712" s="10">
        <v>0.8157532342597827</v>
      </c>
      <c r="S4712" s="10">
        <v>0.03857537765542191</v>
      </c>
      <c r="T4712" s="10">
        <v>20.11006194649005</v>
      </c>
      <c r="U4712" s="11">
        <v>0.05355706854245787</v>
      </c>
      <c r="V4712" s="11">
        <v>0.21057307120153446</v>
      </c>
      <c r="W4712" s="11">
        <v>0.2896495602863218</v>
      </c>
      <c r="X4712" s="11">
        <v>0.1901841851652992</v>
      </c>
      <c r="Y4712" s="11">
        <v>0.15104766546989587</v>
      </c>
      <c r="Z4712" s="11">
        <v>0.10498844933449085</v>
      </c>
    </row>
    <row r="4713" ht="22.5" customHeight="1">
      <c r="Q4713" s="9" t="s">
        <v>4751</v>
      </c>
      <c r="R4713" s="10">
        <v>0.4183386809202212</v>
      </c>
      <c r="S4713" s="10">
        <v>0.01881348141956494</v>
      </c>
      <c r="T4713" s="10">
        <v>20.109977121340805</v>
      </c>
      <c r="U4713" s="11">
        <v>0.34105389106990486</v>
      </c>
      <c r="V4713" s="11">
        <v>0.09911843649851808</v>
      </c>
      <c r="W4713" s="11">
        <v>0.12735615375298984</v>
      </c>
      <c r="X4713" s="11">
        <v>0.05360441899238231</v>
      </c>
      <c r="Y4713" s="11">
        <v>0.0042605480497994825</v>
      </c>
      <c r="Z4713" s="11">
        <v>0.37460655163640544</v>
      </c>
    </row>
    <row r="4714" ht="22.5" customHeight="1">
      <c r="Q4714" s="9" t="s">
        <v>4752</v>
      </c>
      <c r="R4714" s="10">
        <v>0.9328658093703934</v>
      </c>
      <c r="S4714" s="10">
        <v>0.04439981021385635</v>
      </c>
      <c r="T4714" s="10">
        <v>20.10967625919596</v>
      </c>
      <c r="U4714" s="11">
        <v>0.061750768541763576</v>
      </c>
      <c r="V4714" s="11">
        <v>0.3663481734505482</v>
      </c>
      <c r="W4714" s="11">
        <v>0.21424279699226134</v>
      </c>
      <c r="X4714" s="11">
        <v>0.25500332821059407</v>
      </c>
      <c r="Y4714" s="11">
        <v>0.00119227057472648</v>
      </c>
      <c r="Z4714" s="11">
        <v>0.1014626622301063</v>
      </c>
    </row>
    <row r="4715" ht="22.5" customHeight="1">
      <c r="Q4715" s="9" t="s">
        <v>4753</v>
      </c>
      <c r="R4715" s="10">
        <v>0.47458211210026635</v>
      </c>
      <c r="S4715" s="10">
        <v>0.021610637146878886</v>
      </c>
      <c r="T4715" s="10">
        <v>20.10963902390221</v>
      </c>
      <c r="U4715" s="11">
        <v>0.20652822871423523</v>
      </c>
      <c r="V4715" s="11">
        <v>0.18843307601218837</v>
      </c>
      <c r="W4715" s="11">
        <v>0.056759835203795295</v>
      </c>
      <c r="X4715" s="11">
        <v>0.1587626921020997</v>
      </c>
      <c r="Y4715" s="11">
        <v>0.1615699814748774</v>
      </c>
      <c r="Z4715" s="11">
        <v>0.22794618649280393</v>
      </c>
    </row>
    <row r="4716" ht="22.5" customHeight="1">
      <c r="Q4716" s="9" t="s">
        <v>4754</v>
      </c>
      <c r="R4716" s="10">
        <v>0.5057396015831213</v>
      </c>
      <c r="S4716" s="10">
        <v>0.023160797916225568</v>
      </c>
      <c r="T4716" s="10">
        <v>20.10896184439492</v>
      </c>
      <c r="U4716" s="11">
        <v>0.17121623548501377</v>
      </c>
      <c r="V4716" s="11">
        <v>0.20349654106287357</v>
      </c>
      <c r="W4716" s="11">
        <v>0.05843237150221956</v>
      </c>
      <c r="X4716" s="11">
        <v>0.1968799067875191</v>
      </c>
      <c r="Y4716" s="11">
        <v>0.19276992987523403</v>
      </c>
      <c r="Z4716" s="11">
        <v>0.17720501528714</v>
      </c>
    </row>
    <row r="4717" ht="22.5" customHeight="1">
      <c r="Q4717" s="9" t="s">
        <v>4755</v>
      </c>
      <c r="R4717" s="10">
        <v>0.8007598997506181</v>
      </c>
      <c r="S4717" s="10">
        <v>0.03783315061335812</v>
      </c>
      <c r="T4717" s="10">
        <v>20.108288297882577</v>
      </c>
      <c r="U4717" s="11">
        <v>0.086556899802915</v>
      </c>
      <c r="V4717" s="11">
        <v>0.2647793382958191</v>
      </c>
      <c r="W4717" s="11">
        <v>0.24158161816022106</v>
      </c>
      <c r="X4717" s="11">
        <v>0.06313866623315985</v>
      </c>
      <c r="Y4717" s="11">
        <v>0.08710464125921132</v>
      </c>
      <c r="Z4717" s="11">
        <v>0.25683883624867376</v>
      </c>
    </row>
    <row r="4718" ht="22.5" customHeight="1">
      <c r="Q4718" s="9" t="s">
        <v>4756</v>
      </c>
      <c r="R4718" s="10">
        <v>0.6563958249029141</v>
      </c>
      <c r="S4718" s="10">
        <v>0.030653882877617902</v>
      </c>
      <c r="T4718" s="10">
        <v>20.108246233072773</v>
      </c>
      <c r="U4718" s="11">
        <v>0.31324506462060464</v>
      </c>
      <c r="V4718" s="11">
        <v>0.2655012645415245</v>
      </c>
      <c r="W4718" s="11">
        <v>0.10930702239713047</v>
      </c>
      <c r="X4718" s="11">
        <v>0.16873012476999114</v>
      </c>
      <c r="Y4718" s="11">
        <v>0.07027637665708757</v>
      </c>
      <c r="Z4718" s="11">
        <v>0.07294014701366164</v>
      </c>
    </row>
    <row r="4719" ht="22.5" customHeight="1">
      <c r="Q4719" s="9" t="s">
        <v>4757</v>
      </c>
      <c r="R4719" s="10">
        <v>0.45962556031374835</v>
      </c>
      <c r="S4719" s="10">
        <v>0.020868562985308495</v>
      </c>
      <c r="T4719" s="10">
        <v>20.1080237584718</v>
      </c>
      <c r="U4719" s="11">
        <v>0.2430614988244192</v>
      </c>
      <c r="V4719" s="11">
        <v>0.08530833374001669</v>
      </c>
      <c r="W4719" s="11">
        <v>0.1556751273488049</v>
      </c>
      <c r="X4719" s="11">
        <v>0.08071728741529327</v>
      </c>
      <c r="Y4719" s="11">
        <v>0.253968048729047</v>
      </c>
      <c r="Z4719" s="11">
        <v>0.181269703942419</v>
      </c>
    </row>
    <row r="4720" ht="22.5" customHeight="1">
      <c r="Q4720" s="9" t="s">
        <v>4758</v>
      </c>
      <c r="R4720" s="10">
        <v>0.6409049245778013</v>
      </c>
      <c r="S4720" s="10">
        <v>0.029884805198800293</v>
      </c>
      <c r="T4720" s="10">
        <v>20.10737298036409</v>
      </c>
      <c r="U4720" s="11">
        <v>0.12486887216945848</v>
      </c>
      <c r="V4720" s="11">
        <v>0.2526564370845421</v>
      </c>
      <c r="W4720" s="11">
        <v>0.12417534908009445</v>
      </c>
      <c r="X4720" s="11">
        <v>0.08265573191537648</v>
      </c>
      <c r="Y4720" s="11">
        <v>0.19253580804422873</v>
      </c>
      <c r="Z4720" s="11">
        <v>0.22310780170629982</v>
      </c>
    </row>
    <row r="4721" ht="22.5" customHeight="1">
      <c r="Q4721" s="9" t="s">
        <v>4759</v>
      </c>
      <c r="R4721" s="10">
        <v>0.6475323555357563</v>
      </c>
      <c r="S4721" s="10">
        <v>0.030214630198661874</v>
      </c>
      <c r="T4721" s="10">
        <v>20.107224597528326</v>
      </c>
      <c r="U4721" s="11">
        <v>0.018465866715648083</v>
      </c>
      <c r="V4721" s="11">
        <v>0.256964400053697</v>
      </c>
      <c r="W4721" s="11">
        <v>0.11767997847682965</v>
      </c>
      <c r="X4721" s="11">
        <v>0.1263431406410438</v>
      </c>
      <c r="Y4721" s="11">
        <v>0.2853642102984925</v>
      </c>
      <c r="Z4721" s="11">
        <v>0.19518240381428908</v>
      </c>
    </row>
    <row r="4722" ht="22.5" customHeight="1">
      <c r="Q4722" s="9" t="s">
        <v>4760</v>
      </c>
      <c r="R4722" s="10">
        <v>0.4305796781351355</v>
      </c>
      <c r="S4722" s="10">
        <v>0.019425057626739052</v>
      </c>
      <c r="T4722" s="10">
        <v>20.107002287472923</v>
      </c>
      <c r="U4722" s="11">
        <v>0.2376131890268692</v>
      </c>
      <c r="V4722" s="11">
        <v>0.07168874387495149</v>
      </c>
      <c r="W4722" s="11">
        <v>0.14713903915744259</v>
      </c>
      <c r="X4722" s="11">
        <v>0.11210823357227839</v>
      </c>
      <c r="Y4722" s="11">
        <v>0.22039390981337342</v>
      </c>
      <c r="Z4722" s="11">
        <v>0.2110568845550848</v>
      </c>
    </row>
    <row r="4723" ht="22.5" customHeight="1">
      <c r="Q4723" s="9" t="s">
        <v>4761</v>
      </c>
      <c r="R4723" s="10">
        <v>0.6735834595831052</v>
      </c>
      <c r="S4723" s="10">
        <v>0.03151072838724636</v>
      </c>
      <c r="T4723" s="10">
        <v>20.10691253457478</v>
      </c>
      <c r="U4723" s="11">
        <v>0.041909085934712854</v>
      </c>
      <c r="V4723" s="11">
        <v>0.2508623455960604</v>
      </c>
      <c r="W4723" s="11">
        <v>0.15484097740899452</v>
      </c>
      <c r="X4723" s="11">
        <v>0.02854662214839582</v>
      </c>
      <c r="Y4723" s="11">
        <v>0.28848387918392265</v>
      </c>
      <c r="Z4723" s="11">
        <v>0.2353570897279138</v>
      </c>
    </row>
    <row r="4724" ht="22.5" customHeight="1">
      <c r="Q4724" s="9" t="s">
        <v>4762</v>
      </c>
      <c r="R4724" s="10">
        <v>0.3574076480314115</v>
      </c>
      <c r="S4724" s="10">
        <v>0.015786389116029066</v>
      </c>
      <c r="T4724" s="10">
        <v>20.106412283295647</v>
      </c>
      <c r="U4724" s="11">
        <v>0.2583389960677659</v>
      </c>
      <c r="V4724" s="11">
        <v>0.07373218737410357</v>
      </c>
      <c r="W4724" s="11">
        <v>0.09707769128090482</v>
      </c>
      <c r="X4724" s="11">
        <v>0.027969903449088573</v>
      </c>
      <c r="Y4724" s="11">
        <v>0.2771082778442932</v>
      </c>
      <c r="Z4724" s="11">
        <v>0.26577294398384393</v>
      </c>
    </row>
    <row r="4725" ht="22.5" customHeight="1">
      <c r="Q4725" s="9" t="s">
        <v>4763</v>
      </c>
      <c r="R4725" s="10">
        <v>0.7778329959186376</v>
      </c>
      <c r="S4725" s="10">
        <v>0.03669654332555632</v>
      </c>
      <c r="T4725" s="10">
        <v>20.10633506739022</v>
      </c>
      <c r="U4725" s="11">
        <v>0.06968326740611812</v>
      </c>
      <c r="V4725" s="11">
        <v>0.22802990198682083</v>
      </c>
      <c r="W4725" s="11">
        <v>0.2573505838251065</v>
      </c>
      <c r="X4725" s="11">
        <v>0.0815934201227602</v>
      </c>
      <c r="Y4725" s="11">
        <v>0.1468160811880494</v>
      </c>
      <c r="Z4725" s="11">
        <v>0.21652674547114503</v>
      </c>
    </row>
    <row r="4726" ht="22.5" customHeight="1">
      <c r="Q4726" s="9" t="s">
        <v>4764</v>
      </c>
      <c r="R4726" s="10">
        <v>0.36923979458401385</v>
      </c>
      <c r="S4726" s="10">
        <v>0.016374979627304213</v>
      </c>
      <c r="T4726" s="10">
        <v>20.10627201239554</v>
      </c>
      <c r="U4726" s="11">
        <v>0.2629755037974572</v>
      </c>
      <c r="V4726" s="11">
        <v>0.12320618322154692</v>
      </c>
      <c r="W4726" s="11">
        <v>0.04407263775771704</v>
      </c>
      <c r="X4726" s="11">
        <v>0.08367555449136524</v>
      </c>
      <c r="Y4726" s="11">
        <v>0.30562940925325516</v>
      </c>
      <c r="Z4726" s="11">
        <v>0.1804407114786586</v>
      </c>
    </row>
    <row r="4727" ht="22.5" customHeight="1">
      <c r="Q4727" s="9" t="s">
        <v>4765</v>
      </c>
      <c r="R4727" s="10">
        <v>0.4590912007484495</v>
      </c>
      <c r="S4727" s="10">
        <v>0.02084382270466158</v>
      </c>
      <c r="T4727" s="10">
        <v>20.106254341470798</v>
      </c>
      <c r="U4727" s="11">
        <v>0.25747085792144037</v>
      </c>
      <c r="V4727" s="11">
        <v>0.17843561949394637</v>
      </c>
      <c r="W4727" s="11">
        <v>0.06439757462382058</v>
      </c>
      <c r="X4727" s="11">
        <v>0.11183193129940754</v>
      </c>
      <c r="Y4727" s="11">
        <v>0.09264672351336785</v>
      </c>
      <c r="Z4727" s="11">
        <v>0.2952172931480173</v>
      </c>
    </row>
    <row r="4728" ht="22.5" customHeight="1">
      <c r="Q4728" s="9" t="s">
        <v>4766</v>
      </c>
      <c r="R4728" s="10">
        <v>0.6066786677589299</v>
      </c>
      <c r="S4728" s="10">
        <v>0.028185136581833196</v>
      </c>
      <c r="T4728" s="10">
        <v>20.10558530073557</v>
      </c>
      <c r="U4728" s="11">
        <v>0.2495070504515877</v>
      </c>
      <c r="V4728" s="11">
        <v>0.12029796601978447</v>
      </c>
      <c r="W4728" s="11">
        <v>0.22286547401061105</v>
      </c>
      <c r="X4728" s="11">
        <v>0.17177262167189278</v>
      </c>
      <c r="Y4728" s="11">
        <v>0.1426856532868405</v>
      </c>
      <c r="Z4728" s="11">
        <v>0.09287123455928353</v>
      </c>
    </row>
    <row r="4729" ht="22.5" customHeight="1">
      <c r="Q4729" s="9" t="s">
        <v>4767</v>
      </c>
      <c r="R4729" s="10">
        <v>0.8268490042712966</v>
      </c>
      <c r="S4729" s="10">
        <v>0.03913823966438461</v>
      </c>
      <c r="T4729" s="10">
        <v>20.104353466549007</v>
      </c>
      <c r="U4729" s="11">
        <v>0.01742651666553733</v>
      </c>
      <c r="V4729" s="11">
        <v>0.30031617002388344</v>
      </c>
      <c r="W4729" s="11">
        <v>0.22132996922629672</v>
      </c>
      <c r="X4729" s="11">
        <v>0.08930887789378186</v>
      </c>
      <c r="Y4729" s="11">
        <v>0.12016986523505001</v>
      </c>
      <c r="Z4729" s="11">
        <v>0.2514486009554506</v>
      </c>
    </row>
    <row r="4730" ht="22.5" customHeight="1">
      <c r="Q4730" s="9" t="s">
        <v>4768</v>
      </c>
      <c r="R4730" s="10">
        <v>0.9428675723605008</v>
      </c>
      <c r="S4730" s="10">
        <v>0.04490949869673531</v>
      </c>
      <c r="T4730" s="10">
        <v>20.10415610419928</v>
      </c>
      <c r="U4730" s="11">
        <v>0.01006797791594138</v>
      </c>
      <c r="V4730" s="11">
        <v>0.2916366275860502</v>
      </c>
      <c r="W4730" s="11">
        <v>0.30615305661647707</v>
      </c>
      <c r="X4730" s="11">
        <v>0.14127347345048885</v>
      </c>
      <c r="Y4730" s="11">
        <v>0.1635917066391819</v>
      </c>
      <c r="Z4730" s="11">
        <v>0.0872771577918605</v>
      </c>
    </row>
    <row r="4731" ht="22.5" customHeight="1">
      <c r="Q4731" s="9" t="s">
        <v>4769</v>
      </c>
      <c r="R4731" s="10">
        <v>0.7996856835025751</v>
      </c>
      <c r="S4731" s="10">
        <v>0.03778794080577198</v>
      </c>
      <c r="T4731" s="10">
        <v>20.103918533357486</v>
      </c>
      <c r="U4731" s="11">
        <v>0.20563076971807231</v>
      </c>
      <c r="V4731" s="11">
        <v>0.2805012059468139</v>
      </c>
      <c r="W4731" s="11">
        <v>0.21979726170629624</v>
      </c>
      <c r="X4731" s="11">
        <v>0.010919025362995168</v>
      </c>
      <c r="Y4731" s="11">
        <v>0.15539309363365703</v>
      </c>
      <c r="Z4731" s="11">
        <v>0.12775864363216538</v>
      </c>
    </row>
    <row r="4732" ht="22.5" customHeight="1">
      <c r="Q4732" s="9" t="s">
        <v>4770</v>
      </c>
      <c r="R4732" s="10">
        <v>0.6940238584570153</v>
      </c>
      <c r="S4732" s="10">
        <v>0.03253268960607912</v>
      </c>
      <c r="T4732" s="10">
        <v>20.10359015427987</v>
      </c>
      <c r="U4732" s="11">
        <v>0.0027932314278036156</v>
      </c>
      <c r="V4732" s="11">
        <v>0.2793814304138211</v>
      </c>
      <c r="W4732" s="11">
        <v>0.1351128975676779</v>
      </c>
      <c r="X4732" s="11">
        <v>0.23682796087098879</v>
      </c>
      <c r="Y4732" s="11">
        <v>0.00340426244351324</v>
      </c>
      <c r="Z4732" s="11">
        <v>0.3424802172761955</v>
      </c>
    </row>
    <row r="4733" ht="22.5" customHeight="1">
      <c r="Q4733" s="9" t="s">
        <v>4771</v>
      </c>
      <c r="R4733" s="10">
        <v>0.5924373955163016</v>
      </c>
      <c r="S4733" s="10">
        <v>0.027479542700474133</v>
      </c>
      <c r="T4733" s="10">
        <v>20.103587659294263</v>
      </c>
      <c r="U4733" s="11">
        <v>0.1550246420123094</v>
      </c>
      <c r="V4733" s="11">
        <v>0.12943541031094014</v>
      </c>
      <c r="W4733" s="11">
        <v>0.2118848510557023</v>
      </c>
      <c r="X4733" s="11">
        <v>0.11443265508814059</v>
      </c>
      <c r="Y4733" s="11">
        <v>0.19325036165749193</v>
      </c>
      <c r="Z4733" s="11">
        <v>0.1959720798754158</v>
      </c>
    </row>
    <row r="4734" ht="22.5" customHeight="1">
      <c r="Q4734" s="9" t="s">
        <v>4772</v>
      </c>
      <c r="R4734" s="10">
        <v>0.7766227589757824</v>
      </c>
      <c r="S4734" s="10">
        <v>0.03664306770523958</v>
      </c>
      <c r="T4734" s="10">
        <v>20.10264983546814</v>
      </c>
      <c r="U4734" s="11">
        <v>0.3016941963145071</v>
      </c>
      <c r="V4734" s="11">
        <v>0.3018660000577743</v>
      </c>
      <c r="W4734" s="11">
        <v>0.16878677984219823</v>
      </c>
      <c r="X4734" s="11">
        <v>0.08366781941184669</v>
      </c>
      <c r="Y4734" s="11">
        <v>0.10969607414662601</v>
      </c>
      <c r="Z4734" s="11">
        <v>0.03428913022704766</v>
      </c>
    </row>
    <row r="4735" ht="22.5" customHeight="1">
      <c r="Q4735" s="9" t="s">
        <v>4773</v>
      </c>
      <c r="R4735" s="10">
        <v>0.5171628076381358</v>
      </c>
      <c r="S4735" s="10">
        <v>0.023736454451044546</v>
      </c>
      <c r="T4735" s="10">
        <v>20.102530840158305</v>
      </c>
      <c r="U4735" s="11">
        <v>0.2877668368963931</v>
      </c>
      <c r="V4735" s="11">
        <v>0.20512642697877706</v>
      </c>
      <c r="W4735" s="11">
        <v>0.07656452590662273</v>
      </c>
      <c r="X4735" s="11">
        <v>0.12743572060526367</v>
      </c>
      <c r="Y4735" s="11">
        <v>0.07692860649855711</v>
      </c>
      <c r="Z4735" s="11">
        <v>0.22617788311438616</v>
      </c>
    </row>
    <row r="4736" ht="22.5" customHeight="1">
      <c r="Q4736" s="9" t="s">
        <v>4774</v>
      </c>
      <c r="R4736" s="10">
        <v>0.809205662781213</v>
      </c>
      <c r="S4736" s="10">
        <v>0.03826431547988425</v>
      </c>
      <c r="T4736" s="10">
        <v>20.102428414944164</v>
      </c>
      <c r="U4736" s="11">
        <v>0.09416873506789471</v>
      </c>
      <c r="V4736" s="11">
        <v>0.24858319800816137</v>
      </c>
      <c r="W4736" s="11">
        <v>0.26128914836879924</v>
      </c>
      <c r="X4736" s="11">
        <v>0.08314930517714961</v>
      </c>
      <c r="Y4736" s="11">
        <v>0.09289440543275367</v>
      </c>
      <c r="Z4736" s="11">
        <v>0.21991520794524141</v>
      </c>
    </row>
    <row r="4737" ht="22.5" customHeight="1">
      <c r="Q4737" s="9" t="s">
        <v>4775</v>
      </c>
      <c r="R4737" s="10">
        <v>0.6952250967235503</v>
      </c>
      <c r="S4737" s="10">
        <v>0.03259578486389437</v>
      </c>
      <c r="T4737" s="10">
        <v>20.101528447910717</v>
      </c>
      <c r="U4737" s="11">
        <v>0.21249819411927975</v>
      </c>
      <c r="V4737" s="11">
        <v>0.16843847380042837</v>
      </c>
      <c r="W4737" s="11">
        <v>0.24827501995907858</v>
      </c>
      <c r="X4737" s="11">
        <v>0.12628127951017096</v>
      </c>
      <c r="Y4737" s="11">
        <v>0.10661707357896186</v>
      </c>
      <c r="Z4737" s="11">
        <v>0.13788995903208068</v>
      </c>
    </row>
    <row r="4738" ht="22.5" customHeight="1">
      <c r="Q4738" s="9" t="s">
        <v>4776</v>
      </c>
      <c r="R4738" s="10">
        <v>0.7129452934009921</v>
      </c>
      <c r="S4738" s="10">
        <v>0.033477686937936554</v>
      </c>
      <c r="T4738" s="10">
        <v>20.10130791438932</v>
      </c>
      <c r="U4738" s="11">
        <v>0.2948938725928804</v>
      </c>
      <c r="V4738" s="11">
        <v>0.172660984010015</v>
      </c>
      <c r="W4738" s="11">
        <v>0.25219397256656456</v>
      </c>
      <c r="X4738" s="11">
        <v>0.09836841610354441</v>
      </c>
      <c r="Y4738" s="11">
        <v>0.16058954237468934</v>
      </c>
      <c r="Z4738" s="11">
        <v>0.021293212352306256</v>
      </c>
    </row>
    <row r="4739" ht="22.5" customHeight="1">
      <c r="Q4739" s="9" t="s">
        <v>4777</v>
      </c>
      <c r="R4739" s="10">
        <v>0.854554758106364</v>
      </c>
      <c r="S4739" s="10">
        <v>0.04052282027449907</v>
      </c>
      <c r="T4739" s="10">
        <v>20.10113690480131</v>
      </c>
      <c r="U4739" s="11">
        <v>0.04064767687218282</v>
      </c>
      <c r="V4739" s="11">
        <v>0.3110457120916073</v>
      </c>
      <c r="W4739" s="11">
        <v>0.22002445886712424</v>
      </c>
      <c r="X4739" s="11">
        <v>0.054814383252928665</v>
      </c>
      <c r="Y4739" s="11">
        <v>0.30858836038793186</v>
      </c>
      <c r="Z4739" s="11">
        <v>0.06487940852822503</v>
      </c>
    </row>
    <row r="4740" ht="22.5" customHeight="1">
      <c r="Q4740" s="9" t="s">
        <v>4778</v>
      </c>
      <c r="R4740" s="10">
        <v>0.5076124551308102</v>
      </c>
      <c r="S4740" s="10">
        <v>0.02326331634922203</v>
      </c>
      <c r="T4740" s="10">
        <v>20.10085097546499</v>
      </c>
      <c r="U4740" s="11">
        <v>0.19272607854020327</v>
      </c>
      <c r="V4740" s="11">
        <v>0.2065324559162134</v>
      </c>
      <c r="W4740" s="11">
        <v>0.05571997887359418</v>
      </c>
      <c r="X4740" s="11">
        <v>0.2657232521225916</v>
      </c>
      <c r="Y4740" s="11">
        <v>0.06346432334050581</v>
      </c>
      <c r="Z4740" s="11">
        <v>0.21583391120689158</v>
      </c>
    </row>
    <row r="4741" ht="22.5" customHeight="1">
      <c r="Q4741" s="9" t="s">
        <v>4779</v>
      </c>
      <c r="R4741" s="10">
        <v>0.5328930619908483</v>
      </c>
      <c r="S4741" s="10">
        <v>0.0245226115804847</v>
      </c>
      <c r="T4741" s="10">
        <v>20.099533867881213</v>
      </c>
      <c r="U4741" s="11">
        <v>0.090884735990502</v>
      </c>
      <c r="V4741" s="11">
        <v>0.21695720430475202</v>
      </c>
      <c r="W4741" s="11">
        <v>0.04824221193016494</v>
      </c>
      <c r="X4741" s="11">
        <v>0.385747578151524</v>
      </c>
      <c r="Y4741" s="11">
        <v>0.12686607520983467</v>
      </c>
      <c r="Z4741" s="11">
        <v>0.13130219441322238</v>
      </c>
    </row>
    <row r="4742" ht="22.5" customHeight="1">
      <c r="Q4742" s="9" t="s">
        <v>4780</v>
      </c>
      <c r="R4742" s="10">
        <v>0.6242051856711673</v>
      </c>
      <c r="S4742" s="10">
        <v>0.029066530492191184</v>
      </c>
      <c r="T4742" s="10">
        <v>20.098896420682745</v>
      </c>
      <c r="U4742" s="11">
        <v>0.1973627738637044</v>
      </c>
      <c r="V4742" s="11">
        <v>0.14746529074239703</v>
      </c>
      <c r="W4742" s="11">
        <v>0.2184500551704899</v>
      </c>
      <c r="X4742" s="11">
        <v>0.07224293467724863</v>
      </c>
      <c r="Y4742" s="11">
        <v>0.21022593182490232</v>
      </c>
      <c r="Z4742" s="11">
        <v>0.15425301372125758</v>
      </c>
    </row>
    <row r="4743" ht="22.5" customHeight="1">
      <c r="Q4743" s="9" t="s">
        <v>4781</v>
      </c>
      <c r="R4743" s="10">
        <v>0.7131869780361063</v>
      </c>
      <c r="S4743" s="10">
        <v>0.033496111689270434</v>
      </c>
      <c r="T4743" s="10">
        <v>20.097466365080916</v>
      </c>
      <c r="U4743" s="11">
        <v>0.12175618220453854</v>
      </c>
      <c r="V4743" s="11">
        <v>0.27176395684019333</v>
      </c>
      <c r="W4743" s="11">
        <v>0.15586071941725718</v>
      </c>
      <c r="X4743" s="11">
        <v>0.041567778252956544</v>
      </c>
      <c r="Y4743" s="11">
        <v>0.29019143216654186</v>
      </c>
      <c r="Z4743" s="11">
        <v>0.11885993111851244</v>
      </c>
    </row>
    <row r="4744" ht="22.5" customHeight="1">
      <c r="Q4744" s="9" t="s">
        <v>4782</v>
      </c>
      <c r="R4744" s="10">
        <v>0.5666029646031476</v>
      </c>
      <c r="S4744" s="10">
        <v>0.02620277264140794</v>
      </c>
      <c r="T4744" s="10">
        <v>20.097222985134138</v>
      </c>
      <c r="U4744" s="11">
        <v>0.1887569383989451</v>
      </c>
      <c r="V4744" s="11">
        <v>0.2252585838855362</v>
      </c>
      <c r="W4744" s="11">
        <v>0.09263965776613921</v>
      </c>
      <c r="X4744" s="11">
        <v>0.09687572967442343</v>
      </c>
      <c r="Y4744" s="11">
        <v>0.19531647639761074</v>
      </c>
      <c r="Z4744" s="11">
        <v>0.20115261387734534</v>
      </c>
    </row>
    <row r="4745" ht="22.5" customHeight="1">
      <c r="Q4745" s="9" t="s">
        <v>4783</v>
      </c>
      <c r="R4745" s="10">
        <v>0.48709078685445706</v>
      </c>
      <c r="S4745" s="10">
        <v>0.02224660864806338</v>
      </c>
      <c r="T4745" s="10">
        <v>20.09703114426735</v>
      </c>
      <c r="U4745" s="11">
        <v>0.06133617040594039</v>
      </c>
      <c r="V4745" s="11">
        <v>0.07445580277400003</v>
      </c>
      <c r="W4745" s="11">
        <v>0.1736700024905962</v>
      </c>
      <c r="X4745" s="11">
        <v>0.22792524516925927</v>
      </c>
      <c r="Y4745" s="11">
        <v>0.3061412342394654</v>
      </c>
      <c r="Z4745" s="11">
        <v>0.15647154492073878</v>
      </c>
    </row>
    <row r="4746" ht="22.5" customHeight="1">
      <c r="Q4746" s="9" t="s">
        <v>4784</v>
      </c>
      <c r="R4746" s="10">
        <v>0.7176933843323796</v>
      </c>
      <c r="S4746" s="10">
        <v>0.03372173687247691</v>
      </c>
      <c r="T4746" s="10">
        <v>20.09663342357377</v>
      </c>
      <c r="U4746" s="11">
        <v>0.10564782551801256</v>
      </c>
      <c r="V4746" s="11">
        <v>0.29117176928184507</v>
      </c>
      <c r="W4746" s="11">
        <v>0.12141364892018118</v>
      </c>
      <c r="X4746" s="11">
        <v>0.19240854862110857</v>
      </c>
      <c r="Y4746" s="11">
        <v>0.2643015622916101</v>
      </c>
      <c r="Z4746" s="11">
        <v>0.02505664536724247</v>
      </c>
    </row>
    <row r="4747" ht="22.5" customHeight="1">
      <c r="Q4747" s="9" t="s">
        <v>4785</v>
      </c>
      <c r="R4747" s="10">
        <v>0.7397759552474932</v>
      </c>
      <c r="S4747" s="10">
        <v>0.034820689409857414</v>
      </c>
      <c r="T4747" s="10">
        <v>20.096556590559434</v>
      </c>
      <c r="U4747" s="11">
        <v>0.059728168140471084</v>
      </c>
      <c r="V4747" s="11">
        <v>0.2844144292206086</v>
      </c>
      <c r="W4747" s="11">
        <v>0.17173391721961226</v>
      </c>
      <c r="X4747" s="11">
        <v>0.09501707736599681</v>
      </c>
      <c r="Y4747" s="11">
        <v>0.10791894978127542</v>
      </c>
      <c r="Z4747" s="11">
        <v>0.2811874582720359</v>
      </c>
    </row>
    <row r="4748" ht="22.5" customHeight="1">
      <c r="Q4748" s="9" t="s">
        <v>4786</v>
      </c>
      <c r="R4748" s="10">
        <v>0.871077685619026</v>
      </c>
      <c r="S4748" s="10">
        <v>0.04135465435257811</v>
      </c>
      <c r="T4748" s="10">
        <v>20.09635187694938</v>
      </c>
      <c r="U4748" s="11">
        <v>0.005109398807762234</v>
      </c>
      <c r="V4748" s="11">
        <v>0.2669164986566945</v>
      </c>
      <c r="W4748" s="11">
        <v>0.2852112899467624</v>
      </c>
      <c r="X4748" s="11">
        <v>0.1499916823680013</v>
      </c>
      <c r="Y4748" s="11">
        <v>0.0697083643794319</v>
      </c>
      <c r="Z4748" s="11">
        <v>0.22306276584134774</v>
      </c>
    </row>
    <row r="4749" ht="22.5" customHeight="1">
      <c r="Q4749" s="9" t="s">
        <v>4787</v>
      </c>
      <c r="R4749" s="10">
        <v>0.522331348251574</v>
      </c>
      <c r="S4749" s="10">
        <v>0.03010226054670629</v>
      </c>
      <c r="T4749" s="10">
        <v>20.096296032277372</v>
      </c>
      <c r="U4749" s="11">
        <v>0.15633139329478232</v>
      </c>
      <c r="V4749" s="11">
        <v>0.15458910850251212</v>
      </c>
      <c r="W4749" s="11">
        <v>0.23072300919439984</v>
      </c>
      <c r="X4749" s="11">
        <v>0.16909721821463236</v>
      </c>
      <c r="Y4749" s="11">
        <v>0.0026791260788375116</v>
      </c>
      <c r="Z4749" s="11">
        <v>0.28658014471483584</v>
      </c>
    </row>
    <row r="4750" ht="22.5" customHeight="1">
      <c r="Q4750" s="9" t="s">
        <v>4788</v>
      </c>
      <c r="R4750" s="10">
        <v>0.2920873077496191</v>
      </c>
      <c r="S4750" s="10">
        <v>0.01254432028598302</v>
      </c>
      <c r="T4750" s="10">
        <v>20.095732730238133</v>
      </c>
      <c r="U4750" s="11">
        <v>0.14589935747316715</v>
      </c>
      <c r="V4750" s="11">
        <v>0.07021771634818871</v>
      </c>
      <c r="W4750" s="11">
        <v>0.04949931155289034</v>
      </c>
      <c r="X4750" s="11">
        <v>0.08065307112477957</v>
      </c>
      <c r="Y4750" s="11">
        <v>0.3075960866031535</v>
      </c>
      <c r="Z4750" s="11">
        <v>0.34613445689782074</v>
      </c>
    </row>
    <row r="4751" ht="22.5" customHeight="1">
      <c r="Q4751" s="9" t="s">
        <v>4789</v>
      </c>
      <c r="R4751" s="10">
        <v>0.3678585411488098</v>
      </c>
      <c r="S4751" s="10">
        <v>0.016314992927415693</v>
      </c>
      <c r="T4751" s="10">
        <v>20.095536823548155</v>
      </c>
      <c r="U4751" s="11">
        <v>0.3040040897739127</v>
      </c>
      <c r="V4751" s="11">
        <v>0.12308215391821074</v>
      </c>
      <c r="W4751" s="11">
        <v>0.05043809068477408</v>
      </c>
      <c r="X4751" s="11">
        <v>0.05083710445217855</v>
      </c>
      <c r="Y4751" s="11">
        <v>0.23607804774237756</v>
      </c>
      <c r="Z4751" s="11">
        <v>0.23556051342854625</v>
      </c>
    </row>
    <row r="4752" ht="22.5" customHeight="1">
      <c r="Q4752" s="9" t="s">
        <v>4790</v>
      </c>
      <c r="R4752" s="10">
        <v>0.4403055486262509</v>
      </c>
      <c r="S4752" s="10">
        <v>0.01992029852324392</v>
      </c>
      <c r="T4752" s="10">
        <v>20.09535892040754</v>
      </c>
      <c r="U4752" s="11">
        <v>0.013374643914696284</v>
      </c>
      <c r="V4752" s="11">
        <v>0.0742988817317431</v>
      </c>
      <c r="W4752" s="11">
        <v>0.15585436957128854</v>
      </c>
      <c r="X4752" s="11">
        <v>0.27007979707136104</v>
      </c>
      <c r="Y4752" s="11">
        <v>0.03978242610041785</v>
      </c>
      <c r="Z4752" s="11">
        <v>0.4466098816104932</v>
      </c>
    </row>
    <row r="4753" ht="22.5" customHeight="1">
      <c r="Q4753" s="9" t="s">
        <v>4791</v>
      </c>
      <c r="R4753" s="10">
        <v>0.5980411260353451</v>
      </c>
      <c r="S4753" s="10">
        <v>0.027770068741702656</v>
      </c>
      <c r="T4753" s="10">
        <v>20.095057424086523</v>
      </c>
      <c r="U4753" s="11">
        <v>0.16787882950353233</v>
      </c>
      <c r="V4753" s="11">
        <v>0.24552270712970306</v>
      </c>
      <c r="W4753" s="11">
        <v>0.08973719712514192</v>
      </c>
      <c r="X4753" s="11">
        <v>0.2272516677736943</v>
      </c>
      <c r="Y4753" s="11">
        <v>0.038100837579157686</v>
      </c>
      <c r="Z4753" s="11">
        <v>0.2315087608887707</v>
      </c>
    </row>
    <row r="4754" ht="22.5" customHeight="1">
      <c r="Q4754" s="9" t="s">
        <v>4792</v>
      </c>
      <c r="R4754" s="10">
        <v>0.5903533678136669</v>
      </c>
      <c r="S4754" s="10">
        <v>0.0273881472534784</v>
      </c>
      <c r="T4754" s="10">
        <v>20.094581890484392</v>
      </c>
      <c r="U4754" s="11">
        <v>0.2338667879938123</v>
      </c>
      <c r="V4754" s="11">
        <v>0.23685309121768405</v>
      </c>
      <c r="W4754" s="11">
        <v>0.10092967881359047</v>
      </c>
      <c r="X4754" s="11">
        <v>0.12934428358190558</v>
      </c>
      <c r="Y4754" s="11">
        <v>0.061982668328680594</v>
      </c>
      <c r="Z4754" s="11">
        <v>0.23702349006432702</v>
      </c>
    </row>
    <row r="4755" ht="22.5" customHeight="1">
      <c r="Q4755" s="9" t="s">
        <v>4793</v>
      </c>
      <c r="R4755" s="10">
        <v>0.7014240334117328</v>
      </c>
      <c r="S4755" s="10">
        <v>0.03291592177166261</v>
      </c>
      <c r="T4755" s="10">
        <v>20.094349415459913</v>
      </c>
      <c r="U4755" s="11">
        <v>0.2073151099400465</v>
      </c>
      <c r="V4755" s="11">
        <v>0.26340113574885576</v>
      </c>
      <c r="W4755" s="11">
        <v>0.16866364790490374</v>
      </c>
      <c r="X4755" s="11">
        <v>0.06790726781647125</v>
      </c>
      <c r="Y4755" s="11">
        <v>0.005306749022239274</v>
      </c>
      <c r="Z4755" s="11">
        <v>0.2874060895674834</v>
      </c>
    </row>
    <row r="4756" ht="22.5" customHeight="1">
      <c r="Q4756" s="9" t="s">
        <v>4794</v>
      </c>
      <c r="R4756" s="10">
        <v>0.7643067256749448</v>
      </c>
      <c r="S4756" s="10">
        <v>0.03604633243690857</v>
      </c>
      <c r="T4756" s="10">
        <v>20.093770342452714</v>
      </c>
      <c r="U4756" s="11">
        <v>0.005293621312113815</v>
      </c>
      <c r="V4756" s="11">
        <v>0.19055914620723682</v>
      </c>
      <c r="W4756" s="11">
        <v>0.26697810226418356</v>
      </c>
      <c r="X4756" s="11">
        <v>0.14711407531530218</v>
      </c>
      <c r="Y4756" s="11">
        <v>0.3446364018104639</v>
      </c>
      <c r="Z4756" s="11">
        <v>0.04541865309069972</v>
      </c>
    </row>
    <row r="4757" ht="22.5" customHeight="1">
      <c r="Q4757" s="9" t="s">
        <v>4795</v>
      </c>
      <c r="R4757" s="10">
        <v>0.7947970625579793</v>
      </c>
      <c r="S4757" s="10">
        <v>0.037564552787127316</v>
      </c>
      <c r="T4757" s="10">
        <v>20.093332851193544</v>
      </c>
      <c r="U4757" s="11">
        <v>0.243931424783559</v>
      </c>
      <c r="V4757" s="11">
        <v>0.21299072524088997</v>
      </c>
      <c r="W4757" s="11">
        <v>0.27672641833092526</v>
      </c>
      <c r="X4757" s="11">
        <v>0.11616224948794406</v>
      </c>
      <c r="Y4757" s="11">
        <v>0.07595169132257777</v>
      </c>
      <c r="Z4757" s="11">
        <v>0.07423749083410397</v>
      </c>
    </row>
    <row r="4758" ht="22.5" customHeight="1">
      <c r="Q4758" s="9" t="s">
        <v>4796</v>
      </c>
      <c r="R4758" s="10">
        <v>0.5737641422758584</v>
      </c>
      <c r="S4758" s="10">
        <v>0.02656445881421685</v>
      </c>
      <c r="T4758" s="10">
        <v>20.093168319702293</v>
      </c>
      <c r="U4758" s="11">
        <v>0.3905484220469007</v>
      </c>
      <c r="V4758" s="11">
        <v>0.23054720705349416</v>
      </c>
      <c r="W4758" s="11">
        <v>0.07918124360184661</v>
      </c>
      <c r="X4758" s="11">
        <v>0.19856629976318654</v>
      </c>
      <c r="Y4758" s="11">
        <v>0.039877370143997885</v>
      </c>
      <c r="Z4758" s="11">
        <v>0.06127945739057407</v>
      </c>
    </row>
    <row r="4759" ht="22.5" customHeight="1">
      <c r="Q4759" s="9" t="s">
        <v>4797</v>
      </c>
      <c r="R4759" s="10">
        <v>1.0229986285564447</v>
      </c>
      <c r="S4759" s="10">
        <v>0.048922742117358704</v>
      </c>
      <c r="T4759" s="10">
        <v>20.092876768811745</v>
      </c>
      <c r="U4759" s="11">
        <v>0.0904819677826433</v>
      </c>
      <c r="V4759" s="11">
        <v>0.3491349694132996</v>
      </c>
      <c r="W4759" s="11">
        <v>0.3073582386878964</v>
      </c>
      <c r="X4759" s="11">
        <v>0.1669970187350859</v>
      </c>
      <c r="Y4759" s="11">
        <v>0.02211576422736604</v>
      </c>
      <c r="Z4759" s="11">
        <v>0.06391204115370869</v>
      </c>
    </row>
    <row r="4760" ht="22.5" customHeight="1">
      <c r="Q4760" s="9" t="s">
        <v>4798</v>
      </c>
      <c r="R4760" s="10">
        <v>0.6570092395050463</v>
      </c>
      <c r="S4760" s="10">
        <v>0.03070833320295588</v>
      </c>
      <c r="T4760" s="10">
        <v>20.092566907723114</v>
      </c>
      <c r="U4760" s="11">
        <v>0.06185678513409064</v>
      </c>
      <c r="V4760" s="11">
        <v>0.1271894731211217</v>
      </c>
      <c r="W4760" s="11">
        <v>0.24711767408040144</v>
      </c>
      <c r="X4760" s="11">
        <v>0.35053124896516114</v>
      </c>
      <c r="Y4760" s="11">
        <v>0.031782584890390125</v>
      </c>
      <c r="Z4760" s="11">
        <v>0.18152223380883506</v>
      </c>
    </row>
    <row r="4761" ht="22.5" customHeight="1">
      <c r="Q4761" s="9" t="s">
        <v>4799</v>
      </c>
      <c r="R4761" s="10">
        <v>0.5963721638545884</v>
      </c>
      <c r="S4761" s="10">
        <v>0.02769283254659314</v>
      </c>
      <c r="T4761" s="10">
        <v>20.09083624502814</v>
      </c>
      <c r="U4761" s="11">
        <v>0.2734309287860952</v>
      </c>
      <c r="V4761" s="11">
        <v>0.12060060937698712</v>
      </c>
      <c r="W4761" s="11">
        <v>0.21853856181665612</v>
      </c>
      <c r="X4761" s="11">
        <v>0.16391190474558456</v>
      </c>
      <c r="Y4761" s="11">
        <v>0.09037431497861231</v>
      </c>
      <c r="Z4761" s="11">
        <v>0.13314368029606483</v>
      </c>
    </row>
    <row r="4762" ht="22.5" customHeight="1">
      <c r="Q4762" s="9" t="s">
        <v>4800</v>
      </c>
      <c r="R4762" s="10">
        <v>0.8856037820061327</v>
      </c>
      <c r="S4762" s="10">
        <v>0.04208909177564425</v>
      </c>
      <c r="T4762" s="10">
        <v>20.09080610514526</v>
      </c>
      <c r="U4762" s="11">
        <v>0.3123876146834362</v>
      </c>
      <c r="V4762" s="11">
        <v>0.297727505451964</v>
      </c>
      <c r="W4762" s="11">
        <v>0.26094397996574753</v>
      </c>
      <c r="X4762" s="11">
        <v>0.029408008088664506</v>
      </c>
      <c r="Y4762" s="11">
        <v>0.09761249152541294</v>
      </c>
      <c r="Z4762" s="11">
        <v>0.0019204002847748242</v>
      </c>
    </row>
    <row r="4763" ht="22.5" customHeight="1">
      <c r="Q4763" s="9" t="s">
        <v>4801</v>
      </c>
      <c r="R4763" s="10">
        <v>0.9104308842602151</v>
      </c>
      <c r="S4763" s="10">
        <v>0.04332659418133668</v>
      </c>
      <c r="T4763" s="10">
        <v>20.089990932985938</v>
      </c>
      <c r="U4763" s="11">
        <v>0.07192697725072372</v>
      </c>
      <c r="V4763" s="11">
        <v>0.334366043570566</v>
      </c>
      <c r="W4763" s="11">
        <v>0.24178686566478447</v>
      </c>
      <c r="X4763" s="11">
        <v>0.09950756303173348</v>
      </c>
      <c r="Y4763" s="11">
        <v>0.13421067449506718</v>
      </c>
      <c r="Z4763" s="11">
        <v>0.11820187598712506</v>
      </c>
    </row>
    <row r="4764" ht="22.5" customHeight="1">
      <c r="Q4764" s="9" t="s">
        <v>4802</v>
      </c>
      <c r="R4764" s="10">
        <v>0.4577866287267737</v>
      </c>
      <c r="S4764" s="10">
        <v>0.02079608643276654</v>
      </c>
      <c r="T4764" s="10">
        <v>20.08967552993551</v>
      </c>
      <c r="U4764" s="11">
        <v>0.17027367263815799</v>
      </c>
      <c r="V4764" s="11">
        <v>0.08211294398698032</v>
      </c>
      <c r="W4764" s="11">
        <v>0.16163559764587324</v>
      </c>
      <c r="X4764" s="11">
        <v>0.12866646750743874</v>
      </c>
      <c r="Y4764" s="11">
        <v>0.16635637328473254</v>
      </c>
      <c r="Z4764" s="11">
        <v>0.29095494493681723</v>
      </c>
    </row>
    <row r="4765" ht="22.5" customHeight="1">
      <c r="Q4765" s="9" t="s">
        <v>4803</v>
      </c>
      <c r="R4765" s="10">
        <v>0.6364243115715544</v>
      </c>
      <c r="S4765" s="10">
        <v>0.02968872318604948</v>
      </c>
      <c r="T4765" s="10">
        <v>20.089254355398143</v>
      </c>
      <c r="U4765" s="11">
        <v>0.06909123676327153</v>
      </c>
      <c r="V4765" s="11">
        <v>0.19222237686621332</v>
      </c>
      <c r="W4765" s="11">
        <v>0.17386055069846693</v>
      </c>
      <c r="X4765" s="11">
        <v>0.0016034701597222654</v>
      </c>
      <c r="Y4765" s="11">
        <v>0.5246685785804529</v>
      </c>
      <c r="Z4765" s="11">
        <v>0.03855378693187308</v>
      </c>
    </row>
    <row r="4766" ht="22.5" customHeight="1">
      <c r="Q4766" s="9" t="s">
        <v>4804</v>
      </c>
      <c r="R4766" s="10">
        <v>0.5522632592486725</v>
      </c>
      <c r="S4766" s="10">
        <v>0.025499637458779686</v>
      </c>
      <c r="T4766" s="10">
        <v>20.08904087663007</v>
      </c>
      <c r="U4766" s="11">
        <v>0.28101204837628835</v>
      </c>
      <c r="V4766" s="11">
        <v>0.08588972601413865</v>
      </c>
      <c r="W4766" s="11">
        <v>0.20634429607124566</v>
      </c>
      <c r="X4766" s="11">
        <v>0.26443754768996747</v>
      </c>
      <c r="Y4766" s="11">
        <v>0.12173054801644291</v>
      </c>
      <c r="Z4766" s="11">
        <v>0.040585833831916926</v>
      </c>
    </row>
    <row r="4767" ht="22.5" customHeight="1">
      <c r="Q4767" s="9" t="s">
        <v>4805</v>
      </c>
      <c r="R4767" s="10">
        <v>0.6780026003936759</v>
      </c>
      <c r="S4767" s="10">
        <v>0.03176059801483657</v>
      </c>
      <c r="T4767" s="10">
        <v>20.087864847369712</v>
      </c>
      <c r="U4767" s="11">
        <v>0.09175633988550282</v>
      </c>
      <c r="V4767" s="11">
        <v>0.2536668430410489</v>
      </c>
      <c r="W4767" s="11">
        <v>0.16512107240331533</v>
      </c>
      <c r="X4767" s="11">
        <v>0.08848781877215406</v>
      </c>
      <c r="Y4767" s="11">
        <v>0.005874203614650789</v>
      </c>
      <c r="Z4767" s="11">
        <v>0.3950937222833282</v>
      </c>
    </row>
    <row r="4768" ht="22.5" customHeight="1">
      <c r="Q4768" s="9" t="s">
        <v>4806</v>
      </c>
      <c r="R4768" s="10">
        <v>0.6523092713166148</v>
      </c>
      <c r="S4768" s="10">
        <v>0.030481792728962866</v>
      </c>
      <c r="T4768" s="10">
        <v>20.08770536435074</v>
      </c>
      <c r="U4768" s="11">
        <v>0.01263112991707079</v>
      </c>
      <c r="V4768" s="11">
        <v>0.2656681005164647</v>
      </c>
      <c r="W4768" s="11">
        <v>0.11633907602022087</v>
      </c>
      <c r="X4768" s="11">
        <v>0.22916665503499473</v>
      </c>
      <c r="Y4768" s="11">
        <v>0.04353538708062912</v>
      </c>
      <c r="Z4768" s="11">
        <v>0.3326596514306197</v>
      </c>
    </row>
    <row r="4769" ht="22.5" customHeight="1">
      <c r="Q4769" s="9" t="s">
        <v>4807</v>
      </c>
      <c r="R4769" s="10">
        <v>0.6913598747121021</v>
      </c>
      <c r="S4769" s="10">
        <v>0.03242659194486311</v>
      </c>
      <c r="T4769" s="10">
        <v>20.087213476508683</v>
      </c>
      <c r="U4769" s="11">
        <v>0.21889600384068716</v>
      </c>
      <c r="V4769" s="11">
        <v>0.2018052709717291</v>
      </c>
      <c r="W4769" s="11">
        <v>0.22586667720943396</v>
      </c>
      <c r="X4769" s="11">
        <v>0.05049490566723629</v>
      </c>
      <c r="Y4769" s="11">
        <v>0.029059948666603885</v>
      </c>
      <c r="Z4769" s="11">
        <v>0.2738771936443095</v>
      </c>
    </row>
    <row r="4770" ht="22.5" customHeight="1">
      <c r="Q4770" s="9" t="s">
        <v>4808</v>
      </c>
      <c r="R4770" s="10">
        <v>0.6738600780393124</v>
      </c>
      <c r="S4770" s="10">
        <v>0.03155559100141253</v>
      </c>
      <c r="T4770" s="10">
        <v>20.087092585619413</v>
      </c>
      <c r="U4770" s="11">
        <v>0.3043116149797026</v>
      </c>
      <c r="V4770" s="11">
        <v>0.14234908858413126</v>
      </c>
      <c r="W4770" s="11">
        <v>0.24927644585815042</v>
      </c>
      <c r="X4770" s="11">
        <v>0.22162194315979267</v>
      </c>
      <c r="Y4770" s="11">
        <v>0.009845670240635585</v>
      </c>
      <c r="Z4770" s="11">
        <v>0.07259523717758738</v>
      </c>
    </row>
    <row r="4771" ht="22.5" customHeight="1">
      <c r="Q4771" s="9" t="s">
        <v>4809</v>
      </c>
      <c r="R4771" s="10">
        <v>0.6947764443367627</v>
      </c>
      <c r="S4771" s="10">
        <v>0.03259704933730271</v>
      </c>
      <c r="T4771" s="10">
        <v>20.08698509982815</v>
      </c>
      <c r="U4771" s="11">
        <v>0.2018726507610079</v>
      </c>
      <c r="V4771" s="11">
        <v>0.16876094926182092</v>
      </c>
      <c r="W4771" s="11">
        <v>0.24433356586334978</v>
      </c>
      <c r="X4771" s="11">
        <v>0.08580629433173537</v>
      </c>
      <c r="Y4771" s="11">
        <v>0.23310258100947887</v>
      </c>
      <c r="Z4771" s="11">
        <v>0.06612395877260711</v>
      </c>
    </row>
    <row r="4772" ht="22.5" customHeight="1">
      <c r="Q4772" s="9" t="s">
        <v>4810</v>
      </c>
      <c r="R4772" s="10">
        <v>0.4319067226973653</v>
      </c>
      <c r="S4772" s="10">
        <v>0.019510944765810147</v>
      </c>
      <c r="T4772" s="10">
        <v>20.08650669669877</v>
      </c>
      <c r="U4772" s="11">
        <v>0.2859544351003612</v>
      </c>
      <c r="V4772" s="11">
        <v>0.16281654198666343</v>
      </c>
      <c r="W4772" s="11">
        <v>0.022611751498353743</v>
      </c>
      <c r="X4772" s="11">
        <v>0.33947013498441486</v>
      </c>
      <c r="Y4772" s="11">
        <v>0.17707904673259528</v>
      </c>
      <c r="Z4772" s="11">
        <v>0.012068089697611492</v>
      </c>
    </row>
    <row r="4773" ht="22.5" customHeight="1">
      <c r="Q4773" s="9" t="s">
        <v>4811</v>
      </c>
      <c r="R4773" s="10">
        <v>0.3417719611318931</v>
      </c>
      <c r="S4773" s="10">
        <v>0.015023658043550214</v>
      </c>
      <c r="T4773" s="10">
        <v>20.086450334340938</v>
      </c>
      <c r="U4773" s="11">
        <v>0.2512443874495851</v>
      </c>
      <c r="V4773" s="11">
        <v>0.024390679298777015</v>
      </c>
      <c r="W4773" s="11">
        <v>0.10270516223781695</v>
      </c>
      <c r="X4773" s="11">
        <v>0.29239770178583424</v>
      </c>
      <c r="Y4773" s="11">
        <v>0.27282297953711393</v>
      </c>
      <c r="Z4773" s="11">
        <v>0.056439089690872836</v>
      </c>
    </row>
    <row r="4774" ht="22.5" customHeight="1">
      <c r="Q4774" s="9" t="s">
        <v>4812</v>
      </c>
      <c r="R4774" s="10">
        <v>0.7420948955608352</v>
      </c>
      <c r="S4774" s="10">
        <v>0.03495457655592255</v>
      </c>
      <c r="T4774" s="10">
        <v>20.08592192320165</v>
      </c>
      <c r="U4774" s="11">
        <v>0.17939232711689188</v>
      </c>
      <c r="V4774" s="11">
        <v>0.24479592959068744</v>
      </c>
      <c r="W4774" s="11">
        <v>0.22146476561525738</v>
      </c>
      <c r="X4774" s="11">
        <v>0.03011731327168041</v>
      </c>
      <c r="Y4774" s="11">
        <v>0.049675707044873924</v>
      </c>
      <c r="Z4774" s="11">
        <v>0.2745539573606089</v>
      </c>
    </row>
    <row r="4775" ht="22.5" customHeight="1">
      <c r="Q4775" s="9" t="s">
        <v>4813</v>
      </c>
      <c r="R4775" s="10">
        <v>0.5177541020819326</v>
      </c>
      <c r="S4775" s="10">
        <v>0.023785687303256996</v>
      </c>
      <c r="T4775" s="10">
        <v>20.085780830748302</v>
      </c>
      <c r="U4775" s="11">
        <v>0.25640206789311293</v>
      </c>
      <c r="V4775" s="11">
        <v>0.20690477869862614</v>
      </c>
      <c r="W4775" s="11">
        <v>0.07335723882003187</v>
      </c>
      <c r="X4775" s="11">
        <v>0.1332602595457304</v>
      </c>
      <c r="Y4775" s="11">
        <v>0.11383321401937792</v>
      </c>
      <c r="Z4775" s="11">
        <v>0.2162424410231206</v>
      </c>
    </row>
    <row r="4776" ht="22.5" customHeight="1">
      <c r="Q4776" s="9" t="s">
        <v>4814</v>
      </c>
      <c r="R4776" s="10">
        <v>0.6537485276896611</v>
      </c>
      <c r="S4776" s="10">
        <v>0.03055666425406198</v>
      </c>
      <c r="T4776" s="10">
        <v>20.085586652609628</v>
      </c>
      <c r="U4776" s="11">
        <v>0.17778158459409218</v>
      </c>
      <c r="V4776" s="11">
        <v>0.2676317645139311</v>
      </c>
      <c r="W4776" s="11">
        <v>0.09567487054667853</v>
      </c>
      <c r="X4776" s="11">
        <v>0.2130015966520465</v>
      </c>
      <c r="Y4776" s="11">
        <v>0.21901550281612195</v>
      </c>
      <c r="Z4776" s="11">
        <v>0.026894680877129824</v>
      </c>
    </row>
    <row r="4777" ht="22.5" customHeight="1">
      <c r="Q4777" s="9" t="s">
        <v>4815</v>
      </c>
      <c r="R4777" s="10">
        <v>0.3309895412763491</v>
      </c>
      <c r="S4777" s="10">
        <v>0.014487705217292101</v>
      </c>
      <c r="T4777" s="10">
        <v>20.085274852847814</v>
      </c>
      <c r="U4777" s="11">
        <v>0.27481292941920293</v>
      </c>
      <c r="V4777" s="11">
        <v>0.03754433256574873</v>
      </c>
      <c r="W4777" s="11">
        <v>0.09790653982497725</v>
      </c>
      <c r="X4777" s="11">
        <v>0.16402989413346813</v>
      </c>
      <c r="Y4777" s="11">
        <v>0.25822238887667426</v>
      </c>
      <c r="Z4777" s="11">
        <v>0.1674839151799287</v>
      </c>
    </row>
    <row r="4778" ht="22.5" customHeight="1">
      <c r="Q4778" s="9" t="s">
        <v>4816</v>
      </c>
      <c r="R4778" s="10">
        <v>0.633617510511499</v>
      </c>
      <c r="S4778" s="10">
        <v>0.029555083783224117</v>
      </c>
      <c r="T4778" s="10">
        <v>20.0851235904276</v>
      </c>
      <c r="U4778" s="11">
        <v>0.11663946176111713</v>
      </c>
      <c r="V4778" s="11">
        <v>0.16265503504915194</v>
      </c>
      <c r="W4778" s="11">
        <v>0.21487246012782088</v>
      </c>
      <c r="X4778" s="11">
        <v>0.043025838891357984</v>
      </c>
      <c r="Y4778" s="11">
        <v>0.24925928770399272</v>
      </c>
      <c r="Z4778" s="11">
        <v>0.21354791646655932</v>
      </c>
    </row>
    <row r="4779" ht="22.5" customHeight="1">
      <c r="Q4779" s="9" t="s">
        <v>4817</v>
      </c>
      <c r="R4779" s="10">
        <v>0.39789362798583955</v>
      </c>
      <c r="S4779" s="10">
        <v>0.017818868503078688</v>
      </c>
      <c r="T4779" s="10">
        <v>20.085092828649802</v>
      </c>
      <c r="U4779" s="11">
        <v>0.31333458755268456</v>
      </c>
      <c r="V4779" s="11">
        <v>0.14259786499029956</v>
      </c>
      <c r="W4779" s="11">
        <v>0.02440449697860998</v>
      </c>
      <c r="X4779" s="11">
        <v>0.24394190513075362</v>
      </c>
      <c r="Y4779" s="11">
        <v>0.2544475320554191</v>
      </c>
      <c r="Z4779" s="11">
        <v>0.02127361329223315</v>
      </c>
    </row>
    <row r="4780" ht="22.5" customHeight="1">
      <c r="Q4780" s="9" t="s">
        <v>4818</v>
      </c>
      <c r="R4780" s="10">
        <v>0.522331348251574</v>
      </c>
      <c r="S4780" s="10">
        <v>0.027910694944274884</v>
      </c>
      <c r="T4780" s="10">
        <v>20.084828019460925</v>
      </c>
      <c r="U4780" s="11">
        <v>0.2201942898277252</v>
      </c>
      <c r="V4780" s="11">
        <v>0.2412204768696911</v>
      </c>
      <c r="W4780" s="11">
        <v>0.10535185940123307</v>
      </c>
      <c r="X4780" s="11">
        <v>0.1367104848880362</v>
      </c>
      <c r="Y4780" s="11">
        <v>0.038546539429202956</v>
      </c>
      <c r="Z4780" s="11">
        <v>0.2579763495841115</v>
      </c>
    </row>
    <row r="4781" ht="22.5" customHeight="1">
      <c r="Q4781" s="9" t="s">
        <v>4819</v>
      </c>
      <c r="R4781" s="10">
        <v>0.7908020342442819</v>
      </c>
      <c r="S4781" s="10">
        <v>0.037382997566182664</v>
      </c>
      <c r="T4781" s="10">
        <v>20.084051122841764</v>
      </c>
      <c r="U4781" s="11">
        <v>0.09672220256481355</v>
      </c>
      <c r="V4781" s="11">
        <v>0.21596463200392785</v>
      </c>
      <c r="W4781" s="11">
        <v>0.27197871190927003</v>
      </c>
      <c r="X4781" s="11">
        <v>0.10007493522829931</v>
      </c>
      <c r="Y4781" s="11">
        <v>0.19662515494232574</v>
      </c>
      <c r="Z4781" s="11">
        <v>0.1186343633513635</v>
      </c>
    </row>
    <row r="4782" ht="22.5" customHeight="1">
      <c r="Q4782" s="9" t="s">
        <v>4820</v>
      </c>
      <c r="R4782" s="10">
        <v>0.6982628566452491</v>
      </c>
      <c r="S4782" s="10">
        <v>0.032776663508304674</v>
      </c>
      <c r="T4782" s="10">
        <v>20.083278350722427</v>
      </c>
      <c r="U4782" s="11">
        <v>0.14921660318076774</v>
      </c>
      <c r="V4782" s="11">
        <v>0.18173267519900227</v>
      </c>
      <c r="W4782" s="11">
        <v>0.24350665730727888</v>
      </c>
      <c r="X4782" s="11">
        <v>0.09543219878338174</v>
      </c>
      <c r="Y4782" s="11">
        <v>0.11500626570924653</v>
      </c>
      <c r="Z4782" s="11">
        <v>0.21510559982032276</v>
      </c>
    </row>
    <row r="4783" ht="22.5" customHeight="1">
      <c r="Q4783" s="9" t="s">
        <v>4821</v>
      </c>
      <c r="R4783" s="10">
        <v>0.522331348251574</v>
      </c>
      <c r="S4783" s="10">
        <v>0.034318666086205075</v>
      </c>
      <c r="T4783" s="10">
        <v>20.083221302930976</v>
      </c>
      <c r="U4783" s="11">
        <v>0.1319793509458606</v>
      </c>
      <c r="V4783" s="11">
        <v>0.21237309477752428</v>
      </c>
      <c r="W4783" s="11">
        <v>0.23885787640204617</v>
      </c>
      <c r="X4783" s="11">
        <v>0.03241806906032507</v>
      </c>
      <c r="Y4783" s="11">
        <v>0.17853871240414754</v>
      </c>
      <c r="Z4783" s="11">
        <v>0.2058328964100963</v>
      </c>
    </row>
    <row r="4784" ht="22.5" customHeight="1">
      <c r="Q4784" s="9" t="s">
        <v>4822</v>
      </c>
      <c r="R4784" s="10">
        <v>0.6646876930652861</v>
      </c>
      <c r="S4784" s="10">
        <v>0.031105208512205475</v>
      </c>
      <c r="T4784" s="10">
        <v>20.083057563178293</v>
      </c>
      <c r="U4784" s="11">
        <v>0.076403196290012</v>
      </c>
      <c r="V4784" s="11">
        <v>0.2709347287685924</v>
      </c>
      <c r="W4784" s="11">
        <v>0.1142383947120217</v>
      </c>
      <c r="X4784" s="11">
        <v>0.17397540190490451</v>
      </c>
      <c r="Y4784" s="11">
        <v>0.1746580340908788</v>
      </c>
      <c r="Z4784" s="11">
        <v>0.1897902442335905</v>
      </c>
    </row>
    <row r="4785" ht="22.5" customHeight="1">
      <c r="Q4785" s="9" t="s">
        <v>4823</v>
      </c>
      <c r="R4785" s="10">
        <v>0.6359557562276279</v>
      </c>
      <c r="S4785" s="10">
        <v>0.029674942045351184</v>
      </c>
      <c r="T4785" s="10">
        <v>20.08279427527944</v>
      </c>
      <c r="U4785" s="11">
        <v>0.2567223256563671</v>
      </c>
      <c r="V4785" s="11">
        <v>0.13925965884832275</v>
      </c>
      <c r="W4785" s="11">
        <v>0.22882909432731272</v>
      </c>
      <c r="X4785" s="11">
        <v>0.11342255462088285</v>
      </c>
      <c r="Y4785" s="11">
        <v>0.18504535978380204</v>
      </c>
      <c r="Z4785" s="11">
        <v>0.07672100676331255</v>
      </c>
    </row>
    <row r="4786" ht="22.5" customHeight="1">
      <c r="Q4786" s="9" t="s">
        <v>4824</v>
      </c>
      <c r="R4786" s="10">
        <v>0.4570591715171297</v>
      </c>
      <c r="S4786" s="10">
        <v>0.02076762594513538</v>
      </c>
      <c r="T4786" s="10">
        <v>20.082178512793462</v>
      </c>
      <c r="U4786" s="11">
        <v>0.2246993798773991</v>
      </c>
      <c r="V4786" s="11">
        <v>0.18247562557258099</v>
      </c>
      <c r="W4786" s="11">
        <v>0.04187003840148317</v>
      </c>
      <c r="X4786" s="11">
        <v>0.25599924904151933</v>
      </c>
      <c r="Y4786" s="11">
        <v>0.08306854886334786</v>
      </c>
      <c r="Z4786" s="11">
        <v>0.21188715824366955</v>
      </c>
    </row>
    <row r="4787" ht="22.5" customHeight="1">
      <c r="Q4787" s="9" t="s">
        <v>4825</v>
      </c>
      <c r="R4787" s="10">
        <v>0.7863074396839291</v>
      </c>
      <c r="S4787" s="10">
        <v>0.037162756960276454</v>
      </c>
      <c r="T4787" s="10">
        <v>20.08213331647226</v>
      </c>
      <c r="U4787" s="11">
        <v>0.14607298514715558</v>
      </c>
      <c r="V4787" s="11">
        <v>0.2346734549021073</v>
      </c>
      <c r="W4787" s="11">
        <v>0.25572385621005456</v>
      </c>
      <c r="X4787" s="11">
        <v>0.03774557052766645</v>
      </c>
      <c r="Y4787" s="11">
        <v>0.18238140186056656</v>
      </c>
      <c r="Z4787" s="11">
        <v>0.14340273135244963</v>
      </c>
    </row>
    <row r="4788" ht="22.5" customHeight="1">
      <c r="Q4788" s="9" t="s">
        <v>4826</v>
      </c>
      <c r="R4788" s="10">
        <v>0.6292448022579721</v>
      </c>
      <c r="S4788" s="10">
        <v>0.029343530650919616</v>
      </c>
      <c r="T4788" s="10">
        <v>20.080910142266923</v>
      </c>
      <c r="U4788" s="11">
        <v>0.04039804039866516</v>
      </c>
      <c r="V4788" s="11">
        <v>0.23975002739040893</v>
      </c>
      <c r="W4788" s="11">
        <v>0.12425138186754477</v>
      </c>
      <c r="X4788" s="11">
        <v>0.057780084502093404</v>
      </c>
      <c r="Y4788" s="11">
        <v>0.36737270913265957</v>
      </c>
      <c r="Z4788" s="11">
        <v>0.17044775670862825</v>
      </c>
    </row>
    <row r="4789" ht="22.5" customHeight="1">
      <c r="Q4789" s="9" t="s">
        <v>4827</v>
      </c>
      <c r="R4789" s="10">
        <v>0.4193825625518774</v>
      </c>
      <c r="S4789" s="10">
        <v>0.0188930200918838</v>
      </c>
      <c r="T4789" s="10">
        <v>20.080567358040092</v>
      </c>
      <c r="U4789" s="11">
        <v>0.3510493982711786</v>
      </c>
      <c r="V4789" s="11">
        <v>0.10085137896301595</v>
      </c>
      <c r="W4789" s="11">
        <v>0.12625776444410355</v>
      </c>
      <c r="X4789" s="11">
        <v>0.026574231498297823</v>
      </c>
      <c r="Y4789" s="11">
        <v>0.046851142021723455</v>
      </c>
      <c r="Z4789" s="11">
        <v>0.3484160848016807</v>
      </c>
    </row>
    <row r="4790" ht="22.5" customHeight="1">
      <c r="Q4790" s="9" t="s">
        <v>4828</v>
      </c>
      <c r="R4790" s="10">
        <v>0.5066181942092508</v>
      </c>
      <c r="S4790" s="10">
        <v>0.023237458069103167</v>
      </c>
      <c r="T4790" s="10">
        <v>20.080431896708728</v>
      </c>
      <c r="U4790" s="11">
        <v>0.17673755334863955</v>
      </c>
      <c r="V4790" s="11">
        <v>0.20201442180802093</v>
      </c>
      <c r="W4790" s="11">
        <v>0.07779372187736029</v>
      </c>
      <c r="X4790" s="11">
        <v>0.12884892994014827</v>
      </c>
      <c r="Y4790" s="11">
        <v>0.07853364217448958</v>
      </c>
      <c r="Z4790" s="11">
        <v>0.33607173085134145</v>
      </c>
    </row>
    <row r="4791" ht="22.5" customHeight="1">
      <c r="Q4791" s="9" t="s">
        <v>4829</v>
      </c>
      <c r="R4791" s="10">
        <v>0.6002567806614421</v>
      </c>
      <c r="S4791" s="10">
        <v>0.027901981852185946</v>
      </c>
      <c r="T4791" s="10">
        <v>20.07946186867545</v>
      </c>
      <c r="U4791" s="11">
        <v>0.1591612291467225</v>
      </c>
      <c r="V4791" s="11">
        <v>0.24662028950501586</v>
      </c>
      <c r="W4791" s="11">
        <v>0.08966731454451217</v>
      </c>
      <c r="X4791" s="11">
        <v>0.2005565130728759</v>
      </c>
      <c r="Y4791" s="11">
        <v>0.10081762876878658</v>
      </c>
      <c r="Z4791" s="11">
        <v>0.20317702496208703</v>
      </c>
    </row>
    <row r="4792" ht="22.5" customHeight="1">
      <c r="Q4792" s="9" t="s">
        <v>4830</v>
      </c>
      <c r="R4792" s="10">
        <v>0.8473939649087334</v>
      </c>
      <c r="S4792" s="10">
        <v>0.04021128612073949</v>
      </c>
      <c r="T4792" s="10">
        <v>20.078789882134846</v>
      </c>
      <c r="U4792" s="11">
        <v>0.1271450823067949</v>
      </c>
      <c r="V4792" s="11">
        <v>0.29383898595492297</v>
      </c>
      <c r="W4792" s="11">
        <v>0.24302039633987843</v>
      </c>
      <c r="X4792" s="11">
        <v>0.044104832372606206</v>
      </c>
      <c r="Y4792" s="11">
        <v>0.12451537264399938</v>
      </c>
      <c r="Z4792" s="11">
        <v>0.16737533038179808</v>
      </c>
    </row>
    <row r="4793" ht="22.5" customHeight="1">
      <c r="Q4793" s="9" t="s">
        <v>4831</v>
      </c>
      <c r="R4793" s="10">
        <v>0.6565296051391034</v>
      </c>
      <c r="S4793" s="10">
        <v>0.030705552703638287</v>
      </c>
      <c r="T4793" s="10">
        <v>20.078765918649335</v>
      </c>
      <c r="U4793" s="11">
        <v>0.2201552308087389</v>
      </c>
      <c r="V4793" s="11">
        <v>0.130146209851062</v>
      </c>
      <c r="W4793" s="11">
        <v>0.2461472637686466</v>
      </c>
      <c r="X4793" s="11">
        <v>0.250950387997756</v>
      </c>
      <c r="Y4793" s="11">
        <v>0.06213846246984984</v>
      </c>
      <c r="Z4793" s="11">
        <v>0.09046244510394641</v>
      </c>
    </row>
    <row r="4794" ht="22.5" customHeight="1">
      <c r="Q4794" s="9" t="s">
        <v>4832</v>
      </c>
      <c r="R4794" s="10">
        <v>0.522331348251574</v>
      </c>
      <c r="S4794" s="10">
        <v>0.03637929262180492</v>
      </c>
      <c r="T4794" s="10">
        <v>20.077749715166142</v>
      </c>
      <c r="U4794" s="11">
        <v>0.00818165871427928</v>
      </c>
      <c r="V4794" s="11">
        <v>0.18969213103454446</v>
      </c>
      <c r="W4794" s="11">
        <v>0.2754976171387382</v>
      </c>
      <c r="X4794" s="11">
        <v>0.17935499577761088</v>
      </c>
      <c r="Y4794" s="11">
        <v>0.24112622857160104</v>
      </c>
      <c r="Z4794" s="11">
        <v>0.10614736876322597</v>
      </c>
    </row>
    <row r="4795" ht="22.5" customHeight="1">
      <c r="Q4795" s="9" t="s">
        <v>4833</v>
      </c>
      <c r="R4795" s="10">
        <v>0.8024888923098772</v>
      </c>
      <c r="S4795" s="10">
        <v>0.03797729223741909</v>
      </c>
      <c r="T4795" s="10">
        <v>20.07749492889321</v>
      </c>
      <c r="U4795" s="11">
        <v>0.22579829916112834</v>
      </c>
      <c r="V4795" s="11">
        <v>0.2240661073510576</v>
      </c>
      <c r="W4795" s="11">
        <v>0.2754711596787059</v>
      </c>
      <c r="X4795" s="11">
        <v>0.11750293034724635</v>
      </c>
      <c r="Y4795" s="11">
        <v>0.02269209016579492</v>
      </c>
      <c r="Z4795" s="11">
        <v>0.1344694132960669</v>
      </c>
    </row>
    <row r="4796" ht="22.5" customHeight="1">
      <c r="Q4796" s="9" t="s">
        <v>4834</v>
      </c>
      <c r="R4796" s="10">
        <v>0.7665928654915843</v>
      </c>
      <c r="S4796" s="10">
        <v>0.0361897455849901</v>
      </c>
      <c r="T4796" s="10">
        <v>20.077313441875724</v>
      </c>
      <c r="U4796" s="11">
        <v>0.03846515875447499</v>
      </c>
      <c r="V4796" s="11">
        <v>0.23696754295294994</v>
      </c>
      <c r="W4796" s="11">
        <v>0.24031337398948968</v>
      </c>
      <c r="X4796" s="11">
        <v>0.026800506539776062</v>
      </c>
      <c r="Y4796" s="11">
        <v>0.2615402075415383</v>
      </c>
      <c r="Z4796" s="11">
        <v>0.19591321022177102</v>
      </c>
    </row>
    <row r="4797" ht="22.5" customHeight="1">
      <c r="Q4797" s="9" t="s">
        <v>4835</v>
      </c>
      <c r="R4797" s="10">
        <v>0.7056445711158302</v>
      </c>
      <c r="S4797" s="10">
        <v>0.0331542784342439</v>
      </c>
      <c r="T4797" s="10">
        <v>20.077184681790847</v>
      </c>
      <c r="U4797" s="11">
        <v>0.017541649704330944</v>
      </c>
      <c r="V4797" s="11">
        <v>0.15033426476504508</v>
      </c>
      <c r="W4797" s="11">
        <v>0.2568134609480105</v>
      </c>
      <c r="X4797" s="11">
        <v>0.22275391550106527</v>
      </c>
      <c r="Y4797" s="11">
        <v>0.32291909615842157</v>
      </c>
      <c r="Z4797" s="11">
        <v>0.029637612923126777</v>
      </c>
    </row>
    <row r="4798" ht="22.5" customHeight="1">
      <c r="Q4798" s="9" t="s">
        <v>4836</v>
      </c>
      <c r="R4798" s="10">
        <v>0.32529978971222406</v>
      </c>
      <c r="S4798" s="10">
        <v>0.014210224293110741</v>
      </c>
      <c r="T4798" s="10">
        <v>20.077078575778728</v>
      </c>
      <c r="U4798" s="11">
        <v>0.2855569404175642</v>
      </c>
      <c r="V4798" s="11">
        <v>0.10305803943156547</v>
      </c>
      <c r="W4798" s="11">
        <v>0.018327980214114775</v>
      </c>
      <c r="X4798" s="11">
        <v>0.20695222358807727</v>
      </c>
      <c r="Y4798" s="11">
        <v>0.2623038408443913</v>
      </c>
      <c r="Z4798" s="11">
        <v>0.1238009755042868</v>
      </c>
    </row>
    <row r="4799" ht="22.5" customHeight="1">
      <c r="Q4799" s="9" t="s">
        <v>4837</v>
      </c>
      <c r="R4799" s="10">
        <v>0.7922791518276247</v>
      </c>
      <c r="S4799" s="10">
        <v>0.03747112806781246</v>
      </c>
      <c r="T4799" s="10">
        <v>20.076234440185672</v>
      </c>
      <c r="U4799" s="11">
        <v>0.056926948575670294</v>
      </c>
      <c r="V4799" s="11">
        <v>0.2406965792608594</v>
      </c>
      <c r="W4799" s="11">
        <v>0.2553764110093972</v>
      </c>
      <c r="X4799" s="11">
        <v>0.051028319013689906</v>
      </c>
      <c r="Y4799" s="11">
        <v>0.2027614611486906</v>
      </c>
      <c r="Z4799" s="11">
        <v>0.19321028099169252</v>
      </c>
    </row>
    <row r="4800" ht="22.5" customHeight="1">
      <c r="Q4800" s="9" t="s">
        <v>4838</v>
      </c>
      <c r="R4800" s="10">
        <v>0.522331348251574</v>
      </c>
      <c r="S4800" s="10">
        <v>0.03502788135033813</v>
      </c>
      <c r="T4800" s="10">
        <v>20.074896235416713</v>
      </c>
      <c r="U4800" s="11">
        <v>0.0320235668269001</v>
      </c>
      <c r="V4800" s="11">
        <v>0.24176849723067728</v>
      </c>
      <c r="W4800" s="11">
        <v>0.22184218516362061</v>
      </c>
      <c r="X4800" s="11">
        <v>0.011988578432261464</v>
      </c>
      <c r="Y4800" s="11">
        <v>0.24134063594802982</v>
      </c>
      <c r="Z4800" s="11">
        <v>0.2510365363985107</v>
      </c>
    </row>
    <row r="4801" ht="22.5" customHeight="1">
      <c r="Q4801" s="9" t="s">
        <v>4839</v>
      </c>
      <c r="R4801" s="10">
        <v>0.503724075368271</v>
      </c>
      <c r="S4801" s="10">
        <v>0.02309991259827015</v>
      </c>
      <c r="T4801" s="10">
        <v>20.074711252500467</v>
      </c>
      <c r="U4801" s="11">
        <v>0.17848208214667038</v>
      </c>
      <c r="V4801" s="11">
        <v>0.12256956532800259</v>
      </c>
      <c r="W4801" s="11">
        <v>0.16193113770050002</v>
      </c>
      <c r="X4801" s="11">
        <v>0.0016440915871948868</v>
      </c>
      <c r="Y4801" s="11">
        <v>0.27019010527615295</v>
      </c>
      <c r="Z4801" s="11">
        <v>0.2651830179614791</v>
      </c>
    </row>
    <row r="4802" ht="22.5" customHeight="1">
      <c r="Q4802" s="9" t="s">
        <v>4840</v>
      </c>
      <c r="R4802" s="10">
        <v>0.522331348251574</v>
      </c>
      <c r="S4802" s="10">
        <v>0.03304855527943978</v>
      </c>
      <c r="T4802" s="10">
        <v>20.07402433818191</v>
      </c>
      <c r="U4802" s="11">
        <v>0.06263749174274609</v>
      </c>
      <c r="V4802" s="11">
        <v>0.16390425608085427</v>
      </c>
      <c r="W4802" s="11">
        <v>0.2574139300560184</v>
      </c>
      <c r="X4802" s="11">
        <v>0.24691181611701185</v>
      </c>
      <c r="Y4802" s="11">
        <v>0.02018959293183552</v>
      </c>
      <c r="Z4802" s="11">
        <v>0.24894291307153393</v>
      </c>
    </row>
    <row r="4803" ht="22.5" customHeight="1">
      <c r="Q4803" s="9" t="s">
        <v>4841</v>
      </c>
      <c r="R4803" s="10">
        <v>0.5379642728835982</v>
      </c>
      <c r="S4803" s="10">
        <v>0.02480674189286139</v>
      </c>
      <c r="T4803" s="10">
        <v>20.07374749309166</v>
      </c>
      <c r="U4803" s="11">
        <v>0.2468816518690833</v>
      </c>
      <c r="V4803" s="11">
        <v>0.21997746187967843</v>
      </c>
      <c r="W4803" s="11">
        <v>0.06292612508212693</v>
      </c>
      <c r="X4803" s="11">
        <v>0.26336321178547945</v>
      </c>
      <c r="Y4803" s="11">
        <v>0.04167928800478043</v>
      </c>
      <c r="Z4803" s="11">
        <v>0.16517226137885138</v>
      </c>
    </row>
    <row r="4804" ht="22.5" customHeight="1">
      <c r="Q4804" s="9" t="s">
        <v>4842</v>
      </c>
      <c r="R4804" s="10">
        <v>0.7394467537481012</v>
      </c>
      <c r="S4804" s="10">
        <v>0.03484419478224384</v>
      </c>
      <c r="T4804" s="10">
        <v>20.073551939404563</v>
      </c>
      <c r="U4804" s="11">
        <v>0.2510426502999143</v>
      </c>
      <c r="V4804" s="11">
        <v>0.1715455934248951</v>
      </c>
      <c r="W4804" s="11">
        <v>0.26925592888652405</v>
      </c>
      <c r="X4804" s="11">
        <v>0.16232568322593072</v>
      </c>
      <c r="Y4804" s="11">
        <v>0.12587501294201164</v>
      </c>
      <c r="Z4804" s="11">
        <v>0.019955131220724242</v>
      </c>
    </row>
    <row r="4805" ht="22.5" customHeight="1">
      <c r="Q4805" s="9" t="s">
        <v>4843</v>
      </c>
      <c r="R4805" s="10">
        <v>0.522331348251574</v>
      </c>
      <c r="S4805" s="10">
        <v>0.012643018420034374</v>
      </c>
      <c r="T4805" s="10">
        <v>20.073442714504996</v>
      </c>
      <c r="U4805" s="11">
        <v>0.20095701730533133</v>
      </c>
      <c r="V4805" s="11">
        <v>0.014995186361507073</v>
      </c>
      <c r="W4805" s="11">
        <v>0.0762276825316818</v>
      </c>
      <c r="X4805" s="11">
        <v>0.33831665821959284</v>
      </c>
      <c r="Y4805" s="11">
        <v>0.24002121269617918</v>
      </c>
      <c r="Z4805" s="11">
        <v>0.12948224288570787</v>
      </c>
    </row>
    <row r="4806" ht="22.5" customHeight="1">
      <c r="Q4806" s="9" t="s">
        <v>4844</v>
      </c>
      <c r="R4806" s="10">
        <v>0.6577228525544945</v>
      </c>
      <c r="S4806" s="10">
        <v>0.030773160862393067</v>
      </c>
      <c r="T4806" s="10">
        <v>20.073428768553786</v>
      </c>
      <c r="U4806" s="11">
        <v>0.1501921273477464</v>
      </c>
      <c r="V4806" s="11">
        <v>0.24253065841074262</v>
      </c>
      <c r="W4806" s="11">
        <v>0.15820445874556166</v>
      </c>
      <c r="X4806" s="11">
        <v>6.140893493916254E-4</v>
      </c>
      <c r="Y4806" s="11">
        <v>0.17308714999765082</v>
      </c>
      <c r="Z4806" s="11">
        <v>0.27537151614890687</v>
      </c>
    </row>
    <row r="4807" ht="22.5" customHeight="1">
      <c r="Q4807" s="9" t="s">
        <v>4845</v>
      </c>
      <c r="R4807" s="10">
        <v>0.6102028966560272</v>
      </c>
      <c r="S4807" s="10">
        <v>0.028406126297143085</v>
      </c>
      <c r="T4807" s="10">
        <v>20.07323669167009</v>
      </c>
      <c r="U4807" s="11">
        <v>0.1367453342873847</v>
      </c>
      <c r="V4807" s="11">
        <v>0.24214211162077365</v>
      </c>
      <c r="W4807" s="11">
        <v>0.10573779194918424</v>
      </c>
      <c r="X4807" s="11">
        <v>0.0917249835233504</v>
      </c>
      <c r="Y4807" s="11">
        <v>0.2609161538230587</v>
      </c>
      <c r="Z4807" s="11">
        <v>0.1627336247962482</v>
      </c>
    </row>
    <row r="4808" ht="22.5" customHeight="1">
      <c r="Q4808" s="9" t="s">
        <v>4846</v>
      </c>
      <c r="R4808" s="10">
        <v>0.5149579962943628</v>
      </c>
      <c r="S4808" s="10">
        <v>0.023661374181780687</v>
      </c>
      <c r="T4808" s="10">
        <v>20.0731366084427</v>
      </c>
      <c r="U4808" s="11">
        <v>0.16176102734672862</v>
      </c>
      <c r="V4808" s="11">
        <v>0.19797068747496943</v>
      </c>
      <c r="W4808" s="11">
        <v>0.08345222093402421</v>
      </c>
      <c r="X4808" s="11">
        <v>0.058443751319527136</v>
      </c>
      <c r="Y4808" s="11">
        <v>0.28277123010556715</v>
      </c>
      <c r="Z4808" s="11">
        <v>0.21560108281918328</v>
      </c>
    </row>
    <row r="4809" ht="22.5" customHeight="1">
      <c r="Q4809" s="9" t="s">
        <v>4847</v>
      </c>
      <c r="R4809" s="10">
        <v>0.7254125753773597</v>
      </c>
      <c r="S4809" s="10">
        <v>0.034146111968390645</v>
      </c>
      <c r="T4809" s="10">
        <v>20.072931759019944</v>
      </c>
      <c r="U4809" s="11">
        <v>0.20056162521934226</v>
      </c>
      <c r="V4809" s="11">
        <v>0.289515065846095</v>
      </c>
      <c r="W4809" s="11">
        <v>0.13460590949218393</v>
      </c>
      <c r="X4809" s="11">
        <v>0.11628863011345436</v>
      </c>
      <c r="Y4809" s="11">
        <v>0.25404199111974646</v>
      </c>
      <c r="Z4809" s="11">
        <v>0.004986778209178079</v>
      </c>
    </row>
    <row r="4810" ht="22.5" customHeight="1">
      <c r="Q4810" s="9" t="s">
        <v>4848</v>
      </c>
      <c r="R4810" s="10">
        <v>0.676621390628744</v>
      </c>
      <c r="S4810" s="10">
        <v>0.03171692595046895</v>
      </c>
      <c r="T4810" s="10">
        <v>20.071976446359592</v>
      </c>
      <c r="U4810" s="11">
        <v>0.213958717980597</v>
      </c>
      <c r="V4810" s="11">
        <v>0.1550322351307485</v>
      </c>
      <c r="W4810" s="11">
        <v>0.24591934905620316</v>
      </c>
      <c r="X4810" s="11">
        <v>0.14795584669726203</v>
      </c>
      <c r="Y4810" s="11">
        <v>0.10321224531036585</v>
      </c>
      <c r="Z4810" s="11">
        <v>0.13392160582482338</v>
      </c>
    </row>
    <row r="4811" ht="22.5" customHeight="1">
      <c r="Q4811" s="9" t="s">
        <v>4849</v>
      </c>
      <c r="R4811" s="10">
        <v>0.7231516372679622</v>
      </c>
      <c r="S4811" s="10">
        <v>0.03403533142426515</v>
      </c>
      <c r="T4811" s="10">
        <v>20.071837372528595</v>
      </c>
      <c r="U4811" s="11">
        <v>0.2598396458714571</v>
      </c>
      <c r="V4811" s="11">
        <v>0.23716777757212573</v>
      </c>
      <c r="W4811" s="11">
        <v>0.21479601228873693</v>
      </c>
      <c r="X4811" s="11">
        <v>0.011962376222662519</v>
      </c>
      <c r="Y4811" s="11">
        <v>0.033017771309107734</v>
      </c>
      <c r="Z4811" s="11">
        <v>0.2432164167359099</v>
      </c>
    </row>
    <row r="4812" ht="22.5" customHeight="1">
      <c r="Q4812" s="9" t="s">
        <v>4850</v>
      </c>
      <c r="R4812" s="10">
        <v>0.4901716043527274</v>
      </c>
      <c r="S4812" s="10">
        <v>0.022428024650711142</v>
      </c>
      <c r="T4812" s="10">
        <v>20.07183474084747</v>
      </c>
      <c r="U4812" s="11">
        <v>0.06610751226245225</v>
      </c>
      <c r="V4812" s="11">
        <v>0.076310016063709</v>
      </c>
      <c r="W4812" s="11">
        <v>0.17857347722220981</v>
      </c>
      <c r="X4812" s="11">
        <v>0.2318714811137296</v>
      </c>
      <c r="Y4812" s="11">
        <v>0.23282675775165448</v>
      </c>
      <c r="Z4812" s="11">
        <v>0.21431075558624474</v>
      </c>
    </row>
    <row r="4813" ht="22.5" customHeight="1">
      <c r="Q4813" s="9" t="s">
        <v>4851</v>
      </c>
      <c r="R4813" s="10">
        <v>0.522331348251574</v>
      </c>
      <c r="S4813" s="10">
        <v>0.036611609706058035</v>
      </c>
      <c r="T4813" s="10">
        <v>20.070465213789205</v>
      </c>
      <c r="U4813" s="11">
        <v>0.055614447088802116</v>
      </c>
      <c r="V4813" s="11">
        <v>0.17291859617227345</v>
      </c>
      <c r="W4813" s="11">
        <v>0.2886846732097449</v>
      </c>
      <c r="X4813" s="11">
        <v>0.33737090016230714</v>
      </c>
      <c r="Y4813" s="11">
        <v>0.021998319539412708</v>
      </c>
      <c r="Z4813" s="11">
        <v>0.12341306382745969</v>
      </c>
    </row>
    <row r="4814" ht="22.5" customHeight="1">
      <c r="Q4814" s="9" t="s">
        <v>4852</v>
      </c>
      <c r="R4814" s="10">
        <v>0.3765255341607512</v>
      </c>
      <c r="S4814" s="10">
        <v>0.01676724137752709</v>
      </c>
      <c r="T4814" s="10">
        <v>20.070417463649797</v>
      </c>
      <c r="U4814" s="11">
        <v>0.2882076819582585</v>
      </c>
      <c r="V4814" s="11">
        <v>0.07418530059968044</v>
      </c>
      <c r="W4814" s="11">
        <v>0.1142235937431203</v>
      </c>
      <c r="X4814" s="11">
        <v>0.03795085305955262</v>
      </c>
      <c r="Y4814" s="11">
        <v>0.18832669231202098</v>
      </c>
      <c r="Z4814" s="11">
        <v>0.29710587832736707</v>
      </c>
    </row>
    <row r="4815" ht="22.5" customHeight="1">
      <c r="Q4815" s="9" t="s">
        <v>4853</v>
      </c>
      <c r="R4815" s="10">
        <v>0.33659383689827804</v>
      </c>
      <c r="S4815" s="10">
        <v>0.01477768445028424</v>
      </c>
      <c r="T4815" s="10">
        <v>20.070386392136914</v>
      </c>
      <c r="U4815" s="11">
        <v>0.13495633042750735</v>
      </c>
      <c r="V4815" s="11">
        <v>0.026646617041547093</v>
      </c>
      <c r="W4815" s="11">
        <v>0.10935711023032291</v>
      </c>
      <c r="X4815" s="11">
        <v>0.3194123603490155</v>
      </c>
      <c r="Y4815" s="11">
        <v>0.13454250662688108</v>
      </c>
      <c r="Z4815" s="11">
        <v>0.27508507532472615</v>
      </c>
    </row>
    <row r="4816" ht="22.5" customHeight="1">
      <c r="Q4816" s="9" t="s">
        <v>4854</v>
      </c>
      <c r="R4816" s="10">
        <v>0.753123600969175</v>
      </c>
      <c r="S4816" s="10">
        <v>0.03553126185774202</v>
      </c>
      <c r="T4816" s="10">
        <v>20.070314525398434</v>
      </c>
      <c r="U4816" s="11">
        <v>0.24234836326310252</v>
      </c>
      <c r="V4816" s="11">
        <v>0.17708314416012888</v>
      </c>
      <c r="W4816" s="11">
        <v>0.27350491357937756</v>
      </c>
      <c r="X4816" s="11">
        <v>0.15826871614431298</v>
      </c>
      <c r="Y4816" s="11">
        <v>0.13987743884432993</v>
      </c>
      <c r="Z4816" s="11">
        <v>0.008917424008748145</v>
      </c>
    </row>
    <row r="4817" ht="22.5" customHeight="1">
      <c r="Q4817" s="9" t="s">
        <v>4855</v>
      </c>
      <c r="R4817" s="10">
        <v>0.6784119460612973</v>
      </c>
      <c r="S4817" s="10">
        <v>0.03180907966748645</v>
      </c>
      <c r="T4817" s="10">
        <v>20.070116857667152</v>
      </c>
      <c r="U4817" s="11">
        <v>0.23703148811639382</v>
      </c>
      <c r="V4817" s="11">
        <v>0.15023015324633318</v>
      </c>
      <c r="W4817" s="11">
        <v>0.24416553200177502</v>
      </c>
      <c r="X4817" s="11">
        <v>0.12229232124716186</v>
      </c>
      <c r="Y4817" s="11">
        <v>0.2437509213972384</v>
      </c>
      <c r="Z4817" s="11">
        <v>0.0025295839910977067</v>
      </c>
    </row>
    <row r="4818" ht="22.5" customHeight="1">
      <c r="Q4818" s="9" t="s">
        <v>4856</v>
      </c>
      <c r="R4818" s="10">
        <v>0.6068114012116921</v>
      </c>
      <c r="S4818" s="10">
        <v>0.02824178065496027</v>
      </c>
      <c r="T4818" s="10">
        <v>20.069959757021895</v>
      </c>
      <c r="U4818" s="11">
        <v>0.2828504494751417</v>
      </c>
      <c r="V4818" s="11">
        <v>0.16552702145140355</v>
      </c>
      <c r="W4818" s="11">
        <v>0.20056391581732272</v>
      </c>
      <c r="X4818" s="11">
        <v>0.045491819516175785</v>
      </c>
      <c r="Y4818" s="11">
        <v>0.006013365310564674</v>
      </c>
      <c r="Z4818" s="11">
        <v>0.29955342842939153</v>
      </c>
    </row>
    <row r="4819" ht="22.5" customHeight="1">
      <c r="Q4819" s="9" t="s">
        <v>4857</v>
      </c>
      <c r="R4819" s="10">
        <v>0.5258788910081066</v>
      </c>
      <c r="S4819" s="10">
        <v>0.02420926601325205</v>
      </c>
      <c r="T4819" s="10">
        <v>20.069955476640168</v>
      </c>
      <c r="U4819" s="11">
        <v>0.12272304792014876</v>
      </c>
      <c r="V4819" s="11">
        <v>0.08685845874865487</v>
      </c>
      <c r="W4819" s="11">
        <v>0.19637220709442274</v>
      </c>
      <c r="X4819" s="11">
        <v>0.2909757481563921</v>
      </c>
      <c r="Y4819" s="11">
        <v>0.04770903199784357</v>
      </c>
      <c r="Z4819" s="11">
        <v>0.255361506082538</v>
      </c>
    </row>
    <row r="4820" ht="22.5" customHeight="1">
      <c r="Q4820" s="9" t="s">
        <v>4858</v>
      </c>
      <c r="R4820" s="10">
        <v>0.7389043723907752</v>
      </c>
      <c r="S4820" s="10">
        <v>0.03482395202378266</v>
      </c>
      <c r="T4820" s="10">
        <v>20.069645510465488</v>
      </c>
      <c r="U4820" s="11">
        <v>0.12893592995322029</v>
      </c>
      <c r="V4820" s="11">
        <v>0.19477915352263653</v>
      </c>
      <c r="W4820" s="11">
        <v>0.25939555718211255</v>
      </c>
      <c r="X4820" s="11">
        <v>0.12792409021530451</v>
      </c>
      <c r="Y4820" s="11">
        <v>0.0754593356355</v>
      </c>
      <c r="Z4820" s="11">
        <v>0.2135059334912261</v>
      </c>
    </row>
    <row r="4821" ht="22.5" customHeight="1">
      <c r="Q4821" s="9" t="s">
        <v>4859</v>
      </c>
      <c r="R4821" s="10">
        <v>0.7095576450504278</v>
      </c>
      <c r="S4821" s="10">
        <v>0.033361734355438016</v>
      </c>
      <c r="T4821" s="10">
        <v>20.069629411856067</v>
      </c>
      <c r="U4821" s="11">
        <v>8.324578568273118E-4</v>
      </c>
      <c r="V4821" s="11">
        <v>0.282318216092124</v>
      </c>
      <c r="W4821" s="11">
        <v>0.14656764303753594</v>
      </c>
      <c r="X4821" s="11">
        <v>0.1399936079229234</v>
      </c>
      <c r="Y4821" s="11">
        <v>0.13935279357055133</v>
      </c>
      <c r="Z4821" s="11">
        <v>0.29093528152003795</v>
      </c>
    </row>
    <row r="4822" ht="22.5" customHeight="1">
      <c r="Q4822" s="9" t="s">
        <v>4860</v>
      </c>
      <c r="R4822" s="10">
        <v>0.522331348251574</v>
      </c>
      <c r="S4822" s="10">
        <v>0.037878463948050334</v>
      </c>
      <c r="T4822" s="10">
        <v>20.06907036978476</v>
      </c>
      <c r="U4822" s="11">
        <v>0.26282974734759934</v>
      </c>
      <c r="V4822" s="11">
        <v>0.3165992809312255</v>
      </c>
      <c r="W4822" s="11">
        <v>0.17018065653113312</v>
      </c>
      <c r="X4822" s="11">
        <v>0.12221255990268891</v>
      </c>
      <c r="Y4822" s="11">
        <v>0.0749041935068519</v>
      </c>
      <c r="Z4822" s="11">
        <v>0.05327356178050103</v>
      </c>
    </row>
    <row r="4823" ht="22.5" customHeight="1">
      <c r="Q4823" s="9" t="s">
        <v>4861</v>
      </c>
      <c r="R4823" s="10">
        <v>0.8785016476306096</v>
      </c>
      <c r="S4823" s="10">
        <v>0.04178089432783508</v>
      </c>
      <c r="T4823" s="10">
        <v>20.06902104706712</v>
      </c>
      <c r="U4823" s="11">
        <v>0.004743033695012065</v>
      </c>
      <c r="V4823" s="11">
        <v>0.24531497423331602</v>
      </c>
      <c r="W4823" s="11">
        <v>0.3023272547594219</v>
      </c>
      <c r="X4823" s="11">
        <v>0.1529893483236148</v>
      </c>
      <c r="Y4823" s="11">
        <v>0.2150956310122937</v>
      </c>
      <c r="Z4823" s="11">
        <v>0.0795297579763415</v>
      </c>
    </row>
    <row r="4824" ht="22.5" customHeight="1">
      <c r="Q4824" s="9" t="s">
        <v>4862</v>
      </c>
      <c r="R4824" s="10">
        <v>0.7461463314763604</v>
      </c>
      <c r="S4824" s="10">
        <v>0.035186073867331406</v>
      </c>
      <c r="T4824" s="10">
        <v>20.068915166235232</v>
      </c>
      <c r="U4824" s="11">
        <v>0.11141979292204912</v>
      </c>
      <c r="V4824" s="11">
        <v>0.22532230183576157</v>
      </c>
      <c r="W4824" s="11">
        <v>0.24017964751026094</v>
      </c>
      <c r="X4824" s="11">
        <v>0.030507233936750703</v>
      </c>
      <c r="Y4824" s="11">
        <v>0.16374294711469664</v>
      </c>
      <c r="Z4824" s="11">
        <v>0.22882807668048097</v>
      </c>
    </row>
    <row r="4825" ht="22.5" customHeight="1">
      <c r="Q4825" s="9" t="s">
        <v>4863</v>
      </c>
      <c r="R4825" s="10">
        <v>0.5847181621233027</v>
      </c>
      <c r="S4825" s="10">
        <v>0.02714241492531328</v>
      </c>
      <c r="T4825" s="10">
        <v>20.068890834591627</v>
      </c>
      <c r="U4825" s="11">
        <v>0.15473105440438847</v>
      </c>
      <c r="V4825" s="11">
        <v>0.11597169907544992</v>
      </c>
      <c r="W4825" s="11">
        <v>0.21355341653006596</v>
      </c>
      <c r="X4825" s="11">
        <v>0.15466555604050225</v>
      </c>
      <c r="Y4825" s="11">
        <v>0.2126002834393719</v>
      </c>
      <c r="Z4825" s="11">
        <v>0.14847799051022154</v>
      </c>
    </row>
    <row r="4826" ht="22.5" customHeight="1">
      <c r="Q4826" s="9" t="s">
        <v>4864</v>
      </c>
      <c r="R4826" s="10">
        <v>0.7218960975469787</v>
      </c>
      <c r="S4826" s="10">
        <v>0.03397790884438429</v>
      </c>
      <c r="T4826" s="10">
        <v>20.0688070790348</v>
      </c>
      <c r="U4826" s="11">
        <v>0.14654675143622048</v>
      </c>
      <c r="V4826" s="11">
        <v>0.28339185233972997</v>
      </c>
      <c r="W4826" s="11">
        <v>0.15776254881235424</v>
      </c>
      <c r="X4826" s="11">
        <v>0.11880999800090536</v>
      </c>
      <c r="Y4826" s="11">
        <v>0.0256757496942485</v>
      </c>
      <c r="Z4826" s="11">
        <v>0.26781309971654127</v>
      </c>
    </row>
    <row r="4827" ht="22.5" customHeight="1">
      <c r="Q4827" s="9" t="s">
        <v>4865</v>
      </c>
      <c r="R4827" s="10">
        <v>0.6915778962451873</v>
      </c>
      <c r="S4827" s="10">
        <v>0.032467306825898434</v>
      </c>
      <c r="T4827" s="10">
        <v>20.068738677315803</v>
      </c>
      <c r="U4827" s="11">
        <v>0.03910369184424587</v>
      </c>
      <c r="V4827" s="11">
        <v>0.28548931730774324</v>
      </c>
      <c r="W4827" s="11">
        <v>0.11642718812498813</v>
      </c>
      <c r="X4827" s="11">
        <v>0.28920065991323957</v>
      </c>
      <c r="Y4827" s="11">
        <v>0.023869072390876895</v>
      </c>
      <c r="Z4827" s="11">
        <v>0.24591007041890622</v>
      </c>
    </row>
    <row r="4828" ht="22.5" customHeight="1">
      <c r="Q4828" s="9" t="s">
        <v>4866</v>
      </c>
      <c r="R4828" s="10">
        <v>0.8263831717830258</v>
      </c>
      <c r="S4828" s="10">
        <v>0.03918487317933639</v>
      </c>
      <c r="T4828" s="10">
        <v>20.068539412747526</v>
      </c>
      <c r="U4828" s="11">
        <v>0.06572646045287853</v>
      </c>
      <c r="V4828" s="11">
        <v>0.2630649323095922</v>
      </c>
      <c r="W4828" s="11">
        <v>0.26002761645909483</v>
      </c>
      <c r="X4828" s="11">
        <v>0.06202891075376866</v>
      </c>
      <c r="Y4828" s="11">
        <v>0.13495626847169856</v>
      </c>
      <c r="Z4828" s="11">
        <v>0.2141958115529672</v>
      </c>
    </row>
    <row r="4829" ht="22.5" customHeight="1">
      <c r="Q4829" s="9" t="s">
        <v>4867</v>
      </c>
      <c r="R4829" s="10">
        <v>0.602899751484936</v>
      </c>
      <c r="S4829" s="10">
        <v>0.028049191360126617</v>
      </c>
      <c r="T4829" s="10">
        <v>20.068305865142595</v>
      </c>
      <c r="U4829" s="11">
        <v>0.08674050323521398</v>
      </c>
      <c r="V4829" s="11">
        <v>0.11091199635889529</v>
      </c>
      <c r="W4829" s="11">
        <v>0.22176309108262546</v>
      </c>
      <c r="X4829" s="11">
        <v>0.22047606926477525</v>
      </c>
      <c r="Y4829" s="11">
        <v>0.2861907670887274</v>
      </c>
      <c r="Z4829" s="11">
        <v>0.07391757296976253</v>
      </c>
    </row>
    <row r="4830" ht="22.5" customHeight="1">
      <c r="Q4830" s="9" t="s">
        <v>4868</v>
      </c>
      <c r="R4830" s="10">
        <v>0.5269846066365348</v>
      </c>
      <c r="S4830" s="10">
        <v>0.024266460510451116</v>
      </c>
      <c r="T4830" s="10">
        <v>20.068217465287102</v>
      </c>
      <c r="U4830" s="11">
        <v>0.16980362202518196</v>
      </c>
      <c r="V4830" s="11">
        <v>0.0840906668486636</v>
      </c>
      <c r="W4830" s="11">
        <v>0.19496112019338224</v>
      </c>
      <c r="X4830" s="11">
        <v>0.22583256374326216</v>
      </c>
      <c r="Y4830" s="11">
        <v>0.20177724188344856</v>
      </c>
      <c r="Z4830" s="11">
        <v>0.12353478530606148</v>
      </c>
    </row>
    <row r="4831" ht="22.5" customHeight="1">
      <c r="Q4831" s="9" t="s">
        <v>4869</v>
      </c>
      <c r="R4831" s="10">
        <v>0.6677906290952037</v>
      </c>
      <c r="S4831" s="10">
        <v>0.03128320849690064</v>
      </c>
      <c r="T4831" s="10">
        <v>20.067974458483103</v>
      </c>
      <c r="U4831" s="11">
        <v>0.14995288803661355</v>
      </c>
      <c r="V4831" s="11">
        <v>0.2779369714297045</v>
      </c>
      <c r="W4831" s="11">
        <v>0.09634274382576107</v>
      </c>
      <c r="X4831" s="11">
        <v>0.30298902951095247</v>
      </c>
      <c r="Y4831" s="11">
        <v>0.05974363024686341</v>
      </c>
      <c r="Z4831" s="11">
        <v>0.11303473695010505</v>
      </c>
    </row>
    <row r="4832" ht="22.5" customHeight="1">
      <c r="Q4832" s="9" t="s">
        <v>4870</v>
      </c>
      <c r="R4832" s="10">
        <v>0.6458213100152606</v>
      </c>
      <c r="S4832" s="10">
        <v>0.03018882244983797</v>
      </c>
      <c r="T4832" s="10">
        <v>20.067735699923336</v>
      </c>
      <c r="U4832" s="11">
        <v>0.23205278708550994</v>
      </c>
      <c r="V4832" s="11">
        <v>0.25779577470835136</v>
      </c>
      <c r="W4832" s="11">
        <v>0.11181222925618989</v>
      </c>
      <c r="X4832" s="11">
        <v>0.10005610014678518</v>
      </c>
      <c r="Y4832" s="11">
        <v>0.22582798139147242</v>
      </c>
      <c r="Z4832" s="11">
        <v>0.07245512741169113</v>
      </c>
    </row>
    <row r="4833" ht="22.5" customHeight="1">
      <c r="Q4833" s="9" t="s">
        <v>4871</v>
      </c>
      <c r="R4833" s="10">
        <v>0.4823036901736084</v>
      </c>
      <c r="S4833" s="10">
        <v>0.022040547094638183</v>
      </c>
      <c r="T4833" s="10">
        <v>20.067727369671687</v>
      </c>
      <c r="U4833" s="11">
        <v>0.01878061432423109</v>
      </c>
      <c r="V4833" s="11">
        <v>0.08587740272418062</v>
      </c>
      <c r="W4833" s="11">
        <v>0.17146319343310834</v>
      </c>
      <c r="X4833" s="11">
        <v>0.17389046184838738</v>
      </c>
      <c r="Y4833" s="11">
        <v>0.25463698495210074</v>
      </c>
      <c r="Z4833" s="11">
        <v>0.29535134271799185</v>
      </c>
    </row>
    <row r="4834" ht="22.5" customHeight="1">
      <c r="Q4834" s="9" t="s">
        <v>4872</v>
      </c>
      <c r="R4834" s="10">
        <v>0.6261157822208534</v>
      </c>
      <c r="S4834" s="10">
        <v>0.029208352540796255</v>
      </c>
      <c r="T4834" s="10">
        <v>20.066718292385932</v>
      </c>
      <c r="U4834" s="11">
        <v>0.10880056239193157</v>
      </c>
      <c r="V4834" s="11">
        <v>0.25823746872392855</v>
      </c>
      <c r="W4834" s="11">
        <v>0.08987357277930955</v>
      </c>
      <c r="X4834" s="11">
        <v>0.22448837492489354</v>
      </c>
      <c r="Y4834" s="11">
        <v>0.1852299061125615</v>
      </c>
      <c r="Z4834" s="11">
        <v>0.13337011506737528</v>
      </c>
    </row>
    <row r="4835" ht="22.5" customHeight="1">
      <c r="Q4835" s="9" t="s">
        <v>4873</v>
      </c>
      <c r="R4835" s="10">
        <v>0.9126210859375579</v>
      </c>
      <c r="S4835" s="10">
        <v>0.043486137698794836</v>
      </c>
      <c r="T4835" s="10">
        <v>20.066649560412475</v>
      </c>
      <c r="U4835" s="11">
        <v>0.007729605539918927</v>
      </c>
      <c r="V4835" s="11">
        <v>0.2893828728580211</v>
      </c>
      <c r="W4835" s="11">
        <v>0.28747202290665363</v>
      </c>
      <c r="X4835" s="11">
        <v>0.07958530106817549</v>
      </c>
      <c r="Y4835" s="11">
        <v>0.26119688057612517</v>
      </c>
      <c r="Z4835" s="11">
        <v>0.07463331705110568</v>
      </c>
    </row>
    <row r="4836" ht="22.5" customHeight="1">
      <c r="Q4836" s="9" t="s">
        <v>4874</v>
      </c>
      <c r="R4836" s="10">
        <v>0.9886940211887195</v>
      </c>
      <c r="S4836" s="10">
        <v>0.04727846822843111</v>
      </c>
      <c r="T4836" s="10">
        <v>20.066090479179657</v>
      </c>
      <c r="U4836" s="11">
        <v>0.019335321866893556</v>
      </c>
      <c r="V4836" s="11">
        <v>0.29654790604583653</v>
      </c>
      <c r="W4836" s="11">
        <v>0.33204904328580903</v>
      </c>
      <c r="X4836" s="11">
        <v>0.19600262624180836</v>
      </c>
      <c r="Y4836" s="11">
        <v>0.09361215022548083</v>
      </c>
      <c r="Z4836" s="11">
        <v>0.06245295233417173</v>
      </c>
    </row>
    <row r="4837" ht="22.5" customHeight="1">
      <c r="Q4837" s="9" t="s">
        <v>4875</v>
      </c>
      <c r="R4837" s="10">
        <v>0.7141905057392338</v>
      </c>
      <c r="S4837" s="10">
        <v>0.033600644064960404</v>
      </c>
      <c r="T4837" s="10">
        <v>20.064809008893274</v>
      </c>
      <c r="U4837" s="11">
        <v>0.18419804721132407</v>
      </c>
      <c r="V4837" s="11">
        <v>0.26777070125073893</v>
      </c>
      <c r="W4837" s="11">
        <v>0.1746157639633401</v>
      </c>
      <c r="X4837" s="11">
        <v>0.05743079614247578</v>
      </c>
      <c r="Y4837" s="11">
        <v>0.026062993869163595</v>
      </c>
      <c r="Z4837" s="11">
        <v>0.28992169756295755</v>
      </c>
    </row>
    <row r="4838" ht="22.5" customHeight="1">
      <c r="Q4838" s="9" t="s">
        <v>4876</v>
      </c>
      <c r="R4838" s="10">
        <v>0.7806873228455657</v>
      </c>
      <c r="S4838" s="10">
        <v>0.03691488143469405</v>
      </c>
      <c r="T4838" s="10">
        <v>20.064735251985365</v>
      </c>
      <c r="U4838" s="11">
        <v>0.06170006463169384</v>
      </c>
      <c r="V4838" s="11">
        <v>0.3064969799228132</v>
      </c>
      <c r="W4838" s="11">
        <v>0.16224322721709633</v>
      </c>
      <c r="X4838" s="11">
        <v>0.10811396141771555</v>
      </c>
      <c r="Y4838" s="11">
        <v>0.3070706752548114</v>
      </c>
      <c r="Z4838" s="11">
        <v>0.054375091555869705</v>
      </c>
    </row>
    <row r="4839" ht="22.5" customHeight="1">
      <c r="Q4839" s="9" t="s">
        <v>4877</v>
      </c>
      <c r="R4839" s="10">
        <v>0.8578413597531324</v>
      </c>
      <c r="S4839" s="10">
        <v>0.04076071743995004</v>
      </c>
      <c r="T4839" s="10">
        <v>20.064449575942863</v>
      </c>
      <c r="U4839" s="11">
        <v>0.1803665421726291</v>
      </c>
      <c r="V4839" s="11">
        <v>0.3343833856576859</v>
      </c>
      <c r="W4839" s="11">
        <v>0.19844741040758418</v>
      </c>
      <c r="X4839" s="11">
        <v>0.12891112494275872</v>
      </c>
      <c r="Y4839" s="11">
        <v>0.06276339545008705</v>
      </c>
      <c r="Z4839" s="11">
        <v>0.09512814136925513</v>
      </c>
    </row>
    <row r="4840" ht="22.5" customHeight="1">
      <c r="Q4840" s="9" t="s">
        <v>4878</v>
      </c>
      <c r="R4840" s="10">
        <v>0.8753826343800353</v>
      </c>
      <c r="S4840" s="10">
        <v>0.04163801692914034</v>
      </c>
      <c r="T4840" s="10">
        <v>20.062978402686444</v>
      </c>
      <c r="U4840" s="11">
        <v>0.16982712116541165</v>
      </c>
      <c r="V4840" s="11">
        <v>0.2653986398529423</v>
      </c>
      <c r="W4840" s="11">
        <v>0.2841850243097514</v>
      </c>
      <c r="X4840" s="11">
        <v>0.04844930127143336</v>
      </c>
      <c r="Y4840" s="11">
        <v>0.21191673314223944</v>
      </c>
      <c r="Z4840" s="11">
        <v>0.020223180258221854</v>
      </c>
    </row>
    <row r="4841" ht="22.5" customHeight="1">
      <c r="Q4841" s="9" t="s">
        <v>4879</v>
      </c>
      <c r="R4841" s="10">
        <v>0.7224701553802215</v>
      </c>
      <c r="S4841" s="10">
        <v>0.03401710899633386</v>
      </c>
      <c r="T4841" s="10">
        <v>20.062556034781604</v>
      </c>
      <c r="U4841" s="11">
        <v>0.10923502324268762</v>
      </c>
      <c r="V4841" s="11">
        <v>0.26787938963212043</v>
      </c>
      <c r="W4841" s="11">
        <v>0.17641545093223054</v>
      </c>
      <c r="X4841" s="11">
        <v>0.01260557640320602</v>
      </c>
      <c r="Y4841" s="11">
        <v>0.2206912054669737</v>
      </c>
      <c r="Z4841" s="11">
        <v>0.21317335432278167</v>
      </c>
    </row>
    <row r="4842" ht="22.5" customHeight="1">
      <c r="Q4842" s="9" t="s">
        <v>4880</v>
      </c>
      <c r="R4842" s="10">
        <v>0.8481624676835109</v>
      </c>
      <c r="S4842" s="10">
        <v>0.04028225809438123</v>
      </c>
      <c r="T4842" s="10">
        <v>20.06249167536706</v>
      </c>
      <c r="U4842" s="11">
        <v>0.16438429469788357</v>
      </c>
      <c r="V4842" s="11">
        <v>0.23390865439021422</v>
      </c>
      <c r="W4842" s="11">
        <v>0.2950018023423513</v>
      </c>
      <c r="X4842" s="11">
        <v>0.13761035493760826</v>
      </c>
      <c r="Y4842" s="11">
        <v>0.08309727084878796</v>
      </c>
      <c r="Z4842" s="11">
        <v>0.08599762278315456</v>
      </c>
    </row>
    <row r="4843" ht="22.5" customHeight="1">
      <c r="Q4843" s="9" t="s">
        <v>4881</v>
      </c>
      <c r="R4843" s="10">
        <v>0.7393253993052581</v>
      </c>
      <c r="S4843" s="10">
        <v>0.034857967294465726</v>
      </c>
      <c r="T4843" s="10">
        <v>20.06213940697246</v>
      </c>
      <c r="U4843" s="11">
        <v>0.052611441756311786</v>
      </c>
      <c r="V4843" s="11">
        <v>0.19570002141814788</v>
      </c>
      <c r="W4843" s="11">
        <v>0.25590967422898314</v>
      </c>
      <c r="X4843" s="11">
        <v>0.09468733426591418</v>
      </c>
      <c r="Y4843" s="11">
        <v>0.231443529105776</v>
      </c>
      <c r="Z4843" s="11">
        <v>0.16964799922486695</v>
      </c>
    </row>
    <row r="4844" ht="22.5" customHeight="1">
      <c r="Q4844" s="9" t="s">
        <v>4882</v>
      </c>
      <c r="R4844" s="10">
        <v>0.5089911086122539</v>
      </c>
      <c r="S4844" s="10">
        <v>0.02337714477507649</v>
      </c>
      <c r="T4844" s="10">
        <v>20.061949956877033</v>
      </c>
      <c r="U4844" s="11">
        <v>0.273483993114653</v>
      </c>
      <c r="V4844" s="11">
        <v>0.20260288681194372</v>
      </c>
      <c r="W4844" s="11">
        <v>0.037432390867339925</v>
      </c>
      <c r="X4844" s="11">
        <v>0.4200452702582576</v>
      </c>
      <c r="Y4844" s="11">
        <v>0.041722821947535405</v>
      </c>
      <c r="Z4844" s="11">
        <v>0.02471263700027032</v>
      </c>
    </row>
    <row r="4845" ht="22.5" customHeight="1">
      <c r="Q4845" s="9" t="s">
        <v>4883</v>
      </c>
      <c r="R4845" s="10">
        <v>0.5670664789093521</v>
      </c>
      <c r="S4845" s="10">
        <v>0.026272047908998356</v>
      </c>
      <c r="T4845" s="10">
        <v>20.061872631133117</v>
      </c>
      <c r="U4845" s="11">
        <v>0.1438926462516073</v>
      </c>
      <c r="V4845" s="11">
        <v>0.11411644539331041</v>
      </c>
      <c r="W4845" s="11">
        <v>0.2036931507544988</v>
      </c>
      <c r="X4845" s="11">
        <v>0.12530273789983873</v>
      </c>
      <c r="Y4845" s="11">
        <v>0.2579856041905666</v>
      </c>
      <c r="Z4845" s="11">
        <v>0.1550094155101782</v>
      </c>
    </row>
    <row r="4846" ht="22.5" customHeight="1">
      <c r="Q4846" s="9" t="s">
        <v>4884</v>
      </c>
      <c r="R4846" s="10">
        <v>0.768999722097395</v>
      </c>
      <c r="S4846" s="10">
        <v>0.03633871306979377</v>
      </c>
      <c r="T4846" s="10">
        <v>20.06124214408048</v>
      </c>
      <c r="U4846" s="11">
        <v>0.10225912446838364</v>
      </c>
      <c r="V4846" s="11">
        <v>0.24706210830105635</v>
      </c>
      <c r="W4846" s="11">
        <v>0.23837217871548305</v>
      </c>
      <c r="X4846" s="11">
        <v>0.04431344024705092</v>
      </c>
      <c r="Y4846" s="11">
        <v>0.08821128968566465</v>
      </c>
      <c r="Z4846" s="11">
        <v>0.27978185858236126</v>
      </c>
    </row>
    <row r="4847" ht="22.5" customHeight="1">
      <c r="Q4847" s="9" t="s">
        <v>4885</v>
      </c>
      <c r="R4847" s="10">
        <v>0.6690760462076553</v>
      </c>
      <c r="S4847" s="10">
        <v>0.03135833035934535</v>
      </c>
      <c r="T4847" s="10">
        <v>20.060890965777432</v>
      </c>
      <c r="U4847" s="11">
        <v>0.3762892555578875</v>
      </c>
      <c r="V4847" s="11">
        <v>0.18699593016368612</v>
      </c>
      <c r="W4847" s="11">
        <v>0.21862396551105112</v>
      </c>
      <c r="X4847" s="11">
        <v>0.006048156090480522</v>
      </c>
      <c r="Y4847" s="11">
        <v>0.08048194236752887</v>
      </c>
      <c r="Z4847" s="11">
        <v>0.13156075030936573</v>
      </c>
    </row>
    <row r="4848" ht="22.5" customHeight="1">
      <c r="Q4848" s="9" t="s">
        <v>4886</v>
      </c>
      <c r="R4848" s="10">
        <v>0.5203929135477763</v>
      </c>
      <c r="S4848" s="10">
        <v>0.02394806625927127</v>
      </c>
      <c r="T4848" s="10">
        <v>20.05977887094732</v>
      </c>
      <c r="U4848" s="11">
        <v>0.2440556653338583</v>
      </c>
      <c r="V4848" s="11">
        <v>0.20852042919068936</v>
      </c>
      <c r="W4848" s="11">
        <v>0.047797026470079364</v>
      </c>
      <c r="X4848" s="11">
        <v>0.27471789757218856</v>
      </c>
      <c r="Y4848" s="11">
        <v>0.2171974294380405</v>
      </c>
      <c r="Z4848" s="11">
        <v>0.007711551995143842</v>
      </c>
    </row>
    <row r="4849" ht="22.5" customHeight="1">
      <c r="Q4849" s="9" t="s">
        <v>4887</v>
      </c>
      <c r="R4849" s="10">
        <v>0.2764193886814665</v>
      </c>
      <c r="S4849" s="10">
        <v>0.011786074882706917</v>
      </c>
      <c r="T4849" s="10">
        <v>20.059213184565127</v>
      </c>
      <c r="U4849" s="11">
        <v>0.2539838235072081</v>
      </c>
      <c r="V4849" s="11">
        <v>0.028921618186221538</v>
      </c>
      <c r="W4849" s="11">
        <v>0.05644645360279523</v>
      </c>
      <c r="X4849" s="11">
        <v>0.2213483186936765</v>
      </c>
      <c r="Y4849" s="11">
        <v>0.31004041679873506</v>
      </c>
      <c r="Z4849" s="11">
        <v>0.12925936921136352</v>
      </c>
    </row>
    <row r="4850" ht="22.5" customHeight="1">
      <c r="Q4850" s="9" t="s">
        <v>4888</v>
      </c>
      <c r="R4850" s="10">
        <v>0.7611656220748639</v>
      </c>
      <c r="S4850" s="10">
        <v>0.03595269820425255</v>
      </c>
      <c r="T4850" s="10">
        <v>20.05873433970981</v>
      </c>
      <c r="U4850" s="11">
        <v>0.21141870036511476</v>
      </c>
      <c r="V4850" s="11">
        <v>0.30538419972641506</v>
      </c>
      <c r="W4850" s="11">
        <v>0.15133764406908767</v>
      </c>
      <c r="X4850" s="11">
        <v>0.12994231670480733</v>
      </c>
      <c r="Y4850" s="11">
        <v>0.12463065180232756</v>
      </c>
      <c r="Z4850" s="11">
        <v>0.0772864873322478</v>
      </c>
    </row>
    <row r="4851" ht="22.5" customHeight="1">
      <c r="Q4851" s="9" t="s">
        <v>4889</v>
      </c>
      <c r="R4851" s="10">
        <v>0.522331348251574</v>
      </c>
      <c r="S4851" s="10">
        <v>0.030256382073555278</v>
      </c>
      <c r="T4851" s="10">
        <v>20.05832737016678</v>
      </c>
      <c r="U4851" s="11">
        <v>0.25298290384836647</v>
      </c>
      <c r="V4851" s="11">
        <v>0.15700498312975542</v>
      </c>
      <c r="W4851" s="11">
        <v>0.21883333483784675</v>
      </c>
      <c r="X4851" s="11">
        <v>0.03175895790316433</v>
      </c>
      <c r="Y4851" s="11">
        <v>0.3290466446076757</v>
      </c>
      <c r="Z4851" s="11">
        <v>0.010373175673191338</v>
      </c>
    </row>
    <row r="4852" ht="22.5" customHeight="1">
      <c r="Q4852" s="9" t="s">
        <v>4890</v>
      </c>
      <c r="R4852" s="10">
        <v>0.8720227587507988</v>
      </c>
      <c r="S4852" s="10">
        <v>0.04148032161398662</v>
      </c>
      <c r="T4852" s="10">
        <v>20.05825235622695</v>
      </c>
      <c r="U4852" s="11">
        <v>0.25590904490981636</v>
      </c>
      <c r="V4852" s="11">
        <v>0.29908154106480817</v>
      </c>
      <c r="W4852" s="11">
        <v>0.25292386539717177</v>
      </c>
      <c r="X4852" s="11">
        <v>0.02474148500958777</v>
      </c>
      <c r="Y4852" s="11">
        <v>0.1015851276507054</v>
      </c>
      <c r="Z4852" s="11">
        <v>0.06575893596791062</v>
      </c>
    </row>
    <row r="4853" ht="22.5" customHeight="1">
      <c r="Q4853" s="9" t="s">
        <v>4891</v>
      </c>
      <c r="R4853" s="10">
        <v>0.6109682639947971</v>
      </c>
      <c r="S4853" s="10">
        <v>0.028465570249916996</v>
      </c>
      <c r="T4853" s="10">
        <v>20.058205719467782</v>
      </c>
      <c r="U4853" s="11">
        <v>0.2279570255449686</v>
      </c>
      <c r="V4853" s="11">
        <v>0.12970494609602926</v>
      </c>
      <c r="W4853" s="11">
        <v>0.223853874664039</v>
      </c>
      <c r="X4853" s="11">
        <v>0.15664075017934806</v>
      </c>
      <c r="Y4853" s="11">
        <v>0.08109399126196289</v>
      </c>
      <c r="Z4853" s="11">
        <v>0.1807494122536521</v>
      </c>
    </row>
    <row r="4854" ht="22.5" customHeight="1">
      <c r="Q4854" s="9" t="s">
        <v>4892</v>
      </c>
      <c r="R4854" s="10">
        <v>0.5919682408031813</v>
      </c>
      <c r="S4854" s="10">
        <v>0.02751848733275697</v>
      </c>
      <c r="T4854" s="10">
        <v>20.05808800929763</v>
      </c>
      <c r="U4854" s="11">
        <v>0.16717379698497006</v>
      </c>
      <c r="V4854" s="11">
        <v>0.12894317720896242</v>
      </c>
      <c r="W4854" s="11">
        <v>0.21224443630308729</v>
      </c>
      <c r="X4854" s="11">
        <v>0.10461821645544081</v>
      </c>
      <c r="Y4854" s="11">
        <v>0.19957862087729236</v>
      </c>
      <c r="Z4854" s="11">
        <v>0.18744175217024708</v>
      </c>
    </row>
    <row r="4855" ht="22.5" customHeight="1">
      <c r="Q4855" s="9" t="s">
        <v>4893</v>
      </c>
      <c r="R4855" s="10">
        <v>0.6413709032513953</v>
      </c>
      <c r="S4855" s="10">
        <v>0.029982331722704314</v>
      </c>
      <c r="T4855" s="10">
        <v>20.05750949636793</v>
      </c>
      <c r="U4855" s="11">
        <v>0.2115973397884228</v>
      </c>
      <c r="V4855" s="11">
        <v>0.2659380045887057</v>
      </c>
      <c r="W4855" s="11">
        <v>0.08902809586164318</v>
      </c>
      <c r="X4855" s="11">
        <v>0.2590133730571473</v>
      </c>
      <c r="Y4855" s="11">
        <v>0.10047261591713773</v>
      </c>
      <c r="Z4855" s="11">
        <v>0.07395057078694336</v>
      </c>
    </row>
    <row r="4856" ht="22.5" customHeight="1">
      <c r="Q4856" s="9" t="s">
        <v>4894</v>
      </c>
      <c r="R4856" s="10">
        <v>0.6262102755014552</v>
      </c>
      <c r="S4856" s="10">
        <v>0.02922659255714659</v>
      </c>
      <c r="T4856" s="10">
        <v>20.057427986353236</v>
      </c>
      <c r="U4856" s="11">
        <v>0.20580027047300414</v>
      </c>
      <c r="V4856" s="11">
        <v>0.11500737763013995</v>
      </c>
      <c r="W4856" s="11">
        <v>0.23464764721355832</v>
      </c>
      <c r="X4856" s="11">
        <v>0.23155393454465845</v>
      </c>
      <c r="Y4856" s="11">
        <v>0.17735410854831374</v>
      </c>
      <c r="Z4856" s="11">
        <v>0.03563666159032531</v>
      </c>
    </row>
    <row r="4857" ht="22.5" customHeight="1">
      <c r="Q4857" s="9" t="s">
        <v>4895</v>
      </c>
      <c r="R4857" s="10">
        <v>0.5340119150164652</v>
      </c>
      <c r="S4857" s="10">
        <v>0.024629876286645397</v>
      </c>
      <c r="T4857" s="10">
        <v>20.05742575671499</v>
      </c>
      <c r="U4857" s="11">
        <v>0.2520428106387904</v>
      </c>
      <c r="V4857" s="11">
        <v>0.10087624732714344</v>
      </c>
      <c r="W4857" s="11">
        <v>0.19153341624625753</v>
      </c>
      <c r="X4857" s="11">
        <v>0.11748886449989311</v>
      </c>
      <c r="Y4857" s="11">
        <v>0.215402736277583</v>
      </c>
      <c r="Z4857" s="11">
        <v>0.12265592501033243</v>
      </c>
    </row>
    <row r="4858" ht="22.5" customHeight="1">
      <c r="Q4858" s="9" t="s">
        <v>4896</v>
      </c>
      <c r="R4858" s="10">
        <v>1.0102497718808041</v>
      </c>
      <c r="S4858" s="10">
        <v>0.048374402545034424</v>
      </c>
      <c r="T4858" s="10">
        <v>20.05709054447845</v>
      </c>
      <c r="U4858" s="11">
        <v>0.09347348421623816</v>
      </c>
      <c r="V4858" s="11">
        <v>0.33086854674728033</v>
      </c>
      <c r="W4858" s="11">
        <v>0.3158900825602122</v>
      </c>
      <c r="X4858" s="11">
        <v>0.1170859485692066</v>
      </c>
      <c r="Y4858" s="11">
        <v>0.1281435078808607</v>
      </c>
      <c r="Z4858" s="11">
        <v>0.01453843002620209</v>
      </c>
    </row>
    <row r="4859" ht="22.5" customHeight="1">
      <c r="Q4859" s="9" t="s">
        <v>4897</v>
      </c>
      <c r="R4859" s="10">
        <v>0.7756096406601903</v>
      </c>
      <c r="S4859" s="10">
        <v>0.03667616828348839</v>
      </c>
      <c r="T4859" s="10">
        <v>20.056883668280086</v>
      </c>
      <c r="U4859" s="11">
        <v>0.08128017671217805</v>
      </c>
      <c r="V4859" s="11">
        <v>0.2509125872971674</v>
      </c>
      <c r="W4859" s="11">
        <v>0.2404071709958129</v>
      </c>
      <c r="X4859" s="11">
        <v>0.07183459097862083</v>
      </c>
      <c r="Y4859" s="11">
        <v>0.03702130972516121</v>
      </c>
      <c r="Z4859" s="11">
        <v>0.31854416429105964</v>
      </c>
    </row>
    <row r="4860" ht="22.5" customHeight="1">
      <c r="Q4860" s="9" t="s">
        <v>4898</v>
      </c>
      <c r="R4860" s="10">
        <v>0.5418105671528367</v>
      </c>
      <c r="S4860" s="10">
        <v>0.025020389818337988</v>
      </c>
      <c r="T4860" s="10">
        <v>20.05606510515071</v>
      </c>
      <c r="U4860" s="11">
        <v>0.16271848268105177</v>
      </c>
      <c r="V4860" s="11">
        <v>0.22124981573120656</v>
      </c>
      <c r="W4860" s="11">
        <v>0.06615995556522572</v>
      </c>
      <c r="X4860" s="11">
        <v>0.20579987412088313</v>
      </c>
      <c r="Y4860" s="11">
        <v>0.18553345341771765</v>
      </c>
      <c r="Z4860" s="11">
        <v>0.15853841848391512</v>
      </c>
    </row>
    <row r="4861" ht="22.5" customHeight="1">
      <c r="Q4861" s="9" t="s">
        <v>4899</v>
      </c>
      <c r="R4861" s="10">
        <v>0.9965025419078353</v>
      </c>
      <c r="S4861" s="10">
        <v>0.047691565644620446</v>
      </c>
      <c r="T4861" s="10">
        <v>20.0560105121172</v>
      </c>
      <c r="U4861" s="11">
        <v>0.11694734485079482</v>
      </c>
      <c r="V4861" s="11">
        <v>0.36404129823083087</v>
      </c>
      <c r="W4861" s="11">
        <v>0.2728338094798875</v>
      </c>
      <c r="X4861" s="11">
        <v>0.13607369073618775</v>
      </c>
      <c r="Y4861" s="11">
        <v>0.0502650206322543</v>
      </c>
      <c r="Z4861" s="11">
        <v>0.059838836070044726</v>
      </c>
    </row>
    <row r="4862" ht="22.5" customHeight="1">
      <c r="Q4862" s="9" t="s">
        <v>4900</v>
      </c>
      <c r="R4862" s="10">
        <v>0.8307113594134855</v>
      </c>
      <c r="S4862" s="10">
        <v>0.03942617052295374</v>
      </c>
      <c r="T4862" s="10">
        <v>20.055494838209988</v>
      </c>
      <c r="U4862" s="11">
        <v>0.16943002377253996</v>
      </c>
      <c r="V4862" s="11">
        <v>0.2119970464632818</v>
      </c>
      <c r="W4862" s="11">
        <v>0.2988184895362045</v>
      </c>
      <c r="X4862" s="11">
        <v>0.18924985865843968</v>
      </c>
      <c r="Y4862" s="11">
        <v>0.07154664855961979</v>
      </c>
      <c r="Z4862" s="11">
        <v>0.05895793300991443</v>
      </c>
    </row>
    <row r="4863" ht="22.5" customHeight="1">
      <c r="Q4863" s="9" t="s">
        <v>4901</v>
      </c>
      <c r="R4863" s="10">
        <v>0.4243021801723</v>
      </c>
      <c r="S4863" s="10">
        <v>0.019161988330503595</v>
      </c>
      <c r="T4863" s="10">
        <v>20.055443805929933</v>
      </c>
      <c r="U4863" s="11">
        <v>0.008541739587275386</v>
      </c>
      <c r="V4863" s="11">
        <v>0.0557098638956348</v>
      </c>
      <c r="W4863" s="11">
        <v>0.1515875898917481</v>
      </c>
      <c r="X4863" s="11">
        <v>0.328526378593235</v>
      </c>
      <c r="Y4863" s="11">
        <v>0.10046757189281978</v>
      </c>
      <c r="Z4863" s="11">
        <v>0.3551668561392869</v>
      </c>
    </row>
    <row r="4864" ht="22.5" customHeight="1">
      <c r="Q4864" s="9" t="s">
        <v>4902</v>
      </c>
      <c r="R4864" s="10">
        <v>0.25273997253620645</v>
      </c>
      <c r="S4864" s="10">
        <v>0.010607992133897355</v>
      </c>
      <c r="T4864" s="10">
        <v>20.054687998533254</v>
      </c>
      <c r="U4864" s="11">
        <v>0.2528318269159896</v>
      </c>
      <c r="V4864" s="11">
        <v>0.04869702899703493</v>
      </c>
      <c r="W4864" s="11">
        <v>0.0340469830999298</v>
      </c>
      <c r="X4864" s="11">
        <v>0.1482264097143573</v>
      </c>
      <c r="Y4864" s="11">
        <v>0.22866073729465763</v>
      </c>
      <c r="Z4864" s="11">
        <v>0.2875370139780307</v>
      </c>
    </row>
    <row r="4865" ht="22.5" customHeight="1">
      <c r="Q4865" s="9" t="s">
        <v>4903</v>
      </c>
      <c r="R4865" s="10">
        <v>0.6419792781733998</v>
      </c>
      <c r="S4865" s="10">
        <v>0.030017110384622025</v>
      </c>
      <c r="T4865" s="10">
        <v>20.054537910544447</v>
      </c>
      <c r="U4865" s="11">
        <v>0.21850060511381011</v>
      </c>
      <c r="V4865" s="11">
        <v>0.16555015905379028</v>
      </c>
      <c r="W4865" s="11">
        <v>0.208452753882191</v>
      </c>
      <c r="X4865" s="11">
        <v>0.00279789824809679</v>
      </c>
      <c r="Y4865" s="11">
        <v>0.37737599851859355</v>
      </c>
      <c r="Z4865" s="11">
        <v>0.027322585183518253</v>
      </c>
    </row>
    <row r="4866" ht="22.5" customHeight="1">
      <c r="Q4866" s="9" t="s">
        <v>4904</v>
      </c>
      <c r="R4866" s="10">
        <v>0.8418100597013727</v>
      </c>
      <c r="S4866" s="10">
        <v>0.03998324845346906</v>
      </c>
      <c r="T4866" s="10">
        <v>20.05364973370005</v>
      </c>
      <c r="U4866" s="11">
        <v>0.17752848635283383</v>
      </c>
      <c r="V4866" s="11">
        <v>0.2632093217019831</v>
      </c>
      <c r="W4866" s="11">
        <v>0.26304771920461634</v>
      </c>
      <c r="X4866" s="11">
        <v>0.007546707837794962</v>
      </c>
      <c r="Y4866" s="11">
        <v>0.2632879978163742</v>
      </c>
      <c r="Z4866" s="11">
        <v>0.025379767086397522</v>
      </c>
    </row>
    <row r="4867" ht="22.5" customHeight="1">
      <c r="Q4867" s="9" t="s">
        <v>4905</v>
      </c>
      <c r="R4867" s="10">
        <v>0.476111567059366</v>
      </c>
      <c r="S4867" s="10">
        <v>0.02174892576234822</v>
      </c>
      <c r="T4867" s="10">
        <v>20.05209690928106</v>
      </c>
      <c r="U4867" s="11">
        <v>0.2759453888478798</v>
      </c>
      <c r="V4867" s="11">
        <v>0.08849045188170318</v>
      </c>
      <c r="W4867" s="11">
        <v>0.1649838716967859</v>
      </c>
      <c r="X4867" s="11">
        <v>0.08368495222565157</v>
      </c>
      <c r="Y4867" s="11">
        <v>0.217197851899736</v>
      </c>
      <c r="Z4867" s="11">
        <v>0.16969748344824342</v>
      </c>
    </row>
    <row r="4868" ht="22.5" customHeight="1">
      <c r="Q4868" s="9" t="s">
        <v>4906</v>
      </c>
      <c r="R4868" s="10">
        <v>0.4147679044888638</v>
      </c>
      <c r="S4868" s="10">
        <v>0.018690136055368987</v>
      </c>
      <c r="T4868" s="10">
        <v>20.05164132452673</v>
      </c>
      <c r="U4868" s="11">
        <v>0.19842606315483874</v>
      </c>
      <c r="V4868" s="11">
        <v>0.04395142481786161</v>
      </c>
      <c r="W4868" s="11">
        <v>0.14797434864728815</v>
      </c>
      <c r="X4868" s="11">
        <v>0.28571859745246425</v>
      </c>
      <c r="Y4868" s="11">
        <v>0.15970429518340004</v>
      </c>
      <c r="Z4868" s="11">
        <v>0.16422527074414722</v>
      </c>
    </row>
    <row r="4869" ht="22.5" customHeight="1">
      <c r="Q4869" s="9" t="s">
        <v>4907</v>
      </c>
      <c r="R4869" s="10">
        <v>0.768580627202431</v>
      </c>
      <c r="S4869" s="10">
        <v>0.03633526570323623</v>
      </c>
      <c r="T4869" s="10">
        <v>20.051611378131174</v>
      </c>
      <c r="U4869" s="11">
        <v>0.12227761778982936</v>
      </c>
      <c r="V4869" s="11">
        <v>0.24608441714787457</v>
      </c>
      <c r="W4869" s="11">
        <v>0.23725821898199972</v>
      </c>
      <c r="X4869" s="11">
        <v>0.01600023916918022</v>
      </c>
      <c r="Y4869" s="11">
        <v>0.15006310923441304</v>
      </c>
      <c r="Z4869" s="11">
        <v>0.22831639767670303</v>
      </c>
    </row>
    <row r="4870" ht="22.5" customHeight="1">
      <c r="Q4870" s="9" t="s">
        <v>4908</v>
      </c>
      <c r="R4870" s="10">
        <v>0.7293638203299371</v>
      </c>
      <c r="S4870" s="10">
        <v>0.034379645182211135</v>
      </c>
      <c r="T4870" s="10">
        <v>20.051510615549653</v>
      </c>
      <c r="U4870" s="11">
        <v>0.26981909662188164</v>
      </c>
      <c r="V4870" s="11">
        <v>0.2372889306395929</v>
      </c>
      <c r="W4870" s="11">
        <v>0.21954055602976047</v>
      </c>
      <c r="X4870" s="11">
        <v>0.018793490652181704</v>
      </c>
      <c r="Y4870" s="11">
        <v>0.00908192291310128</v>
      </c>
      <c r="Z4870" s="11">
        <v>0.24547600314348203</v>
      </c>
    </row>
    <row r="4871" ht="22.5" customHeight="1">
      <c r="Q4871" s="9" t="s">
        <v>4909</v>
      </c>
      <c r="R4871" s="10">
        <v>0.7899996737732163</v>
      </c>
      <c r="S4871" s="10">
        <v>0.037403677622864444</v>
      </c>
      <c r="T4871" s="10">
        <v>20.05149550628011</v>
      </c>
      <c r="U4871" s="11">
        <v>0.1722045140740795</v>
      </c>
      <c r="V4871" s="11">
        <v>0.20231196412247648</v>
      </c>
      <c r="W4871" s="11">
        <v>0.2820791467786381</v>
      </c>
      <c r="X4871" s="11">
        <v>0.1459724843293319</v>
      </c>
      <c r="Y4871" s="11">
        <v>0.1065004110639225</v>
      </c>
      <c r="Z4871" s="11">
        <v>0.09093147963155154</v>
      </c>
    </row>
    <row r="4872" ht="22.5" customHeight="1">
      <c r="Q4872" s="9" t="s">
        <v>4910</v>
      </c>
      <c r="R4872" s="10">
        <v>0.8261001164301083</v>
      </c>
      <c r="S4872" s="10">
        <v>0.03920490327790032</v>
      </c>
      <c r="T4872" s="10">
        <v>20.05106633876662</v>
      </c>
      <c r="U4872" s="11">
        <v>0.18952944099771868</v>
      </c>
      <c r="V4872" s="11">
        <v>0.3069180073829552</v>
      </c>
      <c r="W4872" s="11">
        <v>0.20837871941995673</v>
      </c>
      <c r="X4872" s="11">
        <v>0.02913474094992728</v>
      </c>
      <c r="Y4872" s="11">
        <v>0.1769964535475998</v>
      </c>
      <c r="Z4872" s="11">
        <v>0.08904263770184241</v>
      </c>
    </row>
    <row r="4873" ht="22.5" customHeight="1">
      <c r="Q4873" s="9" t="s">
        <v>4911</v>
      </c>
      <c r="R4873" s="10">
        <v>0.7046016694795616</v>
      </c>
      <c r="S4873" s="10">
        <v>0.033145509343937306</v>
      </c>
      <c r="T4873" s="10">
        <v>20.051032029203824</v>
      </c>
      <c r="U4873" s="11">
        <v>0.2679729403147972</v>
      </c>
      <c r="V4873" s="11">
        <v>0.18781688790166273</v>
      </c>
      <c r="W4873" s="11">
        <v>0.2421634521858773</v>
      </c>
      <c r="X4873" s="11">
        <v>0.05583634194071921</v>
      </c>
      <c r="Y4873" s="11">
        <v>0.09402558958370871</v>
      </c>
      <c r="Z4873" s="11">
        <v>0.1521847880732349</v>
      </c>
    </row>
    <row r="4874" ht="22.5" customHeight="1">
      <c r="Q4874" s="9" t="s">
        <v>4912</v>
      </c>
      <c r="R4874" s="10">
        <v>0.6899839870475012</v>
      </c>
      <c r="S4874" s="10">
        <v>0.03241691054722955</v>
      </c>
      <c r="T4874" s="10">
        <v>20.050769060812023</v>
      </c>
      <c r="U4874" s="11">
        <v>0.17587720070375146</v>
      </c>
      <c r="V4874" s="11">
        <v>0.16136565968331293</v>
      </c>
      <c r="W4874" s="11">
        <v>0.245044859492514</v>
      </c>
      <c r="X4874" s="11">
        <v>0.0988286705486026</v>
      </c>
      <c r="Y4874" s="11">
        <v>0.2767262349699103</v>
      </c>
      <c r="Z4874" s="11">
        <v>0.042157374601908625</v>
      </c>
    </row>
    <row r="4875" ht="22.5" customHeight="1">
      <c r="Q4875" s="9" t="s">
        <v>4913</v>
      </c>
      <c r="R4875" s="10">
        <v>0.3396837837823133</v>
      </c>
      <c r="S4875" s="10">
        <v>0.014946837642037698</v>
      </c>
      <c r="T4875" s="10">
        <v>20.049979196901045</v>
      </c>
      <c r="U4875" s="11">
        <v>0.19187031530309234</v>
      </c>
      <c r="V4875" s="11">
        <v>0.020741539354460322</v>
      </c>
      <c r="W4875" s="11">
        <v>0.10868358822135378</v>
      </c>
      <c r="X4875" s="11">
        <v>0.3599972054523282</v>
      </c>
      <c r="Y4875" s="11">
        <v>0.14312862130796902</v>
      </c>
      <c r="Z4875" s="11">
        <v>0.17557873036079633</v>
      </c>
    </row>
    <row r="4876" ht="22.5" customHeight="1">
      <c r="Q4876" s="9" t="s">
        <v>4914</v>
      </c>
      <c r="R4876" s="10">
        <v>0.5806129507499974</v>
      </c>
      <c r="S4876" s="10">
        <v>0.026963854953185717</v>
      </c>
      <c r="T4876" s="10">
        <v>20.049542310941902</v>
      </c>
      <c r="U4876" s="11">
        <v>0.22184648118111827</v>
      </c>
      <c r="V4876" s="11">
        <v>0.11273899687536519</v>
      </c>
      <c r="W4876" s="11">
        <v>0.20914696473178557</v>
      </c>
      <c r="X4876" s="11">
        <v>0.12997074374563006</v>
      </c>
      <c r="Y4876" s="11">
        <v>0.2731078780724199</v>
      </c>
      <c r="Z4876" s="11">
        <v>0.05318893539368103</v>
      </c>
    </row>
    <row r="4877" ht="22.5" customHeight="1">
      <c r="Q4877" s="9" t="s">
        <v>4915</v>
      </c>
      <c r="R4877" s="10">
        <v>0.9020039702426264</v>
      </c>
      <c r="S4877" s="10">
        <v>0.04299435176652548</v>
      </c>
      <c r="T4877" s="10">
        <v>20.049237512025122</v>
      </c>
      <c r="U4877" s="11">
        <v>0.14876260507077319</v>
      </c>
      <c r="V4877" s="11">
        <v>0.32127612691863006</v>
      </c>
      <c r="W4877" s="11">
        <v>0.24793675050599528</v>
      </c>
      <c r="X4877" s="11">
        <v>0.03051963386984734</v>
      </c>
      <c r="Y4877" s="11">
        <v>0.22204617747908098</v>
      </c>
      <c r="Z4877" s="11">
        <v>0.02945870615567324</v>
      </c>
    </row>
    <row r="4878" ht="22.5" customHeight="1">
      <c r="Q4878" s="9" t="s">
        <v>4916</v>
      </c>
      <c r="R4878" s="10">
        <v>0.6642947579533717</v>
      </c>
      <c r="S4878" s="10">
        <v>0.031138494679635267</v>
      </c>
      <c r="T4878" s="10">
        <v>20.04897039424528</v>
      </c>
      <c r="U4878" s="11">
        <v>0.08868809561930632</v>
      </c>
      <c r="V4878" s="11">
        <v>0.13408084529588044</v>
      </c>
      <c r="W4878" s="11">
        <v>0.24865868677728503</v>
      </c>
      <c r="X4878" s="11">
        <v>0.24425253051035078</v>
      </c>
      <c r="Y4878" s="11">
        <v>0.15934863255955753</v>
      </c>
      <c r="Z4878" s="11">
        <v>0.12497120923762002</v>
      </c>
    </row>
    <row r="4879" ht="22.5" customHeight="1">
      <c r="Q4879" s="9" t="s">
        <v>4917</v>
      </c>
      <c r="R4879" s="10">
        <v>0.7047323499171259</v>
      </c>
      <c r="S4879" s="10">
        <v>0.033155809653374065</v>
      </c>
      <c r="T4879" s="10">
        <v>20.048744303533546</v>
      </c>
      <c r="U4879" s="11">
        <v>0.15569700206915374</v>
      </c>
      <c r="V4879" s="11">
        <v>0.19057899380672472</v>
      </c>
      <c r="W4879" s="11">
        <v>0.24216981676715926</v>
      </c>
      <c r="X4879" s="11">
        <v>0.0685785189651761</v>
      </c>
      <c r="Y4879" s="11">
        <v>0.11573150045904311</v>
      </c>
      <c r="Z4879" s="11">
        <v>0.22724416793274316</v>
      </c>
    </row>
    <row r="4880" ht="22.5" customHeight="1">
      <c r="Q4880" s="9" t="s">
        <v>4918</v>
      </c>
      <c r="R4880" s="10">
        <v>0.5645393791557167</v>
      </c>
      <c r="S4880" s="10">
        <v>0.026163238515017166</v>
      </c>
      <c r="T4880" s="10">
        <v>20.04871754903896</v>
      </c>
      <c r="U4880" s="11">
        <v>0.15695463327441408</v>
      </c>
      <c r="V4880" s="11">
        <v>0.22221801051850054</v>
      </c>
      <c r="W4880" s="11">
        <v>0.10105698566682421</v>
      </c>
      <c r="X4880" s="11">
        <v>0.06116620858925766</v>
      </c>
      <c r="Y4880" s="11">
        <v>0.191994938327246</v>
      </c>
      <c r="Z4880" s="11">
        <v>0.2666092236237574</v>
      </c>
    </row>
    <row r="4881" ht="22.5" customHeight="1">
      <c r="Q4881" s="9" t="s">
        <v>4919</v>
      </c>
      <c r="R4881" s="10">
        <v>0.6397822922905018</v>
      </c>
      <c r="S4881" s="10">
        <v>0.029916532429354013</v>
      </c>
      <c r="T4881" s="10">
        <v>20.04852312703183</v>
      </c>
      <c r="U4881" s="11">
        <v>0.08241931482014024</v>
      </c>
      <c r="V4881" s="11">
        <v>0.1629514415149959</v>
      </c>
      <c r="W4881" s="11">
        <v>0.21612618517220336</v>
      </c>
      <c r="X4881" s="11">
        <v>0.04201299388438522</v>
      </c>
      <c r="Y4881" s="11">
        <v>0.31714313505040326</v>
      </c>
      <c r="Z4881" s="11">
        <v>0.17934692955787213</v>
      </c>
    </row>
    <row r="4882" ht="22.5" customHeight="1">
      <c r="Q4882" s="9" t="s">
        <v>4920</v>
      </c>
      <c r="R4882" s="10">
        <v>0.6144545778588976</v>
      </c>
      <c r="S4882" s="10">
        <v>0.02865324130921313</v>
      </c>
      <c r="T4882" s="10">
        <v>20.048502424547273</v>
      </c>
      <c r="U4882" s="11">
        <v>0.14767384133611713</v>
      </c>
      <c r="V4882" s="11">
        <v>0.1315472653934057</v>
      </c>
      <c r="W4882" s="11">
        <v>0.22189800216548608</v>
      </c>
      <c r="X4882" s="11">
        <v>0.12288903739683812</v>
      </c>
      <c r="Y4882" s="11">
        <v>0.2376805804455298</v>
      </c>
      <c r="Z4882" s="11">
        <v>0.13831127326262316</v>
      </c>
    </row>
    <row r="4883" ht="22.5" customHeight="1">
      <c r="Q4883" s="9" t="s">
        <v>4921</v>
      </c>
      <c r="R4883" s="10">
        <v>0.8077608305408022</v>
      </c>
      <c r="S4883" s="10">
        <v>0.03829640758870666</v>
      </c>
      <c r="T4883" s="10">
        <v>20.047855109188085</v>
      </c>
      <c r="U4883" s="11">
        <v>0.013020544231713097</v>
      </c>
      <c r="V4883" s="11">
        <v>0.33135948591864833</v>
      </c>
      <c r="W4883" s="11">
        <v>0.1533765413474709</v>
      </c>
      <c r="X4883" s="11">
        <v>0.3135931770412608</v>
      </c>
      <c r="Y4883" s="11">
        <v>0.004999692687729145</v>
      </c>
      <c r="Z4883" s="11">
        <v>0.18365055877317787</v>
      </c>
    </row>
    <row r="4884" ht="22.5" customHeight="1">
      <c r="Q4884" s="9" t="s">
        <v>4922</v>
      </c>
      <c r="R4884" s="10">
        <v>0.522331348251574</v>
      </c>
      <c r="S4884" s="10">
        <v>0.04075627965964322</v>
      </c>
      <c r="T4884" s="10">
        <v>20.04772857013381</v>
      </c>
      <c r="U4884" s="11">
        <v>0.26774465073516673</v>
      </c>
      <c r="V4884" s="11">
        <v>0.24741696094939225</v>
      </c>
      <c r="W4884" s="11">
        <v>0.28872676619011106</v>
      </c>
      <c r="X4884" s="11">
        <v>0.07070293119592252</v>
      </c>
      <c r="Y4884" s="11">
        <v>0.11018090788204978</v>
      </c>
      <c r="Z4884" s="11">
        <v>0.015227783047357642</v>
      </c>
    </row>
    <row r="4885" ht="22.5" customHeight="1">
      <c r="Q4885" s="9" t="s">
        <v>4923</v>
      </c>
      <c r="R4885" s="10">
        <v>0.7641051382726882</v>
      </c>
      <c r="S4885" s="10">
        <v>0.0361218747354733</v>
      </c>
      <c r="T4885" s="10">
        <v>20.046167137653697</v>
      </c>
      <c r="U4885" s="11">
        <v>0.14348469288137486</v>
      </c>
      <c r="V4885" s="11">
        <v>0.20992943866764624</v>
      </c>
      <c r="W4885" s="11">
        <v>0.26465518643171515</v>
      </c>
      <c r="X4885" s="11">
        <v>0.11395116069544418</v>
      </c>
      <c r="Y4885" s="11">
        <v>0.0546063233470317</v>
      </c>
      <c r="Z4885" s="11">
        <v>0.2133731979767879</v>
      </c>
    </row>
    <row r="4886" ht="22.5" customHeight="1">
      <c r="Q4886" s="9" t="s">
        <v>4924</v>
      </c>
      <c r="R4886" s="10">
        <v>0.49341806951902406</v>
      </c>
      <c r="S4886" s="10">
        <v>0.02261892358424469</v>
      </c>
      <c r="T4886" s="10">
        <v>20.045961419439713</v>
      </c>
      <c r="U4886" s="11">
        <v>0.10408283892035486</v>
      </c>
      <c r="V4886" s="11">
        <v>0.19757160734262763</v>
      </c>
      <c r="W4886" s="11">
        <v>0.05469269527466632</v>
      </c>
      <c r="X4886" s="11">
        <v>0.19594505356661382</v>
      </c>
      <c r="Y4886" s="11">
        <v>0.25639812365018416</v>
      </c>
      <c r="Z4886" s="11">
        <v>0.19130968124555325</v>
      </c>
    </row>
    <row r="4887" ht="22.5" customHeight="1">
      <c r="Q4887" s="9" t="s">
        <v>4925</v>
      </c>
      <c r="R4887" s="10">
        <v>0.7605912006209441</v>
      </c>
      <c r="S4887" s="10">
        <v>0.03594697987518946</v>
      </c>
      <c r="T4887" s="10">
        <v>20.045945532083344</v>
      </c>
      <c r="U4887" s="11">
        <v>0.12002301306519385</v>
      </c>
      <c r="V4887" s="11">
        <v>0.29925884823638965</v>
      </c>
      <c r="W4887" s="11">
        <v>0.1661526452959212</v>
      </c>
      <c r="X4887" s="11">
        <v>0.09439994437618879</v>
      </c>
      <c r="Y4887" s="11">
        <v>0.1370632930347429</v>
      </c>
      <c r="Z4887" s="11">
        <v>0.1831022559915634</v>
      </c>
    </row>
    <row r="4888" ht="22.5" customHeight="1">
      <c r="Q4888" s="9" t="s">
        <v>4926</v>
      </c>
      <c r="R4888" s="10">
        <v>0.7456090896389981</v>
      </c>
      <c r="S4888" s="10">
        <v>0.03519984905549267</v>
      </c>
      <c r="T4888" s="10">
        <v>20.04579873415375</v>
      </c>
      <c r="U4888" s="11">
        <v>0.15108110325043786</v>
      </c>
      <c r="V4888" s="11">
        <v>0.30540609403376173</v>
      </c>
      <c r="W4888" s="11">
        <v>0.13660849556402557</v>
      </c>
      <c r="X4888" s="11">
        <v>0.19638320090156988</v>
      </c>
      <c r="Y4888" s="11">
        <v>0.09249651438031471</v>
      </c>
      <c r="Z4888" s="11">
        <v>0.11802459186989013</v>
      </c>
    </row>
    <row r="4889" ht="22.5" customHeight="1">
      <c r="Q4889" s="9" t="s">
        <v>4927</v>
      </c>
      <c r="R4889" s="10">
        <v>0.5370307855632305</v>
      </c>
      <c r="S4889" s="10">
        <v>0.024794836839145885</v>
      </c>
      <c r="T4889" s="10">
        <v>20.045737295537364</v>
      </c>
      <c r="U4889" s="11">
        <v>0.27984943433450304</v>
      </c>
      <c r="V4889" s="11">
        <v>0.21668685288828576</v>
      </c>
      <c r="W4889" s="11">
        <v>0.05737047991229932</v>
      </c>
      <c r="X4889" s="11">
        <v>0.2293080250876016</v>
      </c>
      <c r="Y4889" s="11">
        <v>0.19305262208524873</v>
      </c>
      <c r="Z4889" s="11">
        <v>0.02373258569206163</v>
      </c>
    </row>
    <row r="4890" ht="22.5" customHeight="1">
      <c r="Q4890" s="9" t="s">
        <v>4928</v>
      </c>
      <c r="R4890" s="10">
        <v>0.5643365919316135</v>
      </c>
      <c r="S4890" s="10">
        <v>0.026157037695787734</v>
      </c>
      <c r="T4890" s="10">
        <v>20.045717639350702</v>
      </c>
      <c r="U4890" s="11">
        <v>0.20576595575190396</v>
      </c>
      <c r="V4890" s="11">
        <v>0.22682784746318252</v>
      </c>
      <c r="W4890" s="11">
        <v>0.08504222648557781</v>
      </c>
      <c r="X4890" s="11">
        <v>0.11669913196538435</v>
      </c>
      <c r="Y4890" s="11">
        <v>0.20496898454117832</v>
      </c>
      <c r="Z4890" s="11">
        <v>0.1606958537927729</v>
      </c>
    </row>
    <row r="4891" ht="22.5" customHeight="1">
      <c r="Q4891" s="9" t="s">
        <v>4929</v>
      </c>
      <c r="R4891" s="10">
        <v>0.7336186852923918</v>
      </c>
      <c r="S4891" s="10">
        <v>0.03460204559169651</v>
      </c>
      <c r="T4891" s="10">
        <v>20.045597693184945</v>
      </c>
      <c r="U4891" s="11">
        <v>0.2645680978558284</v>
      </c>
      <c r="V4891" s="11">
        <v>0.29069124530274265</v>
      </c>
      <c r="W4891" s="11">
        <v>0.152414696386038</v>
      </c>
      <c r="X4891" s="11">
        <v>0.1024014544886463</v>
      </c>
      <c r="Y4891" s="11">
        <v>0.05432853430940545</v>
      </c>
      <c r="Z4891" s="11">
        <v>0.1355959716573392</v>
      </c>
    </row>
    <row r="4892" ht="22.5" customHeight="1">
      <c r="Q4892" s="9" t="s">
        <v>4930</v>
      </c>
      <c r="R4892" s="10">
        <v>0.7766270685236101</v>
      </c>
      <c r="S4892" s="10">
        <v>0.036747589430503685</v>
      </c>
      <c r="T4892" s="10">
        <v>20.045588838329234</v>
      </c>
      <c r="U4892" s="11">
        <v>0.293621342903559</v>
      </c>
      <c r="V4892" s="11">
        <v>0.2908076158288339</v>
      </c>
      <c r="W4892" s="11">
        <v>0.18676239832950528</v>
      </c>
      <c r="X4892" s="11">
        <v>0.011396670339231724</v>
      </c>
      <c r="Y4892" s="11">
        <v>0.1607146259418083</v>
      </c>
      <c r="Z4892" s="11">
        <v>0.05669734665706181</v>
      </c>
    </row>
    <row r="4893" ht="22.5" customHeight="1">
      <c r="Q4893" s="9" t="s">
        <v>4931</v>
      </c>
      <c r="R4893" s="10">
        <v>0.9088336240342318</v>
      </c>
      <c r="S4893" s="10">
        <v>0.043342997925009334</v>
      </c>
      <c r="T4893" s="10">
        <v>20.045535971864705</v>
      </c>
      <c r="U4893" s="11">
        <v>0.1317303231583209</v>
      </c>
      <c r="V4893" s="11">
        <v>0.2880068038686634</v>
      </c>
      <c r="W4893" s="11">
        <v>0.2861312840722645</v>
      </c>
      <c r="X4893" s="11">
        <v>0.04194445709080013</v>
      </c>
      <c r="Y4893" s="11">
        <v>0.2378230145969428</v>
      </c>
      <c r="Z4893" s="11">
        <v>0.014364117213008204</v>
      </c>
    </row>
    <row r="4894" ht="22.5" customHeight="1">
      <c r="Q4894" s="9" t="s">
        <v>4932</v>
      </c>
      <c r="R4894" s="10">
        <v>0.27070330612741045</v>
      </c>
      <c r="S4894" s="10">
        <v>0.011509036396310663</v>
      </c>
      <c r="T4894" s="10">
        <v>20.045405903952542</v>
      </c>
      <c r="U4894" s="11">
        <v>0.2991832893655671</v>
      </c>
      <c r="V4894" s="11">
        <v>0.03152694307117976</v>
      </c>
      <c r="W4894" s="11">
        <v>0.046285815319417944</v>
      </c>
      <c r="X4894" s="11">
        <v>0.23112054261228604</v>
      </c>
      <c r="Y4894" s="11">
        <v>0.30257669462848225</v>
      </c>
      <c r="Z4894" s="11">
        <v>0.0893067150030669</v>
      </c>
    </row>
    <row r="4895" ht="22.5" customHeight="1">
      <c r="Q4895" s="9" t="s">
        <v>4933</v>
      </c>
      <c r="R4895" s="10">
        <v>0.8874914878513563</v>
      </c>
      <c r="S4895" s="10">
        <v>0.042279698603260085</v>
      </c>
      <c r="T4895" s="10">
        <v>20.04488006889454</v>
      </c>
      <c r="U4895" s="11">
        <v>0.2746289843678491</v>
      </c>
      <c r="V4895" s="11">
        <v>0.3171814813772336</v>
      </c>
      <c r="W4895" s="11">
        <v>0.24591809328863917</v>
      </c>
      <c r="X4895" s="11">
        <v>0.059275435263158115</v>
      </c>
      <c r="Y4895" s="11">
        <v>0.016417613344861283</v>
      </c>
      <c r="Z4895" s="11">
        <v>0.08657839235825877</v>
      </c>
    </row>
    <row r="4896" ht="22.5" customHeight="1">
      <c r="Q4896" s="9" t="s">
        <v>4934</v>
      </c>
      <c r="R4896" s="10">
        <v>0.6370504047157405</v>
      </c>
      <c r="S4896" s="10">
        <v>0.029785802358502124</v>
      </c>
      <c r="T4896" s="10">
        <v>20.044798442212088</v>
      </c>
      <c r="U4896" s="11">
        <v>0.07743395482905208</v>
      </c>
      <c r="V4896" s="11">
        <v>0.12640119116399334</v>
      </c>
      <c r="W4896" s="11">
        <v>0.2390158329185008</v>
      </c>
      <c r="X4896" s="11">
        <v>0.25790101487019007</v>
      </c>
      <c r="Y4896" s="11">
        <v>0.11055810921624763</v>
      </c>
      <c r="Z4896" s="11">
        <v>0.18868989700201602</v>
      </c>
    </row>
    <row r="4897" ht="22.5" customHeight="1">
      <c r="Q4897" s="9" t="s">
        <v>4935</v>
      </c>
      <c r="R4897" s="10">
        <v>0.6496103041534629</v>
      </c>
      <c r="S4897" s="10">
        <v>0.030412735912345223</v>
      </c>
      <c r="T4897" s="10">
        <v>20.044572968063953</v>
      </c>
      <c r="U4897" s="11">
        <v>0.24603986651461068</v>
      </c>
      <c r="V4897" s="11">
        <v>0.1799552039608777</v>
      </c>
      <c r="W4897" s="11">
        <v>0.21415274097891684</v>
      </c>
      <c r="X4897" s="11">
        <v>7.653440697210078E-4</v>
      </c>
      <c r="Y4897" s="11">
        <v>0.1530309893311516</v>
      </c>
      <c r="Z4897" s="11">
        <v>0.20605585514472213</v>
      </c>
    </row>
    <row r="4898" ht="22.5" customHeight="1">
      <c r="Q4898" s="9" t="s">
        <v>4936</v>
      </c>
      <c r="R4898" s="10">
        <v>0.66734346592079</v>
      </c>
      <c r="S4898" s="10">
        <v>0.03129761316703833</v>
      </c>
      <c r="T4898" s="10">
        <v>20.044450756439424</v>
      </c>
      <c r="U4898" s="11">
        <v>5.908225208430427E-4</v>
      </c>
      <c r="V4898" s="11">
        <v>0.2582725379051311</v>
      </c>
      <c r="W4898" s="11">
        <v>0.13891334837690755</v>
      </c>
      <c r="X4898" s="11">
        <v>0.0653996619289258</v>
      </c>
      <c r="Y4898" s="11">
        <v>0.30040829309218775</v>
      </c>
      <c r="Z4898" s="11">
        <v>0.23641533617600485</v>
      </c>
    </row>
    <row r="4899" ht="22.5" customHeight="1">
      <c r="Q4899" s="9" t="s">
        <v>4937</v>
      </c>
      <c r="R4899" s="10">
        <v>0.9207742491283415</v>
      </c>
      <c r="S4899" s="10">
        <v>0.043941185910173014</v>
      </c>
      <c r="T4899" s="10">
        <v>20.044389583132066</v>
      </c>
      <c r="U4899" s="11">
        <v>0.11439457639507186</v>
      </c>
      <c r="V4899" s="11">
        <v>0.2825558539328886</v>
      </c>
      <c r="W4899" s="11">
        <v>0.30065319749619546</v>
      </c>
      <c r="X4899" s="11">
        <v>0.08136704999519742</v>
      </c>
      <c r="Y4899" s="11">
        <v>0.17861736783884932</v>
      </c>
      <c r="Z4899" s="11">
        <v>0.04241195434179724</v>
      </c>
    </row>
    <row r="4900" ht="22.5" customHeight="1">
      <c r="Q4900" s="9" t="s">
        <v>4938</v>
      </c>
      <c r="R4900" s="10">
        <v>0.7235115908031052</v>
      </c>
      <c r="S4900" s="10">
        <v>0.03410099678205316</v>
      </c>
      <c r="T4900" s="10">
        <v>20.043742274502282</v>
      </c>
      <c r="U4900" s="11">
        <v>0.26235560154200277</v>
      </c>
      <c r="V4900" s="11">
        <v>0.1851886607603418</v>
      </c>
      <c r="W4900" s="11">
        <v>0.2524480220861006</v>
      </c>
      <c r="X4900" s="11">
        <v>0.06271440120840119</v>
      </c>
      <c r="Y4900" s="11">
        <v>0.17304652596833103</v>
      </c>
      <c r="Z4900" s="11">
        <v>0.06424678843482258</v>
      </c>
    </row>
    <row r="4901" ht="22.5" customHeight="1">
      <c r="Q4901" s="9" t="s">
        <v>4939</v>
      </c>
      <c r="R4901" s="10">
        <v>0.6627687141609698</v>
      </c>
      <c r="S4901" s="10">
        <v>0.031070638234626333</v>
      </c>
      <c r="T4901" s="10">
        <v>20.0436408630619</v>
      </c>
      <c r="U4901" s="11">
        <v>0.240541853950766</v>
      </c>
      <c r="V4901" s="11">
        <v>0.26147852901655183</v>
      </c>
      <c r="W4901" s="11">
        <v>0.1355735752467221</v>
      </c>
      <c r="X4901" s="11">
        <v>0.09411551561536781</v>
      </c>
      <c r="Y4901" s="11">
        <v>0.02350079611572929</v>
      </c>
      <c r="Z4901" s="11">
        <v>0.2447897300548631</v>
      </c>
    </row>
    <row r="4902" ht="22.5" customHeight="1">
      <c r="Q4902" s="9" t="s">
        <v>4940</v>
      </c>
      <c r="R4902" s="10">
        <v>0.30056977520313066</v>
      </c>
      <c r="S4902" s="10">
        <v>0.013000268765819993</v>
      </c>
      <c r="T4902" s="10">
        <v>20.04341447833869</v>
      </c>
      <c r="U4902" s="11">
        <v>0.16153982974700778</v>
      </c>
      <c r="V4902" s="11">
        <v>0.09824426786722099</v>
      </c>
      <c r="W4902" s="11">
        <v>0.030321897159062496</v>
      </c>
      <c r="X4902" s="11">
        <v>0.13248181877626794</v>
      </c>
      <c r="Y4902" s="11">
        <v>0.14679708806937422</v>
      </c>
      <c r="Z4902" s="11">
        <v>0.43061509838106654</v>
      </c>
    </row>
    <row r="4903" ht="22.5" customHeight="1">
      <c r="Q4903" s="9" t="s">
        <v>4941</v>
      </c>
      <c r="R4903" s="10">
        <v>0.6642113933737538</v>
      </c>
      <c r="S4903" s="10">
        <v>0.031142981950170588</v>
      </c>
      <c r="T4903" s="10">
        <v>20.04340478289795</v>
      </c>
      <c r="U4903" s="11">
        <v>0.1211238225201334</v>
      </c>
      <c r="V4903" s="11">
        <v>0.27429490832288683</v>
      </c>
      <c r="W4903" s="11">
        <v>0.09360812859151917</v>
      </c>
      <c r="X4903" s="11">
        <v>0.24979418680198395</v>
      </c>
      <c r="Y4903" s="11">
        <v>0.2318328376256606</v>
      </c>
      <c r="Z4903" s="11">
        <v>0.029346116137816017</v>
      </c>
    </row>
    <row r="4904" ht="22.5" customHeight="1">
      <c r="Q4904" s="9" t="s">
        <v>4942</v>
      </c>
      <c r="R4904" s="10">
        <v>0.6465843322131604</v>
      </c>
      <c r="S4904" s="10">
        <v>0.030264143494394536</v>
      </c>
      <c r="T4904" s="10">
        <v>20.04300344153175</v>
      </c>
      <c r="U4904" s="11">
        <v>0.12880349232136837</v>
      </c>
      <c r="V4904" s="11">
        <v>0.25716530882267846</v>
      </c>
      <c r="W4904" s="11">
        <v>0.12650412015419707</v>
      </c>
      <c r="X4904" s="11">
        <v>0.08448703031211885</v>
      </c>
      <c r="Y4904" s="11">
        <v>0.1469478563129095</v>
      </c>
      <c r="Z4904" s="11">
        <v>0.2560921920767278</v>
      </c>
    </row>
    <row r="4905" ht="22.5" customHeight="1">
      <c r="Q4905" s="9" t="s">
        <v>4943</v>
      </c>
      <c r="R4905" s="10">
        <v>0.5669763536888209</v>
      </c>
      <c r="S4905" s="10">
        <v>0.02629283900163584</v>
      </c>
      <c r="T4905" s="10">
        <v>20.042580934528768</v>
      </c>
      <c r="U4905" s="11">
        <v>0.09715206262160472</v>
      </c>
      <c r="V4905" s="11">
        <v>0.23201956752411648</v>
      </c>
      <c r="W4905" s="11">
        <v>0.08148495782459686</v>
      </c>
      <c r="X4905" s="11">
        <v>0.17467239663552792</v>
      </c>
      <c r="Y4905" s="11">
        <v>0.1804478996852654</v>
      </c>
      <c r="Z4905" s="11">
        <v>0.23422311570888849</v>
      </c>
    </row>
    <row r="4906" ht="22.5" customHeight="1">
      <c r="Q4906" s="9" t="s">
        <v>4944</v>
      </c>
      <c r="R4906" s="10">
        <v>0.5046630031599805</v>
      </c>
      <c r="S4906" s="10">
        <v>0.023183836610326053</v>
      </c>
      <c r="T4906" s="10">
        <v>20.042541317472025</v>
      </c>
      <c r="U4906" s="11">
        <v>0.2830261847718625</v>
      </c>
      <c r="V4906" s="11">
        <v>0.1251307987600733</v>
      </c>
      <c r="W4906" s="11">
        <v>0.1640128312065453</v>
      </c>
      <c r="X4906" s="11">
        <v>5.381415707797479E-4</v>
      </c>
      <c r="Y4906" s="11">
        <v>0.13889939752620473</v>
      </c>
      <c r="Z4906" s="11">
        <v>0.28839264616453436</v>
      </c>
    </row>
    <row r="4907" ht="22.5" customHeight="1">
      <c r="Q4907" s="9" t="s">
        <v>4945</v>
      </c>
      <c r="R4907" s="10">
        <v>0.6457247598348916</v>
      </c>
      <c r="S4907" s="10">
        <v>0.030222715502537252</v>
      </c>
      <c r="T4907" s="10">
        <v>20.042036255280895</v>
      </c>
      <c r="U4907" s="11">
        <v>0.25377795848470225</v>
      </c>
      <c r="V4907" s="11">
        <v>0.26247017607604645</v>
      </c>
      <c r="W4907" s="11">
        <v>0.10170564437858512</v>
      </c>
      <c r="X4907" s="11">
        <v>0.1489058105825098</v>
      </c>
      <c r="Y4907" s="11">
        <v>0.19055963117953825</v>
      </c>
      <c r="Z4907" s="11">
        <v>0.042580779298618074</v>
      </c>
    </row>
    <row r="4908" ht="22.5" customHeight="1">
      <c r="Q4908" s="9" t="s">
        <v>4946</v>
      </c>
      <c r="R4908" s="10">
        <v>0.5250595362507342</v>
      </c>
      <c r="S4908" s="10">
        <v>0.024202690730768937</v>
      </c>
      <c r="T4908" s="10">
        <v>20.041554124974912</v>
      </c>
      <c r="U4908" s="11">
        <v>0.07966671162952155</v>
      </c>
      <c r="V4908" s="11">
        <v>0.09146454892489549</v>
      </c>
      <c r="W4908" s="11">
        <v>0.1932036193632016</v>
      </c>
      <c r="X4908" s="11">
        <v>0.20356334747433338</v>
      </c>
      <c r="Y4908" s="11">
        <v>0.20827281960272204</v>
      </c>
      <c r="Z4908" s="11">
        <v>0.22382895300532588</v>
      </c>
    </row>
    <row r="4909" ht="22.5" customHeight="1">
      <c r="Q4909" s="9" t="s">
        <v>4947</v>
      </c>
      <c r="R4909" s="10">
        <v>0.8285094241497533</v>
      </c>
      <c r="S4909" s="10">
        <v>0.039345447082103545</v>
      </c>
      <c r="T4909" s="10">
        <v>20.040677705462148</v>
      </c>
      <c r="U4909" s="11">
        <v>0.2658418209546114</v>
      </c>
      <c r="V4909" s="11">
        <v>0.24881127919277196</v>
      </c>
      <c r="W4909" s="11">
        <v>0.27223943116083577</v>
      </c>
      <c r="X4909" s="11">
        <v>0.0543895299855994</v>
      </c>
      <c r="Y4909" s="11">
        <v>0.05930185636853929</v>
      </c>
      <c r="Z4909" s="11">
        <v>0.09941608233764229</v>
      </c>
    </row>
    <row r="4910" ht="22.5" customHeight="1">
      <c r="Q4910" s="9" t="s">
        <v>4948</v>
      </c>
      <c r="R4910" s="10">
        <v>0.7107327706058322</v>
      </c>
      <c r="S4910" s="10">
        <v>0.03346865481539419</v>
      </c>
      <c r="T4910" s="10">
        <v>20.040625304645435</v>
      </c>
      <c r="U4910" s="11">
        <v>0.06450567188111275</v>
      </c>
      <c r="V4910" s="11">
        <v>0.26790605956323005</v>
      </c>
      <c r="W4910" s="11">
        <v>0.1689337309207072</v>
      </c>
      <c r="X4910" s="11">
        <v>0.029483437255417307</v>
      </c>
      <c r="Y4910" s="11">
        <v>0.2068251504467172</v>
      </c>
      <c r="Z4910" s="11">
        <v>0.26234594993281546</v>
      </c>
    </row>
    <row r="4911" ht="22.5" customHeight="1">
      <c r="Q4911" s="9" t="s">
        <v>4949</v>
      </c>
      <c r="R4911" s="10">
        <v>0.6841664942339328</v>
      </c>
      <c r="S4911" s="10">
        <v>0.03214416522359336</v>
      </c>
      <c r="T4911" s="10">
        <v>20.039919834692853</v>
      </c>
      <c r="U4911" s="11">
        <v>0.1912681178350352</v>
      </c>
      <c r="V4911" s="11">
        <v>0.2600671093681932</v>
      </c>
      <c r="W4911" s="11">
        <v>0.14314730540645812</v>
      </c>
      <c r="X4911" s="11">
        <v>0.018829368531529566</v>
      </c>
      <c r="Y4911" s="11">
        <v>0.32955083136769336</v>
      </c>
      <c r="Z4911" s="11">
        <v>0.05713726749109056</v>
      </c>
    </row>
    <row r="4912" ht="22.5" customHeight="1">
      <c r="Q4912" s="9" t="s">
        <v>4950</v>
      </c>
      <c r="R4912" s="10">
        <v>0.6961565896353809</v>
      </c>
      <c r="S4912" s="10">
        <v>0.03274302064692582</v>
      </c>
      <c r="T4912" s="10">
        <v>20.039586350655956</v>
      </c>
      <c r="U4912" s="11">
        <v>0.042546455157272144</v>
      </c>
      <c r="V4912" s="11">
        <v>0.15662118074065368</v>
      </c>
      <c r="W4912" s="11">
        <v>0.2573364045913533</v>
      </c>
      <c r="X4912" s="11">
        <v>0.23738980105274718</v>
      </c>
      <c r="Y4912" s="11">
        <v>0.08493026102447597</v>
      </c>
      <c r="Z4912" s="11">
        <v>0.22117589743349783</v>
      </c>
    </row>
    <row r="4913" ht="22.5" customHeight="1">
      <c r="Q4913" s="9" t="s">
        <v>4951</v>
      </c>
      <c r="R4913" s="10">
        <v>0.9194859816020198</v>
      </c>
      <c r="S4913" s="10">
        <v>0.043889513101555346</v>
      </c>
      <c r="T4913" s="10">
        <v>20.038636098946668</v>
      </c>
      <c r="U4913" s="11">
        <v>0.05269125962571136</v>
      </c>
      <c r="V4913" s="11">
        <v>0.27240221103266865</v>
      </c>
      <c r="W4913" s="11">
        <v>0.3067829175104953</v>
      </c>
      <c r="X4913" s="11">
        <v>0.10382543576262253</v>
      </c>
      <c r="Y4913" s="11">
        <v>0.23230344010376214</v>
      </c>
      <c r="Z4913" s="11">
        <v>0.03199473596474</v>
      </c>
    </row>
    <row r="4914" ht="22.5" customHeight="1">
      <c r="Q4914" s="9" t="s">
        <v>4952</v>
      </c>
      <c r="R4914" s="10">
        <v>0.6033549192154294</v>
      </c>
      <c r="S4914" s="10">
        <v>0.028113765400612663</v>
      </c>
      <c r="T4914" s="10">
        <v>20.038401515691405</v>
      </c>
      <c r="U4914" s="11">
        <v>0.056768594024335935</v>
      </c>
      <c r="V4914" s="11">
        <v>0.10776385460603041</v>
      </c>
      <c r="W4914" s="11">
        <v>0.2258426822332166</v>
      </c>
      <c r="X4914" s="11">
        <v>0.26344085562912933</v>
      </c>
      <c r="Y4914" s="11">
        <v>0.2239834887949406</v>
      </c>
      <c r="Z4914" s="11">
        <v>0.12220052471234706</v>
      </c>
    </row>
    <row r="4915" ht="22.5" customHeight="1">
      <c r="Q4915" s="9" t="s">
        <v>4953</v>
      </c>
      <c r="R4915" s="10">
        <v>0.6234440251506368</v>
      </c>
      <c r="S4915" s="10">
        <v>0.029116530552983088</v>
      </c>
      <c r="T4915" s="10">
        <v>20.038239930026997</v>
      </c>
      <c r="U4915" s="11">
        <v>0.09559455300629026</v>
      </c>
      <c r="V4915" s="11">
        <v>0.2584438998823536</v>
      </c>
      <c r="W4915" s="11">
        <v>0.09475783104780795</v>
      </c>
      <c r="X4915" s="11">
        <v>0.23805241975884453</v>
      </c>
      <c r="Y4915" s="11">
        <v>0.07372532054562969</v>
      </c>
      <c r="Z4915" s="11">
        <v>0.23942597575907393</v>
      </c>
    </row>
    <row r="4916" ht="22.5" customHeight="1">
      <c r="Q4916" s="9" t="s">
        <v>4954</v>
      </c>
      <c r="R4916" s="10">
        <v>0.8070288946450314</v>
      </c>
      <c r="S4916" s="10">
        <v>0.03827921637199537</v>
      </c>
      <c r="T4916" s="10">
        <v>20.03773763786295</v>
      </c>
      <c r="U4916" s="11">
        <v>0.278831247730972</v>
      </c>
      <c r="V4916" s="11">
        <v>0.30333368192166626</v>
      </c>
      <c r="W4916" s="11">
        <v>0.19470294041248984</v>
      </c>
      <c r="X4916" s="11">
        <v>0.019136975974244932</v>
      </c>
      <c r="Y4916" s="11">
        <v>0.17531311008891692</v>
      </c>
      <c r="Z4916" s="11">
        <v>0.02868204387170993</v>
      </c>
    </row>
    <row r="4917" ht="22.5" customHeight="1">
      <c r="Q4917" s="9" t="s">
        <v>4955</v>
      </c>
      <c r="R4917" s="10">
        <v>0.9411113342278786</v>
      </c>
      <c r="S4917" s="10">
        <v>0.04497166254210942</v>
      </c>
      <c r="T4917" s="10">
        <v>20.037314239475112</v>
      </c>
      <c r="U4917" s="11">
        <v>0.2778473456416391</v>
      </c>
      <c r="V4917" s="11">
        <v>0.30016127644154567</v>
      </c>
      <c r="W4917" s="11">
        <v>0.29970935334889953</v>
      </c>
      <c r="X4917" s="11">
        <v>0.08661797895999761</v>
      </c>
      <c r="Y4917" s="11">
        <v>0.01274303902904495</v>
      </c>
      <c r="Z4917" s="11">
        <v>0.022921006578873134</v>
      </c>
    </row>
    <row r="4918" ht="22.5" customHeight="1">
      <c r="Q4918" s="9" t="s">
        <v>4956</v>
      </c>
      <c r="R4918" s="10">
        <v>0.4505066724279216</v>
      </c>
      <c r="S4918" s="10">
        <v>0.02048717554589698</v>
      </c>
      <c r="T4918" s="10">
        <v>20.03725069413655</v>
      </c>
      <c r="U4918" s="11">
        <v>0.2964664858785277</v>
      </c>
      <c r="V4918" s="11">
        <v>0.1727569239139308</v>
      </c>
      <c r="W4918" s="11">
        <v>0.05581368550092669</v>
      </c>
      <c r="X4918" s="11">
        <v>0.10028412341746072</v>
      </c>
      <c r="Y4918" s="11">
        <v>0.19709217775266832</v>
      </c>
      <c r="Z4918" s="11">
        <v>0.17758660353648575</v>
      </c>
    </row>
    <row r="4919" ht="22.5" customHeight="1">
      <c r="Q4919" s="9" t="s">
        <v>4957</v>
      </c>
      <c r="R4919" s="10">
        <v>0.5603357869642034</v>
      </c>
      <c r="S4919" s="10">
        <v>0.025968541282802973</v>
      </c>
      <c r="T4919" s="10">
        <v>20.037158856850496</v>
      </c>
      <c r="U4919" s="11">
        <v>0.30562508507716</v>
      </c>
      <c r="V4919" s="11">
        <v>0.12003916902187907</v>
      </c>
      <c r="W4919" s="11">
        <v>0.19456997974254608</v>
      </c>
      <c r="X4919" s="11">
        <v>0.05363303725599846</v>
      </c>
      <c r="Y4919" s="11">
        <v>0.2407861994976715</v>
      </c>
      <c r="Z4919" s="11">
        <v>0.08534652940474491</v>
      </c>
    </row>
    <row r="4920" ht="22.5" customHeight="1">
      <c r="Q4920" s="9" t="s">
        <v>4958</v>
      </c>
      <c r="R4920" s="10">
        <v>0.522331348251574</v>
      </c>
      <c r="S4920" s="10">
        <v>0.0403707497862729</v>
      </c>
      <c r="T4920" s="10">
        <v>20.03675964163655</v>
      </c>
      <c r="U4920" s="11">
        <v>0.1898923528403362</v>
      </c>
      <c r="V4920" s="11">
        <v>0.22995281225664485</v>
      </c>
      <c r="W4920" s="11">
        <v>0.2986220975082421</v>
      </c>
      <c r="X4920" s="11">
        <v>0.14606166507041968</v>
      </c>
      <c r="Y4920" s="11">
        <v>0.06340644324651148</v>
      </c>
      <c r="Z4920" s="11">
        <v>0.07206462907784561</v>
      </c>
    </row>
    <row r="4921" ht="22.5" customHeight="1">
      <c r="Q4921" s="9" t="s">
        <v>4959</v>
      </c>
      <c r="R4921" s="10">
        <v>0.8680661489781005</v>
      </c>
      <c r="S4921" s="10">
        <v>0.0413276956262569</v>
      </c>
      <c r="T4921" s="10">
        <v>20.036591356717256</v>
      </c>
      <c r="U4921" s="11">
        <v>0.2534472719132917</v>
      </c>
      <c r="V4921" s="11">
        <v>0.25705687539488936</v>
      </c>
      <c r="W4921" s="11">
        <v>0.289584341505872</v>
      </c>
      <c r="X4921" s="11">
        <v>0.07372624208783281</v>
      </c>
      <c r="Y4921" s="11">
        <v>0.07595076704045386</v>
      </c>
      <c r="Z4921" s="11">
        <v>0.050234502057660384</v>
      </c>
    </row>
    <row r="4922" ht="22.5" customHeight="1">
      <c r="Q4922" s="9" t="s">
        <v>4960</v>
      </c>
      <c r="R4922" s="10">
        <v>0.6021466823726219</v>
      </c>
      <c r="S4922" s="10">
        <v>0.02805606809693339</v>
      </c>
      <c r="T4922" s="10">
        <v>20.03654540723282</v>
      </c>
      <c r="U4922" s="11">
        <v>0.19213097870538628</v>
      </c>
      <c r="V4922" s="11">
        <v>0.24767959547257204</v>
      </c>
      <c r="W4922" s="11">
        <v>0.09222533692634347</v>
      </c>
      <c r="X4922" s="11">
        <v>0.19257402769991291</v>
      </c>
      <c r="Y4922" s="11">
        <v>0.05980361400823941</v>
      </c>
      <c r="Z4922" s="11">
        <v>0.21558644718754583</v>
      </c>
    </row>
    <row r="4923" ht="22.5" customHeight="1">
      <c r="Q4923" s="9" t="s">
        <v>4961</v>
      </c>
      <c r="R4923" s="10">
        <v>0.7229498249850868</v>
      </c>
      <c r="S4923" s="10">
        <v>0.034085567363446055</v>
      </c>
      <c r="T4923" s="10">
        <v>20.036334372931513</v>
      </c>
      <c r="U4923" s="11">
        <v>0.16479544200591537</v>
      </c>
      <c r="V4923" s="11">
        <v>0.2063431452508779</v>
      </c>
      <c r="W4923" s="11">
        <v>0.2426372407031044</v>
      </c>
      <c r="X4923" s="11">
        <v>0.05364542433844114</v>
      </c>
      <c r="Y4923" s="11">
        <v>0.08709045110572325</v>
      </c>
      <c r="Z4923" s="11">
        <v>0.24548829659593793</v>
      </c>
    </row>
    <row r="4924" ht="22.5" customHeight="1">
      <c r="Q4924" s="9" t="s">
        <v>4962</v>
      </c>
      <c r="R4924" s="10">
        <v>0.29408260190507374</v>
      </c>
      <c r="S4924" s="10">
        <v>0.012681195160286367</v>
      </c>
      <c r="T4924" s="10">
        <v>20.036171566918465</v>
      </c>
      <c r="U4924" s="11">
        <v>0.18020824257080018</v>
      </c>
      <c r="V4924" s="11">
        <v>0.09188589915596307</v>
      </c>
      <c r="W4924" s="11">
        <v>0.027161206986307092</v>
      </c>
      <c r="X4924" s="11">
        <v>0.12908088864625183</v>
      </c>
      <c r="Y4924" s="11">
        <v>0.2082256653233866</v>
      </c>
      <c r="Z4924" s="11">
        <v>0.36343809731729126</v>
      </c>
    </row>
    <row r="4925" ht="22.5" customHeight="1">
      <c r="Q4925" s="9" t="s">
        <v>4963</v>
      </c>
      <c r="R4925" s="10">
        <v>0.47792375634145307</v>
      </c>
      <c r="S4925" s="10">
        <v>0.021856794549260816</v>
      </c>
      <c r="T4925" s="10">
        <v>20.03604670183732</v>
      </c>
      <c r="U4925" s="11">
        <v>0.14033872164070002</v>
      </c>
      <c r="V4925" s="11">
        <v>0.08978198131876271</v>
      </c>
      <c r="W4925" s="11">
        <v>0.16971548076598467</v>
      </c>
      <c r="X4925" s="11">
        <v>0.11713721021674842</v>
      </c>
      <c r="Y4925" s="11">
        <v>0.19186659508623588</v>
      </c>
      <c r="Z4925" s="11">
        <v>0.29116001097156824</v>
      </c>
    </row>
    <row r="4926" ht="22.5" customHeight="1">
      <c r="Q4926" s="9" t="s">
        <v>4964</v>
      </c>
      <c r="R4926" s="10">
        <v>0.6342163331882975</v>
      </c>
      <c r="S4926" s="10">
        <v>0.029657781414025027</v>
      </c>
      <c r="T4926" s="10">
        <v>20.035764809679772</v>
      </c>
      <c r="U4926" s="11">
        <v>0.2551283995449142</v>
      </c>
      <c r="V4926" s="11">
        <v>0.26012750234973947</v>
      </c>
      <c r="W4926" s="11">
        <v>0.09376293852342925</v>
      </c>
      <c r="X4926" s="11">
        <v>0.18293611607233082</v>
      </c>
      <c r="Y4926" s="11">
        <v>0.15373755546193776</v>
      </c>
      <c r="Z4926" s="11">
        <v>0.05430748804764853</v>
      </c>
    </row>
    <row r="4927" ht="22.5" customHeight="1">
      <c r="Q4927" s="9" t="s">
        <v>4965</v>
      </c>
      <c r="R4927" s="10">
        <v>0.5726780164201818</v>
      </c>
      <c r="S4927" s="10">
        <v>0.02658743168852995</v>
      </c>
      <c r="T4927" s="10">
        <v>20.034955713679697</v>
      </c>
      <c r="U4927" s="11">
        <v>0.11374794513014014</v>
      </c>
      <c r="V4927" s="11">
        <v>0.2289856447423993</v>
      </c>
      <c r="W4927" s="11">
        <v>0.09774819573987387</v>
      </c>
      <c r="X4927" s="11">
        <v>0.09224631102856401</v>
      </c>
      <c r="Y4927" s="11">
        <v>0.19734638515996134</v>
      </c>
      <c r="Z4927" s="11">
        <v>0.2699255181990613</v>
      </c>
    </row>
    <row r="4928" ht="22.5" customHeight="1">
      <c r="Q4928" s="9" t="s">
        <v>4966</v>
      </c>
      <c r="R4928" s="10">
        <v>0.7403712372265063</v>
      </c>
      <c r="S4928" s="10">
        <v>0.03495763586023504</v>
      </c>
      <c r="T4928" s="10">
        <v>20.03485704887703</v>
      </c>
      <c r="U4928" s="11">
        <v>0.05665400993622421</v>
      </c>
      <c r="V4928" s="11">
        <v>0.23780869813891722</v>
      </c>
      <c r="W4928" s="11">
        <v>0.22629668872476078</v>
      </c>
      <c r="X4928" s="11">
        <v>0.009780618164187389</v>
      </c>
      <c r="Y4928" s="11">
        <v>0.19475686183578794</v>
      </c>
      <c r="Z4928" s="11">
        <v>0.2747031232001224</v>
      </c>
    </row>
    <row r="4929" ht="22.5" customHeight="1">
      <c r="Q4929" s="9" t="s">
        <v>4967</v>
      </c>
      <c r="R4929" s="10">
        <v>0.730595622363338</v>
      </c>
      <c r="S4929" s="10">
        <v>0.0344697118654221</v>
      </c>
      <c r="T4929" s="10">
        <v>20.03485335356403</v>
      </c>
      <c r="U4929" s="11">
        <v>0.14331315259771438</v>
      </c>
      <c r="V4929" s="11">
        <v>0.20364540824185515</v>
      </c>
      <c r="W4929" s="11">
        <v>0.24865111646483726</v>
      </c>
      <c r="X4929" s="11">
        <v>0.06210003055825168</v>
      </c>
      <c r="Y4929" s="11">
        <v>0.12103995753568998</v>
      </c>
      <c r="Z4929" s="11">
        <v>0.22125033460165164</v>
      </c>
    </row>
    <row r="4930" ht="22.5" customHeight="1">
      <c r="Q4930" s="9" t="s">
        <v>4968</v>
      </c>
      <c r="R4930" s="10">
        <v>0.4887419355664236</v>
      </c>
      <c r="S4930" s="10">
        <v>0.022399121679735103</v>
      </c>
      <c r="T4930" s="10">
        <v>20.03390766756755</v>
      </c>
      <c r="U4930" s="11">
        <v>0.21673433554308524</v>
      </c>
      <c r="V4930" s="11">
        <v>0.19332681696087284</v>
      </c>
      <c r="W4930" s="11">
        <v>0.05854635526430244</v>
      </c>
      <c r="X4930" s="11">
        <v>0.139911420172316</v>
      </c>
      <c r="Y4930" s="11">
        <v>0.23627498450011294</v>
      </c>
      <c r="Z4930" s="11">
        <v>0.1552060875593106</v>
      </c>
    </row>
    <row r="4931" ht="22.5" customHeight="1">
      <c r="Q4931" s="9" t="s">
        <v>4969</v>
      </c>
      <c r="R4931" s="10">
        <v>0.6946503200271383</v>
      </c>
      <c r="S4931" s="10">
        <v>0.03267746161803616</v>
      </c>
      <c r="T4931" s="10">
        <v>20.033695630318093</v>
      </c>
      <c r="U4931" s="11">
        <v>0.2317066485047791</v>
      </c>
      <c r="V4931" s="11">
        <v>0.19558085163664168</v>
      </c>
      <c r="W4931" s="11">
        <v>0.2296363713107585</v>
      </c>
      <c r="X4931" s="11">
        <v>0.003472935741451247</v>
      </c>
      <c r="Y4931" s="11">
        <v>0.17625057806425462</v>
      </c>
      <c r="Z4931" s="11">
        <v>0.16335261474211474</v>
      </c>
    </row>
    <row r="4932" ht="22.5" customHeight="1">
      <c r="Q4932" s="9" t="s">
        <v>4970</v>
      </c>
      <c r="R4932" s="10">
        <v>0.4532484183550321</v>
      </c>
      <c r="S4932" s="10">
        <v>0.02062780927547598</v>
      </c>
      <c r="T4932" s="10">
        <v>20.03355823375464</v>
      </c>
      <c r="U4932" s="11">
        <v>0.031159848204746123</v>
      </c>
      <c r="V4932" s="11">
        <v>0.09157604775728315</v>
      </c>
      <c r="W4932" s="11">
        <v>0.15349087838794478</v>
      </c>
      <c r="X4932" s="11">
        <v>0.09375789829819038</v>
      </c>
      <c r="Y4932" s="11">
        <v>0.2632868571278556</v>
      </c>
      <c r="Z4932" s="11">
        <v>0.3667284702239801</v>
      </c>
    </row>
    <row r="4933" ht="22.5" customHeight="1">
      <c r="Q4933" s="9" t="s">
        <v>4971</v>
      </c>
      <c r="R4933" s="10">
        <v>0.28475221051683725</v>
      </c>
      <c r="S4933" s="10">
        <v>0.012217140683147006</v>
      </c>
      <c r="T4933" s="10">
        <v>20.033510038438198</v>
      </c>
      <c r="U4933" s="11">
        <v>0.27285085270512777</v>
      </c>
      <c r="V4933" s="11">
        <v>0.022880166277749223</v>
      </c>
      <c r="W4933" s="11">
        <v>0.07873953528870564</v>
      </c>
      <c r="X4933" s="11">
        <v>0.23497945848244903</v>
      </c>
      <c r="Y4933" s="11">
        <v>0.13709231485324508</v>
      </c>
      <c r="Z4933" s="11">
        <v>0.25345767239272327</v>
      </c>
    </row>
    <row r="4934" ht="22.5" customHeight="1">
      <c r="Q4934" s="9" t="s">
        <v>4972</v>
      </c>
      <c r="R4934" s="10">
        <v>0.7306594161085372</v>
      </c>
      <c r="S4934" s="10">
        <v>0.034475561332489246</v>
      </c>
      <c r="T4934" s="10">
        <v>20.033304445652934</v>
      </c>
      <c r="U4934" s="11">
        <v>0.24973394343733943</v>
      </c>
      <c r="V4934" s="11">
        <v>0.2318688136734034</v>
      </c>
      <c r="W4934" s="11">
        <v>0.22569304915855817</v>
      </c>
      <c r="X4934" s="11">
        <v>0.007999386152868104</v>
      </c>
      <c r="Y4934" s="11">
        <v>0.050404893516951856</v>
      </c>
      <c r="Z4934" s="11">
        <v>0.23429991406087897</v>
      </c>
    </row>
    <row r="4935" ht="22.5" customHeight="1">
      <c r="Q4935" s="9" t="s">
        <v>4973</v>
      </c>
      <c r="R4935" s="10">
        <v>0.9107368751446573</v>
      </c>
      <c r="S4935" s="10">
        <v>0.043464974421875295</v>
      </c>
      <c r="T4935" s="10">
        <v>20.03307000006948</v>
      </c>
      <c r="U4935" s="11">
        <v>0.024106561091359734</v>
      </c>
      <c r="V4935" s="11">
        <v>0.35041032451746235</v>
      </c>
      <c r="W4935" s="11">
        <v>0.22063627901069444</v>
      </c>
      <c r="X4935" s="11">
        <v>0.12412139578886987</v>
      </c>
      <c r="Y4935" s="11">
        <v>0.186701998435111</v>
      </c>
      <c r="Z4935" s="11">
        <v>0.09402344115650266</v>
      </c>
    </row>
    <row r="4936" ht="22.5" customHeight="1">
      <c r="Q4936" s="9" t="s">
        <v>4974</v>
      </c>
      <c r="R4936" s="10">
        <v>0.749345661970143</v>
      </c>
      <c r="S4936" s="10">
        <v>0.035412806387814764</v>
      </c>
      <c r="T4936" s="10">
        <v>20.0307666724268</v>
      </c>
      <c r="U4936" s="11">
        <v>0.12425328857911959</v>
      </c>
      <c r="V4936" s="11">
        <v>0.20000292180809814</v>
      </c>
      <c r="W4936" s="11">
        <v>0.2594989113629854</v>
      </c>
      <c r="X4936" s="11">
        <v>0.07255121807199036</v>
      </c>
      <c r="Y4936" s="11">
        <v>0.20875546650900265</v>
      </c>
      <c r="Z4936" s="11">
        <v>0.1349381936688038</v>
      </c>
    </row>
    <row r="4937" ht="22.5" customHeight="1">
      <c r="Q4937" s="9" t="s">
        <v>4975</v>
      </c>
      <c r="R4937" s="10">
        <v>0.6292023353576054</v>
      </c>
      <c r="S4937" s="10">
        <v>0.029415879375211812</v>
      </c>
      <c r="T4937" s="10">
        <v>20.030077219248955</v>
      </c>
      <c r="U4937" s="11">
        <v>0.14106792643239952</v>
      </c>
      <c r="V4937" s="11">
        <v>0.1411978430786816</v>
      </c>
      <c r="W4937" s="11">
        <v>0.22850782587366808</v>
      </c>
      <c r="X4937" s="11">
        <v>0.12977794697681766</v>
      </c>
      <c r="Y4937" s="11">
        <v>0.14970811942371087</v>
      </c>
      <c r="Z4937" s="11">
        <v>0.2097403382147223</v>
      </c>
    </row>
    <row r="4938" ht="22.5" customHeight="1">
      <c r="Q4938" s="9" t="s">
        <v>4976</v>
      </c>
      <c r="R4938" s="10">
        <v>0.6554783253765292</v>
      </c>
      <c r="S4938" s="10">
        <v>0.030727890925044365</v>
      </c>
      <c r="T4938" s="10">
        <v>20.029956721660046</v>
      </c>
      <c r="U4938" s="11">
        <v>0.2628338058177604</v>
      </c>
      <c r="V4938" s="11">
        <v>0.1718573678112994</v>
      </c>
      <c r="W4938" s="11">
        <v>0.22596839929012966</v>
      </c>
      <c r="X4938" s="11">
        <v>0.06641756556443744</v>
      </c>
      <c r="Y4938" s="11">
        <v>0.034429705311213074</v>
      </c>
      <c r="Z4938" s="11">
        <v>0.23849315620516015</v>
      </c>
    </row>
    <row r="4939" ht="22.5" customHeight="1">
      <c r="Q4939" s="9" t="s">
        <v>4977</v>
      </c>
      <c r="R4939" s="10">
        <v>0.5460961786939538</v>
      </c>
      <c r="S4939" s="10">
        <v>0.025267510448799067</v>
      </c>
      <c r="T4939" s="10">
        <v>20.029522881547194</v>
      </c>
      <c r="U4939" s="11">
        <v>0.050995310080461986</v>
      </c>
      <c r="V4939" s="11">
        <v>0.19764025054454437</v>
      </c>
      <c r="W4939" s="11">
        <v>0.10110786348854299</v>
      </c>
      <c r="X4939" s="11">
        <v>0.0475218511109552</v>
      </c>
      <c r="Y4939" s="11">
        <v>0.4617202170362962</v>
      </c>
      <c r="Z4939" s="11">
        <v>0.14101450773919924</v>
      </c>
    </row>
    <row r="4940" ht="22.5" customHeight="1">
      <c r="Q4940" s="9" t="s">
        <v>4978</v>
      </c>
      <c r="R4940" s="10">
        <v>0.5314955035937101</v>
      </c>
      <c r="S4940" s="10">
        <v>0.02453855962214244</v>
      </c>
      <c r="T4940" s="10">
        <v>20.029517264338846</v>
      </c>
      <c r="U4940" s="11">
        <v>0.19015759513640482</v>
      </c>
      <c r="V4940" s="11">
        <v>0.09256097096304809</v>
      </c>
      <c r="W4940" s="11">
        <v>0.19502073601009406</v>
      </c>
      <c r="X4940" s="11">
        <v>0.17008653927998305</v>
      </c>
      <c r="Y4940" s="11">
        <v>0.21157552973680377</v>
      </c>
      <c r="Z4940" s="11">
        <v>0.14059862887366628</v>
      </c>
    </row>
    <row r="4941" ht="22.5" customHeight="1">
      <c r="Q4941" s="9" t="s">
        <v>4979</v>
      </c>
      <c r="R4941" s="10">
        <v>0.906478536046756</v>
      </c>
      <c r="S4941" s="10">
        <v>0.04326080751764392</v>
      </c>
      <c r="T4941" s="10">
        <v>20.02918081668639</v>
      </c>
      <c r="U4941" s="11">
        <v>0.23174759236694445</v>
      </c>
      <c r="V4941" s="11">
        <v>0.3145761010687903</v>
      </c>
      <c r="W4941" s="11">
        <v>0.2604939672397094</v>
      </c>
      <c r="X4941" s="11">
        <v>0.02049031556793811</v>
      </c>
      <c r="Y4941" s="11">
        <v>0.1483114804987149</v>
      </c>
      <c r="Z4941" s="11">
        <v>0.024380543257902627</v>
      </c>
    </row>
    <row r="4942" ht="22.5" customHeight="1">
      <c r="Q4942" s="9" t="s">
        <v>4980</v>
      </c>
      <c r="R4942" s="10">
        <v>0.8259904408650895</v>
      </c>
      <c r="S4942" s="10">
        <v>0.03924236587825019</v>
      </c>
      <c r="T4942" s="10">
        <v>20.029129826260533</v>
      </c>
      <c r="U4942" s="11">
        <v>0.020394603552401826</v>
      </c>
      <c r="V4942" s="11">
        <v>0.2807570721157342</v>
      </c>
      <c r="W4942" s="11">
        <v>0.2333608349848504</v>
      </c>
      <c r="X4942" s="11">
        <v>0.008742001911952397</v>
      </c>
      <c r="Y4942" s="11">
        <v>0.3725238688631188</v>
      </c>
      <c r="Z4942" s="11">
        <v>0.0842216185719423</v>
      </c>
    </row>
    <row r="4943" ht="22.5" customHeight="1">
      <c r="Q4943" s="9" t="s">
        <v>4981</v>
      </c>
      <c r="R4943" s="10">
        <v>0.7453280648154418</v>
      </c>
      <c r="S4943" s="10">
        <v>0.03521579846593898</v>
      </c>
      <c r="T4943" s="10">
        <v>20.028739813968468</v>
      </c>
      <c r="U4943" s="11">
        <v>0.08154441248104999</v>
      </c>
      <c r="V4943" s="11">
        <v>0.2107560709868854</v>
      </c>
      <c r="W4943" s="11">
        <v>0.2523263948942457</v>
      </c>
      <c r="X4943" s="11">
        <v>0.06602315083869804</v>
      </c>
      <c r="Y4943" s="11">
        <v>0.15576924960811275</v>
      </c>
      <c r="Z4943" s="11">
        <v>0.2335807211910081</v>
      </c>
    </row>
    <row r="4944" ht="22.5" customHeight="1">
      <c r="Q4944" s="9" t="s">
        <v>4982</v>
      </c>
      <c r="R4944" s="10">
        <v>0.6540075315992936</v>
      </c>
      <c r="S4944" s="10">
        <v>0.030657076750309497</v>
      </c>
      <c r="T4944" s="10">
        <v>20.028247852858147</v>
      </c>
      <c r="U4944" s="11">
        <v>0.12981540593791716</v>
      </c>
      <c r="V4944" s="11">
        <v>0.25943317508451064</v>
      </c>
      <c r="W4944" s="11">
        <v>0.12702814409437782</v>
      </c>
      <c r="X4944" s="11">
        <v>0.07078304293779188</v>
      </c>
      <c r="Y4944" s="11">
        <v>0.2062109735876348</v>
      </c>
      <c r="Z4944" s="11">
        <v>0.20672925835776765</v>
      </c>
    </row>
    <row r="4945" ht="22.5" customHeight="1">
      <c r="Q4945" s="9" t="s">
        <v>4983</v>
      </c>
      <c r="R4945" s="10">
        <v>0.7200107341492499</v>
      </c>
      <c r="S4945" s="10">
        <v>0.033953053274852076</v>
      </c>
      <c r="T4945" s="10">
        <v>20.027970051603923</v>
      </c>
      <c r="U4945" s="11">
        <v>0.04648781840099546</v>
      </c>
      <c r="V4945" s="11">
        <v>0.2779028618566618</v>
      </c>
      <c r="W4945" s="11">
        <v>0.149260634515931</v>
      </c>
      <c r="X4945" s="11">
        <v>0.06634413356934148</v>
      </c>
      <c r="Y4945" s="11">
        <v>0.37159312519665316</v>
      </c>
      <c r="Z4945" s="11">
        <v>0.08841142646041716</v>
      </c>
    </row>
    <row r="4946" ht="22.5" customHeight="1">
      <c r="Q4946" s="9" t="s">
        <v>4984</v>
      </c>
      <c r="R4946" s="10">
        <v>0.5124283094764465</v>
      </c>
      <c r="S4946" s="10">
        <v>0.023589240382080937</v>
      </c>
      <c r="T4946" s="10">
        <v>20.02727946404398</v>
      </c>
      <c r="U4946" s="11">
        <v>0.32324629043668024</v>
      </c>
      <c r="V4946" s="11">
        <v>0.1977274832441598</v>
      </c>
      <c r="W4946" s="11">
        <v>0.06511654833031012</v>
      </c>
      <c r="X4946" s="11">
        <v>0.11830336429283998</v>
      </c>
      <c r="Y4946" s="11">
        <v>0.2820776077854162</v>
      </c>
      <c r="Z4946" s="11">
        <v>0.013528705910593576</v>
      </c>
    </row>
    <row r="4947" ht="22.5" customHeight="1">
      <c r="Q4947" s="9" t="s">
        <v>4985</v>
      </c>
      <c r="R4947" s="10">
        <v>0.8962869857541359</v>
      </c>
      <c r="S4947" s="10">
        <v>0.042756170151094994</v>
      </c>
      <c r="T4947" s="10">
        <v>20.027214381646534</v>
      </c>
      <c r="U4947" s="11">
        <v>0.08021070988525815</v>
      </c>
      <c r="V4947" s="11">
        <v>0.3557244302981937</v>
      </c>
      <c r="W4947" s="11">
        <v>0.2004727356257068</v>
      </c>
      <c r="X4947" s="11">
        <v>0.1712549829546941</v>
      </c>
      <c r="Y4947" s="11">
        <v>0.1128678889396652</v>
      </c>
      <c r="Z4947" s="11">
        <v>0.07946925229648202</v>
      </c>
    </row>
    <row r="4948" ht="22.5" customHeight="1">
      <c r="Q4948" s="9" t="s">
        <v>4986</v>
      </c>
      <c r="R4948" s="10">
        <v>0.705794689711242</v>
      </c>
      <c r="S4948" s="10">
        <v>0.03324454379050017</v>
      </c>
      <c r="T4948" s="10">
        <v>20.027186834234644</v>
      </c>
      <c r="U4948" s="11">
        <v>0.08740233316091611</v>
      </c>
      <c r="V4948" s="11">
        <v>0.21440222185409966</v>
      </c>
      <c r="W4948" s="11">
        <v>0.22502584356154584</v>
      </c>
      <c r="X4948" s="11">
        <v>0.012801767110039289</v>
      </c>
      <c r="Y4948" s="11">
        <v>0.1715652541094647</v>
      </c>
      <c r="Z4948" s="11">
        <v>0.2888025802039344</v>
      </c>
    </row>
    <row r="4949" ht="22.5" customHeight="1">
      <c r="Q4949" s="9" t="s">
        <v>4987</v>
      </c>
      <c r="R4949" s="10">
        <v>0.5419145364759506</v>
      </c>
      <c r="S4949" s="10">
        <v>0.025062338927149198</v>
      </c>
      <c r="T4949" s="10">
        <v>20.026643879284673</v>
      </c>
      <c r="U4949" s="11">
        <v>0.16378377874210814</v>
      </c>
      <c r="V4949" s="11">
        <v>0.09682132003486205</v>
      </c>
      <c r="W4949" s="11">
        <v>0.20041349048548102</v>
      </c>
      <c r="X4949" s="11">
        <v>0.1822286491380654</v>
      </c>
      <c r="Y4949" s="11">
        <v>0.17904589598701098</v>
      </c>
      <c r="Z4949" s="11">
        <v>0.17770686561247248</v>
      </c>
    </row>
    <row r="4950" ht="22.5" customHeight="1">
      <c r="Q4950" s="9" t="s">
        <v>4988</v>
      </c>
      <c r="R4950" s="10">
        <v>0.522331348251574</v>
      </c>
      <c r="S4950" s="10">
        <v>0.032203197189563444</v>
      </c>
      <c r="T4950" s="10">
        <v>20.02599014448054</v>
      </c>
      <c r="U4950" s="11">
        <v>0.2643469677528877</v>
      </c>
      <c r="V4950" s="11">
        <v>0.2640696599731301</v>
      </c>
      <c r="W4950" s="11">
        <v>0.14789417543845154</v>
      </c>
      <c r="X4950" s="11">
        <v>0.023308984769076762</v>
      </c>
      <c r="Y4950" s="11">
        <v>0.1522970349640117</v>
      </c>
      <c r="Z4950" s="11">
        <v>0.14808317710244223</v>
      </c>
    </row>
    <row r="4951" ht="22.5" customHeight="1">
      <c r="Q4951" s="9" t="s">
        <v>4989</v>
      </c>
      <c r="R4951" s="10">
        <v>0.7436082170612971</v>
      </c>
      <c r="S4951" s="10">
        <v>0.03513502665039765</v>
      </c>
      <c r="T4951" s="10">
        <v>20.02583416436184</v>
      </c>
      <c r="U4951" s="11">
        <v>0.21502929334457893</v>
      </c>
      <c r="V4951" s="11">
        <v>0.2168868802016252</v>
      </c>
      <c r="W4951" s="11">
        <v>0.24352958680919135</v>
      </c>
      <c r="X4951" s="11">
        <v>0.004919892490567341</v>
      </c>
      <c r="Y4951" s="11">
        <v>0.1832039098307714</v>
      </c>
      <c r="Z4951" s="11">
        <v>0.13643043732326585</v>
      </c>
    </row>
    <row r="4952" ht="22.5" customHeight="1">
      <c r="Q4952" s="9" t="s">
        <v>4990</v>
      </c>
      <c r="R4952" s="10">
        <v>0.7178394068328067</v>
      </c>
      <c r="S4952" s="10">
        <v>0.033848792906114034</v>
      </c>
      <c r="T4952" s="10">
        <v>20.025511949951103</v>
      </c>
      <c r="U4952" s="11">
        <v>0.20174226734459275</v>
      </c>
      <c r="V4952" s="11">
        <v>0.1847047960380485</v>
      </c>
      <c r="W4952" s="11">
        <v>0.2509775510901837</v>
      </c>
      <c r="X4952" s="11">
        <v>0.06479318849519783</v>
      </c>
      <c r="Y4952" s="11">
        <v>0.18421372019381654</v>
      </c>
      <c r="Z4952" s="11">
        <v>0.11356847683816072</v>
      </c>
    </row>
    <row r="4953" ht="22.5" customHeight="1">
      <c r="Q4953" s="9" t="s">
        <v>4991</v>
      </c>
      <c r="R4953" s="10">
        <v>0.7248026730942455</v>
      </c>
      <c r="S4953" s="10">
        <v>0.034197575484871894</v>
      </c>
      <c r="T4953" s="10">
        <v>20.024889583098783</v>
      </c>
      <c r="U4953" s="11">
        <v>0.026892947136021556</v>
      </c>
      <c r="V4953" s="11">
        <v>0.2959757089488417</v>
      </c>
      <c r="W4953" s="11">
        <v>0.13346133067913757</v>
      </c>
      <c r="X4953" s="11">
        <v>0.17956723840590214</v>
      </c>
      <c r="Y4953" s="11">
        <v>0.18429466142313577</v>
      </c>
      <c r="Z4953" s="11">
        <v>0.1798081134069614</v>
      </c>
    </row>
    <row r="4954" ht="22.5" customHeight="1">
      <c r="Q4954" s="9" t="s">
        <v>4992</v>
      </c>
      <c r="R4954" s="10">
        <v>0.7101448203319479</v>
      </c>
      <c r="S4954" s="10">
        <v>0.03346616783110815</v>
      </c>
      <c r="T4954" s="10">
        <v>20.024546094250482</v>
      </c>
      <c r="U4954" s="11">
        <v>0.09054022472843458</v>
      </c>
      <c r="V4954" s="11">
        <v>0.17630982976636164</v>
      </c>
      <c r="W4954" s="11">
        <v>0.2527911875356109</v>
      </c>
      <c r="X4954" s="11">
        <v>0.11052433134678666</v>
      </c>
      <c r="Y4954" s="11">
        <v>0.20145098958481675</v>
      </c>
      <c r="Z4954" s="11">
        <v>0.1683834370379894</v>
      </c>
    </row>
    <row r="4955" ht="22.5" customHeight="1">
      <c r="Q4955" s="9" t="s">
        <v>4993</v>
      </c>
      <c r="R4955" s="10">
        <v>0.7854631517514605</v>
      </c>
      <c r="S4955" s="10">
        <v>0.037227706912665054</v>
      </c>
      <c r="T4955" s="10">
        <v>20.0244176602199</v>
      </c>
      <c r="U4955" s="11">
        <v>0.0026893737885604345</v>
      </c>
      <c r="V4955" s="11">
        <v>0.21732058483163694</v>
      </c>
      <c r="W4955" s="11">
        <v>0.2718989927579706</v>
      </c>
      <c r="X4955" s="11">
        <v>0.12864040397156054</v>
      </c>
      <c r="Y4955" s="11">
        <v>0.14221991920584917</v>
      </c>
      <c r="Z4955" s="11">
        <v>0.2372307254444224</v>
      </c>
    </row>
    <row r="4956" ht="22.5" customHeight="1">
      <c r="Q4956" s="9" t="s">
        <v>4994</v>
      </c>
      <c r="R4956" s="10">
        <v>0.7068695838936818</v>
      </c>
      <c r="S4956" s="10">
        <v>0.03330293363266877</v>
      </c>
      <c r="T4956" s="10">
        <v>20.024349543774452</v>
      </c>
      <c r="U4956" s="11">
        <v>0.045758533265454426</v>
      </c>
      <c r="V4956" s="11">
        <v>0.28774859475635073</v>
      </c>
      <c r="W4956" s="11">
        <v>0.13596673577698876</v>
      </c>
      <c r="X4956" s="11">
        <v>0.20637069814698247</v>
      </c>
      <c r="Y4956" s="11">
        <v>0.024707872910162697</v>
      </c>
      <c r="Z4956" s="11">
        <v>0.2994475651440609</v>
      </c>
    </row>
    <row r="4957" ht="22.5" customHeight="1">
      <c r="Q4957" s="9" t="s">
        <v>4995</v>
      </c>
      <c r="R4957" s="10">
        <v>0.9329780794767697</v>
      </c>
      <c r="S4957" s="10">
        <v>0.04459546590206291</v>
      </c>
      <c r="T4957" s="10">
        <v>20.023965697271972</v>
      </c>
      <c r="U4957" s="11">
        <v>0.09864811788332259</v>
      </c>
      <c r="V4957" s="11">
        <v>0.3128559670027183</v>
      </c>
      <c r="W4957" s="11">
        <v>0.28447270998120694</v>
      </c>
      <c r="X4957" s="11">
        <v>0.07243881725709597</v>
      </c>
      <c r="Y4957" s="11">
        <v>0.11595319270496766</v>
      </c>
      <c r="Z4957" s="11">
        <v>0.11563119517068852</v>
      </c>
    </row>
    <row r="4958" ht="22.5" customHeight="1">
      <c r="Q4958" s="9" t="s">
        <v>4996</v>
      </c>
      <c r="R4958" s="10">
        <v>0.853310554626836</v>
      </c>
      <c r="S4958" s="10">
        <v>0.04061762138723503</v>
      </c>
      <c r="T4958" s="10">
        <v>20.023588946112845</v>
      </c>
      <c r="U4958" s="11">
        <v>0.014398759318524468</v>
      </c>
      <c r="V4958" s="11">
        <v>0.2572241172327686</v>
      </c>
      <c r="W4958" s="11">
        <v>0.28455166632585926</v>
      </c>
      <c r="X4958" s="11">
        <v>0.13855231206426474</v>
      </c>
      <c r="Y4958" s="11">
        <v>0.05295973821641493</v>
      </c>
      <c r="Z4958" s="11">
        <v>0.2523134068421679</v>
      </c>
    </row>
    <row r="4959" ht="22.5" customHeight="1">
      <c r="Q4959" s="9" t="s">
        <v>4997</v>
      </c>
      <c r="R4959" s="10">
        <v>0.6653245296760855</v>
      </c>
      <c r="S4959" s="10">
        <v>0.031229621629482646</v>
      </c>
      <c r="T4959" s="10">
        <v>20.02344239373497</v>
      </c>
      <c r="U4959" s="11">
        <v>0.29212133576871807</v>
      </c>
      <c r="V4959" s="11">
        <v>0.15296901565798268</v>
      </c>
      <c r="W4959" s="11">
        <v>0.23687004493333552</v>
      </c>
      <c r="X4959" s="11">
        <v>0.07830482862963113</v>
      </c>
      <c r="Y4959" s="11">
        <v>0.21191496153126754</v>
      </c>
      <c r="Z4959" s="11">
        <v>0.027819813479064884</v>
      </c>
    </row>
    <row r="4960" ht="22.5" customHeight="1">
      <c r="Q4960" s="9" t="s">
        <v>4998</v>
      </c>
      <c r="R4960" s="10">
        <v>0.6888798278322337</v>
      </c>
      <c r="S4960" s="10">
        <v>0.03240628401594893</v>
      </c>
      <c r="T4960" s="10">
        <v>20.02327164425529</v>
      </c>
      <c r="U4960" s="11">
        <v>0.13203620763355767</v>
      </c>
      <c r="V4960" s="11">
        <v>0.1739555839927012</v>
      </c>
      <c r="W4960" s="11">
        <v>0.2457270164012866</v>
      </c>
      <c r="X4960" s="11">
        <v>0.15316159681975638</v>
      </c>
      <c r="Y4960" s="11">
        <v>0.00914859454535549</v>
      </c>
      <c r="Z4960" s="11">
        <v>0.2859710006073425</v>
      </c>
    </row>
    <row r="4961" ht="22.5" customHeight="1">
      <c r="Q4961" s="9" t="s">
        <v>4999</v>
      </c>
      <c r="R4961" s="10">
        <v>0.6095763137239065</v>
      </c>
      <c r="S4961" s="10">
        <v>0.028446249547034563</v>
      </c>
      <c r="T4961" s="10">
        <v>20.022896613563706</v>
      </c>
      <c r="U4961" s="11">
        <v>0.3097941202677665</v>
      </c>
      <c r="V4961" s="11">
        <v>0.23896479830208794</v>
      </c>
      <c r="W4961" s="11">
        <v>0.10410910894544513</v>
      </c>
      <c r="X4961" s="11">
        <v>0.06200362438222633</v>
      </c>
      <c r="Y4961" s="11">
        <v>0.24822246851078555</v>
      </c>
      <c r="Z4961" s="11">
        <v>0.03690587959168861</v>
      </c>
    </row>
    <row r="4962" ht="22.5" customHeight="1">
      <c r="Q4962" s="9" t="s">
        <v>5000</v>
      </c>
      <c r="R4962" s="10">
        <v>0.2615444335958011</v>
      </c>
      <c r="S4962" s="10">
        <v>0.01106513629667506</v>
      </c>
      <c r="T4962" s="10">
        <v>20.021844074561695</v>
      </c>
      <c r="U4962" s="11">
        <v>0.34489363081113805</v>
      </c>
      <c r="V4962" s="11">
        <v>0.03783245388413166</v>
      </c>
      <c r="W4962" s="11">
        <v>0.02853667775888351</v>
      </c>
      <c r="X4962" s="11">
        <v>0.2679488122634447</v>
      </c>
      <c r="Y4962" s="11">
        <v>0.2613020813332688</v>
      </c>
      <c r="Z4962" s="11">
        <v>0.059486343949133075</v>
      </c>
    </row>
    <row r="4963" ht="22.5" customHeight="1">
      <c r="Q4963" s="9" t="s">
        <v>5001</v>
      </c>
      <c r="R4963" s="10">
        <v>0.8307386675825615</v>
      </c>
      <c r="S4963" s="10">
        <v>0.03949489293389961</v>
      </c>
      <c r="T4963" s="10">
        <v>20.02128905390316</v>
      </c>
      <c r="U4963" s="11">
        <v>0.153472010278481</v>
      </c>
      <c r="V4963" s="11">
        <v>0.3210503718142857</v>
      </c>
      <c r="W4963" s="11">
        <v>0.18994621233114045</v>
      </c>
      <c r="X4963" s="11">
        <v>0.06153902053689734</v>
      </c>
      <c r="Y4963" s="11">
        <v>0.24039544477715655</v>
      </c>
      <c r="Z4963" s="11">
        <v>0.03359694026203886</v>
      </c>
    </row>
    <row r="4964" ht="22.5" customHeight="1">
      <c r="Q4964" s="9" t="s">
        <v>5002</v>
      </c>
      <c r="R4964" s="10">
        <v>0.5576377283918642</v>
      </c>
      <c r="S4964" s="10">
        <v>0.025855093325171646</v>
      </c>
      <c r="T4964" s="10">
        <v>20.020725583222305</v>
      </c>
      <c r="U4964" s="11">
        <v>0.30445636870342885</v>
      </c>
      <c r="V4964" s="11">
        <v>0.22875068739172974</v>
      </c>
      <c r="W4964" s="11">
        <v>0.061851238470132734</v>
      </c>
      <c r="X4964" s="11">
        <v>0.28436160937819965</v>
      </c>
      <c r="Y4964" s="11">
        <v>0.047382572084926966</v>
      </c>
      <c r="Z4964" s="11">
        <v>0.073197523971582</v>
      </c>
    </row>
    <row r="4965" ht="22.5" customHeight="1">
      <c r="Q4965" s="9" t="s">
        <v>5003</v>
      </c>
      <c r="R4965" s="10">
        <v>0.563698127713007</v>
      </c>
      <c r="S4965" s="10">
        <v>0.026157899389154186</v>
      </c>
      <c r="T4965" s="10">
        <v>20.020649208940196</v>
      </c>
      <c r="U4965" s="11">
        <v>0.3316408326056043</v>
      </c>
      <c r="V4965" s="11">
        <v>0.21441634516147925</v>
      </c>
      <c r="W4965" s="11">
        <v>0.10174087211088821</v>
      </c>
      <c r="X4965" s="11">
        <v>0.017233376184812535</v>
      </c>
      <c r="Y4965" s="11">
        <v>0.23658618838535414</v>
      </c>
      <c r="Z4965" s="11">
        <v>0.09838238555186167</v>
      </c>
    </row>
    <row r="4966" ht="22.5" customHeight="1">
      <c r="Q4966" s="9" t="s">
        <v>5004</v>
      </c>
      <c r="R4966" s="10">
        <v>0.698875314072979</v>
      </c>
      <c r="S4966" s="10">
        <v>0.03291048095041591</v>
      </c>
      <c r="T4966" s="10">
        <v>20.02022744868614</v>
      </c>
      <c r="U4966" s="11">
        <v>0.07867090321497731</v>
      </c>
      <c r="V4966" s="11">
        <v>0.202212027611123</v>
      </c>
      <c r="W4966" s="11">
        <v>0.2333529091418421</v>
      </c>
      <c r="X4966" s="11">
        <v>0.08207722644267562</v>
      </c>
      <c r="Y4966" s="11">
        <v>0.04299656453287367</v>
      </c>
      <c r="Z4966" s="11">
        <v>0.3606903690565082</v>
      </c>
    </row>
    <row r="4967" ht="22.5" customHeight="1">
      <c r="Q4967" s="9" t="s">
        <v>5005</v>
      </c>
      <c r="R4967" s="10">
        <v>0.6871318764450083</v>
      </c>
      <c r="S4967" s="10">
        <v>0.03232399040692211</v>
      </c>
      <c r="T4967" s="10">
        <v>20.020172890115276</v>
      </c>
      <c r="U4967" s="11">
        <v>0.2959190721085222</v>
      </c>
      <c r="V4967" s="11">
        <v>0.2035373761852381</v>
      </c>
      <c r="W4967" s="11">
        <v>0.22165819434298395</v>
      </c>
      <c r="X4967" s="11">
        <v>0.01962533090495604</v>
      </c>
      <c r="Y4967" s="11">
        <v>0.01837097970543085</v>
      </c>
      <c r="Z4967" s="11">
        <v>0.24088904675286893</v>
      </c>
    </row>
    <row r="4968" ht="22.5" customHeight="1">
      <c r="Q4968" s="9" t="s">
        <v>5006</v>
      </c>
      <c r="R4968" s="10">
        <v>0.8022118076877796</v>
      </c>
      <c r="S4968" s="10">
        <v>0.03807321048236062</v>
      </c>
      <c r="T4968" s="10">
        <v>20.01963580247359</v>
      </c>
      <c r="U4968" s="11">
        <v>0.12066388423593778</v>
      </c>
      <c r="V4968" s="11">
        <v>0.2582916590644148</v>
      </c>
      <c r="W4968" s="11">
        <v>0.2515121665841944</v>
      </c>
      <c r="X4968" s="11">
        <v>0.059507667545292</v>
      </c>
      <c r="Y4968" s="11">
        <v>0.04039843766311394</v>
      </c>
      <c r="Z4968" s="11">
        <v>0.269626184907047</v>
      </c>
    </row>
    <row r="4969" ht="22.5" customHeight="1">
      <c r="Q4969" s="9" t="s">
        <v>5007</v>
      </c>
      <c r="R4969" s="10">
        <v>0.6090883482780813</v>
      </c>
      <c r="S4969" s="10">
        <v>0.028427023136188483</v>
      </c>
      <c r="T4969" s="10">
        <v>20.019273405860574</v>
      </c>
      <c r="U4969" s="11">
        <v>0.19212980848006073</v>
      </c>
      <c r="V4969" s="11">
        <v>0.12039415920217354</v>
      </c>
      <c r="W4969" s="11">
        <v>0.2235882531512721</v>
      </c>
      <c r="X4969" s="11">
        <v>0.15159652542370622</v>
      </c>
      <c r="Y4969" s="11">
        <v>0.23510131549566732</v>
      </c>
      <c r="Z4969" s="11">
        <v>0.07718993824712012</v>
      </c>
    </row>
    <row r="4970" ht="22.5" customHeight="1">
      <c r="Q4970" s="9" t="s">
        <v>5008</v>
      </c>
      <c r="R4970" s="10">
        <v>0.48624120872464377</v>
      </c>
      <c r="S4970" s="10">
        <v>0.022291146869447213</v>
      </c>
      <c r="T4970" s="10">
        <v>20.018764011477256</v>
      </c>
      <c r="U4970" s="11">
        <v>0.2532471710614371</v>
      </c>
      <c r="V4970" s="11">
        <v>0.1914511972219059</v>
      </c>
      <c r="W4970" s="11">
        <v>0.0521401170163176</v>
      </c>
      <c r="X4970" s="11">
        <v>0.1667164380679098</v>
      </c>
      <c r="Y4970" s="11">
        <v>0.2494631391310669</v>
      </c>
      <c r="Z4970" s="11">
        <v>0.0869819375013625</v>
      </c>
    </row>
    <row r="4971" ht="22.5" customHeight="1">
      <c r="Q4971" s="9" t="s">
        <v>5009</v>
      </c>
      <c r="R4971" s="10">
        <v>0.8638196123499816</v>
      </c>
      <c r="S4971" s="10">
        <v>0.04115341027948883</v>
      </c>
      <c r="T4971" s="10">
        <v>20.018258675407502</v>
      </c>
      <c r="U4971" s="11">
        <v>0.11638439496846031</v>
      </c>
      <c r="V4971" s="11">
        <v>0.2826796119614723</v>
      </c>
      <c r="W4971" s="11">
        <v>0.26056970612596236</v>
      </c>
      <c r="X4971" s="11">
        <v>0.0035685454451303486</v>
      </c>
      <c r="Y4971" s="11">
        <v>0.2920229506598295</v>
      </c>
      <c r="Z4971" s="11">
        <v>0.044774790839145207</v>
      </c>
    </row>
    <row r="4972" ht="22.5" customHeight="1">
      <c r="Q4972" s="9" t="s">
        <v>5010</v>
      </c>
      <c r="R4972" s="10">
        <v>0.4726316937400236</v>
      </c>
      <c r="S4972" s="10">
        <v>0.021612124668756953</v>
      </c>
      <c r="T4972" s="10">
        <v>20.018008426790505</v>
      </c>
      <c r="U4972" s="11">
        <v>0.021747452677646405</v>
      </c>
      <c r="V4972" s="11">
        <v>0.18923221991583133</v>
      </c>
      <c r="W4972" s="11">
        <v>0.04810518653799534</v>
      </c>
      <c r="X4972" s="11">
        <v>0.23335591191359378</v>
      </c>
      <c r="Y4972" s="11">
        <v>0.24966753838893616</v>
      </c>
      <c r="Z4972" s="11">
        <v>0.257891690565997</v>
      </c>
    </row>
    <row r="4973" ht="22.5" customHeight="1">
      <c r="Q4973" s="9" t="s">
        <v>5011</v>
      </c>
      <c r="R4973" s="10">
        <v>0.6311338598995756</v>
      </c>
      <c r="S4973" s="10">
        <v>0.029532012136044006</v>
      </c>
      <c r="T4973" s="10">
        <v>20.01671464769896</v>
      </c>
      <c r="U4973" s="11">
        <v>0.1320636427960979</v>
      </c>
      <c r="V4973" s="11">
        <v>0.24186191070151783</v>
      </c>
      <c r="W4973" s="11">
        <v>0.13488450188692622</v>
      </c>
      <c r="X4973" s="11">
        <v>0.015006625758634992</v>
      </c>
      <c r="Y4973" s="11">
        <v>0.22092350903600125</v>
      </c>
      <c r="Z4973" s="11">
        <v>0.2552598098208219</v>
      </c>
    </row>
    <row r="4974" ht="22.5" customHeight="1">
      <c r="Q4974" s="9" t="s">
        <v>5012</v>
      </c>
      <c r="R4974" s="10">
        <v>0.7859036204183535</v>
      </c>
      <c r="S4974" s="10">
        <v>0.037265046785215535</v>
      </c>
      <c r="T4974" s="10">
        <v>20.016172922511448</v>
      </c>
      <c r="U4974" s="11">
        <v>0.104738070828781</v>
      </c>
      <c r="V4974" s="11">
        <v>0.2166229611277971</v>
      </c>
      <c r="W4974" s="11">
        <v>0.27163787673145795</v>
      </c>
      <c r="X4974" s="11">
        <v>0.08837775246503424</v>
      </c>
      <c r="Y4974" s="11">
        <v>0.15798087085079762</v>
      </c>
      <c r="Z4974" s="11">
        <v>0.16064246799613208</v>
      </c>
    </row>
    <row r="4975" ht="22.5" customHeight="1">
      <c r="Q4975" s="9" t="s">
        <v>5013</v>
      </c>
      <c r="R4975" s="10">
        <v>0.9335006282489179</v>
      </c>
      <c r="S4975" s="10">
        <v>0.04464083948165518</v>
      </c>
      <c r="T4975" s="10">
        <v>20.01531867733122</v>
      </c>
      <c r="U4975" s="11">
        <v>0.08521677640751475</v>
      </c>
      <c r="V4975" s="11">
        <v>0.28667563250768185</v>
      </c>
      <c r="W4975" s="11">
        <v>0.3069817299985771</v>
      </c>
      <c r="X4975" s="11">
        <v>0.0937228403238743</v>
      </c>
      <c r="Y4975" s="11">
        <v>0.16022080081892504</v>
      </c>
      <c r="Z4975" s="11">
        <v>0.06718221994342703</v>
      </c>
    </row>
    <row r="4976" ht="22.5" customHeight="1">
      <c r="Q4976" s="9" t="s">
        <v>5014</v>
      </c>
      <c r="R4976" s="10">
        <v>0.6352948960691818</v>
      </c>
      <c r="S4976" s="10">
        <v>0.02974238724376342</v>
      </c>
      <c r="T4976" s="10">
        <v>20.015034139332815</v>
      </c>
      <c r="U4976" s="11">
        <v>0.28972471630590113</v>
      </c>
      <c r="V4976" s="11">
        <v>0.24914202466371196</v>
      </c>
      <c r="W4976" s="11">
        <v>0.11402229058500779</v>
      </c>
      <c r="X4976" s="11">
        <v>0.053729331388420155</v>
      </c>
      <c r="Y4976" s="11">
        <v>0.2556073512401475</v>
      </c>
      <c r="Z4976" s="11">
        <v>0.03777428581681146</v>
      </c>
    </row>
    <row r="4977" ht="22.5" customHeight="1">
      <c r="Q4977" s="9" t="s">
        <v>5015</v>
      </c>
      <c r="R4977" s="10">
        <v>0.5052038260304692</v>
      </c>
      <c r="S4977" s="10">
        <v>0.023243342821083684</v>
      </c>
      <c r="T4977" s="10">
        <v>20.014497467571225</v>
      </c>
      <c r="U4977" s="11">
        <v>0.06567158200829984</v>
      </c>
      <c r="V4977" s="11">
        <v>0.20733870301584872</v>
      </c>
      <c r="W4977" s="11">
        <v>0.049308415897703586</v>
      </c>
      <c r="X4977" s="11">
        <v>0.3166439798212959</v>
      </c>
      <c r="Y4977" s="11">
        <v>0.11658751937332441</v>
      </c>
      <c r="Z4977" s="11">
        <v>0.24444979988352755</v>
      </c>
    </row>
    <row r="4978" ht="22.5" customHeight="1">
      <c r="Q4978" s="9" t="s">
        <v>5016</v>
      </c>
      <c r="R4978" s="10">
        <v>0.7062517118709636</v>
      </c>
      <c r="S4978" s="10">
        <v>0.03329012045245482</v>
      </c>
      <c r="T4978" s="10">
        <v>20.013496581440997</v>
      </c>
      <c r="U4978" s="11">
        <v>0.029650237960834037</v>
      </c>
      <c r="V4978" s="11">
        <v>0.16358901549783714</v>
      </c>
      <c r="W4978" s="11">
        <v>0.26001682504137663</v>
      </c>
      <c r="X4978" s="11">
        <v>0.22249939761385387</v>
      </c>
      <c r="Y4978" s="11">
        <v>0.08672522097288092</v>
      </c>
      <c r="Z4978" s="11">
        <v>0.23751930291321738</v>
      </c>
    </row>
    <row r="4979" ht="22.5" customHeight="1">
      <c r="Q4979" s="9" t="s">
        <v>5017</v>
      </c>
      <c r="R4979" s="10">
        <v>0.6522449907998757</v>
      </c>
      <c r="S4979" s="10">
        <v>0.030592510514408422</v>
      </c>
      <c r="T4979" s="10">
        <v>20.012904482341238</v>
      </c>
      <c r="U4979" s="11">
        <v>0.26158845993753027</v>
      </c>
      <c r="V4979" s="11">
        <v>0.13506472006482276</v>
      </c>
      <c r="W4979" s="11">
        <v>0.24345330100427434</v>
      </c>
      <c r="X4979" s="11">
        <v>0.20726802909931236</v>
      </c>
      <c r="Y4979" s="11">
        <v>0.034325748166907664</v>
      </c>
      <c r="Z4979" s="11">
        <v>0.11829974172715263</v>
      </c>
    </row>
    <row r="4980" ht="22.5" customHeight="1">
      <c r="Q4980" s="9" t="s">
        <v>5018</v>
      </c>
      <c r="R4980" s="10">
        <v>0.5414268581710826</v>
      </c>
      <c r="S4980" s="10">
        <v>0.025058060512208588</v>
      </c>
      <c r="T4980" s="10">
        <v>20.01060129640845</v>
      </c>
      <c r="U4980" s="11">
        <v>0.378885988340854</v>
      </c>
      <c r="V4980" s="11">
        <v>0.08097461836710003</v>
      </c>
      <c r="W4980" s="11">
        <v>0.20245013280900137</v>
      </c>
      <c r="X4980" s="11">
        <v>0.29466033845798395</v>
      </c>
      <c r="Y4980" s="11">
        <v>0.008554667501223115</v>
      </c>
      <c r="Z4980" s="11">
        <v>0.03447425452383756</v>
      </c>
    </row>
    <row r="4981" ht="22.5" customHeight="1">
      <c r="Q4981" s="9" t="s">
        <v>5019</v>
      </c>
      <c r="R4981" s="10">
        <v>0.7798690147936883</v>
      </c>
      <c r="S4981" s="10">
        <v>0.036974806105365604</v>
      </c>
      <c r="T4981" s="10">
        <v>20.010085047783985</v>
      </c>
      <c r="U4981" s="11">
        <v>0.04741750044358137</v>
      </c>
      <c r="V4981" s="11">
        <v>0.24928767753537356</v>
      </c>
      <c r="W4981" s="11">
        <v>0.2410079467529178</v>
      </c>
      <c r="X4981" s="11">
        <v>0.010984899611410448</v>
      </c>
      <c r="Y4981" s="11">
        <v>0.23119122700691222</v>
      </c>
      <c r="Z4981" s="11">
        <v>0.22011074864980454</v>
      </c>
    </row>
    <row r="4982" ht="22.5" customHeight="1">
      <c r="Q4982" s="9" t="s">
        <v>5020</v>
      </c>
      <c r="R4982" s="10">
        <v>0.5117817735716068</v>
      </c>
      <c r="S4982" s="10">
        <v>0.02357724542229806</v>
      </c>
      <c r="T4982" s="10">
        <v>20.01004634432068</v>
      </c>
      <c r="U4982" s="11">
        <v>0.06220652629344939</v>
      </c>
      <c r="V4982" s="11">
        <v>0.19902158859606064</v>
      </c>
      <c r="W4982" s="11">
        <v>0.08249674761973502</v>
      </c>
      <c r="X4982" s="11">
        <v>0.07391931589372151</v>
      </c>
      <c r="Y4982" s="11">
        <v>0.29445155070174406</v>
      </c>
      <c r="Z4982" s="11">
        <v>0.28790427089528936</v>
      </c>
    </row>
    <row r="4983" ht="22.5" customHeight="1">
      <c r="Q4983" s="9" t="s">
        <v>5021</v>
      </c>
      <c r="R4983" s="10">
        <v>0.6387256565019869</v>
      </c>
      <c r="S4983" s="10">
        <v>0.029921626524342524</v>
      </c>
      <c r="T4983" s="10">
        <v>20.009796459924996</v>
      </c>
      <c r="U4983" s="11">
        <v>0.15083174418433057</v>
      </c>
      <c r="V4983" s="11">
        <v>0.15175136908103365</v>
      </c>
      <c r="W4983" s="11">
        <v>0.2298154585299898</v>
      </c>
      <c r="X4983" s="11">
        <v>0.11803314658531697</v>
      </c>
      <c r="Y4983" s="11">
        <v>0.090531556818181</v>
      </c>
      <c r="Z4983" s="11">
        <v>0.2590367248011479</v>
      </c>
    </row>
    <row r="4984" ht="22.5" customHeight="1">
      <c r="Q4984" s="9" t="s">
        <v>5022</v>
      </c>
      <c r="R4984" s="10">
        <v>0.3139529215712987</v>
      </c>
      <c r="S4984" s="10">
        <v>0.013690960438069902</v>
      </c>
      <c r="T4984" s="10">
        <v>20.00976650327094</v>
      </c>
      <c r="U4984" s="11">
        <v>0.04641762978729323</v>
      </c>
      <c r="V4984" s="11">
        <v>0.05825226302623732</v>
      </c>
      <c r="W4984" s="11">
        <v>0.08981904298839886</v>
      </c>
      <c r="X4984" s="11">
        <v>0.12379290982097446</v>
      </c>
      <c r="Y4984" s="11">
        <v>0.1434538642712149</v>
      </c>
      <c r="Z4984" s="11">
        <v>0.5382642901058812</v>
      </c>
    </row>
    <row r="4985" ht="22.5" customHeight="1">
      <c r="Q4985" s="9" t="s">
        <v>5023</v>
      </c>
      <c r="R4985" s="10">
        <v>0.7688509250915503</v>
      </c>
      <c r="S4985" s="10">
        <v>0.03642479922402011</v>
      </c>
      <c r="T4985" s="10">
        <v>20.009744476804528</v>
      </c>
      <c r="U4985" s="11">
        <v>0.20467654903915058</v>
      </c>
      <c r="V4985" s="11">
        <v>0.30684061981103167</v>
      </c>
      <c r="W4985" s="11">
        <v>0.15904307885410307</v>
      </c>
      <c r="X4985" s="11">
        <v>0.09877124604788434</v>
      </c>
      <c r="Y4985" s="11">
        <v>0.1377276028839553</v>
      </c>
      <c r="Z4985" s="11">
        <v>0.09294090336387498</v>
      </c>
    </row>
    <row r="4986" ht="22.5" customHeight="1">
      <c r="Q4986" s="9" t="s">
        <v>5024</v>
      </c>
      <c r="R4986" s="10">
        <v>0.6990080371765675</v>
      </c>
      <c r="S4986" s="10">
        <v>0.032934838000759296</v>
      </c>
      <c r="T4986" s="10">
        <v>20.00945130385564</v>
      </c>
      <c r="U4986" s="11">
        <v>0.34745909852737505</v>
      </c>
      <c r="V4986" s="11">
        <v>0.2795341555438527</v>
      </c>
      <c r="W4986" s="11">
        <v>0.13348650155439482</v>
      </c>
      <c r="X4986" s="11">
        <v>0.10288619216200348</v>
      </c>
      <c r="Y4986" s="11">
        <v>0.062271784830903974</v>
      </c>
      <c r="Z4986" s="11">
        <v>0.07436226738146992</v>
      </c>
    </row>
    <row r="4987" ht="22.5" customHeight="1">
      <c r="Q4987" s="9" t="s">
        <v>5025</v>
      </c>
      <c r="R4987" s="10">
        <v>0.75945490826708</v>
      </c>
      <c r="S4987" s="10">
        <v>0.0359575674420532</v>
      </c>
      <c r="T4987" s="10">
        <v>20.00844215689799</v>
      </c>
      <c r="U4987" s="11">
        <v>0.02435129111962721</v>
      </c>
      <c r="V4987" s="11">
        <v>0.30373386524669965</v>
      </c>
      <c r="W4987" s="11">
        <v>0.16273410325369392</v>
      </c>
      <c r="X4987" s="11">
        <v>0.1723538691804383</v>
      </c>
      <c r="Y4987" s="11">
        <v>0.036853909433183694</v>
      </c>
      <c r="Z4987" s="11">
        <v>0.29997296176635724</v>
      </c>
    </row>
    <row r="4988" ht="22.5" customHeight="1">
      <c r="Q4988" s="9" t="s">
        <v>5026</v>
      </c>
      <c r="R4988" s="10">
        <v>0.8726431515319741</v>
      </c>
      <c r="S4988" s="10">
        <v>0.041615101075280075</v>
      </c>
      <c r="T4988" s="10">
        <v>20.008197265357005</v>
      </c>
      <c r="U4988" s="11">
        <v>0.21574586645196045</v>
      </c>
      <c r="V4988" s="11">
        <v>0.24346917419740732</v>
      </c>
      <c r="W4988" s="11">
        <v>0.3031636314468816</v>
      </c>
      <c r="X4988" s="11">
        <v>0.11401874136908276</v>
      </c>
      <c r="Y4988" s="11">
        <v>0.08573661644696248</v>
      </c>
      <c r="Z4988" s="11">
        <v>0.03786597008770565</v>
      </c>
    </row>
    <row r="4989" ht="22.5" customHeight="1">
      <c r="Q4989" s="9" t="s">
        <v>5027</v>
      </c>
      <c r="R4989" s="10">
        <v>0.6987968804545422</v>
      </c>
      <c r="S4989" s="10">
        <v>0.032926929818292136</v>
      </c>
      <c r="T4989" s="10">
        <v>20.00784415948055</v>
      </c>
      <c r="U4989" s="11">
        <v>0.19280449011336956</v>
      </c>
      <c r="V4989" s="11">
        <v>0.2884955129307064</v>
      </c>
      <c r="W4989" s="11">
        <v>0.11867244682719363</v>
      </c>
      <c r="X4989" s="11">
        <v>0.19376071568002629</v>
      </c>
      <c r="Y4989" s="11">
        <v>0.08288147871072868</v>
      </c>
      <c r="Z4989" s="11">
        <v>0.12338535573797549</v>
      </c>
    </row>
    <row r="4990" ht="22.5" customHeight="1">
      <c r="Q4990" s="9" t="s">
        <v>5028</v>
      </c>
      <c r="R4990" s="10">
        <v>0.8186700754724643</v>
      </c>
      <c r="S4990" s="10">
        <v>0.03892097496552302</v>
      </c>
      <c r="T4990" s="10">
        <v>20.006438075156797</v>
      </c>
      <c r="U4990" s="11">
        <v>0.10718913806211239</v>
      </c>
      <c r="V4990" s="11">
        <v>0.19413330585741995</v>
      </c>
      <c r="W4990" s="11">
        <v>0.30316035802982233</v>
      </c>
      <c r="X4990" s="11">
        <v>0.25513149472164603</v>
      </c>
      <c r="Y4990" s="11">
        <v>0.07314636706986377</v>
      </c>
      <c r="Z4990" s="11">
        <v>0.06723933625913557</v>
      </c>
    </row>
    <row r="4991" ht="22.5" customHeight="1">
      <c r="Q4991" s="9" t="s">
        <v>5029</v>
      </c>
      <c r="R4991" s="10">
        <v>0.47472376350383805</v>
      </c>
      <c r="S4991" s="10">
        <v>0.021729606460881675</v>
      </c>
      <c r="T4991" s="10">
        <v>20.00605783111818</v>
      </c>
      <c r="U4991" s="11">
        <v>0.19785975132137104</v>
      </c>
      <c r="V4991" s="11">
        <v>0.19161250501130844</v>
      </c>
      <c r="W4991" s="11">
        <v>0.046785521995110844</v>
      </c>
      <c r="X4991" s="11">
        <v>0.21560956002141216</v>
      </c>
      <c r="Y4991" s="11">
        <v>0.15628300316151233</v>
      </c>
      <c r="Z4991" s="11">
        <v>0.1918496584892852</v>
      </c>
    </row>
    <row r="4992" ht="22.5" customHeight="1">
      <c r="Q4992" s="9" t="s">
        <v>5030</v>
      </c>
      <c r="R4992" s="10">
        <v>0.8567006840059971</v>
      </c>
      <c r="S4992" s="10">
        <v>0.04082325628021059</v>
      </c>
      <c r="T4992" s="10">
        <v>20.005770201185527</v>
      </c>
      <c r="U4992" s="11">
        <v>0.27250487745591045</v>
      </c>
      <c r="V4992" s="11">
        <v>0.2727796989268006</v>
      </c>
      <c r="W4992" s="11">
        <v>0.27045366988973296</v>
      </c>
      <c r="X4992" s="11">
        <v>0.028721714740695976</v>
      </c>
      <c r="Y4992" s="11">
        <v>0.06553985831829953</v>
      </c>
      <c r="Z4992" s="11">
        <v>0.09000018066856047</v>
      </c>
    </row>
    <row r="4993" ht="22.5" customHeight="1">
      <c r="Q4993" s="9" t="s">
        <v>5031</v>
      </c>
      <c r="R4993" s="10">
        <v>0.5833929110872622</v>
      </c>
      <c r="S4993" s="10">
        <v>0.02716339907045733</v>
      </c>
      <c r="T4993" s="10">
        <v>20.004599191647245</v>
      </c>
      <c r="U4993" s="11">
        <v>0.15666116344299155</v>
      </c>
      <c r="V4993" s="11">
        <v>0.23938885025282072</v>
      </c>
      <c r="W4993" s="11">
        <v>0.07043422563150342</v>
      </c>
      <c r="X4993" s="11">
        <v>0.2309032904769917</v>
      </c>
      <c r="Y4993" s="11">
        <v>0.2440055818921012</v>
      </c>
      <c r="Z4993" s="11">
        <v>0.05860688830359132</v>
      </c>
    </row>
    <row r="4994" ht="22.5" customHeight="1">
      <c r="Q4994" s="9" t="s">
        <v>5032</v>
      </c>
      <c r="R4994" s="10">
        <v>0.7318134015916227</v>
      </c>
      <c r="S4994" s="10">
        <v>0.034583402782795175</v>
      </c>
      <c r="T4994" s="10">
        <v>20.004202765604994</v>
      </c>
      <c r="U4994" s="11">
        <v>0.06543370360750632</v>
      </c>
      <c r="V4994" s="11">
        <v>0.17050900513487482</v>
      </c>
      <c r="W4994" s="11">
        <v>0.27033482239084594</v>
      </c>
      <c r="X4994" s="11">
        <v>0.22889743199832088</v>
      </c>
      <c r="Y4994" s="11">
        <v>0.06545100874134191</v>
      </c>
      <c r="Z4994" s="11">
        <v>0.1993740281271102</v>
      </c>
    </row>
    <row r="4995" ht="22.5" customHeight="1">
      <c r="Q4995" s="9" t="s">
        <v>5033</v>
      </c>
      <c r="R4995" s="10">
        <v>0.7403002407776512</v>
      </c>
      <c r="S4995" s="10">
        <v>0.03500781920683626</v>
      </c>
      <c r="T4995" s="10">
        <v>20.00410927170516</v>
      </c>
      <c r="U4995" s="11">
        <v>0.0775745080246938</v>
      </c>
      <c r="V4995" s="11">
        <v>0.22255956548086486</v>
      </c>
      <c r="W4995" s="11">
        <v>0.23940776433668956</v>
      </c>
      <c r="X4995" s="11">
        <v>0.016353901343914613</v>
      </c>
      <c r="Y4995" s="11">
        <v>0.20605802664123254</v>
      </c>
      <c r="Z4995" s="11">
        <v>0.23804623417260462</v>
      </c>
    </row>
    <row r="4996" ht="22.5" customHeight="1">
      <c r="Q4996" s="9" t="s">
        <v>5034</v>
      </c>
      <c r="R4996" s="10">
        <v>0.643965954774183</v>
      </c>
      <c r="S4996" s="10">
        <v>0.0301921570086161</v>
      </c>
      <c r="T4996" s="10">
        <v>20.004067765076403</v>
      </c>
      <c r="U4996" s="11">
        <v>0.07397780562873633</v>
      </c>
      <c r="V4996" s="11">
        <v>0.16340866595762585</v>
      </c>
      <c r="W4996" s="11">
        <v>0.2170608120628168</v>
      </c>
      <c r="X4996" s="11">
        <v>0.037115462726292674</v>
      </c>
      <c r="Y4996" s="11">
        <v>0.3551108520750348</v>
      </c>
      <c r="Z4996" s="11">
        <v>0.1533264015494936</v>
      </c>
    </row>
    <row r="4997" ht="22.5" customHeight="1">
      <c r="Q4997" s="9" t="s">
        <v>5035</v>
      </c>
      <c r="R4997" s="10">
        <v>0.6403025706072171</v>
      </c>
      <c r="S4997" s="10">
        <v>0.030009502506319004</v>
      </c>
      <c r="T4997" s="10">
        <v>20.00374949504122</v>
      </c>
      <c r="U4997" s="11">
        <v>0.1543733277829929</v>
      </c>
      <c r="V4997" s="11">
        <v>0.25997227530592065</v>
      </c>
      <c r="W4997" s="11">
        <v>0.11553921340317208</v>
      </c>
      <c r="X4997" s="11">
        <v>0.12106908940566784</v>
      </c>
      <c r="Y4997" s="11">
        <v>0.10750862963718409</v>
      </c>
      <c r="Z4997" s="11">
        <v>0.24153746446506236</v>
      </c>
    </row>
    <row r="4998" ht="22.5" customHeight="1">
      <c r="Q4998" s="9" t="s">
        <v>5036</v>
      </c>
      <c r="R4998" s="10">
        <v>0.8265008853543172</v>
      </c>
      <c r="S4998" s="10">
        <v>0.03931831034467996</v>
      </c>
      <c r="T4998" s="10">
        <v>20.003425336936846</v>
      </c>
      <c r="U4998" s="11">
        <v>0.20433818611893806</v>
      </c>
      <c r="V4998" s="11">
        <v>0.2547767132903651</v>
      </c>
      <c r="W4998" s="11">
        <v>0.2672196319842733</v>
      </c>
      <c r="X4998" s="11">
        <v>0.027968126259192337</v>
      </c>
      <c r="Y4998" s="11">
        <v>0.11603330580024795</v>
      </c>
      <c r="Z4998" s="11">
        <v>0.12966403654698314</v>
      </c>
    </row>
    <row r="4999" ht="22.5" customHeight="1">
      <c r="Q4999" s="9" t="s">
        <v>5037</v>
      </c>
      <c r="R4999" s="10">
        <v>0.6741566289726525</v>
      </c>
      <c r="S4999" s="10">
        <v>0.031702648325218824</v>
      </c>
      <c r="T4999" s="10">
        <v>20.003269836236157</v>
      </c>
      <c r="U4999" s="11">
        <v>0.14212392402973015</v>
      </c>
      <c r="V4999" s="11">
        <v>0.1600510802185226</v>
      </c>
      <c r="W4999" s="11">
        <v>0.23940414490060657</v>
      </c>
      <c r="X4999" s="11">
        <v>0.08391616064432246</v>
      </c>
      <c r="Y4999" s="11">
        <v>0.2657042512794921</v>
      </c>
      <c r="Z4999" s="11">
        <v>0.10880043892732598</v>
      </c>
    </row>
    <row r="5000" ht="22.5" customHeight="1">
      <c r="Q5000" s="9" t="s">
        <v>5038</v>
      </c>
      <c r="R5000" s="10">
        <v>0.6022971619646329</v>
      </c>
      <c r="S5000" s="10">
        <v>0.02811200206487977</v>
      </c>
      <c r="T5000" s="10">
        <v>20.00203189608857</v>
      </c>
      <c r="U5000" s="11">
        <v>0.1313441634566315</v>
      </c>
      <c r="V5000" s="11">
        <v>0.2510513063572964</v>
      </c>
      <c r="W5000" s="11">
        <v>0.08311182256949427</v>
      </c>
      <c r="X5000" s="11">
        <v>0.2626960930936056</v>
      </c>
      <c r="Y5000" s="11">
        <v>0.05454087778811554</v>
      </c>
      <c r="Z5000" s="11">
        <v>0.21725573673485676</v>
      </c>
    </row>
    <row r="5001" ht="22.5" customHeight="1">
      <c r="Q5001" s="9" t="s">
        <v>5039</v>
      </c>
      <c r="R5001" s="10">
        <v>0.612406093731893</v>
      </c>
      <c r="S5001" s="10">
        <v>0.028617507771480043</v>
      </c>
      <c r="T5001" s="10">
        <v>20.001954688113962</v>
      </c>
      <c r="U5001" s="11">
        <v>0.00649950144721229</v>
      </c>
      <c r="V5001" s="11">
        <v>0.11156425102430619</v>
      </c>
      <c r="W5001" s="11">
        <v>0.22794700221287287</v>
      </c>
      <c r="X5001" s="11">
        <v>0.2594554771595834</v>
      </c>
      <c r="Y5001" s="11">
        <v>0.27638733534410814</v>
      </c>
      <c r="Z5001" s="11">
        <v>0.11814643281191722</v>
      </c>
    </row>
    <row r="5002" ht="22.5" customHeight="1">
      <c r="Q5002" s="9" t="s">
        <v>5040</v>
      </c>
      <c r="R5002" s="10">
        <v>0.5997853053979377</v>
      </c>
      <c r="S5002" s="10">
        <v>0.0279865826486289</v>
      </c>
      <c r="T5002" s="10">
        <v>20.00191707669469</v>
      </c>
      <c r="U5002" s="11">
        <v>0.2504233721583488</v>
      </c>
      <c r="V5002" s="11">
        <v>0.11689289248380282</v>
      </c>
      <c r="W5002" s="11">
        <v>0.2195412061068503</v>
      </c>
      <c r="X5002" s="11">
        <v>0.13749220918939473</v>
      </c>
      <c r="Y5002" s="11">
        <v>0.22948209743462883</v>
      </c>
      <c r="Z5002" s="11">
        <v>0.04616822262697448</v>
      </c>
    </row>
    <row r="5003" ht="22.5" customHeight="1">
      <c r="Q5003" s="9" t="s">
        <v>5041</v>
      </c>
      <c r="R5003" s="10">
        <v>0.7362706372601234</v>
      </c>
      <c r="S5003" s="10">
        <v>0.03481106443318397</v>
      </c>
      <c r="T5003" s="10">
        <v>20.001417612395585</v>
      </c>
      <c r="U5003" s="11">
        <v>0.04855749391567817</v>
      </c>
      <c r="V5003" s="11">
        <v>0.17999573978634234</v>
      </c>
      <c r="W5003" s="11">
        <v>0.2632008635727485</v>
      </c>
      <c r="X5003" s="11">
        <v>0.12750099741793636</v>
      </c>
      <c r="Y5003" s="11">
        <v>0.2693745490769701</v>
      </c>
      <c r="Z5003" s="11">
        <v>0.11137035623032451</v>
      </c>
    </row>
    <row r="5004" ht="22.5" customHeight="1">
      <c r="Q5004" s="9" t="s">
        <v>5042</v>
      </c>
      <c r="R5004" s="10">
        <v>0.8544960337649875</v>
      </c>
      <c r="S5004" s="10">
        <v>0.04072199874654538</v>
      </c>
      <c r="T5004" s="10">
        <v>20.001376622852643</v>
      </c>
      <c r="U5004" s="11">
        <v>0.03669874086752597</v>
      </c>
      <c r="V5004" s="11">
        <v>0.2612663159005028</v>
      </c>
      <c r="W5004" s="11">
        <v>0.27574786801555495</v>
      </c>
      <c r="X5004" s="11">
        <v>0.04233555875634451</v>
      </c>
      <c r="Y5004" s="11">
        <v>0.2862996805986419</v>
      </c>
      <c r="Z5004" s="11">
        <v>0.09765183586142996</v>
      </c>
    </row>
    <row r="5005" ht="22.5" customHeight="1">
      <c r="Q5005" s="9" t="s">
        <v>5043</v>
      </c>
      <c r="R5005" s="10">
        <v>0.8055151788923077</v>
      </c>
      <c r="S5005" s="10">
        <v>0.038274442577423136</v>
      </c>
      <c r="T5005" s="10">
        <v>20.0006878570156</v>
      </c>
      <c r="U5005" s="11">
        <v>0.39139847859547006</v>
      </c>
      <c r="V5005" s="11">
        <v>0.29501557138220597</v>
      </c>
      <c r="W5005" s="11">
        <v>0.20568236715977853</v>
      </c>
      <c r="X5005" s="11">
        <v>0.0014387402262517758</v>
      </c>
      <c r="Y5005" s="11">
        <v>0.07813835950620752</v>
      </c>
      <c r="Z5005" s="11">
        <v>0.02832648313008627</v>
      </c>
    </row>
    <row r="5006" ht="22.5" customHeight="1">
      <c r="Q5006" s="9" t="s">
        <v>5044</v>
      </c>
      <c r="R5006" s="10">
        <v>0.6048132579375053</v>
      </c>
      <c r="S5006" s="10">
        <v>0.02824007015729545</v>
      </c>
      <c r="T5006" s="10">
        <v>20.000419786194943</v>
      </c>
      <c r="U5006" s="11">
        <v>0.10909355706580257</v>
      </c>
      <c r="V5006" s="11">
        <v>0.1275976973223917</v>
      </c>
      <c r="W5006" s="11">
        <v>0.222031034542507</v>
      </c>
      <c r="X5006" s="11">
        <v>0.14856523326727875</v>
      </c>
      <c r="Y5006" s="11">
        <v>0.1772704575099261</v>
      </c>
      <c r="Z5006" s="11">
        <v>0.21544202029209397</v>
      </c>
    </row>
    <row r="5007" ht="22.5" customHeight="1">
      <c r="Q5007" s="9" t="s">
        <v>5045</v>
      </c>
      <c r="R5007" s="10">
        <v>0.9217353061688015</v>
      </c>
      <c r="S5007" s="10">
        <v>0.044087551322365394</v>
      </c>
      <c r="T5007" s="10">
        <v>19.999643430446127</v>
      </c>
      <c r="U5007" s="11">
        <v>0.1059258755026997</v>
      </c>
      <c r="V5007" s="11">
        <v>0.260797862924886</v>
      </c>
      <c r="W5007" s="11">
        <v>0.32158722284975194</v>
      </c>
      <c r="X5007" s="11">
        <v>0.17959221610234366</v>
      </c>
      <c r="Y5007" s="11">
        <v>0.04123924248013003</v>
      </c>
      <c r="Z5007" s="11">
        <v>0.09085758014018873</v>
      </c>
    </row>
    <row r="5008" ht="22.5" customHeight="1">
      <c r="Q5008" s="9" t="s">
        <v>5046</v>
      </c>
      <c r="R5008" s="10">
        <v>0.6367206342411807</v>
      </c>
      <c r="S5008" s="10">
        <v>0.029836697269455793</v>
      </c>
      <c r="T5008" s="10">
        <v>19.99955386657528</v>
      </c>
      <c r="U5008" s="11">
        <v>0.17381261748663215</v>
      </c>
      <c r="V5008" s="11">
        <v>0.1697116136735858</v>
      </c>
      <c r="W5008" s="11">
        <v>0.2142155335821109</v>
      </c>
      <c r="X5008" s="11">
        <v>0.008382541271340768</v>
      </c>
      <c r="Y5008" s="11">
        <v>0.20909100428327623</v>
      </c>
      <c r="Z5008" s="11">
        <v>0.2247866897030542</v>
      </c>
    </row>
    <row r="5009" ht="22.5" customHeight="1">
      <c r="Q5009" s="9" t="s">
        <v>5047</v>
      </c>
      <c r="R5009" s="10">
        <v>0.43094268063406865</v>
      </c>
      <c r="S5009" s="10">
        <v>0.019547669367306224</v>
      </c>
      <c r="T5009" s="10">
        <v>19.99945227679809</v>
      </c>
      <c r="U5009" s="11">
        <v>0.1567509917041495</v>
      </c>
      <c r="V5009" s="11">
        <v>0.16131052502652915</v>
      </c>
      <c r="W5009" s="11">
        <v>0.023393926398266842</v>
      </c>
      <c r="X5009" s="11">
        <v>0.3245477756139958</v>
      </c>
      <c r="Y5009" s="11">
        <v>0.30144437710303135</v>
      </c>
      <c r="Z5009" s="11">
        <v>0.03255240415402728</v>
      </c>
    </row>
    <row r="5010" ht="22.5" customHeight="1">
      <c r="Q5010" s="9" t="s">
        <v>5048</v>
      </c>
      <c r="R5010" s="10">
        <v>0.7135810467652335</v>
      </c>
      <c r="S5010" s="10">
        <v>0.03368015648231327</v>
      </c>
      <c r="T5010" s="10">
        <v>19.999344335557243</v>
      </c>
      <c r="U5010" s="11">
        <v>0.2400336219289548</v>
      </c>
      <c r="V5010" s="11">
        <v>0.18289002872276516</v>
      </c>
      <c r="W5010" s="11">
        <v>0.251206455750789</v>
      </c>
      <c r="X5010" s="11">
        <v>0.06873293679342968</v>
      </c>
      <c r="Y5010" s="11">
        <v>0.1286566591413345</v>
      </c>
      <c r="Z5010" s="11">
        <v>0.12848029766272692</v>
      </c>
    </row>
    <row r="5011" ht="22.5" customHeight="1">
      <c r="Q5011" s="9" t="s">
        <v>5049</v>
      </c>
      <c r="R5011" s="10">
        <v>0.5895470735230286</v>
      </c>
      <c r="S5011" s="10">
        <v>0.027478617084427566</v>
      </c>
      <c r="T5011" s="10">
        <v>19.999080442605788</v>
      </c>
      <c r="U5011" s="11">
        <v>0.1247491664065189</v>
      </c>
      <c r="V5011" s="11">
        <v>0.1427732159230711</v>
      </c>
      <c r="W5011" s="11">
        <v>0.2047456816457618</v>
      </c>
      <c r="X5011" s="11">
        <v>0.048395920028461686</v>
      </c>
      <c r="Y5011" s="11">
        <v>0.2135170502239947</v>
      </c>
      <c r="Z5011" s="11">
        <v>0.2658189657721918</v>
      </c>
    </row>
    <row r="5012" ht="22.5" customHeight="1">
      <c r="Q5012" s="9" t="s">
        <v>5050</v>
      </c>
      <c r="R5012" s="10">
        <v>0.7295906964019981</v>
      </c>
      <c r="S5012" s="10">
        <v>0.0344824972742897</v>
      </c>
      <c r="T5012" s="10">
        <v>19.998281763547325</v>
      </c>
      <c r="U5012" s="11">
        <v>0.15247429271479018</v>
      </c>
      <c r="V5012" s="11">
        <v>0.27972974323540145</v>
      </c>
      <c r="W5012" s="11">
        <v>0.16312014433492314</v>
      </c>
      <c r="X5012" s="11">
        <v>0.018412170622901083</v>
      </c>
      <c r="Y5012" s="11">
        <v>0.2613075707841006</v>
      </c>
      <c r="Z5012" s="11">
        <v>0.12495607830788366</v>
      </c>
    </row>
    <row r="5013" ht="22.5" customHeight="1">
      <c r="Q5013" s="9" t="s">
        <v>5051</v>
      </c>
      <c r="R5013" s="10">
        <v>0.4441460456733629</v>
      </c>
      <c r="S5013" s="10">
        <v>0.020209049061566182</v>
      </c>
      <c r="T5013" s="10">
        <v>19.998271291348036</v>
      </c>
      <c r="U5013" s="11">
        <v>0.39221482333938135</v>
      </c>
      <c r="V5013" s="11">
        <v>0.16008013645622884</v>
      </c>
      <c r="W5013" s="11">
        <v>0.06361145162354727</v>
      </c>
      <c r="X5013" s="11">
        <v>0.04492454017488587</v>
      </c>
      <c r="Y5013" s="11">
        <v>0.23835865076888943</v>
      </c>
      <c r="Z5013" s="11">
        <v>0.10081039763706728</v>
      </c>
    </row>
    <row r="5014" ht="22.5" customHeight="1">
      <c r="Q5014" s="9" t="s">
        <v>5052</v>
      </c>
      <c r="R5014" s="10">
        <v>0.5169714932737256</v>
      </c>
      <c r="S5014" s="10">
        <v>0.023850935328394184</v>
      </c>
      <c r="T5014" s="10">
        <v>19.99802048458444</v>
      </c>
      <c r="U5014" s="11">
        <v>0.17599939655178248</v>
      </c>
      <c r="V5014" s="11">
        <v>0.100988096517223</v>
      </c>
      <c r="W5014" s="11">
        <v>0.18765616750020186</v>
      </c>
      <c r="X5014" s="11">
        <v>0.12822734596399046</v>
      </c>
      <c r="Y5014" s="11">
        <v>0.13220140164869895</v>
      </c>
      <c r="Z5014" s="11">
        <v>0.27492759181810317</v>
      </c>
    </row>
    <row r="5015" ht="22.5" customHeight="1">
      <c r="Q5015" s="9" t="s">
        <v>5053</v>
      </c>
      <c r="R5015" s="10">
        <v>0.522331348251574</v>
      </c>
      <c r="S5015" s="10">
        <v>0.04291379410826946</v>
      </c>
      <c r="T5015" s="10">
        <v>19.997841539009872</v>
      </c>
      <c r="U5015" s="11">
        <v>0.17081591096059742</v>
      </c>
      <c r="V5015" s="11">
        <v>0.30305492963704</v>
      </c>
      <c r="W5015" s="11">
        <v>0.2710933706324299</v>
      </c>
      <c r="X5015" s="11">
        <v>0.03931131593036707</v>
      </c>
      <c r="Y5015" s="11">
        <v>0.09614759782787878</v>
      </c>
      <c r="Z5015" s="11">
        <v>0.11957687501168683</v>
      </c>
    </row>
    <row r="5016" ht="22.5" customHeight="1">
      <c r="Q5016" s="9" t="s">
        <v>5054</v>
      </c>
      <c r="R5016" s="10">
        <v>0.7476193275805024</v>
      </c>
      <c r="S5016" s="10">
        <v>0.03538514905103666</v>
      </c>
      <c r="T5016" s="10">
        <v>19.99763591669177</v>
      </c>
      <c r="U5016" s="11">
        <v>0.01802984068946931</v>
      </c>
      <c r="V5016" s="11">
        <v>0.30452174845692287</v>
      </c>
      <c r="W5016" s="11">
        <v>0.14439322612359792</v>
      </c>
      <c r="X5016" s="11">
        <v>0.16976422056429166</v>
      </c>
      <c r="Y5016" s="11">
        <v>0.16643632463060468</v>
      </c>
      <c r="Z5016" s="11">
        <v>0.19685463953511356</v>
      </c>
    </row>
    <row r="5017" ht="22.5" customHeight="1">
      <c r="Q5017" s="9" t="s">
        <v>5055</v>
      </c>
      <c r="R5017" s="10">
        <v>0.7648616660597202</v>
      </c>
      <c r="S5017" s="10">
        <v>0.036247645085946356</v>
      </c>
      <c r="T5017" s="10">
        <v>19.99748299071593</v>
      </c>
      <c r="U5017" s="11">
        <v>0.25084026713504554</v>
      </c>
      <c r="V5017" s="11">
        <v>0.28776429149110905</v>
      </c>
      <c r="W5017" s="11">
        <v>0.1865749410989582</v>
      </c>
      <c r="X5017" s="11">
        <v>0.011824537520572128</v>
      </c>
      <c r="Y5017" s="11">
        <v>0.11954335992991816</v>
      </c>
      <c r="Z5017" s="11">
        <v>0.1434526028243967</v>
      </c>
    </row>
    <row r="5018" ht="22.5" customHeight="1">
      <c r="Q5018" s="9" t="s">
        <v>5056</v>
      </c>
      <c r="R5018" s="10">
        <v>0.6933407095588464</v>
      </c>
      <c r="S5018" s="10">
        <v>0.03267123985878678</v>
      </c>
      <c r="T5018" s="10">
        <v>19.99742624959283</v>
      </c>
      <c r="U5018" s="11">
        <v>0.10700892758852106</v>
      </c>
      <c r="V5018" s="11">
        <v>0.17583974306565467</v>
      </c>
      <c r="W5018" s="11">
        <v>0.24049433434819698</v>
      </c>
      <c r="X5018" s="11">
        <v>0.0571490923592262</v>
      </c>
      <c r="Y5018" s="11">
        <v>0.29235498578533264</v>
      </c>
      <c r="Z5018" s="11">
        <v>0.12715291685306845</v>
      </c>
    </row>
    <row r="5019" ht="22.5" customHeight="1">
      <c r="Q5019" s="9" t="s">
        <v>5057</v>
      </c>
      <c r="R5019" s="10">
        <v>0.7022077621367059</v>
      </c>
      <c r="S5019" s="10">
        <v>0.03311519097471394</v>
      </c>
      <c r="T5019" s="10">
        <v>19.997099296282293</v>
      </c>
      <c r="U5019" s="11">
        <v>0.26519135248740805</v>
      </c>
      <c r="V5019" s="11">
        <v>0.16285158275611145</v>
      </c>
      <c r="W5019" s="11">
        <v>0.2569591730036771</v>
      </c>
      <c r="X5019" s="11">
        <v>0.14749499460224808</v>
      </c>
      <c r="Y5019" s="11">
        <v>0.06048941046961672</v>
      </c>
      <c r="Z5019" s="11">
        <v>0.10701348668093859</v>
      </c>
    </row>
    <row r="5020" ht="22.5" customHeight="1">
      <c r="Q5020" s="9" t="s">
        <v>5058</v>
      </c>
      <c r="R5020" s="10">
        <v>0.7917691075772657</v>
      </c>
      <c r="S5020" s="10">
        <v>0.03759448987715573</v>
      </c>
      <c r="T5020" s="10">
        <v>19.99678969002523</v>
      </c>
      <c r="U5020" s="11">
        <v>0.24790525558418552</v>
      </c>
      <c r="V5020" s="11">
        <v>0.2989293031012948</v>
      </c>
      <c r="W5020" s="11">
        <v>0.19414913077023874</v>
      </c>
      <c r="X5020" s="11">
        <v>0.024641558743411257</v>
      </c>
      <c r="Y5020" s="11">
        <v>0.10544202793678126</v>
      </c>
      <c r="Z5020" s="11">
        <v>0.12893272386408844</v>
      </c>
    </row>
    <row r="5021" ht="22.5" customHeight="1">
      <c r="Q5021" s="9" t="s">
        <v>5059</v>
      </c>
      <c r="R5021" s="10">
        <v>0.4787130125448135</v>
      </c>
      <c r="S5021" s="10">
        <v>0.02193969669152215</v>
      </c>
      <c r="T5021" s="10">
        <v>19.99631164975673</v>
      </c>
      <c r="U5021" s="11">
        <v>0.2758791506109611</v>
      </c>
      <c r="V5021" s="11">
        <v>0.103279918313451</v>
      </c>
      <c r="W5021" s="11">
        <v>0.1566294158127175</v>
      </c>
      <c r="X5021" s="11">
        <v>0.013574181326026016</v>
      </c>
      <c r="Y5021" s="11">
        <v>0.2735021186780897</v>
      </c>
      <c r="Z5021" s="11">
        <v>0.1771352152587547</v>
      </c>
    </row>
    <row r="5022" ht="22.5" customHeight="1">
      <c r="Q5022" s="9" t="s">
        <v>5060</v>
      </c>
      <c r="R5022" s="10">
        <v>0.8330013736738796</v>
      </c>
      <c r="S5022" s="10">
        <v>0.039658322225818436</v>
      </c>
      <c r="T5022" s="10">
        <v>19.995837674585697</v>
      </c>
      <c r="U5022" s="11">
        <v>0.18068574478190805</v>
      </c>
      <c r="V5022" s="11">
        <v>0.2700128383523362</v>
      </c>
      <c r="W5022" s="11">
        <v>0.2585777770165364</v>
      </c>
      <c r="X5022" s="11">
        <v>0.014364044739826335</v>
      </c>
      <c r="Y5022" s="11">
        <v>0.12341124978621171</v>
      </c>
      <c r="Z5022" s="11">
        <v>0.1529483453231813</v>
      </c>
    </row>
    <row r="5023" ht="22.5" customHeight="1">
      <c r="Q5023" s="9" t="s">
        <v>5061</v>
      </c>
      <c r="R5023" s="10">
        <v>0.25603364855417937</v>
      </c>
      <c r="S5023" s="10">
        <v>0.010804119032925066</v>
      </c>
      <c r="T5023" s="10">
        <v>19.995489488391097</v>
      </c>
      <c r="U5023" s="11">
        <v>0.14382746881553912</v>
      </c>
      <c r="V5023" s="11">
        <v>0.013927290334767467</v>
      </c>
      <c r="W5023" s="11">
        <v>0.053274881559914236</v>
      </c>
      <c r="X5023" s="11">
        <v>0.3613676120887435</v>
      </c>
      <c r="Y5023" s="11">
        <v>0.18939589072711047</v>
      </c>
      <c r="Z5023" s="11">
        <v>0.23820685647392506</v>
      </c>
    </row>
    <row r="5024" ht="22.5" customHeight="1">
      <c r="Q5024" s="9" t="s">
        <v>5062</v>
      </c>
      <c r="R5024" s="10">
        <v>0.6544031310662524</v>
      </c>
      <c r="S5024" s="10">
        <v>0.030727127392178626</v>
      </c>
      <c r="T5024" s="10">
        <v>19.99546274614152</v>
      </c>
      <c r="U5024" s="11">
        <v>0.163431843860763</v>
      </c>
      <c r="V5024" s="11">
        <v>0.16949588580571823</v>
      </c>
      <c r="W5024" s="11">
        <v>0.2237810518940432</v>
      </c>
      <c r="X5024" s="11">
        <v>0.024053769059139172</v>
      </c>
      <c r="Y5024" s="11">
        <v>0.23848155238067958</v>
      </c>
      <c r="Z5024" s="11">
        <v>0.18075589699965677</v>
      </c>
    </row>
    <row r="5025" ht="22.5" customHeight="1">
      <c r="Q5025" s="9" t="s">
        <v>5063</v>
      </c>
      <c r="R5025" s="10">
        <v>0.8213760117144837</v>
      </c>
      <c r="S5025" s="10">
        <v>0.03907824308265874</v>
      </c>
      <c r="T5025" s="10">
        <v>19.995167389222395</v>
      </c>
      <c r="U5025" s="11">
        <v>0.12381339460640271</v>
      </c>
      <c r="V5025" s="11">
        <v>0.25265266631837235</v>
      </c>
      <c r="W5025" s="11">
        <v>0.2662152359461882</v>
      </c>
      <c r="X5025" s="11">
        <v>0.03197508135705682</v>
      </c>
      <c r="Y5025" s="11">
        <v>0.16111375742815157</v>
      </c>
      <c r="Z5025" s="11">
        <v>0.16422986434382839</v>
      </c>
    </row>
    <row r="5026" ht="22.5" customHeight="1">
      <c r="Q5026" s="9" t="s">
        <v>5064</v>
      </c>
      <c r="R5026" s="10">
        <v>0.7227600223439181</v>
      </c>
      <c r="S5026" s="10">
        <v>0.03414630661457562</v>
      </c>
      <c r="T5026" s="10">
        <v>19.995135346570002</v>
      </c>
      <c r="U5026" s="11">
        <v>0.09548309624055669</v>
      </c>
      <c r="V5026" s="11">
        <v>0.29664569047354616</v>
      </c>
      <c r="W5026" s="11">
        <v>0.1307068452564828</v>
      </c>
      <c r="X5026" s="11">
        <v>0.16830391858602606</v>
      </c>
      <c r="Y5026" s="11">
        <v>0.1614159424933477</v>
      </c>
      <c r="Z5026" s="11">
        <v>0.1474445069500406</v>
      </c>
    </row>
    <row r="5027" ht="22.5" customHeight="1">
      <c r="Q5027" s="9" t="s">
        <v>5065</v>
      </c>
      <c r="R5027" s="10">
        <v>0.7043125071802052</v>
      </c>
      <c r="S5027" s="10">
        <v>0.033224193594404844</v>
      </c>
      <c r="T5027" s="10">
        <v>19.994842171040066</v>
      </c>
      <c r="U5027" s="11">
        <v>0.16410951565660903</v>
      </c>
      <c r="V5027" s="11">
        <v>0.2941024893957591</v>
      </c>
      <c r="W5027" s="11">
        <v>0.10807823585638013</v>
      </c>
      <c r="X5027" s="11">
        <v>0.25395632065320645</v>
      </c>
      <c r="Y5027" s="11">
        <v>0.11406188703398552</v>
      </c>
      <c r="Z5027" s="11">
        <v>0.06569155140405983</v>
      </c>
    </row>
    <row r="5028" ht="22.5" customHeight="1">
      <c r="Q5028" s="9" t="s">
        <v>5066</v>
      </c>
      <c r="R5028" s="10">
        <v>0.6294603583976057</v>
      </c>
      <c r="S5028" s="10">
        <v>0.029480735585289745</v>
      </c>
      <c r="T5028" s="10">
        <v>19.994764265371106</v>
      </c>
      <c r="U5028" s="11">
        <v>0.19575381602334233</v>
      </c>
      <c r="V5028" s="11">
        <v>0.2597871056230737</v>
      </c>
      <c r="W5028" s="11">
        <v>0.09907024754798205</v>
      </c>
      <c r="X5028" s="11">
        <v>0.17452420310105218</v>
      </c>
      <c r="Y5028" s="11">
        <v>0.09772714764399842</v>
      </c>
      <c r="Z5028" s="11">
        <v>0.17313748006055124</v>
      </c>
    </row>
    <row r="5029" ht="22.5" customHeight="1">
      <c r="Q5029" s="9" t="s">
        <v>5067</v>
      </c>
      <c r="R5029" s="10">
        <v>0.7735992041094689</v>
      </c>
      <c r="S5029" s="10">
        <v>0.03668983520658347</v>
      </c>
      <c r="T5029" s="10">
        <v>19.994617037087018</v>
      </c>
      <c r="U5029" s="11">
        <v>0.19049480289152812</v>
      </c>
      <c r="V5029" s="11">
        <v>0.25327587033576504</v>
      </c>
      <c r="W5029" s="11">
        <v>0.23738760387534677</v>
      </c>
      <c r="X5029" s="11">
        <v>0.03804970979399891</v>
      </c>
      <c r="Y5029" s="11">
        <v>0.004776768629087197</v>
      </c>
      <c r="Z5029" s="11">
        <v>0.2760152444742741</v>
      </c>
    </row>
    <row r="5030" ht="22.5" customHeight="1">
      <c r="Q5030" s="9" t="s">
        <v>5068</v>
      </c>
      <c r="R5030" s="10">
        <v>0.8132990955033588</v>
      </c>
      <c r="S5030" s="10">
        <v>0.038676209449267376</v>
      </c>
      <c r="T5030" s="10">
        <v>19.994180053185303</v>
      </c>
      <c r="U5030" s="11">
        <v>0.24947357226797373</v>
      </c>
      <c r="V5030" s="11">
        <v>0.2320359732827538</v>
      </c>
      <c r="W5030" s="11">
        <v>0.2764920551907814</v>
      </c>
      <c r="X5030" s="11">
        <v>0.05588879860370791</v>
      </c>
      <c r="Y5030" s="11">
        <v>0.09814336129163362</v>
      </c>
      <c r="Z5030" s="11">
        <v>0.08796623936314965</v>
      </c>
    </row>
    <row r="5031" ht="22.5" customHeight="1">
      <c r="Q5031" s="9" t="s">
        <v>5069</v>
      </c>
      <c r="R5031" s="10">
        <v>0.6817976427551791</v>
      </c>
      <c r="S5031" s="10">
        <v>0.03209930910107242</v>
      </c>
      <c r="T5031" s="10">
        <v>19.99412637618848</v>
      </c>
      <c r="U5031" s="11">
        <v>0.289292805575123</v>
      </c>
      <c r="V5031" s="11">
        <v>0.13872493873379615</v>
      </c>
      <c r="W5031" s="11">
        <v>0.256630398336387</v>
      </c>
      <c r="X5031" s="11">
        <v>0.2354923661395756</v>
      </c>
      <c r="Y5031" s="11">
        <v>0.02702208936969035</v>
      </c>
      <c r="Z5031" s="11">
        <v>0.052837401845427866</v>
      </c>
    </row>
    <row r="5032" ht="22.5" customHeight="1">
      <c r="Q5032" s="9" t="s">
        <v>5070</v>
      </c>
      <c r="R5032" s="10">
        <v>0.43494632814147016</v>
      </c>
      <c r="S5032" s="10">
        <v>0.01975330028339308</v>
      </c>
      <c r="T5032" s="10">
        <v>19.993941390822066</v>
      </c>
      <c r="U5032" s="11">
        <v>0.003721341656797176</v>
      </c>
      <c r="V5032" s="11">
        <v>0.06269331398348922</v>
      </c>
      <c r="W5032" s="11">
        <v>0.1563533599654655</v>
      </c>
      <c r="X5032" s="11">
        <v>0.3274130668770309</v>
      </c>
      <c r="Y5032" s="11">
        <v>0.04792940966768186</v>
      </c>
      <c r="Z5032" s="11">
        <v>0.40188950784953525</v>
      </c>
    </row>
    <row r="5033" ht="22.5" customHeight="1">
      <c r="Q5033" s="9" t="s">
        <v>5071</v>
      </c>
      <c r="R5033" s="10">
        <v>0.7306456903171853</v>
      </c>
      <c r="S5033" s="10">
        <v>0.03454289776466171</v>
      </c>
      <c r="T5033" s="10">
        <v>19.99385503273364</v>
      </c>
      <c r="U5033" s="11">
        <v>0.12844103248922217</v>
      </c>
      <c r="V5033" s="11">
        <v>0.22097481070283534</v>
      </c>
      <c r="W5033" s="11">
        <v>0.23611263348355957</v>
      </c>
      <c r="X5033" s="11">
        <v>0.011871850801528581</v>
      </c>
      <c r="Y5033" s="11">
        <v>0.14710199542113064</v>
      </c>
      <c r="Z5033" s="11">
        <v>0.25549767710172383</v>
      </c>
    </row>
    <row r="5034" ht="22.5" customHeight="1">
      <c r="Q5034" s="9" t="s">
        <v>5072</v>
      </c>
      <c r="R5034" s="10">
        <v>0.6283434473826803</v>
      </c>
      <c r="S5034" s="10">
        <v>0.02942756932943063</v>
      </c>
      <c r="T5034" s="10">
        <v>19.992933864037344</v>
      </c>
      <c r="U5034" s="11">
        <v>0.14900588765280173</v>
      </c>
      <c r="V5034" s="11">
        <v>0.13745143822729838</v>
      </c>
      <c r="W5034" s="11">
        <v>0.22801713840373045</v>
      </c>
      <c r="X5034" s="11">
        <v>0.1138397755391124</v>
      </c>
      <c r="Y5034" s="11">
        <v>0.2246895872962702</v>
      </c>
      <c r="Z5034" s="11">
        <v>0.14699617288078676</v>
      </c>
    </row>
    <row r="5035" ht="22.5" customHeight="1">
      <c r="Q5035" s="9" t="s">
        <v>5073</v>
      </c>
      <c r="R5035" s="10">
        <v>0.7031882311147069</v>
      </c>
      <c r="S5035" s="10">
        <v>0.03317140758861882</v>
      </c>
      <c r="T5035" s="10">
        <v>19.99276724519366</v>
      </c>
      <c r="U5035" s="11">
        <v>0.2524869642297189</v>
      </c>
      <c r="V5035" s="11">
        <v>0.27925582037484337</v>
      </c>
      <c r="W5035" s="11">
        <v>0.14367327243815683</v>
      </c>
      <c r="X5035" s="11">
        <v>0.07220182951114805</v>
      </c>
      <c r="Y5035" s="11">
        <v>0.09569866174768211</v>
      </c>
      <c r="Z5035" s="11">
        <v>0.15668345169845077</v>
      </c>
    </row>
    <row r="5036" ht="22.5" customHeight="1">
      <c r="Q5036" s="9" t="s">
        <v>5074</v>
      </c>
      <c r="R5036" s="10">
        <v>0.7917931220347766</v>
      </c>
      <c r="S5036" s="10">
        <v>0.037603516262735774</v>
      </c>
      <c r="T5036" s="10">
        <v>19.99262826332511</v>
      </c>
      <c r="U5036" s="11">
        <v>0.03842385923401307</v>
      </c>
      <c r="V5036" s="11">
        <v>0.18404290585966657</v>
      </c>
      <c r="W5036" s="11">
        <v>0.29094102192393123</v>
      </c>
      <c r="X5036" s="11">
        <v>0.21163857410272308</v>
      </c>
      <c r="Y5036" s="11">
        <v>0.24482464560523867</v>
      </c>
      <c r="Z5036" s="11">
        <v>0.03012899327442743</v>
      </c>
    </row>
    <row r="5037" ht="22.5" customHeight="1">
      <c r="Q5037" s="9" t="s">
        <v>5075</v>
      </c>
      <c r="R5037" s="10">
        <v>0.9389714190514648</v>
      </c>
      <c r="S5037" s="10">
        <v>0.04496594545879732</v>
      </c>
      <c r="T5037" s="10">
        <v>19.99227214904666</v>
      </c>
      <c r="U5037" s="11">
        <v>0.16147574124254957</v>
      </c>
      <c r="V5037" s="11">
        <v>0.3011213221340464</v>
      </c>
      <c r="W5037" s="11">
        <v>0.29909927157908317</v>
      </c>
      <c r="X5037" s="11">
        <v>0.0604378946556147</v>
      </c>
      <c r="Y5037" s="11">
        <v>0.11997225989055776</v>
      </c>
      <c r="Z5037" s="11">
        <v>0.05789351049814838</v>
      </c>
    </row>
    <row r="5038" ht="22.5" customHeight="1">
      <c r="Q5038" s="9" t="s">
        <v>5076</v>
      </c>
      <c r="R5038" s="10">
        <v>0.618580219848862</v>
      </c>
      <c r="S5038" s="10">
        <v>0.028940953649523097</v>
      </c>
      <c r="T5038" s="10">
        <v>19.991746880752704</v>
      </c>
      <c r="U5038" s="11">
        <v>0.05632235555721736</v>
      </c>
      <c r="V5038" s="11">
        <v>0.24715490345315347</v>
      </c>
      <c r="W5038" s="11">
        <v>0.12224536802614386</v>
      </c>
      <c r="X5038" s="11">
        <v>0.14732963932219847</v>
      </c>
      <c r="Y5038" s="11">
        <v>0.006021584432531544</v>
      </c>
      <c r="Z5038" s="11">
        <v>0.4209261492087554</v>
      </c>
    </row>
    <row r="5039" ht="22.5" customHeight="1">
      <c r="Q5039" s="9" t="s">
        <v>5077</v>
      </c>
      <c r="R5039" s="10">
        <v>0.8363113648784168</v>
      </c>
      <c r="S5039" s="10">
        <v>0.039833905352825105</v>
      </c>
      <c r="T5039" s="10">
        <v>19.990793215607738</v>
      </c>
      <c r="U5039" s="11">
        <v>0.007961473432649632</v>
      </c>
      <c r="V5039" s="11">
        <v>0.28152012110847113</v>
      </c>
      <c r="W5039" s="11">
        <v>0.24623455102276878</v>
      </c>
      <c r="X5039" s="11">
        <v>0.013892618199974236</v>
      </c>
      <c r="Y5039" s="11">
        <v>0.28938832269149684</v>
      </c>
      <c r="Z5039" s="11">
        <v>0.16100291354463928</v>
      </c>
    </row>
    <row r="5040" ht="22.5" customHeight="1">
      <c r="Q5040" s="9" t="s">
        <v>5078</v>
      </c>
      <c r="R5040" s="10">
        <v>0.5917205289007832</v>
      </c>
      <c r="S5040" s="10">
        <v>0.027599066112191425</v>
      </c>
      <c r="T5040" s="10">
        <v>19.990550646098487</v>
      </c>
      <c r="U5040" s="11">
        <v>0.20421445016410647</v>
      </c>
      <c r="V5040" s="11">
        <v>0.24174794140781214</v>
      </c>
      <c r="W5040" s="11">
        <v>0.08365898120801135</v>
      </c>
      <c r="X5040" s="11">
        <v>0.15570509115146192</v>
      </c>
      <c r="Y5040" s="11">
        <v>0.21532253777161553</v>
      </c>
      <c r="Z5040" s="11">
        <v>0.09935099829699263</v>
      </c>
    </row>
    <row r="5041" ht="22.5" customHeight="1">
      <c r="Q5041" s="9" t="s">
        <v>5079</v>
      </c>
      <c r="R5041" s="10">
        <v>0.8352793554068403</v>
      </c>
      <c r="S5041" s="10">
        <v>0.03978337498647485</v>
      </c>
      <c r="T5041" s="10">
        <v>19.990243554681104</v>
      </c>
      <c r="U5041" s="11">
        <v>0.21888921619535529</v>
      </c>
      <c r="V5041" s="11">
        <v>0.3094327788769911</v>
      </c>
      <c r="W5041" s="11">
        <v>0.21682515557275048</v>
      </c>
      <c r="X5041" s="11">
        <v>0.02483605867202042</v>
      </c>
      <c r="Y5041" s="11">
        <v>0.10396239727426335</v>
      </c>
      <c r="Z5041" s="11">
        <v>0.1260543934086194</v>
      </c>
    </row>
    <row r="5042" ht="22.5" customHeight="1">
      <c r="Q5042" s="9" t="s">
        <v>5080</v>
      </c>
      <c r="R5042" s="10">
        <v>0.987254180688605</v>
      </c>
      <c r="S5042" s="10">
        <v>0.047386547885890425</v>
      </c>
      <c r="T5042" s="10">
        <v>19.989938557449857</v>
      </c>
      <c r="U5042" s="11">
        <v>0.19289978060780152</v>
      </c>
      <c r="V5042" s="11">
        <v>0.35696320128048703</v>
      </c>
      <c r="W5042" s="11">
        <v>0.27535209298354274</v>
      </c>
      <c r="X5042" s="11">
        <v>0.07461710685120347</v>
      </c>
      <c r="Y5042" s="11">
        <v>0.08015542692416018</v>
      </c>
      <c r="Z5042" s="11">
        <v>0.020012391352805022</v>
      </c>
    </row>
    <row r="5043" ht="22.5" customHeight="1">
      <c r="Q5043" s="9" t="s">
        <v>5081</v>
      </c>
      <c r="R5043" s="10">
        <v>0.6594900898283536</v>
      </c>
      <c r="S5043" s="10">
        <v>0.03099034725448087</v>
      </c>
      <c r="T5043" s="10">
        <v>19.989775678902145</v>
      </c>
      <c r="U5043" s="11">
        <v>0.18496319320888407</v>
      </c>
      <c r="V5043" s="11">
        <v>0.17075721373089556</v>
      </c>
      <c r="W5043" s="11">
        <v>0.23008431255354073</v>
      </c>
      <c r="X5043" s="11">
        <v>0.06128748470035929</v>
      </c>
      <c r="Y5043" s="11">
        <v>0.10150745185119209</v>
      </c>
      <c r="Z5043" s="11">
        <v>0.2514003439551282</v>
      </c>
    </row>
    <row r="5044" ht="22.5" customHeight="1">
      <c r="Q5044" s="9" t="s">
        <v>5082</v>
      </c>
      <c r="R5044" s="10">
        <v>0.8504549949390353</v>
      </c>
      <c r="S5044" s="10">
        <v>0.04054389696896377</v>
      </c>
      <c r="T5044" s="10">
        <v>19.989568234139803</v>
      </c>
      <c r="U5044" s="11">
        <v>0.1335934771746163</v>
      </c>
      <c r="V5044" s="11">
        <v>0.28080946656574135</v>
      </c>
      <c r="W5044" s="11">
        <v>0.26169619258963966</v>
      </c>
      <c r="X5044" s="11">
        <v>0.03359130931236072</v>
      </c>
      <c r="Y5044" s="11">
        <v>0.10143498046243338</v>
      </c>
      <c r="Z5044" s="11">
        <v>0.18887457389520865</v>
      </c>
    </row>
    <row r="5045" ht="22.5" customHeight="1">
      <c r="Q5045" s="9" t="s">
        <v>5083</v>
      </c>
      <c r="R5045" s="10">
        <v>0.8397918938220791</v>
      </c>
      <c r="S5045" s="10">
        <v>0.0400113184771862</v>
      </c>
      <c r="T5045" s="10">
        <v>19.989141179591655</v>
      </c>
      <c r="U5045" s="11">
        <v>0.2543855414060571</v>
      </c>
      <c r="V5045" s="11">
        <v>0.3126486989990287</v>
      </c>
      <c r="W5045" s="11">
        <v>0.21277253199087162</v>
      </c>
      <c r="X5045" s="11">
        <v>0.011028631238615189</v>
      </c>
      <c r="Y5045" s="11">
        <v>0.15745725128412097</v>
      </c>
      <c r="Z5045" s="11">
        <v>0.05170734508130627</v>
      </c>
    </row>
    <row r="5046" ht="22.5" customHeight="1">
      <c r="Q5046" s="9" t="s">
        <v>5084</v>
      </c>
      <c r="R5046" s="10">
        <v>0.8636038176678262</v>
      </c>
      <c r="S5046" s="10">
        <v>0.041204421506720525</v>
      </c>
      <c r="T5046" s="10">
        <v>19.988238823678056</v>
      </c>
      <c r="U5046" s="11">
        <v>0.3277228548859757</v>
      </c>
      <c r="V5046" s="11">
        <v>0.32008173825172587</v>
      </c>
      <c r="W5046" s="11">
        <v>0.22387225247104914</v>
      </c>
      <c r="X5046" s="11">
        <v>0.03935969195384148</v>
      </c>
      <c r="Y5046" s="11">
        <v>0.03262898121583735</v>
      </c>
      <c r="Z5046" s="11">
        <v>0.05633448122157049</v>
      </c>
    </row>
    <row r="5047" ht="22.5" customHeight="1">
      <c r="Q5047" s="9" t="s">
        <v>5085</v>
      </c>
      <c r="R5047" s="10">
        <v>0.47837905968962363</v>
      </c>
      <c r="S5047" s="10">
        <v>0.02193248742424589</v>
      </c>
      <c r="T5047" s="10">
        <v>19.987658089570136</v>
      </c>
      <c r="U5047" s="11">
        <v>0.02463337913153248</v>
      </c>
      <c r="V5047" s="11">
        <v>0.1414594384936055</v>
      </c>
      <c r="W5047" s="11">
        <v>0.14142125663651003</v>
      </c>
      <c r="X5047" s="11">
        <v>0.047742060028722534</v>
      </c>
      <c r="Y5047" s="11">
        <v>0.054613806451459614</v>
      </c>
      <c r="Z5047" s="11">
        <v>0.5901300592581699</v>
      </c>
    </row>
    <row r="5048" ht="22.5" customHeight="1">
      <c r="Q5048" s="9" t="s">
        <v>5086</v>
      </c>
      <c r="R5048" s="10">
        <v>0.3015695894167792</v>
      </c>
      <c r="S5048" s="10">
        <v>0.013086719221941035</v>
      </c>
      <c r="T5048" s="10">
        <v>19.987407461010918</v>
      </c>
      <c r="U5048" s="11">
        <v>0.03736767405780408</v>
      </c>
      <c r="V5048" s="11">
        <v>0.03939197092651872</v>
      </c>
      <c r="W5048" s="11">
        <v>0.08338198447440912</v>
      </c>
      <c r="X5048" s="11">
        <v>0.176797746740539</v>
      </c>
      <c r="Y5048" s="11">
        <v>0.287146487155969</v>
      </c>
      <c r="Z5048" s="11">
        <v>0.37591413664476014</v>
      </c>
    </row>
    <row r="5049" ht="22.5" customHeight="1">
      <c r="Q5049" s="9" t="s">
        <v>5087</v>
      </c>
      <c r="R5049" s="10">
        <v>0.31619381806142804</v>
      </c>
      <c r="S5049" s="10">
        <v>0.013818845657457331</v>
      </c>
      <c r="T5049" s="10">
        <v>19.986750334126516</v>
      </c>
      <c r="U5049" s="11">
        <v>0.2171262128106759</v>
      </c>
      <c r="V5049" s="11">
        <v>0.024587116459719182</v>
      </c>
      <c r="W5049" s="11">
        <v>0.09785046708887782</v>
      </c>
      <c r="X5049" s="11">
        <v>0.3353112350426648</v>
      </c>
      <c r="Y5049" s="11">
        <v>0.026017992556118214</v>
      </c>
      <c r="Z5049" s="11">
        <v>0.29910697604194425</v>
      </c>
    </row>
    <row r="5050" ht="22.5" customHeight="1">
      <c r="Q5050" s="9" t="s">
        <v>5088</v>
      </c>
      <c r="R5050" s="10">
        <v>0.5600884979204059</v>
      </c>
      <c r="S5050" s="10">
        <v>0.026021769727400872</v>
      </c>
      <c r="T5050" s="10">
        <v>19.986668984037383</v>
      </c>
      <c r="U5050" s="11">
        <v>0.21975420364451237</v>
      </c>
      <c r="V5050" s="11">
        <v>0.13761466052121205</v>
      </c>
      <c r="W5050" s="11">
        <v>0.19114114847042207</v>
      </c>
      <c r="X5050" s="11">
        <v>0.02027910855180666</v>
      </c>
      <c r="Y5050" s="11">
        <v>0.1578020763235731</v>
      </c>
      <c r="Z5050" s="11">
        <v>0.2734088024884736</v>
      </c>
    </row>
    <row r="5051" ht="22.5" customHeight="1">
      <c r="Q5051" s="9" t="s">
        <v>5089</v>
      </c>
      <c r="R5051" s="10">
        <v>0.9069464088719031</v>
      </c>
      <c r="S5051" s="10">
        <v>0.043378364982483875</v>
      </c>
      <c r="T5051" s="10">
        <v>19.98568662562489</v>
      </c>
      <c r="U5051" s="11">
        <v>0.018628967360132333</v>
      </c>
      <c r="V5051" s="11">
        <v>0.2917233199236618</v>
      </c>
      <c r="W5051" s="11">
        <v>0.28839795435405197</v>
      </c>
      <c r="X5051" s="11">
        <v>0.07758919026981739</v>
      </c>
      <c r="Y5051" s="11">
        <v>0.1534746975454753</v>
      </c>
      <c r="Z5051" s="11">
        <v>0.17018587054686124</v>
      </c>
    </row>
    <row r="5052" ht="22.5" customHeight="1">
      <c r="Q5052" s="9" t="s">
        <v>5090</v>
      </c>
      <c r="R5052" s="10">
        <v>0.9115708531037018</v>
      </c>
      <c r="S5052" s="10">
        <v>0.04361082556978581</v>
      </c>
      <c r="T5052" s="10">
        <v>19.985194999553926</v>
      </c>
      <c r="U5052" s="11">
        <v>0.10130007836972539</v>
      </c>
      <c r="V5052" s="11">
        <v>0.2523961281126727</v>
      </c>
      <c r="W5052" s="11">
        <v>0.32069121510542636</v>
      </c>
      <c r="X5052" s="11">
        <v>0.1600321246503105</v>
      </c>
      <c r="Y5052" s="11">
        <v>0.11084055784226629</v>
      </c>
      <c r="Z5052" s="11">
        <v>0.054739895919598706</v>
      </c>
    </row>
    <row r="5053" ht="22.5" customHeight="1">
      <c r="Q5053" s="9" t="s">
        <v>5091</v>
      </c>
      <c r="R5053" s="10">
        <v>0.610258068493953</v>
      </c>
      <c r="S5053" s="10">
        <v>0.028534784089559166</v>
      </c>
      <c r="T5053" s="10">
        <v>19.984663865131875</v>
      </c>
      <c r="U5053" s="11">
        <v>0.1425229375755689</v>
      </c>
      <c r="V5053" s="11">
        <v>0.13315681202543836</v>
      </c>
      <c r="W5053" s="11">
        <v>0.2236553456768081</v>
      </c>
      <c r="X5053" s="11">
        <v>0.13757955181233994</v>
      </c>
      <c r="Y5053" s="11">
        <v>0.1253957031469949</v>
      </c>
      <c r="Z5053" s="11">
        <v>0.23768964976284992</v>
      </c>
    </row>
    <row r="5054" ht="22.5" customHeight="1">
      <c r="Q5054" s="9" t="s">
        <v>5092</v>
      </c>
      <c r="R5054" s="10">
        <v>0.4651103656481793</v>
      </c>
      <c r="S5054" s="10">
        <v>0.02127269688419924</v>
      </c>
      <c r="T5054" s="10">
        <v>19.983849154732205</v>
      </c>
      <c r="U5054" s="11">
        <v>0.2967139368310931</v>
      </c>
      <c r="V5054" s="11">
        <v>0.18515829259187364</v>
      </c>
      <c r="W5054" s="11">
        <v>0.049720148488270104</v>
      </c>
      <c r="X5054" s="11">
        <v>0.17286865445185742</v>
      </c>
      <c r="Y5054" s="11">
        <v>0.11669909445649243</v>
      </c>
      <c r="Z5054" s="11">
        <v>0.17883987318041328</v>
      </c>
    </row>
    <row r="5055" ht="22.5" customHeight="1">
      <c r="Q5055" s="9" t="s">
        <v>5093</v>
      </c>
      <c r="R5055" s="10">
        <v>0.9503394001814645</v>
      </c>
      <c r="S5055" s="10">
        <v>0.04555502128301352</v>
      </c>
      <c r="T5055" s="10">
        <v>19.983294366737795</v>
      </c>
      <c r="U5055" s="11">
        <v>0.06071186080917958</v>
      </c>
      <c r="V5055" s="11">
        <v>0.3627465393612634</v>
      </c>
      <c r="W5055" s="11">
        <v>0.2388022943678215</v>
      </c>
      <c r="X5055" s="11">
        <v>0.10470389318366481</v>
      </c>
      <c r="Y5055" s="11">
        <v>0.16833909586147286</v>
      </c>
      <c r="Z5055" s="11">
        <v>0.06469631641659782</v>
      </c>
    </row>
    <row r="5056" ht="22.5" customHeight="1">
      <c r="Q5056" s="9" t="s">
        <v>5094</v>
      </c>
      <c r="R5056" s="10">
        <v>0.7593766844902446</v>
      </c>
      <c r="S5056" s="10">
        <v>0.036000141250454365</v>
      </c>
      <c r="T5056" s="10">
        <v>19.98260727605243</v>
      </c>
      <c r="U5056" s="11">
        <v>0.050783913478497415</v>
      </c>
      <c r="V5056" s="11">
        <v>0.26777857883504985</v>
      </c>
      <c r="W5056" s="11">
        <v>0.21186269463280952</v>
      </c>
      <c r="X5056" s="11">
        <v>0.01130982046618658</v>
      </c>
      <c r="Y5056" s="11">
        <v>0.1549594512515544</v>
      </c>
      <c r="Z5056" s="11">
        <v>0.3033055413359022</v>
      </c>
    </row>
    <row r="5057" ht="22.5" customHeight="1">
      <c r="Q5057" s="9" t="s">
        <v>5095</v>
      </c>
      <c r="R5057" s="10">
        <v>0.6200864051967554</v>
      </c>
      <c r="S5057" s="10">
        <v>0.029029680584324265</v>
      </c>
      <c r="T5057" s="10">
        <v>19.98252800308096</v>
      </c>
      <c r="U5057" s="11">
        <v>0.14946015691283512</v>
      </c>
      <c r="V5057" s="11">
        <v>0.1508155380668581</v>
      </c>
      <c r="W5057" s="11">
        <v>0.21787310422165843</v>
      </c>
      <c r="X5057" s="11">
        <v>0.05534455257815543</v>
      </c>
      <c r="Y5057" s="11">
        <v>0.19506063695013304</v>
      </c>
      <c r="Z5057" s="11">
        <v>0.2314460112703599</v>
      </c>
    </row>
    <row r="5058" ht="22.5" customHeight="1">
      <c r="Q5058" s="9" t="s">
        <v>5096</v>
      </c>
      <c r="R5058" s="10">
        <v>0.7629937666104453</v>
      </c>
      <c r="S5058" s="10">
        <v>0.036181396690965345</v>
      </c>
      <c r="T5058" s="10">
        <v>19.982472561402805</v>
      </c>
      <c r="U5058" s="11">
        <v>0.0753560762966594</v>
      </c>
      <c r="V5058" s="11">
        <v>0.30072082244967263</v>
      </c>
      <c r="W5058" s="11">
        <v>0.15572168973267703</v>
      </c>
      <c r="X5058" s="11">
        <v>0.08336358158780256</v>
      </c>
      <c r="Y5058" s="11">
        <v>0.3360422235719652</v>
      </c>
      <c r="Z5058" s="11">
        <v>0.04879560636122322</v>
      </c>
    </row>
    <row r="5059" ht="22.5" customHeight="1">
      <c r="Q5059" s="9" t="s">
        <v>5097</v>
      </c>
      <c r="R5059" s="10">
        <v>0.6745701140156304</v>
      </c>
      <c r="S5059" s="10">
        <v>0.03175673944049717</v>
      </c>
      <c r="T5059" s="10">
        <v>19.98221874146207</v>
      </c>
      <c r="U5059" s="11">
        <v>0.04894144712619818</v>
      </c>
      <c r="V5059" s="11">
        <v>0.2808103962205364</v>
      </c>
      <c r="W5059" s="11">
        <v>0.09176860579597935</v>
      </c>
      <c r="X5059" s="11">
        <v>0.2902417484347045</v>
      </c>
      <c r="Y5059" s="11">
        <v>0.2474666475204301</v>
      </c>
      <c r="Z5059" s="11">
        <v>0.04077115490215148</v>
      </c>
    </row>
    <row r="5060" ht="22.5" customHeight="1">
      <c r="Q5060" s="9" t="s">
        <v>5098</v>
      </c>
      <c r="R5060" s="10">
        <v>0.5371492925695998</v>
      </c>
      <c r="S5060" s="10">
        <v>0.024879778201163105</v>
      </c>
      <c r="T5060" s="10">
        <v>19.98206288456215</v>
      </c>
      <c r="U5060" s="11">
        <v>0.08320284563342863</v>
      </c>
      <c r="V5060" s="11">
        <v>0.10519526625865486</v>
      </c>
      <c r="W5060" s="11">
        <v>0.18877386701016702</v>
      </c>
      <c r="X5060" s="11">
        <v>0.1154603457266499</v>
      </c>
      <c r="Y5060" s="11">
        <v>0.3517631725028258</v>
      </c>
      <c r="Z5060" s="11">
        <v>0.1556045028682737</v>
      </c>
    </row>
    <row r="5061" ht="22.5" customHeight="1">
      <c r="Q5061" s="9" t="s">
        <v>5099</v>
      </c>
      <c r="R5061" s="10">
        <v>0.9032452818199229</v>
      </c>
      <c r="S5061" s="10">
        <v>0.04320126178555641</v>
      </c>
      <c r="T5061" s="10">
        <v>19.98194603909773</v>
      </c>
      <c r="U5061" s="11">
        <v>0.13823980291436752</v>
      </c>
      <c r="V5061" s="11">
        <v>0.29155913835773223</v>
      </c>
      <c r="W5061" s="11">
        <v>0.28785855066506094</v>
      </c>
      <c r="X5061" s="11">
        <v>0.09040951156189786</v>
      </c>
      <c r="Y5061" s="11">
        <v>0.013774315055337886</v>
      </c>
      <c r="Z5061" s="11">
        <v>0.1781586814456037</v>
      </c>
    </row>
    <row r="5062" ht="22.5" customHeight="1">
      <c r="Q5062" s="9" t="s">
        <v>5100</v>
      </c>
      <c r="R5062" s="10">
        <v>0.9003318431843613</v>
      </c>
      <c r="S5062" s="10">
        <v>0.04305592379636129</v>
      </c>
      <c r="T5062" s="10">
        <v>19.98172997642357</v>
      </c>
      <c r="U5062" s="11">
        <v>0.16577596345066245</v>
      </c>
      <c r="V5062" s="11">
        <v>0.3062955952802245</v>
      </c>
      <c r="W5062" s="11">
        <v>0.26817265316696076</v>
      </c>
      <c r="X5062" s="11">
        <v>0.018535388353329362</v>
      </c>
      <c r="Y5062" s="11">
        <v>0.15286491614391345</v>
      </c>
      <c r="Z5062" s="11">
        <v>0.08835548360490941</v>
      </c>
    </row>
    <row r="5063" ht="22.5" customHeight="1">
      <c r="Q5063" s="9" t="s">
        <v>5101</v>
      </c>
      <c r="R5063" s="10">
        <v>0.6797109097361691</v>
      </c>
      <c r="S5063" s="10">
        <v>0.032014940089521125</v>
      </c>
      <c r="T5063" s="10">
        <v>19.981636946606503</v>
      </c>
      <c r="U5063" s="11">
        <v>0.30933004247256723</v>
      </c>
      <c r="V5063" s="11">
        <v>0.25638589746711377</v>
      </c>
      <c r="W5063" s="11">
        <v>0.15821277112237045</v>
      </c>
      <c r="X5063" s="11">
        <v>0.004728685931812094</v>
      </c>
      <c r="Y5063" s="11">
        <v>0.06985565103629648</v>
      </c>
      <c r="Z5063" s="11">
        <v>0.2014869519698399</v>
      </c>
    </row>
    <row r="5064" ht="22.5" customHeight="1">
      <c r="Q5064" s="9" t="s">
        <v>5102</v>
      </c>
      <c r="R5064" s="10">
        <v>0.37374927109702477</v>
      </c>
      <c r="S5064" s="10">
        <v>0.01670314856698005</v>
      </c>
      <c r="T5064" s="10">
        <v>19.98121909523116</v>
      </c>
      <c r="U5064" s="11">
        <v>0.24467446923317576</v>
      </c>
      <c r="V5064" s="11">
        <v>0.13269346644868246</v>
      </c>
      <c r="W5064" s="11">
        <v>0.016193776935513868</v>
      </c>
      <c r="X5064" s="11">
        <v>0.27586138981859387</v>
      </c>
      <c r="Y5064" s="11">
        <v>0.2584239562485576</v>
      </c>
      <c r="Z5064" s="11">
        <v>0.07215294131547655</v>
      </c>
    </row>
    <row r="5065" ht="22.5" customHeight="1">
      <c r="Q5065" s="9" t="s">
        <v>5103</v>
      </c>
      <c r="R5065" s="10">
        <v>0.8417596994141835</v>
      </c>
      <c r="S5065" s="10">
        <v>0.04012618402841817</v>
      </c>
      <c r="T5065" s="10">
        <v>19.98096053306143</v>
      </c>
      <c r="U5065" s="11">
        <v>0.07777157560963216</v>
      </c>
      <c r="V5065" s="11">
        <v>0.247986213646752</v>
      </c>
      <c r="W5065" s="11">
        <v>0.2825116891155147</v>
      </c>
      <c r="X5065" s="11">
        <v>0.06538743385589449</v>
      </c>
      <c r="Y5065" s="11">
        <v>0.18362768612956212</v>
      </c>
      <c r="Z5065" s="11">
        <v>0.14271540164264448</v>
      </c>
    </row>
    <row r="5066" ht="22.5" customHeight="1">
      <c r="Q5066" s="9" t="s">
        <v>5104</v>
      </c>
      <c r="R5066" s="10">
        <v>0.522331348251574</v>
      </c>
      <c r="S5066" s="10">
        <v>0.02759866283745183</v>
      </c>
      <c r="T5066" s="10">
        <v>19.98060555931817</v>
      </c>
      <c r="U5066" s="11">
        <v>0.1424038437256895</v>
      </c>
      <c r="V5066" s="11">
        <v>0.24690736299012192</v>
      </c>
      <c r="W5066" s="11">
        <v>0.0674920667704027</v>
      </c>
      <c r="X5066" s="11">
        <v>0.3054377462630556</v>
      </c>
      <c r="Y5066" s="11">
        <v>0.13181328356410843</v>
      </c>
      <c r="Z5066" s="11">
        <v>0.10594569668662172</v>
      </c>
    </row>
    <row r="5067" ht="22.5" customHeight="1">
      <c r="Q5067" s="9" t="s">
        <v>5105</v>
      </c>
      <c r="R5067" s="10">
        <v>0.4478960327782923</v>
      </c>
      <c r="S5067" s="10">
        <v>0.020414812375147386</v>
      </c>
      <c r="T5067" s="10">
        <v>19.980395865643978</v>
      </c>
      <c r="U5067" s="11">
        <v>0.1478856733906209</v>
      </c>
      <c r="V5067" s="11">
        <v>0.17868585938886705</v>
      </c>
      <c r="W5067" s="11">
        <v>0.0481137791615241</v>
      </c>
      <c r="X5067" s="11">
        <v>0.16513831184867042</v>
      </c>
      <c r="Y5067" s="11">
        <v>0.18287735968332067</v>
      </c>
      <c r="Z5067" s="11">
        <v>0.27729901652699673</v>
      </c>
    </row>
    <row r="5068" ht="22.5" customHeight="1">
      <c r="Q5068" s="9" t="s">
        <v>5106</v>
      </c>
      <c r="R5068" s="10">
        <v>0.5033984901173025</v>
      </c>
      <c r="S5068" s="10">
        <v>0.023192808533265292</v>
      </c>
      <c r="T5068" s="10">
        <v>19.980266273170546</v>
      </c>
      <c r="U5068" s="11">
        <v>0.2226416753190599</v>
      </c>
      <c r="V5068" s="11">
        <v>0.20254255075946673</v>
      </c>
      <c r="W5068" s="11">
        <v>0.046334650050316374</v>
      </c>
      <c r="X5068" s="11">
        <v>0.24275855668482307</v>
      </c>
      <c r="Y5068" s="11">
        <v>0.2261897252470383</v>
      </c>
      <c r="Z5068" s="11">
        <v>0.05953284193929556</v>
      </c>
    </row>
    <row r="5069" ht="22.5" customHeight="1">
      <c r="Q5069" s="9" t="s">
        <v>5107</v>
      </c>
      <c r="R5069" s="10">
        <v>0.25984190176501565</v>
      </c>
      <c r="S5069" s="10">
        <v>0.011003015691085293</v>
      </c>
      <c r="T5069" s="10">
        <v>19.980149800489045</v>
      </c>
      <c r="U5069" s="11">
        <v>0.19708954592731304</v>
      </c>
      <c r="V5069" s="11">
        <v>0.059535759205446216</v>
      </c>
      <c r="W5069" s="11">
        <v>0.019465847008827763</v>
      </c>
      <c r="X5069" s="11">
        <v>0.2044019182541403</v>
      </c>
      <c r="Y5069" s="11">
        <v>0.28266256491018715</v>
      </c>
      <c r="Z5069" s="11">
        <v>0.23684436469408549</v>
      </c>
    </row>
    <row r="5070" ht="22.5" customHeight="1">
      <c r="Q5070" s="9" t="s">
        <v>5108</v>
      </c>
      <c r="R5070" s="10">
        <v>0.403348367883771</v>
      </c>
      <c r="S5070" s="10">
        <v>0.018185525205856895</v>
      </c>
      <c r="T5070" s="10">
        <v>19.980086567241386</v>
      </c>
      <c r="U5070" s="11">
        <v>0.2612015588405227</v>
      </c>
      <c r="V5070" s="11">
        <v>0.07361689111631542</v>
      </c>
      <c r="W5070" s="11">
        <v>0.13081683443601913</v>
      </c>
      <c r="X5070" s="11">
        <v>0.05312163569527222</v>
      </c>
      <c r="Y5070" s="11">
        <v>0.231977427348812</v>
      </c>
      <c r="Z5070" s="11">
        <v>0.24926565256305844</v>
      </c>
    </row>
    <row r="5071" ht="22.5" customHeight="1">
      <c r="Q5071" s="9" t="s">
        <v>5109</v>
      </c>
      <c r="R5071" s="10">
        <v>0.8818149666289934</v>
      </c>
      <c r="S5071" s="10">
        <v>0.04213300032066579</v>
      </c>
      <c r="T5071" s="10">
        <v>19.979943517482948</v>
      </c>
      <c r="U5071" s="11">
        <v>0.11623633624732663</v>
      </c>
      <c r="V5071" s="11">
        <v>0.24507736768595648</v>
      </c>
      <c r="W5071" s="11">
        <v>0.3080694040409191</v>
      </c>
      <c r="X5071" s="11">
        <v>0.12197864359532966</v>
      </c>
      <c r="Y5071" s="11">
        <v>0.14726073875144505</v>
      </c>
      <c r="Z5071" s="11">
        <v>0.06137750967902314</v>
      </c>
    </row>
    <row r="5072" ht="22.5" customHeight="1">
      <c r="Q5072" s="9" t="s">
        <v>5110</v>
      </c>
      <c r="R5072" s="10">
        <v>0.7028683518072456</v>
      </c>
      <c r="S5072" s="10">
        <v>0.0331768054590712</v>
      </c>
      <c r="T5072" s="10">
        <v>19.97987276457336</v>
      </c>
      <c r="U5072" s="11">
        <v>0.2452258826297708</v>
      </c>
      <c r="V5072" s="11">
        <v>0.27267421202841063</v>
      </c>
      <c r="W5072" s="11">
        <v>0.15763973121628394</v>
      </c>
      <c r="X5072" s="11">
        <v>0.05013875802417213</v>
      </c>
      <c r="Y5072" s="11">
        <v>0.041757606156795274</v>
      </c>
      <c r="Z5072" s="11">
        <v>0.23256380994456713</v>
      </c>
    </row>
    <row r="5073" ht="22.5" customHeight="1">
      <c r="Q5073" s="9" t="s">
        <v>5111</v>
      </c>
      <c r="R5073" s="10">
        <v>0.748700367889388</v>
      </c>
      <c r="S5073" s="10">
        <v>0.03547177376504427</v>
      </c>
      <c r="T5073" s="10">
        <v>19.979276271427345</v>
      </c>
      <c r="U5073" s="11">
        <v>0.23715121054355429</v>
      </c>
      <c r="V5073" s="11">
        <v>0.20672731614763026</v>
      </c>
      <c r="W5073" s="11">
        <v>0.25143500804653307</v>
      </c>
      <c r="X5073" s="11">
        <v>0.004691644150816979</v>
      </c>
      <c r="Y5073" s="11">
        <v>0.2560958999798727</v>
      </c>
      <c r="Z5073" s="11">
        <v>0.043898921131592675</v>
      </c>
    </row>
    <row r="5074" ht="22.5" customHeight="1">
      <c r="Q5074" s="9" t="s">
        <v>5112</v>
      </c>
      <c r="R5074" s="10">
        <v>0.4140609235792485</v>
      </c>
      <c r="S5074" s="10">
        <v>0.01872254044283742</v>
      </c>
      <c r="T5074" s="10">
        <v>19.97917562102802</v>
      </c>
      <c r="U5074" s="11">
        <v>0.2576581681421698</v>
      </c>
      <c r="V5074" s="11">
        <v>0.14292541433618136</v>
      </c>
      <c r="W5074" s="11">
        <v>0.06856303635497421</v>
      </c>
      <c r="X5074" s="11">
        <v>0.0038027913184879502</v>
      </c>
      <c r="Y5074" s="11">
        <v>0.28903277213463924</v>
      </c>
      <c r="Z5074" s="11">
        <v>0.23801781771354738</v>
      </c>
    </row>
    <row r="5075" ht="22.5" customHeight="1">
      <c r="Q5075" s="9" t="s">
        <v>5113</v>
      </c>
      <c r="R5075" s="10">
        <v>0.5549208248831674</v>
      </c>
      <c r="S5075" s="10">
        <v>0.025773670438105793</v>
      </c>
      <c r="T5075" s="10">
        <v>19.978560140268904</v>
      </c>
      <c r="U5075" s="11">
        <v>0.05642525396173228</v>
      </c>
      <c r="V5075" s="11">
        <v>0.09971308108723623</v>
      </c>
      <c r="W5075" s="11">
        <v>0.20859883144000324</v>
      </c>
      <c r="X5075" s="11">
        <v>0.2603953099314675</v>
      </c>
      <c r="Y5075" s="11">
        <v>0.09358222228998925</v>
      </c>
      <c r="Z5075" s="11">
        <v>0.2812853012895716</v>
      </c>
    </row>
    <row r="5076" ht="22.5" customHeight="1">
      <c r="Q5076" s="9" t="s">
        <v>5114</v>
      </c>
      <c r="R5076" s="10">
        <v>0.522331348251574</v>
      </c>
      <c r="S5076" s="10">
        <v>0.034522766347651224</v>
      </c>
      <c r="T5076" s="10">
        <v>19.977774622239618</v>
      </c>
      <c r="U5076" s="11">
        <v>0.0373936936464363</v>
      </c>
      <c r="V5076" s="11">
        <v>0.2967367813880206</v>
      </c>
      <c r="W5076" s="11">
        <v>0.1220492722831976</v>
      </c>
      <c r="X5076" s="11">
        <v>0.19080487426457668</v>
      </c>
      <c r="Y5076" s="11">
        <v>0.35007405816429177</v>
      </c>
      <c r="Z5076" s="11">
        <v>0.0029413202534770934</v>
      </c>
    </row>
    <row r="5077" ht="22.5" customHeight="1">
      <c r="Q5077" s="9" t="s">
        <v>5115</v>
      </c>
      <c r="R5077" s="10">
        <v>0.856350539107858</v>
      </c>
      <c r="S5077" s="10">
        <v>0.04086507576605331</v>
      </c>
      <c r="T5077" s="10">
        <v>19.976728876788275</v>
      </c>
      <c r="U5077" s="11">
        <v>0.136885647226404</v>
      </c>
      <c r="V5077" s="11">
        <v>0.31007166578377054</v>
      </c>
      <c r="W5077" s="11">
        <v>0.2312079821135367</v>
      </c>
      <c r="X5077" s="11">
        <v>0.007901141890308183</v>
      </c>
      <c r="Y5077" s="11">
        <v>0.2020892587137963</v>
      </c>
      <c r="Z5077" s="11">
        <v>0.11184430427218435</v>
      </c>
    </row>
    <row r="5078" ht="22.5" customHeight="1">
      <c r="Q5078" s="9" t="s">
        <v>5116</v>
      </c>
      <c r="R5078" s="10">
        <v>0.2853303527700209</v>
      </c>
      <c r="S5078" s="10">
        <v>0.012280816362215305</v>
      </c>
      <c r="T5078" s="10">
        <v>19.976713724409635</v>
      </c>
      <c r="U5078" s="11">
        <v>0.14369034666084204</v>
      </c>
      <c r="V5078" s="11">
        <v>0.03863788347866677</v>
      </c>
      <c r="W5078" s="11">
        <v>0.05979720325875268</v>
      </c>
      <c r="X5078" s="11">
        <v>0.18232402082013807</v>
      </c>
      <c r="Y5078" s="11">
        <v>0.36773006891433063</v>
      </c>
      <c r="Z5078" s="11">
        <v>0.20782047686726987</v>
      </c>
    </row>
    <row r="5079" ht="22.5" customHeight="1">
      <c r="Q5079" s="9" t="s">
        <v>5117</v>
      </c>
      <c r="R5079" s="10">
        <v>0.8269195986997745</v>
      </c>
      <c r="S5079" s="10">
        <v>0.03939269132683225</v>
      </c>
      <c r="T5079" s="10">
        <v>19.976284234323586</v>
      </c>
      <c r="U5079" s="11">
        <v>0.0482674734936353</v>
      </c>
      <c r="V5079" s="11">
        <v>0.3165299606564244</v>
      </c>
      <c r="W5079" s="11">
        <v>0.19498552898657148</v>
      </c>
      <c r="X5079" s="11">
        <v>0.05056653171184132</v>
      </c>
      <c r="Y5079" s="11">
        <v>0.29608992666072176</v>
      </c>
      <c r="Z5079" s="11">
        <v>0.09356057849080575</v>
      </c>
    </row>
    <row r="5080" ht="22.5" customHeight="1">
      <c r="Q5080" s="9" t="s">
        <v>5118</v>
      </c>
      <c r="R5080" s="10">
        <v>0.5251041377129313</v>
      </c>
      <c r="S5080" s="10">
        <v>0.02428435041472748</v>
      </c>
      <c r="T5080" s="10">
        <v>19.975998098707024</v>
      </c>
      <c r="U5080" s="11">
        <v>0.1400088967977519</v>
      </c>
      <c r="V5080" s="11">
        <v>0.09804384228661253</v>
      </c>
      <c r="W5080" s="11">
        <v>0.19355977441431535</v>
      </c>
      <c r="X5080" s="11">
        <v>0.16132717815679098</v>
      </c>
      <c r="Y5080" s="11">
        <v>0.14185872455433857</v>
      </c>
      <c r="Z5080" s="11">
        <v>0.2652015837901905</v>
      </c>
    </row>
    <row r="5081" ht="22.5" customHeight="1">
      <c r="Q5081" s="9" t="s">
        <v>5119</v>
      </c>
      <c r="R5081" s="10">
        <v>0.5533276332279167</v>
      </c>
      <c r="S5081" s="10">
        <v>0.02569832784986237</v>
      </c>
      <c r="T5081" s="10">
        <v>19.97513753528776</v>
      </c>
      <c r="U5081" s="11">
        <v>0.03993391293868371</v>
      </c>
      <c r="V5081" s="11">
        <v>0.216891525457162</v>
      </c>
      <c r="W5081" s="11">
        <v>0.08692830035598233</v>
      </c>
      <c r="X5081" s="11">
        <v>0.10084453702583872</v>
      </c>
      <c r="Y5081" s="11">
        <v>0.36297670925871217</v>
      </c>
      <c r="Z5081" s="11">
        <v>0.1924250149636211</v>
      </c>
    </row>
    <row r="5082" ht="22.5" customHeight="1">
      <c r="Q5082" s="9" t="s">
        <v>5120</v>
      </c>
      <c r="R5082" s="10">
        <v>0.7313018683578966</v>
      </c>
      <c r="S5082" s="10">
        <v>0.03460884748192716</v>
      </c>
      <c r="T5082" s="10">
        <v>19.974715099047906</v>
      </c>
      <c r="U5082" s="11">
        <v>0.20653941605850684</v>
      </c>
      <c r="V5082" s="11">
        <v>0.258287718284506</v>
      </c>
      <c r="W5082" s="11">
        <v>0.20207356548196997</v>
      </c>
      <c r="X5082" s="11">
        <v>0.004874856606202869</v>
      </c>
      <c r="Y5082" s="11">
        <v>0.03847823638715505</v>
      </c>
      <c r="Z5082" s="11">
        <v>0.2897462071816592</v>
      </c>
    </row>
    <row r="5083" ht="22.5" customHeight="1">
      <c r="Q5083" s="9" t="s">
        <v>5121</v>
      </c>
      <c r="R5083" s="10">
        <v>0.6517347298112859</v>
      </c>
      <c r="S5083" s="10">
        <v>0.030625776230987566</v>
      </c>
      <c r="T5083" s="10">
        <v>19.974505305512047</v>
      </c>
      <c r="U5083" s="11">
        <v>0.18508046876240417</v>
      </c>
      <c r="V5083" s="11">
        <v>0.26775549591052256</v>
      </c>
      <c r="W5083" s="11">
        <v>0.10493558880500845</v>
      </c>
      <c r="X5083" s="11">
        <v>0.14651378584081418</v>
      </c>
      <c r="Y5083" s="11">
        <v>0.18648279245059496</v>
      </c>
      <c r="Z5083" s="11">
        <v>0.10923186823065578</v>
      </c>
    </row>
    <row r="5084" ht="22.5" customHeight="1">
      <c r="Q5084" s="9" t="s">
        <v>5122</v>
      </c>
      <c r="R5084" s="10">
        <v>0.5887437037324449</v>
      </c>
      <c r="S5084" s="10">
        <v>0.027473268115861312</v>
      </c>
      <c r="T5084" s="10">
        <v>19.97373233567488</v>
      </c>
      <c r="U5084" s="11">
        <v>0.15509748777778018</v>
      </c>
      <c r="V5084" s="11">
        <v>0.12811771728974508</v>
      </c>
      <c r="W5084" s="11">
        <v>0.21427094818967082</v>
      </c>
      <c r="X5084" s="11">
        <v>0.11467663992468206</v>
      </c>
      <c r="Y5084" s="11">
        <v>0.14190107423346102</v>
      </c>
      <c r="Z5084" s="11">
        <v>0.24593613258466082</v>
      </c>
    </row>
    <row r="5085" ht="22.5" customHeight="1">
      <c r="Q5085" s="9" t="s">
        <v>5123</v>
      </c>
      <c r="R5085" s="10">
        <v>0.72320121626589</v>
      </c>
      <c r="S5085" s="10">
        <v>0.03420544517376504</v>
      </c>
      <c r="T5085" s="10">
        <v>19.973463663320278</v>
      </c>
      <c r="U5085" s="11">
        <v>0.22401053904626494</v>
      </c>
      <c r="V5085" s="11">
        <v>0.21125822348995593</v>
      </c>
      <c r="W5085" s="11">
        <v>0.23984877626560613</v>
      </c>
      <c r="X5085" s="11">
        <v>0.024553156499625757</v>
      </c>
      <c r="Y5085" s="11">
        <v>0.06640217162974313</v>
      </c>
      <c r="Z5085" s="11">
        <v>0.23392713306880406</v>
      </c>
    </row>
    <row r="5086" ht="22.5" customHeight="1">
      <c r="Q5086" s="9" t="s">
        <v>5124</v>
      </c>
      <c r="R5086" s="10">
        <v>0.7851787514634481</v>
      </c>
      <c r="S5086" s="10">
        <v>0.0373093271084532</v>
      </c>
      <c r="T5086" s="10">
        <v>19.97298823689083</v>
      </c>
      <c r="U5086" s="11">
        <v>0.15184262827868952</v>
      </c>
      <c r="V5086" s="11">
        <v>0.19921555056099732</v>
      </c>
      <c r="W5086" s="11">
        <v>0.2843178295236205</v>
      </c>
      <c r="X5086" s="11">
        <v>0.16291839710481834</v>
      </c>
      <c r="Y5086" s="11">
        <v>0.056000639275709405</v>
      </c>
      <c r="Z5086" s="11">
        <v>0.1457049552561649</v>
      </c>
    </row>
    <row r="5087" ht="22.5" customHeight="1">
      <c r="Q5087" s="9" t="s">
        <v>5125</v>
      </c>
      <c r="R5087" s="10">
        <v>0.8332970227780901</v>
      </c>
      <c r="S5087" s="10">
        <v>0.03971850336532381</v>
      </c>
      <c r="T5087" s="10">
        <v>19.972983762290426</v>
      </c>
      <c r="U5087" s="11">
        <v>0.015645761397838423</v>
      </c>
      <c r="V5087" s="11">
        <v>0.33209214295687517</v>
      </c>
      <c r="W5087" s="11">
        <v>0.1825631132944557</v>
      </c>
      <c r="X5087" s="11">
        <v>0.13334058665634943</v>
      </c>
      <c r="Y5087" s="11">
        <v>0.1798760192794614</v>
      </c>
      <c r="Z5087" s="11">
        <v>0.15648237641501977</v>
      </c>
    </row>
    <row r="5088" ht="22.5" customHeight="1">
      <c r="Q5088" s="9" t="s">
        <v>5126</v>
      </c>
      <c r="R5088" s="10">
        <v>0.7936903809513316</v>
      </c>
      <c r="S5088" s="10">
        <v>0.037738065037307394</v>
      </c>
      <c r="T5088" s="10">
        <v>19.971622291875388</v>
      </c>
      <c r="U5088" s="11">
        <v>0.04450920365303014</v>
      </c>
      <c r="V5088" s="11">
        <v>0.29333760597342556</v>
      </c>
      <c r="W5088" s="11">
        <v>0.20126858777577403</v>
      </c>
      <c r="X5088" s="11">
        <v>0.010861293196499295</v>
      </c>
      <c r="Y5088" s="11">
        <v>0.2838351666546412</v>
      </c>
      <c r="Z5088" s="11">
        <v>0.16618814274663002</v>
      </c>
    </row>
    <row r="5089" ht="22.5" customHeight="1">
      <c r="Q5089" s="9" t="s">
        <v>5127</v>
      </c>
      <c r="R5089" s="10">
        <v>0.46421077058373517</v>
      </c>
      <c r="S5089" s="10">
        <v>0.02124129155150498</v>
      </c>
      <c r="T5089" s="10">
        <v>19.971044112601486</v>
      </c>
      <c r="U5089" s="11">
        <v>0.003737961605659435</v>
      </c>
      <c r="V5089" s="11">
        <v>0.07007603337748251</v>
      </c>
      <c r="W5089" s="11">
        <v>0.16782015801131403</v>
      </c>
      <c r="X5089" s="11">
        <v>0.23363827727353</v>
      </c>
      <c r="Y5089" s="11">
        <v>0.25102418821357814</v>
      </c>
      <c r="Z5089" s="11">
        <v>0.2737033815184358</v>
      </c>
    </row>
    <row r="5090" ht="22.5" customHeight="1">
      <c r="Q5090" s="9" t="s">
        <v>5128</v>
      </c>
      <c r="R5090" s="10">
        <v>0.8667392359528581</v>
      </c>
      <c r="S5090" s="10">
        <v>0.041397377922738815</v>
      </c>
      <c r="T5090" s="10">
        <v>19.970811617485207</v>
      </c>
      <c r="U5090" s="11">
        <v>0.273875773101943</v>
      </c>
      <c r="V5090" s="11">
        <v>0.2567589636978287</v>
      </c>
      <c r="W5090" s="11">
        <v>0.29155926358689743</v>
      </c>
      <c r="X5090" s="11">
        <v>0.07422801330349545</v>
      </c>
      <c r="Y5090" s="11">
        <v>0.02382182126690537</v>
      </c>
      <c r="Z5090" s="11">
        <v>0.07975616504293008</v>
      </c>
    </row>
    <row r="5091" ht="22.5" customHeight="1">
      <c r="Q5091" s="9" t="s">
        <v>5129</v>
      </c>
      <c r="R5091" s="10">
        <v>0.6865368972276147</v>
      </c>
      <c r="S5091" s="10">
        <v>0.0323744411558383</v>
      </c>
      <c r="T5091" s="10">
        <v>19.970596376179312</v>
      </c>
      <c r="U5091" s="11">
        <v>0.2054233341423417</v>
      </c>
      <c r="V5091" s="11">
        <v>0.18210951092405256</v>
      </c>
      <c r="W5091" s="11">
        <v>0.237813233734643</v>
      </c>
      <c r="X5091" s="11">
        <v>0.04262276884426406</v>
      </c>
      <c r="Y5091" s="11">
        <v>0.12412437724620431</v>
      </c>
      <c r="Z5091" s="11">
        <v>0.2079067751084943</v>
      </c>
    </row>
    <row r="5092" ht="22.5" customHeight="1">
      <c r="Q5092" s="9" t="s">
        <v>5130</v>
      </c>
      <c r="R5092" s="10">
        <v>0.843427018422933</v>
      </c>
      <c r="S5092" s="10">
        <v>0.04023055813272737</v>
      </c>
      <c r="T5092" s="10">
        <v>19.970566050122702</v>
      </c>
      <c r="U5092" s="11">
        <v>0.29051762848858836</v>
      </c>
      <c r="V5092" s="11">
        <v>0.22613453818490212</v>
      </c>
      <c r="W5092" s="11">
        <v>0.29759933818248374</v>
      </c>
      <c r="X5092" s="11">
        <v>0.10204046805816558</v>
      </c>
      <c r="Y5092" s="11">
        <v>0.08276014209473459</v>
      </c>
      <c r="Z5092" s="11">
        <v>9.478849911256393E-4</v>
      </c>
    </row>
    <row r="5093" ht="22.5" customHeight="1">
      <c r="Q5093" s="9" t="s">
        <v>5131</v>
      </c>
      <c r="R5093" s="10">
        <v>0.3995473298554373</v>
      </c>
      <c r="S5093" s="10">
        <v>0.01800406343480679</v>
      </c>
      <c r="T5093" s="10">
        <v>19.97034342593649</v>
      </c>
      <c r="U5093" s="11">
        <v>0.24544571114721647</v>
      </c>
      <c r="V5093" s="11">
        <v>0.15171210898187643</v>
      </c>
      <c r="W5093" s="11">
        <v>0.021949079219386214</v>
      </c>
      <c r="X5093" s="11">
        <v>0.2671537284577766</v>
      </c>
      <c r="Y5093" s="11">
        <v>0.18196375789497468</v>
      </c>
      <c r="Z5093" s="11">
        <v>0.13177561429876972</v>
      </c>
    </row>
    <row r="5094" ht="22.5" customHeight="1">
      <c r="Q5094" s="9" t="s">
        <v>5132</v>
      </c>
      <c r="R5094" s="10">
        <v>0.6080767048134114</v>
      </c>
      <c r="S5094" s="10">
        <v>0.028446021693707708</v>
      </c>
      <c r="T5094" s="10">
        <v>19.970339294899382</v>
      </c>
      <c r="U5094" s="11">
        <v>0.27516864280870873</v>
      </c>
      <c r="V5094" s="11">
        <v>0.2520755315496059</v>
      </c>
      <c r="W5094" s="11">
        <v>0.07776173623071572</v>
      </c>
      <c r="X5094" s="11">
        <v>0.23205392468857763</v>
      </c>
      <c r="Y5094" s="11">
        <v>0.12024687870097915</v>
      </c>
      <c r="Z5094" s="11">
        <v>0.042693286021412806</v>
      </c>
    </row>
    <row r="5095" ht="22.5" customHeight="1">
      <c r="Q5095" s="9" t="s">
        <v>5133</v>
      </c>
      <c r="R5095" s="10">
        <v>0.48618918281783424</v>
      </c>
      <c r="S5095" s="10">
        <v>0.022342918965564514</v>
      </c>
      <c r="T5095" s="10">
        <v>19.970048833167798</v>
      </c>
      <c r="U5095" s="11">
        <v>0.24659633066160935</v>
      </c>
      <c r="V5095" s="11">
        <v>0.10042302405137542</v>
      </c>
      <c r="W5095" s="11">
        <v>0.1657224615143192</v>
      </c>
      <c r="X5095" s="11">
        <v>0.03843278930241078</v>
      </c>
      <c r="Y5095" s="11">
        <v>0.2418109132836002</v>
      </c>
      <c r="Z5095" s="11">
        <v>0.20701448118668503</v>
      </c>
    </row>
    <row r="5096" ht="22.5" customHeight="1">
      <c r="Q5096" s="9" t="s">
        <v>5134</v>
      </c>
      <c r="R5096" s="10">
        <v>0.6946399727510173</v>
      </c>
      <c r="S5096" s="10">
        <v>0.03278119946259639</v>
      </c>
      <c r="T5096" s="10">
        <v>19.969982291159504</v>
      </c>
      <c r="U5096" s="11">
        <v>0.3207450832589624</v>
      </c>
      <c r="V5096" s="11">
        <v>0.26921614798424254</v>
      </c>
      <c r="W5096" s="11">
        <v>0.1523579740345593</v>
      </c>
      <c r="X5096" s="11">
        <v>0.03785111845449136</v>
      </c>
      <c r="Y5096" s="11">
        <v>0.04708815410197696</v>
      </c>
      <c r="Z5096" s="11">
        <v>0.17274152216576732</v>
      </c>
    </row>
    <row r="5097" ht="22.5" customHeight="1">
      <c r="Q5097" s="9" t="s">
        <v>5135</v>
      </c>
      <c r="R5097" s="10">
        <v>0.34080026311381606</v>
      </c>
      <c r="S5097" s="10">
        <v>0.015062750551347032</v>
      </c>
      <c r="T5097" s="10">
        <v>19.9698097693662</v>
      </c>
      <c r="U5097" s="11">
        <v>0.21100628045029293</v>
      </c>
      <c r="V5097" s="11">
        <v>0.11948735767994804</v>
      </c>
      <c r="W5097" s="11">
        <v>0.009068766376237061</v>
      </c>
      <c r="X5097" s="11">
        <v>0.34477758725340124</v>
      </c>
      <c r="Y5097" s="11">
        <v>0.11282359550112465</v>
      </c>
      <c r="Z5097" s="11">
        <v>0.20283641273899605</v>
      </c>
    </row>
    <row r="5098" ht="22.5" customHeight="1">
      <c r="Q5098" s="9" t="s">
        <v>5136</v>
      </c>
      <c r="R5098" s="10">
        <v>0.6840352732576811</v>
      </c>
      <c r="S5098" s="10">
        <v>0.03225084435958224</v>
      </c>
      <c r="T5098" s="10">
        <v>19.969563155524884</v>
      </c>
      <c r="U5098" s="11">
        <v>0.16947472139781505</v>
      </c>
      <c r="V5098" s="11">
        <v>0.28599044563973286</v>
      </c>
      <c r="W5098" s="11">
        <v>0.09629753717085371</v>
      </c>
      <c r="X5098" s="11">
        <v>0.2607272823030354</v>
      </c>
      <c r="Y5098" s="11">
        <v>0.1709654724536598</v>
      </c>
      <c r="Z5098" s="11">
        <v>0.016544541034903167</v>
      </c>
    </row>
    <row r="5099" ht="22.5" customHeight="1">
      <c r="Q5099" s="9" t="s">
        <v>5137</v>
      </c>
      <c r="R5099" s="10">
        <v>0.942915345620282</v>
      </c>
      <c r="S5099" s="10">
        <v>0.04521594352102757</v>
      </c>
      <c r="T5099" s="10">
        <v>19.96895951536173</v>
      </c>
      <c r="U5099" s="11">
        <v>0.10603016280935866</v>
      </c>
      <c r="V5099" s="11">
        <v>0.2936941664475639</v>
      </c>
      <c r="W5099" s="11">
        <v>0.3088721200653999</v>
      </c>
      <c r="X5099" s="11">
        <v>0.07779345576744047</v>
      </c>
      <c r="Y5099" s="11">
        <v>0.14210999403368924</v>
      </c>
      <c r="Z5099" s="11">
        <v>0.07150010087654775</v>
      </c>
    </row>
    <row r="5100" ht="22.5" customHeight="1">
      <c r="Q5100" s="9" t="s">
        <v>5138</v>
      </c>
      <c r="R5100" s="10">
        <v>0.5233559172572936</v>
      </c>
      <c r="S5100" s="10">
        <v>0.024205604623727634</v>
      </c>
      <c r="T5100" s="10">
        <v>19.968760325180316</v>
      </c>
      <c r="U5100" s="11">
        <v>0.06674009312898599</v>
      </c>
      <c r="V5100" s="11">
        <v>0.20800347826424823</v>
      </c>
      <c r="W5100" s="11">
        <v>0.03964330138046791</v>
      </c>
      <c r="X5100" s="11">
        <v>0.3816259130453845</v>
      </c>
      <c r="Y5100" s="11">
        <v>0.302197366171521</v>
      </c>
      <c r="Z5100" s="11">
        <v>0.0017898480093923297</v>
      </c>
    </row>
    <row r="5101" ht="22.5" customHeight="1">
      <c r="Q5101" s="9" t="s">
        <v>5139</v>
      </c>
      <c r="R5101" s="10">
        <v>0.6785480840831002</v>
      </c>
      <c r="S5101" s="10">
        <v>0.03197745280696482</v>
      </c>
      <c r="T5101" s="10">
        <v>19.96869756755678</v>
      </c>
      <c r="U5101" s="11">
        <v>0.108898067384635</v>
      </c>
      <c r="V5101" s="11">
        <v>0.1995601381154067</v>
      </c>
      <c r="W5101" s="11">
        <v>0.22367249884492724</v>
      </c>
      <c r="X5101" s="11">
        <v>0.04586620459599273</v>
      </c>
      <c r="Y5101" s="11">
        <v>0.05245634495750445</v>
      </c>
      <c r="Z5101" s="11">
        <v>0.3695467461015339</v>
      </c>
    </row>
    <row r="5102" ht="22.5" customHeight="1">
      <c r="Q5102" s="9" t="s">
        <v>5140</v>
      </c>
      <c r="R5102" s="10">
        <v>0.5006061249197648</v>
      </c>
      <c r="S5102" s="10">
        <v>0.023066613974479136</v>
      </c>
      <c r="T5102" s="10">
        <v>19.968519238644156</v>
      </c>
      <c r="U5102" s="11">
        <v>0.20483754637640395</v>
      </c>
      <c r="V5102" s="11">
        <v>0.09146284595382681</v>
      </c>
      <c r="W5102" s="11">
        <v>0.18166325463556982</v>
      </c>
      <c r="X5102" s="11">
        <v>0.12462401567178467</v>
      </c>
      <c r="Y5102" s="11">
        <v>0.17117934085407555</v>
      </c>
      <c r="Z5102" s="11">
        <v>0.22623299650833928</v>
      </c>
    </row>
    <row r="5103" ht="22.5" customHeight="1">
      <c r="Q5103" s="9" t="s">
        <v>5141</v>
      </c>
      <c r="R5103" s="10">
        <v>0.5362297355631106</v>
      </c>
      <c r="S5103" s="10">
        <v>0.02485106838335813</v>
      </c>
      <c r="T5103" s="10">
        <v>19.9681449468554</v>
      </c>
      <c r="U5103" s="11">
        <v>0.18576318989605003</v>
      </c>
      <c r="V5103" s="11">
        <v>0.22093275630827283</v>
      </c>
      <c r="W5103" s="11">
        <v>0.06769792794281095</v>
      </c>
      <c r="X5103" s="11">
        <v>0.19004868901524105</v>
      </c>
      <c r="Y5103" s="11">
        <v>0.12459425611535216</v>
      </c>
      <c r="Z5103" s="11">
        <v>0.21096318072227313</v>
      </c>
    </row>
    <row r="5104" ht="22.5" customHeight="1">
      <c r="Q5104" s="9" t="s">
        <v>5142</v>
      </c>
      <c r="R5104" s="10">
        <v>0.7727300147038013</v>
      </c>
      <c r="S5104" s="10">
        <v>0.03669679002952048</v>
      </c>
      <c r="T5104" s="10">
        <v>19.96714192479401</v>
      </c>
      <c r="U5104" s="11">
        <v>0.13351749981139335</v>
      </c>
      <c r="V5104" s="11">
        <v>0.16372807874333087</v>
      </c>
      <c r="W5104" s="11">
        <v>0.2936396085846452</v>
      </c>
      <c r="X5104" s="11">
        <v>0.31944252226439196</v>
      </c>
      <c r="Y5104" s="11">
        <v>0.04004870791201193</v>
      </c>
      <c r="Z5104" s="11">
        <v>0.049623582684226696</v>
      </c>
    </row>
    <row r="5105" ht="22.5" customHeight="1">
      <c r="Q5105" s="9" t="s">
        <v>5143</v>
      </c>
      <c r="R5105" s="10">
        <v>0.6818390275900662</v>
      </c>
      <c r="S5105" s="10">
        <v>0.03214558616113651</v>
      </c>
      <c r="T5105" s="10">
        <v>19.966630080183112</v>
      </c>
      <c r="U5105" s="11">
        <v>0.21968956294820155</v>
      </c>
      <c r="V5105" s="11">
        <v>0.17288526811722574</v>
      </c>
      <c r="W5105" s="11">
        <v>0.24131898133429494</v>
      </c>
      <c r="X5105" s="11">
        <v>0.07113655704834006</v>
      </c>
      <c r="Y5105" s="11">
        <v>0.09858198960710683</v>
      </c>
      <c r="Z5105" s="11">
        <v>0.19638764094483088</v>
      </c>
    </row>
    <row r="5106" ht="22.5" customHeight="1">
      <c r="Q5106" s="9" t="s">
        <v>5144</v>
      </c>
      <c r="R5106" s="10">
        <v>0.6852447540269151</v>
      </c>
      <c r="S5106" s="10">
        <v>0.03231725887209716</v>
      </c>
      <c r="T5106" s="10">
        <v>19.965949357914813</v>
      </c>
      <c r="U5106" s="11">
        <v>0.030016439025323603</v>
      </c>
      <c r="V5106" s="11">
        <v>0.1741665756644452</v>
      </c>
      <c r="W5106" s="11">
        <v>0.2392449643699744</v>
      </c>
      <c r="X5106" s="11">
        <v>0.0735597987303628</v>
      </c>
      <c r="Y5106" s="11">
        <v>0.2791645282248223</v>
      </c>
      <c r="Z5106" s="11">
        <v>0.20384769398507166</v>
      </c>
    </row>
    <row r="5107" ht="22.5" customHeight="1">
      <c r="Q5107" s="9" t="s">
        <v>5145</v>
      </c>
      <c r="R5107" s="10">
        <v>0.7845222839507743</v>
      </c>
      <c r="S5107" s="10">
        <v>0.037290100006573186</v>
      </c>
      <c r="T5107" s="10">
        <v>19.965682146723555</v>
      </c>
      <c r="U5107" s="11">
        <v>0.15113516964547324</v>
      </c>
      <c r="V5107" s="11">
        <v>0.21664927465447137</v>
      </c>
      <c r="W5107" s="11">
        <v>0.273030604079289</v>
      </c>
      <c r="X5107" s="11">
        <v>0.08533861671249605</v>
      </c>
      <c r="Y5107" s="11">
        <v>0.09579661507524619</v>
      </c>
      <c r="Z5107" s="11">
        <v>0.17804971983302403</v>
      </c>
    </row>
    <row r="5108" ht="22.5" customHeight="1">
      <c r="Q5108" s="9" t="s">
        <v>5146</v>
      </c>
      <c r="R5108" s="10">
        <v>1.1128125834873897</v>
      </c>
      <c r="S5108" s="10">
        <v>0.05373300059871356</v>
      </c>
      <c r="T5108" s="10">
        <v>19.965618363644374</v>
      </c>
      <c r="U5108" s="11">
        <v>0.04849107806950058</v>
      </c>
      <c r="V5108" s="11">
        <v>0.3886140267451774</v>
      </c>
      <c r="W5108" s="11">
        <v>0.33246800951450634</v>
      </c>
      <c r="X5108" s="11">
        <v>0.15110794455636892</v>
      </c>
      <c r="Y5108" s="11">
        <v>0.07671313576542324</v>
      </c>
      <c r="Z5108" s="11">
        <v>0.0026058053490236707</v>
      </c>
    </row>
    <row r="5109" ht="22.5" customHeight="1">
      <c r="Q5109" s="9" t="s">
        <v>5147</v>
      </c>
      <c r="R5109" s="10">
        <v>0.8578159658361113</v>
      </c>
      <c r="S5109" s="10">
        <v>0.04096252217606196</v>
      </c>
      <c r="T5109" s="10">
        <v>19.964980728506845</v>
      </c>
      <c r="U5109" s="11">
        <v>0.012215262740327096</v>
      </c>
      <c r="V5109" s="11">
        <v>0.32224091954309875</v>
      </c>
      <c r="W5109" s="11">
        <v>0.21347048869771695</v>
      </c>
      <c r="X5109" s="11">
        <v>0.04434438338585227</v>
      </c>
      <c r="Y5109" s="11">
        <v>0.31062709403429617</v>
      </c>
      <c r="Z5109" s="11">
        <v>0.09710185159870875</v>
      </c>
    </row>
    <row r="5110" ht="22.5" customHeight="1">
      <c r="Q5110" s="9" t="s">
        <v>5148</v>
      </c>
      <c r="R5110" s="10">
        <v>0.6193258857802771</v>
      </c>
      <c r="S5110" s="10">
        <v>0.02901740027716377</v>
      </c>
      <c r="T5110" s="10">
        <v>19.964775625892212</v>
      </c>
      <c r="U5110" s="11">
        <v>0.19542074015753055</v>
      </c>
      <c r="V5110" s="11">
        <v>0.14382165940946887</v>
      </c>
      <c r="W5110" s="11">
        <v>0.211450123622702</v>
      </c>
      <c r="X5110" s="11">
        <v>0.03749219614916229</v>
      </c>
      <c r="Y5110" s="11">
        <v>0.37388276861541975</v>
      </c>
      <c r="Z5110" s="11">
        <v>0.03793251204571653</v>
      </c>
    </row>
    <row r="5111" ht="22.5" customHeight="1">
      <c r="Q5111" s="9" t="s">
        <v>5149</v>
      </c>
      <c r="R5111" s="10">
        <v>0.6675252493271351</v>
      </c>
      <c r="S5111" s="10">
        <v>0.03143181363896487</v>
      </c>
      <c r="T5111" s="10">
        <v>19.96465290024547</v>
      </c>
      <c r="U5111" s="11">
        <v>0.22901240506105663</v>
      </c>
      <c r="V5111" s="11">
        <v>0.26868652382656477</v>
      </c>
      <c r="W5111" s="11">
        <v>0.12682767368275552</v>
      </c>
      <c r="X5111" s="11">
        <v>0.08210394529979587</v>
      </c>
      <c r="Y5111" s="11">
        <v>0.11794694030145113</v>
      </c>
      <c r="Z5111" s="11">
        <v>0.17542251182837623</v>
      </c>
    </row>
    <row r="5112" ht="22.5" customHeight="1">
      <c r="Q5112" s="9" t="s">
        <v>5150</v>
      </c>
      <c r="R5112" s="10">
        <v>0.9779769352270603</v>
      </c>
      <c r="S5112" s="10">
        <v>0.046982147026950645</v>
      </c>
      <c r="T5112" s="10">
        <v>19.964539608822115</v>
      </c>
      <c r="U5112" s="11">
        <v>0.021177335217226773</v>
      </c>
      <c r="V5112" s="11">
        <v>0.39560855329638256</v>
      </c>
      <c r="W5112" s="11">
        <v>0.21341972189308092</v>
      </c>
      <c r="X5112" s="11">
        <v>0.2917288834332367</v>
      </c>
      <c r="Y5112" s="11">
        <v>0.00973762345232324</v>
      </c>
      <c r="Z5112" s="11">
        <v>0.06832788270774968</v>
      </c>
    </row>
    <row r="5113" ht="22.5" customHeight="1">
      <c r="Q5113" s="9" t="s">
        <v>5151</v>
      </c>
      <c r="R5113" s="10">
        <v>0.6189627320981713</v>
      </c>
      <c r="S5113" s="10">
        <v>0.029000805054082875</v>
      </c>
      <c r="T5113" s="10">
        <v>19.96367793992195</v>
      </c>
      <c r="U5113" s="11">
        <v>0.04883258581018488</v>
      </c>
      <c r="V5113" s="11">
        <v>0.2509567672560023</v>
      </c>
      <c r="W5113" s="11">
        <v>0.1110554079725035</v>
      </c>
      <c r="X5113" s="11">
        <v>0.11086993433288378</v>
      </c>
      <c r="Y5113" s="11">
        <v>0.18032629685189508</v>
      </c>
      <c r="Z5113" s="11">
        <v>0.2979590077765305</v>
      </c>
    </row>
    <row r="5114" ht="22.5" customHeight="1">
      <c r="Q5114" s="9" t="s">
        <v>5152</v>
      </c>
      <c r="R5114" s="10">
        <v>0.5849930639434353</v>
      </c>
      <c r="S5114" s="10">
        <v>0.027299911584585564</v>
      </c>
      <c r="T5114" s="10">
        <v>19.96318054931564</v>
      </c>
      <c r="U5114" s="11">
        <v>0.18327887489640657</v>
      </c>
      <c r="V5114" s="11">
        <v>0.24017008684131566</v>
      </c>
      <c r="W5114" s="11">
        <v>0.07721643634580407</v>
      </c>
      <c r="X5114" s="11">
        <v>0.1793502213724188</v>
      </c>
      <c r="Y5114" s="11">
        <v>0.2306383921090056</v>
      </c>
      <c r="Z5114" s="11">
        <v>0.08934598843504928</v>
      </c>
    </row>
    <row r="5115" ht="22.5" customHeight="1">
      <c r="Q5115" s="9" t="s">
        <v>5153</v>
      </c>
      <c r="R5115" s="10">
        <v>0.8537483966096608</v>
      </c>
      <c r="S5115" s="10">
        <v>0.04076323550405794</v>
      </c>
      <c r="T5115" s="10">
        <v>19.962801935304004</v>
      </c>
      <c r="U5115" s="11">
        <v>0.0798140034299811</v>
      </c>
      <c r="V5115" s="11">
        <v>0.23208906068233903</v>
      </c>
      <c r="W5115" s="11">
        <v>0.30088258112898847</v>
      </c>
      <c r="X5115" s="11">
        <v>0.12301096522079964</v>
      </c>
      <c r="Y5115" s="11">
        <v>0.174480414193595</v>
      </c>
      <c r="Z5115" s="11">
        <v>0.08972297534429677</v>
      </c>
    </row>
    <row r="5116" ht="22.5" customHeight="1">
      <c r="Q5116" s="9" t="s">
        <v>5154</v>
      </c>
      <c r="R5116" s="10">
        <v>0.7849462671820155</v>
      </c>
      <c r="S5116" s="10">
        <v>0.03731790108146902</v>
      </c>
      <c r="T5116" s="10">
        <v>19.962169510973222</v>
      </c>
      <c r="U5116" s="11">
        <v>0.028039109155888295</v>
      </c>
      <c r="V5116" s="11">
        <v>0.23146687594904955</v>
      </c>
      <c r="W5116" s="11">
        <v>0.2635458950674622</v>
      </c>
      <c r="X5116" s="11">
        <v>0.07374496207669005</v>
      </c>
      <c r="Y5116" s="11">
        <v>0.12971486156794504</v>
      </c>
      <c r="Z5116" s="11">
        <v>0.2734882961829649</v>
      </c>
    </row>
    <row r="5117" ht="22.5" customHeight="1">
      <c r="Q5117" s="9" t="s">
        <v>5155</v>
      </c>
      <c r="R5117" s="10">
        <v>0.8563492239360155</v>
      </c>
      <c r="S5117" s="10">
        <v>0.040896665258888604</v>
      </c>
      <c r="T5117" s="10">
        <v>19.961266249173892</v>
      </c>
      <c r="U5117" s="11">
        <v>0.02612568609874028</v>
      </c>
      <c r="V5117" s="11">
        <v>0.24568766562456706</v>
      </c>
      <c r="W5117" s="11">
        <v>0.2952376740635271</v>
      </c>
      <c r="X5117" s="11">
        <v>0.12235300634925321</v>
      </c>
      <c r="Y5117" s="11">
        <v>0.12383704232442952</v>
      </c>
      <c r="Z5117" s="11">
        <v>0.1867589255394829</v>
      </c>
    </row>
    <row r="5118" ht="22.5" customHeight="1">
      <c r="Q5118" s="9" t="s">
        <v>5156</v>
      </c>
      <c r="R5118" s="10">
        <v>0.5211865295853714</v>
      </c>
      <c r="S5118" s="10">
        <v>0.024106075671150827</v>
      </c>
      <c r="T5118" s="10">
        <v>19.961213768246648</v>
      </c>
      <c r="U5118" s="11">
        <v>0.14802885213198472</v>
      </c>
      <c r="V5118" s="11">
        <v>0.2131503723374531</v>
      </c>
      <c r="W5118" s="11">
        <v>0.06362646098054693</v>
      </c>
      <c r="X5118" s="11">
        <v>0.17492669823462734</v>
      </c>
      <c r="Y5118" s="11">
        <v>0.19608917549856944</v>
      </c>
      <c r="Z5118" s="11">
        <v>0.20417844081681855</v>
      </c>
    </row>
    <row r="5119" ht="22.5" customHeight="1">
      <c r="Q5119" s="9" t="s">
        <v>5157</v>
      </c>
      <c r="R5119" s="10">
        <v>0.3374306512170981</v>
      </c>
      <c r="S5119" s="10">
        <v>0.0149004396896873</v>
      </c>
      <c r="T5119" s="10">
        <v>19.961199629763406</v>
      </c>
      <c r="U5119" s="11">
        <v>0.20827313573925665</v>
      </c>
      <c r="V5119" s="11">
        <v>0.1211820585906559</v>
      </c>
      <c r="W5119" s="11">
        <v>0.015038078843752637</v>
      </c>
      <c r="X5119" s="11">
        <v>0.25808331299869364</v>
      </c>
      <c r="Y5119" s="11">
        <v>0.1334268949403543</v>
      </c>
      <c r="Z5119" s="11">
        <v>0.26399651888728687</v>
      </c>
    </row>
    <row r="5120" ht="22.5" customHeight="1">
      <c r="Q5120" s="9" t="s">
        <v>5158</v>
      </c>
      <c r="R5120" s="10">
        <v>0.643605622673874</v>
      </c>
      <c r="S5120" s="10">
        <v>0.03024005282971956</v>
      </c>
      <c r="T5120" s="10">
        <v>19.960468524071413</v>
      </c>
      <c r="U5120" s="11">
        <v>0.14691137782663566</v>
      </c>
      <c r="V5120" s="11">
        <v>0.25669019015129324</v>
      </c>
      <c r="W5120" s="11">
        <v>0.12707983707282514</v>
      </c>
      <c r="X5120" s="11">
        <v>0.06323308920918558</v>
      </c>
      <c r="Y5120" s="11">
        <v>0.14130128266616482</v>
      </c>
      <c r="Z5120" s="11">
        <v>0.2647842230738957</v>
      </c>
    </row>
    <row r="5121" ht="22.5" customHeight="1">
      <c r="Q5121" s="9" t="s">
        <v>5159</v>
      </c>
      <c r="R5121" s="10">
        <v>0.4036697732221519</v>
      </c>
      <c r="S5121" s="10">
        <v>0.018219517152616573</v>
      </c>
      <c r="T5121" s="10">
        <v>19.960450662652384</v>
      </c>
      <c r="U5121" s="11">
        <v>0.34082663970148414</v>
      </c>
      <c r="V5121" s="11">
        <v>0.1419837277927078</v>
      </c>
      <c r="W5121" s="11">
        <v>0.03995110812949138</v>
      </c>
      <c r="X5121" s="11">
        <v>0.12392105583681184</v>
      </c>
      <c r="Y5121" s="11">
        <v>0.30774617810266586</v>
      </c>
      <c r="Z5121" s="11">
        <v>0.04557129043683907</v>
      </c>
    </row>
    <row r="5122" ht="22.5" customHeight="1">
      <c r="Q5122" s="9" t="s">
        <v>5160</v>
      </c>
      <c r="R5122" s="10">
        <v>0.6627094759298159</v>
      </c>
      <c r="S5122" s="10">
        <v>0.03119762627697655</v>
      </c>
      <c r="T5122" s="10">
        <v>19.96015563496148</v>
      </c>
      <c r="U5122" s="11">
        <v>0.15216721670916164</v>
      </c>
      <c r="V5122" s="11">
        <v>0.27307005437672566</v>
      </c>
      <c r="W5122" s="11">
        <v>0.10356244029770283</v>
      </c>
      <c r="X5122" s="11">
        <v>0.16497774631614032</v>
      </c>
      <c r="Y5122" s="11">
        <v>0.23014924824806055</v>
      </c>
      <c r="Z5122" s="11">
        <v>0.07607329405220907</v>
      </c>
    </row>
    <row r="5123" ht="22.5" customHeight="1">
      <c r="Q5123" s="9" t="s">
        <v>5161</v>
      </c>
      <c r="R5123" s="10">
        <v>0.5299066055843588</v>
      </c>
      <c r="S5123" s="10">
        <v>0.024544287736613737</v>
      </c>
      <c r="T5123" s="10">
        <v>19.960106842030893</v>
      </c>
      <c r="U5123" s="11">
        <v>0.23176826886659163</v>
      </c>
      <c r="V5123" s="11">
        <v>0.10057772330969979</v>
      </c>
      <c r="W5123" s="11">
        <v>0.1949018378727899</v>
      </c>
      <c r="X5123" s="11">
        <v>0.14279248531841005</v>
      </c>
      <c r="Y5123" s="11">
        <v>0.10123418414111353</v>
      </c>
      <c r="Z5123" s="11">
        <v>0.2287255004913952</v>
      </c>
    </row>
    <row r="5124" ht="22.5" customHeight="1">
      <c r="Q5124" s="9" t="s">
        <v>5162</v>
      </c>
      <c r="R5124" s="10">
        <v>0.6600438591863487</v>
      </c>
      <c r="S5124" s="10">
        <v>0.0310654469590406</v>
      </c>
      <c r="T5124" s="10">
        <v>19.95927694212379</v>
      </c>
      <c r="U5124" s="11">
        <v>0.010551666099561529</v>
      </c>
      <c r="V5124" s="11">
        <v>0.09808694791495044</v>
      </c>
      <c r="W5124" s="11">
        <v>0.25176279986952416</v>
      </c>
      <c r="X5124" s="11">
        <v>0.5574824361251268</v>
      </c>
      <c r="Y5124" s="11">
        <v>0.07630834365695524</v>
      </c>
      <c r="Z5124" s="11">
        <v>0.005807806333881904</v>
      </c>
    </row>
    <row r="5125" ht="22.5" customHeight="1">
      <c r="Q5125" s="9" t="s">
        <v>5163</v>
      </c>
      <c r="R5125" s="10">
        <v>0.522331348251574</v>
      </c>
      <c r="S5125" s="10">
        <v>0.01582809049641379</v>
      </c>
      <c r="T5125" s="10">
        <v>19.95927364548301</v>
      </c>
      <c r="U5125" s="11">
        <v>0.10184989916007339</v>
      </c>
      <c r="V5125" s="11">
        <v>0.12240541865669673</v>
      </c>
      <c r="W5125" s="11">
        <v>0.012613400771837561</v>
      </c>
      <c r="X5125" s="11">
        <v>0.32082486006536864</v>
      </c>
      <c r="Y5125" s="11">
        <v>0.29938430698462554</v>
      </c>
      <c r="Z5125" s="11">
        <v>0.142922114361398</v>
      </c>
    </row>
    <row r="5126" ht="22.5" customHeight="1">
      <c r="Q5126" s="9" t="s">
        <v>5164</v>
      </c>
      <c r="R5126" s="10">
        <v>0.522331348251574</v>
      </c>
      <c r="S5126" s="10">
        <v>0.02731824991098775</v>
      </c>
      <c r="T5126" s="10">
        <v>19.95926552972194</v>
      </c>
      <c r="U5126" s="11">
        <v>0.2789786903011184</v>
      </c>
      <c r="V5126" s="11">
        <v>0.12905324368409993</v>
      </c>
      <c r="W5126" s="11">
        <v>0.21021710236082913</v>
      </c>
      <c r="X5126" s="11">
        <v>0.0770906210840311</v>
      </c>
      <c r="Y5126" s="11">
        <v>0.12540832416347764</v>
      </c>
      <c r="Z5126" s="11">
        <v>0.17925201840644378</v>
      </c>
    </row>
    <row r="5127" ht="22.5" customHeight="1">
      <c r="Q5127" s="9" t="s">
        <v>5165</v>
      </c>
      <c r="R5127" s="10">
        <v>0.49640641440021693</v>
      </c>
      <c r="S5127" s="10">
        <v>0.022867761179080046</v>
      </c>
      <c r="T5127" s="10">
        <v>19.958508873083215</v>
      </c>
      <c r="U5127" s="11">
        <v>0.30946134168057715</v>
      </c>
      <c r="V5127" s="11">
        <v>0.10293799893277836</v>
      </c>
      <c r="W5127" s="11">
        <v>0.16662754510704095</v>
      </c>
      <c r="X5127" s="11">
        <v>0.02661706953486791</v>
      </c>
      <c r="Y5127" s="11">
        <v>0.2710681161655469</v>
      </c>
      <c r="Z5127" s="11">
        <v>0.12328792857918876</v>
      </c>
    </row>
    <row r="5128" ht="22.5" customHeight="1">
      <c r="Q5128" s="9" t="s">
        <v>5166</v>
      </c>
      <c r="R5128" s="10">
        <v>0.7353599088411026</v>
      </c>
      <c r="S5128" s="10">
        <v>0.03484047638341057</v>
      </c>
      <c r="T5128" s="10">
        <v>19.95839268065235</v>
      </c>
      <c r="U5128" s="11">
        <v>0.2796595639852943</v>
      </c>
      <c r="V5128" s="11">
        <v>0.22481284182882683</v>
      </c>
      <c r="W5128" s="11">
        <v>0.2362656990048015</v>
      </c>
      <c r="X5128" s="11">
        <v>0.008311734078205997</v>
      </c>
      <c r="Y5128" s="11">
        <v>0.031654424919295855</v>
      </c>
      <c r="Z5128" s="11">
        <v>0.2192957361835756</v>
      </c>
    </row>
    <row r="5129" ht="22.5" customHeight="1">
      <c r="Q5129" s="9" t="s">
        <v>5167</v>
      </c>
      <c r="R5129" s="10">
        <v>0.5546321025680698</v>
      </c>
      <c r="S5129" s="10">
        <v>0.025785270422502757</v>
      </c>
      <c r="T5129" s="10">
        <v>19.95837523266583</v>
      </c>
      <c r="U5129" s="11">
        <v>0.32367133334624193</v>
      </c>
      <c r="V5129" s="11">
        <v>0.22433824501442884</v>
      </c>
      <c r="W5129" s="11">
        <v>0.07765577342536198</v>
      </c>
      <c r="X5129" s="11">
        <v>0.12971096667840223</v>
      </c>
      <c r="Y5129" s="11">
        <v>0.13265802506339075</v>
      </c>
      <c r="Z5129" s="11">
        <v>0.11196565647217413</v>
      </c>
    </row>
    <row r="5130" ht="22.5" customHeight="1">
      <c r="Q5130" s="9" t="s">
        <v>5168</v>
      </c>
      <c r="R5130" s="10">
        <v>0.7483195440036966</v>
      </c>
      <c r="S5130" s="10">
        <v>0.035489923631027744</v>
      </c>
      <c r="T5130" s="10">
        <v>19.958328210783602</v>
      </c>
      <c r="U5130" s="11">
        <v>0.1041531646199639</v>
      </c>
      <c r="V5130" s="11">
        <v>0.19715286988696015</v>
      </c>
      <c r="W5130" s="11">
        <v>0.26317903911725576</v>
      </c>
      <c r="X5130" s="11">
        <v>0.07747765468948435</v>
      </c>
      <c r="Y5130" s="11">
        <v>0.1949563313667679</v>
      </c>
      <c r="Z5130" s="11">
        <v>0.1630809403195679</v>
      </c>
    </row>
    <row r="5131" ht="22.5" customHeight="1">
      <c r="Q5131" s="9" t="s">
        <v>5169</v>
      </c>
      <c r="R5131" s="10">
        <v>0.48962736405670393</v>
      </c>
      <c r="S5131" s="10">
        <v>0.0225287520299781</v>
      </c>
      <c r="T5131" s="10">
        <v>19.957934796317303</v>
      </c>
      <c r="U5131" s="11">
        <v>0.33121600062803036</v>
      </c>
      <c r="V5131" s="11">
        <v>0.19484923185512976</v>
      </c>
      <c r="W5131" s="11">
        <v>0.04326604000366216</v>
      </c>
      <c r="X5131" s="11">
        <v>0.23501121516542933</v>
      </c>
      <c r="Y5131" s="11">
        <v>0.17343538141336295</v>
      </c>
      <c r="Z5131" s="11">
        <v>0.022222130934385267</v>
      </c>
    </row>
    <row r="5132" ht="22.5" customHeight="1">
      <c r="Q5132" s="9" t="s">
        <v>5170</v>
      </c>
      <c r="R5132" s="10">
        <v>0.4790032345672938</v>
      </c>
      <c r="S5132" s="10">
        <v>0.0219966393926656</v>
      </c>
      <c r="T5132" s="10">
        <v>19.95774112265858</v>
      </c>
      <c r="U5132" s="11">
        <v>0.07735081445885442</v>
      </c>
      <c r="V5132" s="11">
        <v>0.057471280833232774</v>
      </c>
      <c r="W5132" s="11">
        <v>0.1696797133219769</v>
      </c>
      <c r="X5132" s="11">
        <v>0.3118954806673622</v>
      </c>
      <c r="Y5132" s="11">
        <v>0.35758746921880796</v>
      </c>
      <c r="Z5132" s="11">
        <v>0.026015241499765557</v>
      </c>
    </row>
    <row r="5133" ht="22.5" customHeight="1">
      <c r="Q5133" s="9" t="s">
        <v>5171</v>
      </c>
      <c r="R5133" s="10">
        <v>0.7053104856295753</v>
      </c>
      <c r="S5133" s="10">
        <v>0.033336470984952626</v>
      </c>
      <c r="T5133" s="10">
        <v>19.95743598444725</v>
      </c>
      <c r="U5133" s="11">
        <v>0.12925893868993932</v>
      </c>
      <c r="V5133" s="11">
        <v>0.27635629624728714</v>
      </c>
      <c r="W5133" s="11">
        <v>0.15343452596014193</v>
      </c>
      <c r="X5133" s="11">
        <v>0.03940485823860539</v>
      </c>
      <c r="Y5133" s="11">
        <v>0.17664848528549046</v>
      </c>
      <c r="Z5133" s="11">
        <v>0.22489689557853573</v>
      </c>
    </row>
    <row r="5134" ht="22.5" customHeight="1">
      <c r="Q5134" s="9" t="s">
        <v>5172</v>
      </c>
      <c r="R5134" s="10">
        <v>0.6294908355797793</v>
      </c>
      <c r="S5134" s="10">
        <v>0.029537563590431894</v>
      </c>
      <c r="T5134" s="10">
        <v>19.957327684627757</v>
      </c>
      <c r="U5134" s="11">
        <v>0.09909380411572104</v>
      </c>
      <c r="V5134" s="11">
        <v>0.26053413925318053</v>
      </c>
      <c r="W5134" s="11">
        <v>0.09243306234365288</v>
      </c>
      <c r="X5134" s="11">
        <v>0.18718256700063096</v>
      </c>
      <c r="Y5134" s="11">
        <v>0.22661313328152094</v>
      </c>
      <c r="Z5134" s="11">
        <v>0.13414329400529362</v>
      </c>
    </row>
    <row r="5135" ht="22.5" customHeight="1">
      <c r="Q5135" s="9" t="s">
        <v>5173</v>
      </c>
      <c r="R5135" s="10">
        <v>0.5283104231590934</v>
      </c>
      <c r="S5135" s="10">
        <v>0.024468213275291893</v>
      </c>
      <c r="T5135" s="10">
        <v>19.956930147089707</v>
      </c>
      <c r="U5135" s="11">
        <v>0.10932069284100619</v>
      </c>
      <c r="V5135" s="11">
        <v>0.08524715796980514</v>
      </c>
      <c r="W5135" s="11">
        <v>0.1892081559905723</v>
      </c>
      <c r="X5135" s="11">
        <v>0.19866042368043707</v>
      </c>
      <c r="Y5135" s="11">
        <v>0.37161540449830643</v>
      </c>
      <c r="Z5135" s="11">
        <v>0.04594816501987278</v>
      </c>
    </row>
    <row r="5136" ht="22.5" customHeight="1">
      <c r="Q5136" s="9" t="s">
        <v>5174</v>
      </c>
      <c r="R5136" s="10">
        <v>0.765910308961979</v>
      </c>
      <c r="S5136" s="10">
        <v>0.0363743162369888</v>
      </c>
      <c r="T5136" s="10">
        <v>19.956672291307722</v>
      </c>
      <c r="U5136" s="11">
        <v>0.08447105729274172</v>
      </c>
      <c r="V5136" s="11">
        <v>0.2892599474065588</v>
      </c>
      <c r="W5136" s="11">
        <v>0.17188305855678987</v>
      </c>
      <c r="X5136" s="11">
        <v>0.023057813493727684</v>
      </c>
      <c r="Y5136" s="11">
        <v>0.4122959184425888</v>
      </c>
      <c r="Z5136" s="11">
        <v>0.01903220480759326</v>
      </c>
    </row>
    <row r="5137" ht="22.5" customHeight="1">
      <c r="Q5137" s="9" t="s">
        <v>5175</v>
      </c>
      <c r="R5137" s="10">
        <v>0.796101427963045</v>
      </c>
      <c r="S5137" s="10">
        <v>0.03788771435651798</v>
      </c>
      <c r="T5137" s="10">
        <v>19.956374798654743</v>
      </c>
      <c r="U5137" s="11">
        <v>0.04950689631660465</v>
      </c>
      <c r="V5137" s="11">
        <v>0.31783676087681717</v>
      </c>
      <c r="W5137" s="11">
        <v>0.17104081516788625</v>
      </c>
      <c r="X5137" s="11">
        <v>0.10677737668872701</v>
      </c>
      <c r="Y5137" s="11">
        <v>0.19086873121364983</v>
      </c>
      <c r="Z5137" s="11">
        <v>0.16396941973631501</v>
      </c>
    </row>
    <row r="5138" ht="22.5" customHeight="1">
      <c r="Q5138" s="9" t="s">
        <v>5176</v>
      </c>
      <c r="R5138" s="10">
        <v>0.30994578977201</v>
      </c>
      <c r="S5138" s="10">
        <v>0.013526817867251061</v>
      </c>
      <c r="T5138" s="10">
        <v>19.956340982867744</v>
      </c>
      <c r="U5138" s="11">
        <v>0.3115162423401712</v>
      </c>
      <c r="V5138" s="11">
        <v>0.08347436917326803</v>
      </c>
      <c r="W5138" s="11">
        <v>0.0455112506551795</v>
      </c>
      <c r="X5138" s="11">
        <v>0.057300585146930115</v>
      </c>
      <c r="Y5138" s="11">
        <v>0.27133474905076216</v>
      </c>
      <c r="Z5138" s="11">
        <v>0.23086280363368883</v>
      </c>
    </row>
    <row r="5139" ht="22.5" customHeight="1">
      <c r="Q5139" s="9" t="s">
        <v>5177</v>
      </c>
      <c r="R5139" s="10">
        <v>0.6072072599621807</v>
      </c>
      <c r="S5139" s="10">
        <v>0.028422845498513618</v>
      </c>
      <c r="T5139" s="10">
        <v>19.95603360655227</v>
      </c>
      <c r="U5139" s="11">
        <v>0.056887650383794036</v>
      </c>
      <c r="V5139" s="11">
        <v>0.11234056577835565</v>
      </c>
      <c r="W5139" s="11">
        <v>0.22904800253321114</v>
      </c>
      <c r="X5139" s="11">
        <v>0.24124962540608252</v>
      </c>
      <c r="Y5139" s="11">
        <v>0.19376823108403968</v>
      </c>
      <c r="Z5139" s="11">
        <v>0.16670592481451707</v>
      </c>
    </row>
    <row r="5140" ht="22.5" customHeight="1">
      <c r="Q5140" s="9" t="s">
        <v>5178</v>
      </c>
      <c r="R5140" s="10">
        <v>0.5973232135770324</v>
      </c>
      <c r="S5140" s="10">
        <v>0.02792757919675571</v>
      </c>
      <c r="T5140" s="10">
        <v>19.956015866988412</v>
      </c>
      <c r="U5140" s="11">
        <v>0.04956254281268439</v>
      </c>
      <c r="V5140" s="11">
        <v>0.10477912786937807</v>
      </c>
      <c r="W5140" s="11">
        <v>0.22534912405185373</v>
      </c>
      <c r="X5140" s="11">
        <v>0.2604016550299824</v>
      </c>
      <c r="Y5140" s="11">
        <v>0.2237457216485928</v>
      </c>
      <c r="Z5140" s="11">
        <v>0.13616182858750853</v>
      </c>
    </row>
    <row r="5141" ht="22.5" customHeight="1">
      <c r="Q5141" s="9" t="s">
        <v>5179</v>
      </c>
      <c r="R5141" s="10">
        <v>0.6440011364756095</v>
      </c>
      <c r="S5141" s="10">
        <v>0.030267282867045175</v>
      </c>
      <c r="T5141" s="10">
        <v>19.955578408831737</v>
      </c>
      <c r="U5141" s="11">
        <v>0.001426415133293755</v>
      </c>
      <c r="V5141" s="11">
        <v>0.2685368472335411</v>
      </c>
      <c r="W5141" s="11">
        <v>0.09485716398776338</v>
      </c>
      <c r="X5141" s="11">
        <v>0.2406856177496513</v>
      </c>
      <c r="Y5141" s="11">
        <v>0.19952983931281748</v>
      </c>
      <c r="Z5141" s="11">
        <v>0.19496411658293294</v>
      </c>
    </row>
    <row r="5142" ht="22.5" customHeight="1">
      <c r="Q5142" s="9" t="s">
        <v>5180</v>
      </c>
      <c r="R5142" s="10">
        <v>0.480286053915989</v>
      </c>
      <c r="S5142" s="10">
        <v>0.022063690812297875</v>
      </c>
      <c r="T5142" s="10">
        <v>19.955231319257887</v>
      </c>
      <c r="U5142" s="11">
        <v>0.5380025214228642</v>
      </c>
      <c r="V5142" s="11">
        <v>0.09193837285822788</v>
      </c>
      <c r="W5142" s="11">
        <v>0.16232033585869257</v>
      </c>
      <c r="X5142" s="11">
        <v>0.10375712717579572</v>
      </c>
      <c r="Y5142" s="11">
        <v>0.014958944874948931</v>
      </c>
      <c r="Z5142" s="11">
        <v>0.08902269780947089</v>
      </c>
    </row>
    <row r="5143" ht="22.5" customHeight="1">
      <c r="Q5143" s="9" t="s">
        <v>5181</v>
      </c>
      <c r="R5143" s="10">
        <v>0.5455118654315033</v>
      </c>
      <c r="S5143" s="10">
        <v>0.0253325935345392</v>
      </c>
      <c r="T5143" s="10">
        <v>19.954998478236092</v>
      </c>
      <c r="U5143" s="11">
        <v>0.05767275770573671</v>
      </c>
      <c r="V5143" s="11">
        <v>0.08337098552614511</v>
      </c>
      <c r="W5143" s="11">
        <v>0.20463347209893895</v>
      </c>
      <c r="X5143" s="11">
        <v>0.2843116276938206</v>
      </c>
      <c r="Y5143" s="11">
        <v>0.24279845187152924</v>
      </c>
      <c r="Z5143" s="11">
        <v>0.1272127051038294</v>
      </c>
    </row>
    <row r="5144" ht="22.5" customHeight="1">
      <c r="Q5144" s="9" t="s">
        <v>5182</v>
      </c>
      <c r="R5144" s="10">
        <v>0.8891205278617516</v>
      </c>
      <c r="S5144" s="10">
        <v>0.042553524845861314</v>
      </c>
      <c r="T5144" s="10">
        <v>19.95417608617528</v>
      </c>
      <c r="U5144" s="11">
        <v>0.25294237677045667</v>
      </c>
      <c r="V5144" s="11">
        <v>0.23901769977685133</v>
      </c>
      <c r="W5144" s="11">
        <v>0.31722802345088863</v>
      </c>
      <c r="X5144" s="11">
        <v>0.15941678832321454</v>
      </c>
      <c r="Y5144" s="11">
        <v>0.012692194813667798</v>
      </c>
      <c r="Z5144" s="11">
        <v>0.018702916864921194</v>
      </c>
    </row>
    <row r="5145" ht="22.5" customHeight="1">
      <c r="Q5145" s="9" t="s">
        <v>5183</v>
      </c>
      <c r="R5145" s="10">
        <v>0.9300961503808935</v>
      </c>
      <c r="S5145" s="10">
        <v>0.0446070696461596</v>
      </c>
      <c r="T5145" s="10">
        <v>19.954149811710966</v>
      </c>
      <c r="U5145" s="11">
        <v>0.07893483424109612</v>
      </c>
      <c r="V5145" s="11">
        <v>0.3193464602894571</v>
      </c>
      <c r="W5145" s="11">
        <v>0.27938469746164124</v>
      </c>
      <c r="X5145" s="11">
        <v>0.06108871730026258</v>
      </c>
      <c r="Y5145" s="11">
        <v>0.09876523822942698</v>
      </c>
      <c r="Z5145" s="11">
        <v>0.162480052478116</v>
      </c>
    </row>
    <row r="5146" ht="22.5" customHeight="1">
      <c r="Q5146" s="9" t="s">
        <v>5184</v>
      </c>
      <c r="R5146" s="10">
        <v>0.6391673535372794</v>
      </c>
      <c r="S5146" s="10">
        <v>0.03002727497124205</v>
      </c>
      <c r="T5146" s="10">
        <v>19.954103531243458</v>
      </c>
      <c r="U5146" s="11">
        <v>0.11692333722313064</v>
      </c>
      <c r="V5146" s="11">
        <v>0.12862658894788648</v>
      </c>
      <c r="W5146" s="11">
        <v>0.2415449092204767</v>
      </c>
      <c r="X5146" s="11">
        <v>0.23940541784480188</v>
      </c>
      <c r="Y5146" s="11">
        <v>0.06986141614454792</v>
      </c>
      <c r="Z5146" s="11">
        <v>0.2036383306191563</v>
      </c>
    </row>
    <row r="5147" ht="22.5" customHeight="1">
      <c r="Q5147" s="9" t="s">
        <v>5185</v>
      </c>
      <c r="R5147" s="10">
        <v>0.7633606237032479</v>
      </c>
      <c r="S5147" s="10">
        <v>0.03625146683601475</v>
      </c>
      <c r="T5147" s="10">
        <v>19.953968400103765</v>
      </c>
      <c r="U5147" s="11">
        <v>0.3492067373213434</v>
      </c>
      <c r="V5147" s="11">
        <v>0.21399820528422459</v>
      </c>
      <c r="W5147" s="11">
        <v>0.2581683810340181</v>
      </c>
      <c r="X5147" s="11">
        <v>0.015530925297649538</v>
      </c>
      <c r="Y5147" s="11">
        <v>0.1043768453451539</v>
      </c>
      <c r="Z5147" s="11">
        <v>0.05871890571761038</v>
      </c>
    </row>
    <row r="5148" ht="22.5" customHeight="1">
      <c r="Q5148" s="9" t="s">
        <v>5186</v>
      </c>
      <c r="R5148" s="10">
        <v>0.44229518675476953</v>
      </c>
      <c r="S5148" s="10">
        <v>0.0201612172441552</v>
      </c>
      <c r="T5148" s="10">
        <v>19.953913589785664</v>
      </c>
      <c r="U5148" s="11">
        <v>0.1573625330868817</v>
      </c>
      <c r="V5148" s="11">
        <v>0.06115660215402885</v>
      </c>
      <c r="W5148" s="11">
        <v>0.15353431875471713</v>
      </c>
      <c r="X5148" s="11">
        <v>0.18333513082741176</v>
      </c>
      <c r="Y5148" s="11">
        <v>0.33139547173886474</v>
      </c>
      <c r="Z5148" s="11">
        <v>0.11321594343809603</v>
      </c>
    </row>
    <row r="5149" ht="22.5" customHeight="1">
      <c r="Q5149" s="9" t="s">
        <v>5187</v>
      </c>
      <c r="R5149" s="10">
        <v>0.8443788576600024</v>
      </c>
      <c r="S5149" s="10">
        <v>0.04031211234370628</v>
      </c>
      <c r="T5149" s="10">
        <v>19.953775947084196</v>
      </c>
      <c r="U5149" s="11">
        <v>0.1485199609999576</v>
      </c>
      <c r="V5149" s="11">
        <v>0.3487612884368286</v>
      </c>
      <c r="W5149" s="11">
        <v>0.16223910010151701</v>
      </c>
      <c r="X5149" s="11">
        <v>0.24924768061488034</v>
      </c>
      <c r="Y5149" s="11">
        <v>0.019685847191977204</v>
      </c>
      <c r="Z5149" s="11">
        <v>0.07154612265483927</v>
      </c>
    </row>
    <row r="5150" ht="22.5" customHeight="1">
      <c r="Q5150" s="9" t="s">
        <v>5188</v>
      </c>
      <c r="R5150" s="10">
        <v>0.8778707077075741</v>
      </c>
      <c r="S5150" s="10">
        <v>0.041991271647844504</v>
      </c>
      <c r="T5150" s="10">
        <v>19.953449248555533</v>
      </c>
      <c r="U5150" s="11">
        <v>0.0450660785001501</v>
      </c>
      <c r="V5150" s="11">
        <v>0.3090114091430965</v>
      </c>
      <c r="W5150" s="11">
        <v>0.24525812840727448</v>
      </c>
      <c r="X5150" s="11">
        <v>0.004488966413967849</v>
      </c>
      <c r="Y5150" s="11">
        <v>0.31623125695413973</v>
      </c>
      <c r="Z5150" s="11">
        <v>0.07994416058137128</v>
      </c>
    </row>
    <row r="5151" ht="22.5" customHeight="1">
      <c r="Q5151" s="9" t="s">
        <v>5189</v>
      </c>
      <c r="R5151" s="10">
        <v>0.8800844366879504</v>
      </c>
      <c r="S5151" s="10">
        <v>0.04210265350626492</v>
      </c>
      <c r="T5151" s="10">
        <v>19.95324205784191</v>
      </c>
      <c r="U5151" s="11">
        <v>0.24307358977045887</v>
      </c>
      <c r="V5151" s="11">
        <v>0.31791474097542083</v>
      </c>
      <c r="W5151" s="11">
        <v>0.24412694935551366</v>
      </c>
      <c r="X5151" s="11">
        <v>0.04665009492335294</v>
      </c>
      <c r="Y5151" s="11">
        <v>0.002343867193448316</v>
      </c>
      <c r="Z5151" s="11">
        <v>0.14589075778180544</v>
      </c>
    </row>
    <row r="5152" ht="22.5" customHeight="1">
      <c r="Q5152" s="9" t="s">
        <v>5190</v>
      </c>
      <c r="R5152" s="10">
        <v>0.6352323453765543</v>
      </c>
      <c r="S5152" s="10">
        <v>0.029831483728300988</v>
      </c>
      <c r="T5152" s="10">
        <v>19.953159246043807</v>
      </c>
      <c r="U5152" s="11">
        <v>0.1480554437435871</v>
      </c>
      <c r="V5152" s="11">
        <v>0.1465910522001747</v>
      </c>
      <c r="W5152" s="11">
        <v>0.23017133884688493</v>
      </c>
      <c r="X5152" s="11">
        <v>0.10001473968086565</v>
      </c>
      <c r="Y5152" s="11">
        <v>0.1594752325685791</v>
      </c>
      <c r="Z5152" s="11">
        <v>0.2156921929599085</v>
      </c>
    </row>
    <row r="5153" ht="22.5" customHeight="1">
      <c r="Q5153" s="9" t="s">
        <v>5191</v>
      </c>
      <c r="R5153" s="10">
        <v>0.6898205101975612</v>
      </c>
      <c r="S5153" s="10">
        <v>0.032567324471098814</v>
      </c>
      <c r="T5153" s="10">
        <v>19.953143856635528</v>
      </c>
      <c r="U5153" s="11">
        <v>0.25721747920119215</v>
      </c>
      <c r="V5153" s="11">
        <v>0.13116586987648046</v>
      </c>
      <c r="W5153" s="11">
        <v>0.2637383035867448</v>
      </c>
      <c r="X5153" s="11">
        <v>0.2794535315889158</v>
      </c>
      <c r="Y5153" s="11">
        <v>0.0625493328544742</v>
      </c>
      <c r="Z5153" s="11">
        <v>0.00587548289219265</v>
      </c>
    </row>
    <row r="5154" ht="22.5" customHeight="1">
      <c r="Q5154" s="9" t="s">
        <v>5192</v>
      </c>
      <c r="R5154" s="10">
        <v>0.42334123834196463</v>
      </c>
      <c r="S5154" s="10">
        <v>0.019212170945261994</v>
      </c>
      <c r="T5154" s="10">
        <v>19.953041196341335</v>
      </c>
      <c r="U5154" s="11">
        <v>0.16285122016052295</v>
      </c>
      <c r="V5154" s="11">
        <v>0.16845725872389036</v>
      </c>
      <c r="W5154" s="11">
        <v>0.034134522725833547</v>
      </c>
      <c r="X5154" s="11">
        <v>0.28337803287832103</v>
      </c>
      <c r="Y5154" s="11">
        <v>0.046476709383311894</v>
      </c>
      <c r="Z5154" s="11">
        <v>0.3047022561281203</v>
      </c>
    </row>
    <row r="5155" ht="22.5" customHeight="1">
      <c r="Q5155" s="9" t="s">
        <v>5193</v>
      </c>
      <c r="R5155" s="10">
        <v>0.522331348251574</v>
      </c>
      <c r="S5155" s="10">
        <v>0.02536044616365553</v>
      </c>
      <c r="T5155" s="10">
        <v>19.95257793325949</v>
      </c>
      <c r="U5155" s="11">
        <v>0.2655907959719822</v>
      </c>
      <c r="V5155" s="11">
        <v>0.21993690177261088</v>
      </c>
      <c r="W5155" s="11">
        <v>0.08702777803295783</v>
      </c>
      <c r="X5155" s="11">
        <v>0.1022799606733202</v>
      </c>
      <c r="Y5155" s="11">
        <v>0.0741936620108507</v>
      </c>
      <c r="Z5155" s="11">
        <v>0.2509709015382781</v>
      </c>
    </row>
    <row r="5156" ht="22.5" customHeight="1">
      <c r="Q5156" s="9" t="s">
        <v>5194</v>
      </c>
      <c r="R5156" s="10">
        <v>0.7601157113479537</v>
      </c>
      <c r="S5156" s="10">
        <v>0.0360924668875464</v>
      </c>
      <c r="T5156" s="10">
        <v>19.951967084755502</v>
      </c>
      <c r="U5156" s="11">
        <v>0.18129752683300068</v>
      </c>
      <c r="V5156" s="11">
        <v>0.2139419476361526</v>
      </c>
      <c r="W5156" s="11">
        <v>0.26209392439787194</v>
      </c>
      <c r="X5156" s="11">
        <v>0.09335126809770417</v>
      </c>
      <c r="Y5156" s="11">
        <v>0.0014811902621931613</v>
      </c>
      <c r="Z5156" s="11">
        <v>0.24783414277307753</v>
      </c>
    </row>
    <row r="5157" ht="22.5" customHeight="1">
      <c r="Q5157" s="9" t="s">
        <v>5195</v>
      </c>
      <c r="R5157" s="10">
        <v>0.27489355027273993</v>
      </c>
      <c r="S5157" s="10">
        <v>0.011773031163509971</v>
      </c>
      <c r="T5157" s="10">
        <v>19.951832880624906</v>
      </c>
      <c r="U5157" s="11">
        <v>0.28174920353532823</v>
      </c>
      <c r="V5157" s="11">
        <v>0.07918961794151577</v>
      </c>
      <c r="W5157" s="11">
        <v>0.013751129881199723</v>
      </c>
      <c r="X5157" s="11">
        <v>0.27855502462567316</v>
      </c>
      <c r="Y5157" s="11">
        <v>0.03210330155663183</v>
      </c>
      <c r="Z5157" s="11">
        <v>0.31465172245965123</v>
      </c>
    </row>
    <row r="5158" ht="22.5" customHeight="1">
      <c r="Q5158" s="9" t="s">
        <v>5196</v>
      </c>
      <c r="R5158" s="10">
        <v>0.8555209389952004</v>
      </c>
      <c r="S5158" s="10">
        <v>0.04087510975669252</v>
      </c>
      <c r="T5158" s="10">
        <v>19.951529031959954</v>
      </c>
      <c r="U5158" s="11">
        <v>0.03760899773721028</v>
      </c>
      <c r="V5158" s="11">
        <v>0.273653932125255</v>
      </c>
      <c r="W5158" s="11">
        <v>0.27070120795240243</v>
      </c>
      <c r="X5158" s="11">
        <v>0.03036505126852567</v>
      </c>
      <c r="Y5158" s="11">
        <v>0.20912247650997565</v>
      </c>
      <c r="Z5158" s="11">
        <v>0.17854833440663098</v>
      </c>
    </row>
    <row r="5159" ht="22.5" customHeight="1">
      <c r="Q5159" s="9" t="s">
        <v>5197</v>
      </c>
      <c r="R5159" s="10">
        <v>0.913266776747114</v>
      </c>
      <c r="S5159" s="10">
        <v>0.043772575912973025</v>
      </c>
      <c r="T5159" s="10">
        <v>19.950088806363826</v>
      </c>
      <c r="U5159" s="11">
        <v>0.182318705844667</v>
      </c>
      <c r="V5159" s="11">
        <v>0.32108550116013207</v>
      </c>
      <c r="W5159" s="11">
        <v>0.2649268987195153</v>
      </c>
      <c r="X5159" s="11">
        <v>0.037744004314931856</v>
      </c>
      <c r="Y5159" s="11">
        <v>0.06790990713605943</v>
      </c>
      <c r="Z5159" s="11">
        <v>0.12601498282469434</v>
      </c>
    </row>
    <row r="5160" ht="22.5" customHeight="1">
      <c r="Q5160" s="9" t="s">
        <v>5198</v>
      </c>
      <c r="R5160" s="10">
        <v>0.6291446165136305</v>
      </c>
      <c r="S5160" s="10">
        <v>0.029530989728690296</v>
      </c>
      <c r="T5160" s="10">
        <v>19.950046440240293</v>
      </c>
      <c r="U5160" s="11">
        <v>0.06500566563457792</v>
      </c>
      <c r="V5160" s="11">
        <v>0.1128798441799005</v>
      </c>
      <c r="W5160" s="11">
        <v>0.2351022945474713</v>
      </c>
      <c r="X5160" s="11">
        <v>0.24724843809638392</v>
      </c>
      <c r="Y5160" s="11">
        <v>0.30701547027653586</v>
      </c>
      <c r="Z5160" s="11">
        <v>0.03274828726513054</v>
      </c>
    </row>
    <row r="5161" ht="22.5" customHeight="1">
      <c r="Q5161" s="9" t="s">
        <v>5199</v>
      </c>
      <c r="R5161" s="10">
        <v>0.522331348251574</v>
      </c>
      <c r="S5161" s="10">
        <v>0.030405186980430886</v>
      </c>
      <c r="T5161" s="10">
        <v>19.949106938858645</v>
      </c>
      <c r="U5161" s="11">
        <v>0.07699240287124315</v>
      </c>
      <c r="V5161" s="11">
        <v>0.2678577464292931</v>
      </c>
      <c r="W5161" s="11">
        <v>0.09721384566160779</v>
      </c>
      <c r="X5161" s="11">
        <v>0.19137338038628662</v>
      </c>
      <c r="Y5161" s="11">
        <v>0.23672264695974787</v>
      </c>
      <c r="Z5161" s="11">
        <v>0.12983997769182165</v>
      </c>
    </row>
    <row r="5162" ht="22.5" customHeight="1">
      <c r="Q5162" s="9" t="s">
        <v>5200</v>
      </c>
      <c r="R5162" s="10">
        <v>0.8045202810583418</v>
      </c>
      <c r="S5162" s="10">
        <v>0.03832504113669808</v>
      </c>
      <c r="T5162" s="10">
        <v>19.948322516639823</v>
      </c>
      <c r="U5162" s="11">
        <v>0.11405154349722403</v>
      </c>
      <c r="V5162" s="11">
        <v>0.23842029028642786</v>
      </c>
      <c r="W5162" s="11">
        <v>0.2687563996910713</v>
      </c>
      <c r="X5162" s="11">
        <v>0.038544637217357465</v>
      </c>
      <c r="Y5162" s="11">
        <v>0.15616287084227082</v>
      </c>
      <c r="Z5162" s="11">
        <v>0.18406425846564856</v>
      </c>
    </row>
    <row r="5163" ht="22.5" customHeight="1">
      <c r="Q5163" s="9" t="s">
        <v>5201</v>
      </c>
      <c r="R5163" s="10">
        <v>0.810682240389788</v>
      </c>
      <c r="S5163" s="10">
        <v>0.038634462445124446</v>
      </c>
      <c r="T5163" s="10">
        <v>19.948051341064946</v>
      </c>
      <c r="U5163" s="11">
        <v>0.03485777979867212</v>
      </c>
      <c r="V5163" s="11">
        <v>0.2565989938896526</v>
      </c>
      <c r="W5163" s="11">
        <v>0.25835988927613385</v>
      </c>
      <c r="X5163" s="11">
        <v>0.030173996977074465</v>
      </c>
      <c r="Y5163" s="11">
        <v>0.17358783783843335</v>
      </c>
      <c r="Z5163" s="11">
        <v>0.2464215022200336</v>
      </c>
    </row>
    <row r="5164" ht="22.5" customHeight="1">
      <c r="Q5164" s="9" t="s">
        <v>5202</v>
      </c>
      <c r="R5164" s="10">
        <v>0.8989861628286578</v>
      </c>
      <c r="S5164" s="10">
        <v>0.04306260225408564</v>
      </c>
      <c r="T5164" s="10">
        <v>19.947381669141</v>
      </c>
      <c r="U5164" s="11">
        <v>0.14668212288882793</v>
      </c>
      <c r="V5164" s="11">
        <v>0.2637356672783084</v>
      </c>
      <c r="W5164" s="11">
        <v>0.3054023611780495</v>
      </c>
      <c r="X5164" s="11">
        <v>0.0727091181504048</v>
      </c>
      <c r="Y5164" s="11">
        <v>0.1562622651631643</v>
      </c>
      <c r="Z5164" s="11">
        <v>0.055208465341244926</v>
      </c>
    </row>
    <row r="5165" ht="22.5" customHeight="1">
      <c r="Q5165" s="9" t="s">
        <v>5203</v>
      </c>
      <c r="R5165" s="10">
        <v>0.582926527495606</v>
      </c>
      <c r="S5165" s="10">
        <v>0.027218631961609153</v>
      </c>
      <c r="T5165" s="10">
        <v>19.946870520949886</v>
      </c>
      <c r="U5165" s="11">
        <v>0.11045930449771602</v>
      </c>
      <c r="V5165" s="11">
        <v>0.24309065093069585</v>
      </c>
      <c r="W5165" s="11">
        <v>0.08245352501115727</v>
      </c>
      <c r="X5165" s="11">
        <v>0.2276077825190245</v>
      </c>
      <c r="Y5165" s="11">
        <v>0.06239714602323278</v>
      </c>
      <c r="Z5165" s="11">
        <v>0.27399159101817366</v>
      </c>
    </row>
    <row r="5166" ht="22.5" customHeight="1">
      <c r="Q5166" s="9" t="s">
        <v>5204</v>
      </c>
      <c r="R5166" s="10">
        <v>0.6051818017706283</v>
      </c>
      <c r="S5166" s="10">
        <v>0.028336019843741032</v>
      </c>
      <c r="T5166" s="10">
        <v>19.94570179182973</v>
      </c>
      <c r="U5166" s="11">
        <v>0.005457266033025062</v>
      </c>
      <c r="V5166" s="11">
        <v>0.10734083064717044</v>
      </c>
      <c r="W5166" s="11">
        <v>0.23001440327848569</v>
      </c>
      <c r="X5166" s="11">
        <v>0.3063826681686122</v>
      </c>
      <c r="Y5166" s="11">
        <v>0.15112850257590413</v>
      </c>
      <c r="Z5166" s="11">
        <v>0.19967632929680246</v>
      </c>
    </row>
    <row r="5167" ht="22.5" customHeight="1">
      <c r="Q5167" s="9" t="s">
        <v>5205</v>
      </c>
      <c r="R5167" s="10">
        <v>0.9207427392865181</v>
      </c>
      <c r="S5167" s="10">
        <v>0.0441570631016617</v>
      </c>
      <c r="T5167" s="10">
        <v>19.94568201374276</v>
      </c>
      <c r="U5167" s="11">
        <v>0.08014310840763232</v>
      </c>
      <c r="V5167" s="11">
        <v>0.25741534141669586</v>
      </c>
      <c r="W5167" s="11">
        <v>0.3251026326611577</v>
      </c>
      <c r="X5167" s="11">
        <v>0.184064595152185</v>
      </c>
      <c r="Y5167" s="11">
        <v>0.042708255220994425</v>
      </c>
      <c r="Z5167" s="11">
        <v>0.11056606714133466</v>
      </c>
    </row>
    <row r="5168" ht="22.5" customHeight="1">
      <c r="Q5168" s="9" t="s">
        <v>5206</v>
      </c>
      <c r="R5168" s="10">
        <v>0.7240112636236523</v>
      </c>
      <c r="S5168" s="10">
        <v>0.034293872991431856</v>
      </c>
      <c r="T5168" s="10">
        <v>19.94558222673038</v>
      </c>
      <c r="U5168" s="11">
        <v>0.040753684944693495</v>
      </c>
      <c r="V5168" s="11">
        <v>0.2867682065317404</v>
      </c>
      <c r="W5168" s="11">
        <v>0.14702057415413308</v>
      </c>
      <c r="X5168" s="11">
        <v>0.0726366466029318</v>
      </c>
      <c r="Y5168" s="11">
        <v>0.3080955464012632</v>
      </c>
      <c r="Z5168" s="11">
        <v>0.14472534136523793</v>
      </c>
    </row>
    <row r="5169" ht="22.5" customHeight="1">
      <c r="Q5169" s="9" t="s">
        <v>5207</v>
      </c>
      <c r="R5169" s="10">
        <v>0.45043234714392266</v>
      </c>
      <c r="S5169" s="10">
        <v>0.02057770052679773</v>
      </c>
      <c r="T5169" s="10">
        <v>19.945491315194754</v>
      </c>
      <c r="U5169" s="11">
        <v>0.31964239282228896</v>
      </c>
      <c r="V5169" s="11">
        <v>0.07553687876147096</v>
      </c>
      <c r="W5169" s="11">
        <v>0.1609340840482242</v>
      </c>
      <c r="X5169" s="11">
        <v>0.14398465172262986</v>
      </c>
      <c r="Y5169" s="11">
        <v>0.05739978120001224</v>
      </c>
      <c r="Z5169" s="11">
        <v>0.24250221144537393</v>
      </c>
    </row>
    <row r="5170" ht="22.5" customHeight="1">
      <c r="Q5170" s="9" t="s">
        <v>5208</v>
      </c>
      <c r="R5170" s="10">
        <v>0.9342827734251411</v>
      </c>
      <c r="S5170" s="10">
        <v>0.04483635513013027</v>
      </c>
      <c r="T5170" s="10">
        <v>19.945483321060106</v>
      </c>
      <c r="U5170" s="11">
        <v>0.19718779299444614</v>
      </c>
      <c r="V5170" s="11">
        <v>0.3197245209306502</v>
      </c>
      <c r="W5170" s="11">
        <v>0.28090677555954485</v>
      </c>
      <c r="X5170" s="11">
        <v>0.040753082437228486</v>
      </c>
      <c r="Y5170" s="11">
        <v>0.06401662058069571</v>
      </c>
      <c r="Z5170" s="11">
        <v>0.09741120749743476</v>
      </c>
    </row>
    <row r="5171" ht="22.5" customHeight="1">
      <c r="Q5171" s="9" t="s">
        <v>5209</v>
      </c>
      <c r="R5171" s="10">
        <v>0.3192796737083012</v>
      </c>
      <c r="S5171" s="10">
        <v>0.014002488529086345</v>
      </c>
      <c r="T5171" s="10">
        <v>19.945002856326145</v>
      </c>
      <c r="U5171" s="11">
        <v>0.2139115685111924</v>
      </c>
      <c r="V5171" s="11">
        <v>0.10816719676905055</v>
      </c>
      <c r="W5171" s="11">
        <v>0.011209281390119554</v>
      </c>
      <c r="X5171" s="11">
        <v>0.25390605756965157</v>
      </c>
      <c r="Y5171" s="11">
        <v>0.193185084786748</v>
      </c>
      <c r="Z5171" s="11">
        <v>0.21962081097323785</v>
      </c>
    </row>
    <row r="5172" ht="22.5" customHeight="1">
      <c r="Q5172" s="9" t="s">
        <v>5210</v>
      </c>
      <c r="R5172" s="10">
        <v>0.6460718537953858</v>
      </c>
      <c r="S5172" s="10">
        <v>0.030387832720892655</v>
      </c>
      <c r="T5172" s="10">
        <v>19.944556736311473</v>
      </c>
      <c r="U5172" s="11">
        <v>0.1133593718528042</v>
      </c>
      <c r="V5172" s="11">
        <v>0.11932566139867656</v>
      </c>
      <c r="W5172" s="11">
        <v>0.24612305230603349</v>
      </c>
      <c r="X5172" s="11">
        <v>0.26214049214387347</v>
      </c>
      <c r="Y5172" s="11">
        <v>0.1712553381789231</v>
      </c>
      <c r="Z5172" s="11">
        <v>0.08779608411968941</v>
      </c>
    </row>
    <row r="5173" ht="22.5" customHeight="1">
      <c r="Q5173" s="9" t="s">
        <v>5211</v>
      </c>
      <c r="R5173" s="10">
        <v>0.5316229370567017</v>
      </c>
      <c r="S5173" s="10">
        <v>0.024649740536492735</v>
      </c>
      <c r="T5173" s="10">
        <v>19.94434530979659</v>
      </c>
      <c r="U5173" s="11">
        <v>0.2748872215217557</v>
      </c>
      <c r="V5173" s="11">
        <v>0.2111233513586624</v>
      </c>
      <c r="W5173" s="11">
        <v>0.07446454121518527</v>
      </c>
      <c r="X5173" s="11">
        <v>0.09264761553896868</v>
      </c>
      <c r="Y5173" s="11">
        <v>0.23815524402378124</v>
      </c>
      <c r="Z5173" s="11">
        <v>0.10872202634164661</v>
      </c>
    </row>
    <row r="5174" ht="22.5" customHeight="1">
      <c r="Q5174" s="9" t="s">
        <v>5212</v>
      </c>
      <c r="R5174" s="10">
        <v>0.7738977719091916</v>
      </c>
      <c r="S5174" s="10">
        <v>0.03679898261925287</v>
      </c>
      <c r="T5174" s="10">
        <v>19.94342559691374</v>
      </c>
      <c r="U5174" s="11">
        <v>0.19030458306090842</v>
      </c>
      <c r="V5174" s="11">
        <v>0.2972759537152509</v>
      </c>
      <c r="W5174" s="11">
        <v>0.18661766499939433</v>
      </c>
      <c r="X5174" s="11">
        <v>0.045923121393909506</v>
      </c>
      <c r="Y5174" s="11">
        <v>0.05615908659004033</v>
      </c>
      <c r="Z5174" s="11">
        <v>0.22371959024049656</v>
      </c>
    </row>
    <row r="5175" ht="22.5" customHeight="1">
      <c r="Q5175" s="9" t="s">
        <v>5213</v>
      </c>
      <c r="R5175" s="10">
        <v>0.9662673729064901</v>
      </c>
      <c r="S5175" s="10">
        <v>0.046445923359118846</v>
      </c>
      <c r="T5175" s="10">
        <v>19.942920840320287</v>
      </c>
      <c r="U5175" s="11">
        <v>0.09985508240591381</v>
      </c>
      <c r="V5175" s="11">
        <v>0.3480538438189142</v>
      </c>
      <c r="W5175" s="11">
        <v>0.2732253880652458</v>
      </c>
      <c r="X5175" s="11">
        <v>0.06102695124253798</v>
      </c>
      <c r="Y5175" s="11">
        <v>0.11972441578623866</v>
      </c>
      <c r="Z5175" s="11">
        <v>0.09811431868114943</v>
      </c>
    </row>
    <row r="5176" ht="22.5" customHeight="1">
      <c r="Q5176" s="9" t="s">
        <v>5214</v>
      </c>
      <c r="R5176" s="10">
        <v>0.7270814417270238</v>
      </c>
      <c r="S5176" s="10">
        <v>0.034452493770976436</v>
      </c>
      <c r="T5176" s="10">
        <v>19.942865276876905</v>
      </c>
      <c r="U5176" s="11">
        <v>0.2550396744864821</v>
      </c>
      <c r="V5176" s="11">
        <v>0.2911504589491274</v>
      </c>
      <c r="W5176" s="11">
        <v>0.14983362444970677</v>
      </c>
      <c r="X5176" s="11">
        <v>0.0888345583232869</v>
      </c>
      <c r="Y5176" s="11">
        <v>0.04908955941289352</v>
      </c>
      <c r="Z5176" s="11">
        <v>0.1660521243785034</v>
      </c>
    </row>
    <row r="5177" ht="22.5" customHeight="1">
      <c r="Q5177" s="9" t="s">
        <v>5215</v>
      </c>
      <c r="R5177" s="10">
        <v>0.5814614743366159</v>
      </c>
      <c r="S5177" s="10">
        <v>0.027151475169671008</v>
      </c>
      <c r="T5177" s="10">
        <v>19.94224884478631</v>
      </c>
      <c r="U5177" s="11">
        <v>0.043927706999213265</v>
      </c>
      <c r="V5177" s="11">
        <v>0.24096718730738056</v>
      </c>
      <c r="W5177" s="11">
        <v>0.059138846015235516</v>
      </c>
      <c r="X5177" s="11">
        <v>0.34561855953639997</v>
      </c>
      <c r="Y5177" s="11">
        <v>0.23045261485260668</v>
      </c>
      <c r="Z5177" s="11">
        <v>0.07989508528916409</v>
      </c>
    </row>
    <row r="5178" ht="22.5" customHeight="1">
      <c r="Q5178" s="9" t="s">
        <v>5216</v>
      </c>
      <c r="R5178" s="10">
        <v>0.43373664087103375</v>
      </c>
      <c r="S5178" s="10">
        <v>0.01974403778461608</v>
      </c>
      <c r="T5178" s="10">
        <v>19.942052642232113</v>
      </c>
      <c r="U5178" s="11">
        <v>0.1648278136942989</v>
      </c>
      <c r="V5178" s="11">
        <v>0.04335291160089609</v>
      </c>
      <c r="W5178" s="11">
        <v>0.15434479900596554</v>
      </c>
      <c r="X5178" s="11">
        <v>0.30489238350495335</v>
      </c>
      <c r="Y5178" s="11">
        <v>0.26199714716285494</v>
      </c>
      <c r="Z5178" s="11">
        <v>0.07058494503103106</v>
      </c>
    </row>
    <row r="5179" ht="22.5" customHeight="1">
      <c r="Q5179" s="9" t="s">
        <v>5217</v>
      </c>
      <c r="R5179" s="10">
        <v>0.8286841746608192</v>
      </c>
      <c r="S5179" s="10">
        <v>0.0395492207043977</v>
      </c>
      <c r="T5179" s="10">
        <v>19.94183856505473</v>
      </c>
      <c r="U5179" s="11">
        <v>0.2581564431755905</v>
      </c>
      <c r="V5179" s="11">
        <v>0.31606786227177686</v>
      </c>
      <c r="W5179" s="11">
        <v>0.20497508204673504</v>
      </c>
      <c r="X5179" s="11">
        <v>0.049990970322809886</v>
      </c>
      <c r="Y5179" s="11">
        <v>0.02927571186126202</v>
      </c>
      <c r="Z5179" s="11">
        <v>0.14153393032182568</v>
      </c>
    </row>
    <row r="5180" ht="22.5" customHeight="1">
      <c r="Q5180" s="9" t="s">
        <v>5218</v>
      </c>
      <c r="R5180" s="10">
        <v>0.47510461456137454</v>
      </c>
      <c r="S5180" s="10">
        <v>0.021818697122996746</v>
      </c>
      <c r="T5180" s="10">
        <v>19.941823845328393</v>
      </c>
      <c r="U5180" s="11">
        <v>0.3063298269375665</v>
      </c>
      <c r="V5180" s="11">
        <v>0.06652312126456544</v>
      </c>
      <c r="W5180" s="11">
        <v>0.1760547349626028</v>
      </c>
      <c r="X5180" s="11">
        <v>0.23669801741004146</v>
      </c>
      <c r="Y5180" s="11">
        <v>0.06886237279147935</v>
      </c>
      <c r="Z5180" s="11">
        <v>0.1455319266337445</v>
      </c>
    </row>
    <row r="5181" ht="22.5" customHeight="1">
      <c r="Q5181" s="9" t="s">
        <v>5219</v>
      </c>
      <c r="R5181" s="10">
        <v>0.7694241606881936</v>
      </c>
      <c r="S5181" s="10">
        <v>0.036579992597066215</v>
      </c>
      <c r="T5181" s="10">
        <v>19.940522370326963</v>
      </c>
      <c r="U5181" s="11">
        <v>0.23318920955849948</v>
      </c>
      <c r="V5181" s="11">
        <v>0.20042860659394593</v>
      </c>
      <c r="W5181" s="11">
        <v>0.2735037488458858</v>
      </c>
      <c r="X5181" s="11">
        <v>0.08116225119621713</v>
      </c>
      <c r="Y5181" s="11">
        <v>0.11673935219748802</v>
      </c>
      <c r="Z5181" s="11">
        <v>0.09497683160796364</v>
      </c>
    </row>
    <row r="5182" ht="22.5" customHeight="1">
      <c r="Q5182" s="9" t="s">
        <v>5220</v>
      </c>
      <c r="R5182" s="10">
        <v>0.584880360142097</v>
      </c>
      <c r="S5182" s="10">
        <v>0.027325684168362598</v>
      </c>
      <c r="T5182" s="10">
        <v>19.94022754507841</v>
      </c>
      <c r="U5182" s="11">
        <v>0.18343953194224263</v>
      </c>
      <c r="V5182" s="11">
        <v>0.2279759635676659</v>
      </c>
      <c r="W5182" s="11">
        <v>0.11407196148314708</v>
      </c>
      <c r="X5182" s="11">
        <v>0.01461840211107301</v>
      </c>
      <c r="Y5182" s="11">
        <v>0.2016083157124316</v>
      </c>
      <c r="Z5182" s="11">
        <v>0.2582858251834398</v>
      </c>
    </row>
    <row r="5183" ht="22.5" customHeight="1">
      <c r="Q5183" s="9" t="s">
        <v>5221</v>
      </c>
      <c r="R5183" s="10">
        <v>0.3612907992215255</v>
      </c>
      <c r="S5183" s="10">
        <v>0.01611314767889056</v>
      </c>
      <c r="T5183" s="10">
        <v>19.939667011333903</v>
      </c>
      <c r="U5183" s="11">
        <v>0.37319894714672797</v>
      </c>
      <c r="V5183" s="11">
        <v>0.032356715895083654</v>
      </c>
      <c r="W5183" s="11">
        <v>0.11981293758366628</v>
      </c>
      <c r="X5183" s="11">
        <v>0.3040599842675647</v>
      </c>
      <c r="Y5183" s="11">
        <v>0.009461400008174952</v>
      </c>
      <c r="Z5183" s="11">
        <v>0.16111001509878262</v>
      </c>
    </row>
    <row r="5184" ht="22.5" customHeight="1">
      <c r="Q5184" s="9" t="s">
        <v>5222</v>
      </c>
      <c r="R5184" s="10">
        <v>0.699043471560433</v>
      </c>
      <c r="S5184" s="10">
        <v>0.03305389638775565</v>
      </c>
      <c r="T5184" s="10">
        <v>19.938450336661862</v>
      </c>
      <c r="U5184" s="11">
        <v>0.23401440553792685</v>
      </c>
      <c r="V5184" s="11">
        <v>0.2877404806946977</v>
      </c>
      <c r="W5184" s="11">
        <v>0.12529097716803386</v>
      </c>
      <c r="X5184" s="11">
        <v>0.15888388442186002</v>
      </c>
      <c r="Y5184" s="11">
        <v>0.03888002914104469</v>
      </c>
      <c r="Z5184" s="11">
        <v>0.15519022303643687</v>
      </c>
    </row>
    <row r="5185" ht="22.5" customHeight="1">
      <c r="Q5185" s="9" t="s">
        <v>5223</v>
      </c>
      <c r="R5185" s="10">
        <v>0.7965900898757305</v>
      </c>
      <c r="S5185" s="10">
        <v>0.037946732127694026</v>
      </c>
      <c r="T5185" s="10">
        <v>19.938214635445803</v>
      </c>
      <c r="U5185" s="11">
        <v>0.14892895481588012</v>
      </c>
      <c r="V5185" s="11">
        <v>0.27680996182075074</v>
      </c>
      <c r="W5185" s="11">
        <v>0.23143610829688216</v>
      </c>
      <c r="X5185" s="11">
        <v>0.020886859875202484</v>
      </c>
      <c r="Y5185" s="11">
        <v>0.04210300085974678</v>
      </c>
      <c r="Z5185" s="11">
        <v>0.27983511433153774</v>
      </c>
    </row>
    <row r="5186" ht="22.5" customHeight="1">
      <c r="Q5186" s="9" t="s">
        <v>5224</v>
      </c>
      <c r="R5186" s="10">
        <v>0.6309072173728456</v>
      </c>
      <c r="S5186" s="10">
        <v>0.029636948902968873</v>
      </c>
      <c r="T5186" s="10">
        <v>19.938193344647956</v>
      </c>
      <c r="U5186" s="11">
        <v>0.12970217419354582</v>
      </c>
      <c r="V5186" s="11">
        <v>0.26193875936169264</v>
      </c>
      <c r="W5186" s="11">
        <v>0.07840828704642247</v>
      </c>
      <c r="X5186" s="11">
        <v>0.2592933404325413</v>
      </c>
      <c r="Y5186" s="11">
        <v>0.2578882326168048</v>
      </c>
      <c r="Z5186" s="11">
        <v>0.012769206348992798</v>
      </c>
    </row>
    <row r="5187" ht="22.5" customHeight="1">
      <c r="Q5187" s="9" t="s">
        <v>5225</v>
      </c>
      <c r="R5187" s="10">
        <v>0.4449327020940696</v>
      </c>
      <c r="S5187" s="10">
        <v>0.020310929433494284</v>
      </c>
      <c r="T5187" s="10">
        <v>19.936689919581152</v>
      </c>
      <c r="U5187" s="11">
        <v>0.3097111331547674</v>
      </c>
      <c r="V5187" s="11">
        <v>0.09074244512506895</v>
      </c>
      <c r="W5187" s="11">
        <v>0.14681829954132156</v>
      </c>
      <c r="X5187" s="11">
        <v>0.023450947775202118</v>
      </c>
      <c r="Y5187" s="11">
        <v>0.20433351870187513</v>
      </c>
      <c r="Z5187" s="11">
        <v>0.22494365570176497</v>
      </c>
    </row>
    <row r="5188" ht="22.5" customHeight="1">
      <c r="Q5188" s="9" t="s">
        <v>5226</v>
      </c>
      <c r="R5188" s="10">
        <v>0.9397302375084748</v>
      </c>
      <c r="S5188" s="10">
        <v>0.04513009653147049</v>
      </c>
      <c r="T5188" s="10">
        <v>19.936368557976994</v>
      </c>
      <c r="U5188" s="11">
        <v>0.07966443547736073</v>
      </c>
      <c r="V5188" s="11">
        <v>0.24828870253780366</v>
      </c>
      <c r="W5188" s="11">
        <v>0.3397607237620822</v>
      </c>
      <c r="X5188" s="11">
        <v>0.20988174579723848</v>
      </c>
      <c r="Y5188" s="11">
        <v>0.11754522548676209</v>
      </c>
      <c r="Z5188" s="11">
        <v>0.004859166938752675</v>
      </c>
    </row>
    <row r="5189" ht="22.5" customHeight="1">
      <c r="Q5189" s="9" t="s">
        <v>5227</v>
      </c>
      <c r="R5189" s="10">
        <v>0.680386503301988</v>
      </c>
      <c r="S5189" s="10">
        <v>0.03212219085400774</v>
      </c>
      <c r="T5189" s="10">
        <v>19.935953503684814</v>
      </c>
      <c r="U5189" s="11">
        <v>0.016778884793125833</v>
      </c>
      <c r="V5189" s="11">
        <v>0.278694921890784</v>
      </c>
      <c r="W5189" s="11">
        <v>0.1270184577723508</v>
      </c>
      <c r="X5189" s="11">
        <v>0.14847183070071704</v>
      </c>
      <c r="Y5189" s="11">
        <v>0.13757891548192347</v>
      </c>
      <c r="Z5189" s="11">
        <v>0.29145698936109876</v>
      </c>
    </row>
    <row r="5190" ht="22.5" customHeight="1">
      <c r="Q5190" s="9" t="s">
        <v>5228</v>
      </c>
      <c r="R5190" s="10">
        <v>0.5498764019548243</v>
      </c>
      <c r="S5190" s="10">
        <v>0.02557576297528727</v>
      </c>
      <c r="T5190" s="10">
        <v>19.935921459996926</v>
      </c>
      <c r="U5190" s="11">
        <v>0.0851990489423964</v>
      </c>
      <c r="V5190" s="11">
        <v>0.22318797880269467</v>
      </c>
      <c r="W5190" s="11">
        <v>0.08920805158691247</v>
      </c>
      <c r="X5190" s="11">
        <v>0.10737926516281766</v>
      </c>
      <c r="Y5190" s="11">
        <v>0.16132688273427206</v>
      </c>
      <c r="Z5190" s="11">
        <v>0.3336987727709068</v>
      </c>
    </row>
    <row r="5191" ht="22.5" customHeight="1">
      <c r="Q5191" s="9" t="s">
        <v>5229</v>
      </c>
      <c r="R5191" s="10">
        <v>0.8329044146421024</v>
      </c>
      <c r="S5191" s="10">
        <v>0.03977344333189168</v>
      </c>
      <c r="T5191" s="10">
        <v>19.935523510641712</v>
      </c>
      <c r="U5191" s="11">
        <v>0.039084692861103804</v>
      </c>
      <c r="V5191" s="11">
        <v>0.31264225452380956</v>
      </c>
      <c r="W5191" s="11">
        <v>0.2166398005148487</v>
      </c>
      <c r="X5191" s="11">
        <v>0.05957575917751777</v>
      </c>
      <c r="Y5191" s="11">
        <v>0.10663368894930188</v>
      </c>
      <c r="Z5191" s="11">
        <v>0.2654238039734183</v>
      </c>
    </row>
    <row r="5192" ht="22.5" customHeight="1">
      <c r="Q5192" s="9" t="s">
        <v>5230</v>
      </c>
      <c r="R5192" s="10">
        <v>0.4745709863899244</v>
      </c>
      <c r="S5192" s="10">
        <v>0.021799929313791308</v>
      </c>
      <c r="T5192" s="10">
        <v>19.93451355436283</v>
      </c>
      <c r="U5192" s="11">
        <v>0.15437241530057746</v>
      </c>
      <c r="V5192" s="11">
        <v>0.1863253468447813</v>
      </c>
      <c r="W5192" s="11">
        <v>0.031200293282233015</v>
      </c>
      <c r="X5192" s="11">
        <v>0.3232629316135884</v>
      </c>
      <c r="Y5192" s="11">
        <v>0.27912979998752535</v>
      </c>
      <c r="Z5192" s="11">
        <v>0.025709212971294405</v>
      </c>
    </row>
    <row r="5193" ht="22.5" customHeight="1">
      <c r="Q5193" s="9" t="s">
        <v>5231</v>
      </c>
      <c r="R5193" s="10">
        <v>0.7877557075301782</v>
      </c>
      <c r="S5193" s="10">
        <v>0.0375111458855967</v>
      </c>
      <c r="T5193" s="10">
        <v>19.934227277692862</v>
      </c>
      <c r="U5193" s="11">
        <v>0.18782580429419915</v>
      </c>
      <c r="V5193" s="11">
        <v>0.17405038145274868</v>
      </c>
      <c r="W5193" s="11">
        <v>0.2976843224801109</v>
      </c>
      <c r="X5193" s="11">
        <v>0.2560089394845324</v>
      </c>
      <c r="Y5193" s="11">
        <v>0.06345790684600491</v>
      </c>
      <c r="Z5193" s="11">
        <v>0.020972645442403945</v>
      </c>
    </row>
    <row r="5194" ht="22.5" customHeight="1">
      <c r="Q5194" s="9" t="s">
        <v>5232</v>
      </c>
      <c r="R5194" s="10">
        <v>0.7476720606187014</v>
      </c>
      <c r="S5194" s="10">
        <v>0.035500470397153365</v>
      </c>
      <c r="T5194" s="10">
        <v>19.934160102719275</v>
      </c>
      <c r="U5194" s="11">
        <v>0.12731898580155027</v>
      </c>
      <c r="V5194" s="11">
        <v>0.2851558228829455</v>
      </c>
      <c r="W5194" s="11">
        <v>0.18263246757136148</v>
      </c>
      <c r="X5194" s="11">
        <v>0.032588558710526246</v>
      </c>
      <c r="Y5194" s="11">
        <v>0.09166959969115268</v>
      </c>
      <c r="Z5194" s="11">
        <v>0.2806345653424638</v>
      </c>
    </row>
    <row r="5195" ht="22.5" customHeight="1">
      <c r="Q5195" s="9" t="s">
        <v>5233</v>
      </c>
      <c r="R5195" s="10">
        <v>0.7663002535951311</v>
      </c>
      <c r="S5195" s="10">
        <v>0.036434965126718705</v>
      </c>
      <c r="T5195" s="10">
        <v>19.934155311226476</v>
      </c>
      <c r="U5195" s="11">
        <v>0.09436303391545807</v>
      </c>
      <c r="V5195" s="11">
        <v>0.28563598150581554</v>
      </c>
      <c r="W5195" s="11">
        <v>0.19553442186257677</v>
      </c>
      <c r="X5195" s="11">
        <v>0.006268033361717592</v>
      </c>
      <c r="Y5195" s="11">
        <v>0.1684547881361728</v>
      </c>
      <c r="Z5195" s="11">
        <v>0.24974374121825918</v>
      </c>
    </row>
    <row r="5196" ht="22.5" customHeight="1">
      <c r="Q5196" s="9" t="s">
        <v>5234</v>
      </c>
      <c r="R5196" s="10">
        <v>0.6600545485501869</v>
      </c>
      <c r="S5196" s="10">
        <v>0.031105359018024668</v>
      </c>
      <c r="T5196" s="10">
        <v>19.934010348213082</v>
      </c>
      <c r="U5196" s="11">
        <v>0.04332517000464326</v>
      </c>
      <c r="V5196" s="11">
        <v>0.2765603395548113</v>
      </c>
      <c r="W5196" s="11">
        <v>0.10258513755957434</v>
      </c>
      <c r="X5196" s="11">
        <v>0.23577584077218383</v>
      </c>
      <c r="Y5196" s="11">
        <v>0.11828221344207994</v>
      </c>
      <c r="Z5196" s="11">
        <v>0.22347129866670726</v>
      </c>
    </row>
    <row r="5197" ht="22.5" customHeight="1">
      <c r="Q5197" s="9" t="s">
        <v>5235</v>
      </c>
      <c r="R5197" s="10">
        <v>0.6730515803096879</v>
      </c>
      <c r="S5197" s="10">
        <v>0.03175817276062983</v>
      </c>
      <c r="T5197" s="10">
        <v>19.93350137242383</v>
      </c>
      <c r="U5197" s="11">
        <v>0.15368889219532775</v>
      </c>
      <c r="V5197" s="11">
        <v>0.17424612037525028</v>
      </c>
      <c r="W5197" s="11">
        <v>0.23740858062504003</v>
      </c>
      <c r="X5197" s="11">
        <v>0.07077336841027432</v>
      </c>
      <c r="Y5197" s="11">
        <v>0.0937514056572805</v>
      </c>
      <c r="Z5197" s="11">
        <v>0.27013163273682705</v>
      </c>
    </row>
    <row r="5198" ht="22.5" customHeight="1">
      <c r="Q5198" s="9" t="s">
        <v>5236</v>
      </c>
      <c r="R5198" s="10">
        <v>0.8406785470196058</v>
      </c>
      <c r="S5198" s="10">
        <v>0.04016768624773888</v>
      </c>
      <c r="T5198" s="10">
        <v>19.933399750270095</v>
      </c>
      <c r="U5198" s="11">
        <v>0.08320980686136754</v>
      </c>
      <c r="V5198" s="11">
        <v>0.3175163044730801</v>
      </c>
      <c r="W5198" s="11">
        <v>0.2077707079319153</v>
      </c>
      <c r="X5198" s="11">
        <v>0.01955831653187451</v>
      </c>
      <c r="Y5198" s="11">
        <v>0.2763961492343837</v>
      </c>
      <c r="Z5198" s="11">
        <v>0.09554871496737885</v>
      </c>
    </row>
    <row r="5199" ht="22.5" customHeight="1">
      <c r="Q5199" s="9" t="s">
        <v>5237</v>
      </c>
      <c r="R5199" s="10">
        <v>0.810100117165643</v>
      </c>
      <c r="S5199" s="10">
        <v>0.0386362697558282</v>
      </c>
      <c r="T5199" s="10">
        <v>19.93205146440088</v>
      </c>
      <c r="U5199" s="11">
        <v>0.21068628952416668</v>
      </c>
      <c r="V5199" s="11">
        <v>0.27384475999950875</v>
      </c>
      <c r="W5199" s="11">
        <v>0.24320375464314734</v>
      </c>
      <c r="X5199" s="11">
        <v>0.016256494312753923</v>
      </c>
      <c r="Y5199" s="11">
        <v>0.02238709200192449</v>
      </c>
      <c r="Z5199" s="11">
        <v>0.23362160951849878</v>
      </c>
    </row>
    <row r="5200" ht="22.5" customHeight="1">
      <c r="Q5200" s="9" t="s">
        <v>5238</v>
      </c>
      <c r="R5200" s="10">
        <v>0.6192446491437601</v>
      </c>
      <c r="S5200" s="10">
        <v>0.029061225785890137</v>
      </c>
      <c r="T5200" s="10">
        <v>19.93187257176867</v>
      </c>
      <c r="U5200" s="11">
        <v>0.1915851736083054</v>
      </c>
      <c r="V5200" s="11">
        <v>0.2576210783456346</v>
      </c>
      <c r="W5200" s="11">
        <v>0.09393223471809346</v>
      </c>
      <c r="X5200" s="11">
        <v>0.18288679252294301</v>
      </c>
      <c r="Y5200" s="11">
        <v>0.08403060159895324</v>
      </c>
      <c r="Z5200" s="11">
        <v>0.18994411920607035</v>
      </c>
    </row>
    <row r="5201" ht="22.5" customHeight="1">
      <c r="Q5201" s="9" t="s">
        <v>5239</v>
      </c>
      <c r="R5201" s="10">
        <v>0.4310835104433765</v>
      </c>
      <c r="S5201" s="10">
        <v>0.019621491858926286</v>
      </c>
      <c r="T5201" s="10">
        <v>19.93138509829788</v>
      </c>
      <c r="U5201" s="11">
        <v>0.10023620250676289</v>
      </c>
      <c r="V5201" s="11">
        <v>0.17161947346550563</v>
      </c>
      <c r="W5201" s="11">
        <v>0.04465594368698646</v>
      </c>
      <c r="X5201" s="11">
        <v>0.16963940434666008</v>
      </c>
      <c r="Y5201" s="11">
        <v>0.1894616892035262</v>
      </c>
      <c r="Z5201" s="11">
        <v>0.32438728679055867</v>
      </c>
    </row>
    <row r="5202" ht="22.5" customHeight="1">
      <c r="Q5202" s="9" t="s">
        <v>5240</v>
      </c>
      <c r="R5202" s="10">
        <v>0.6323596328797442</v>
      </c>
      <c r="S5202" s="10">
        <v>0.02972240667509593</v>
      </c>
      <c r="T5202" s="10">
        <v>19.92973312541597</v>
      </c>
      <c r="U5202" s="11">
        <v>0.1722106595722836</v>
      </c>
      <c r="V5202" s="11">
        <v>0.11696739114162677</v>
      </c>
      <c r="W5202" s="11">
        <v>0.23997231739551997</v>
      </c>
      <c r="X5202" s="11">
        <v>0.2227908153434376</v>
      </c>
      <c r="Y5202" s="11">
        <v>0.17931446382058666</v>
      </c>
      <c r="Z5202" s="11">
        <v>0.06874435272654555</v>
      </c>
    </row>
    <row r="5203" ht="22.5" customHeight="1">
      <c r="Q5203" s="9" t="s">
        <v>5241</v>
      </c>
      <c r="R5203" s="10">
        <v>0.5702623087761792</v>
      </c>
      <c r="S5203" s="10">
        <v>0.026606658174430333</v>
      </c>
      <c r="T5203" s="10">
        <v>19.929684716503576</v>
      </c>
      <c r="U5203" s="11">
        <v>0.11959657594881361</v>
      </c>
      <c r="V5203" s="11">
        <v>0.23817366153703132</v>
      </c>
      <c r="W5203" s="11">
        <v>0.07695317886216291</v>
      </c>
      <c r="X5203" s="11">
        <v>0.23628432094559162</v>
      </c>
      <c r="Y5203" s="11">
        <v>0.058010800866538544</v>
      </c>
      <c r="Z5203" s="11">
        <v>0.2709814618398621</v>
      </c>
    </row>
    <row r="5204" ht="22.5" customHeight="1">
      <c r="Q5204" s="9" t="s">
        <v>5242</v>
      </c>
      <c r="R5204" s="10">
        <v>0.8128132948343334</v>
      </c>
      <c r="S5204" s="10">
        <v>0.03877775227949475</v>
      </c>
      <c r="T5204" s="10">
        <v>19.92929577929633</v>
      </c>
      <c r="U5204" s="11">
        <v>0.09948132781658839</v>
      </c>
      <c r="V5204" s="11">
        <v>0.22442119962965046</v>
      </c>
      <c r="W5204" s="11">
        <v>0.28572158878472914</v>
      </c>
      <c r="X5204" s="11">
        <v>0.1114942220165048</v>
      </c>
      <c r="Y5204" s="11">
        <v>0.08618037307129962</v>
      </c>
      <c r="Z5204" s="11">
        <v>0.19270128868122777</v>
      </c>
    </row>
    <row r="5205" ht="22.5" customHeight="1">
      <c r="Q5205" s="9" t="s">
        <v>5243</v>
      </c>
      <c r="R5205" s="10">
        <v>0.781719333525902</v>
      </c>
      <c r="S5205" s="10">
        <v>0.03721875493405115</v>
      </c>
      <c r="T5205" s="10">
        <v>19.928644438541085</v>
      </c>
      <c r="U5205" s="11">
        <v>0.07929376360436531</v>
      </c>
      <c r="V5205" s="11">
        <v>0.3189229832464557</v>
      </c>
      <c r="W5205" s="11">
        <v>0.15270194817763538</v>
      </c>
      <c r="X5205" s="11">
        <v>0.13696111115974174</v>
      </c>
      <c r="Y5205" s="11">
        <v>0.20389096911118498</v>
      </c>
      <c r="Z5205" s="11">
        <v>0.1082292247006169</v>
      </c>
    </row>
    <row r="5206" ht="22.5" customHeight="1">
      <c r="Q5206" s="9" t="s">
        <v>5244</v>
      </c>
      <c r="R5206" s="10">
        <v>0.5711486908492058</v>
      </c>
      <c r="S5206" s="10">
        <v>0.026653005916201317</v>
      </c>
      <c r="T5206" s="10">
        <v>19.92828473152971</v>
      </c>
      <c r="U5206" s="11">
        <v>0.21826168162131346</v>
      </c>
      <c r="V5206" s="11">
        <v>0.22937126391123322</v>
      </c>
      <c r="W5206" s="11">
        <v>0.09766359455875596</v>
      </c>
      <c r="X5206" s="11">
        <v>0.06645086074367335</v>
      </c>
      <c r="Y5206" s="11">
        <v>0.1471095896133313</v>
      </c>
      <c r="Z5206" s="11">
        <v>0.24114300955169277</v>
      </c>
    </row>
    <row r="5207" ht="22.5" customHeight="1">
      <c r="Q5207" s="9" t="s">
        <v>5245</v>
      </c>
      <c r="R5207" s="10">
        <v>0.33194859600422977</v>
      </c>
      <c r="S5207" s="10">
        <v>0.014650241766536573</v>
      </c>
      <c r="T5207" s="10">
        <v>19.92790294226309</v>
      </c>
      <c r="U5207" s="11">
        <v>0.3568699788901312</v>
      </c>
      <c r="V5207" s="11">
        <v>0.03687195793479664</v>
      </c>
      <c r="W5207" s="11">
        <v>0.08981808877708773</v>
      </c>
      <c r="X5207" s="11">
        <v>0.17177577603550287</v>
      </c>
      <c r="Y5207" s="11">
        <v>0.3129264218938436</v>
      </c>
      <c r="Z5207" s="11">
        <v>0.03173777646863801</v>
      </c>
    </row>
    <row r="5208" ht="22.5" customHeight="1">
      <c r="Q5208" s="9" t="s">
        <v>5246</v>
      </c>
      <c r="R5208" s="10">
        <v>0.5490349308226693</v>
      </c>
      <c r="S5208" s="10">
        <v>0.025543860750068054</v>
      </c>
      <c r="T5208" s="10">
        <v>19.927877614244867</v>
      </c>
      <c r="U5208" s="11">
        <v>0.154343141305536</v>
      </c>
      <c r="V5208" s="11">
        <v>0.22362275687993746</v>
      </c>
      <c r="W5208" s="11">
        <v>0.07745991612089492</v>
      </c>
      <c r="X5208" s="11">
        <v>0.12466389334685707</v>
      </c>
      <c r="Y5208" s="11">
        <v>0.22420150507763736</v>
      </c>
      <c r="Z5208" s="11">
        <v>0.19570878726913732</v>
      </c>
    </row>
    <row r="5209" ht="22.5" customHeight="1">
      <c r="Q5209" s="9" t="s">
        <v>5247</v>
      </c>
      <c r="R5209" s="10">
        <v>0.7376007448347419</v>
      </c>
      <c r="S5209" s="10">
        <v>0.03500679665458935</v>
      </c>
      <c r="T5209" s="10">
        <v>19.92758011302606</v>
      </c>
      <c r="U5209" s="11">
        <v>0.1964589086145077</v>
      </c>
      <c r="V5209" s="11">
        <v>0.1830556529457156</v>
      </c>
      <c r="W5209" s="11">
        <v>0.26164082784102677</v>
      </c>
      <c r="X5209" s="11">
        <v>0.061419676409498226</v>
      </c>
      <c r="Y5209" s="11">
        <v>0.27105928717908556</v>
      </c>
      <c r="Z5209" s="11">
        <v>0.026365647010166006</v>
      </c>
    </row>
    <row r="5210" ht="22.5" customHeight="1">
      <c r="Q5210" s="9" t="s">
        <v>5248</v>
      </c>
      <c r="R5210" s="10">
        <v>0.784725270114964</v>
      </c>
      <c r="S5210" s="10">
        <v>0.0373718703135222</v>
      </c>
      <c r="T5210" s="10">
        <v>19.927428407175576</v>
      </c>
      <c r="U5210" s="11">
        <v>0.25170069772483056</v>
      </c>
      <c r="V5210" s="11">
        <v>0.23950489230611616</v>
      </c>
      <c r="W5210" s="11">
        <v>0.256647197817619</v>
      </c>
      <c r="X5210" s="11">
        <v>0.022480525300417584</v>
      </c>
      <c r="Y5210" s="11">
        <v>0.03405567225181172</v>
      </c>
      <c r="Z5210" s="11">
        <v>0.19561101459920485</v>
      </c>
    </row>
    <row r="5211" ht="22.5" customHeight="1">
      <c r="Q5211" s="9" t="s">
        <v>5249</v>
      </c>
      <c r="R5211" s="10">
        <v>0.6518922854228131</v>
      </c>
      <c r="S5211" s="10">
        <v>0.030706291510327218</v>
      </c>
      <c r="T5211" s="10">
        <v>19.927261005029536</v>
      </c>
      <c r="U5211" s="11">
        <v>0.32880036027420356</v>
      </c>
      <c r="V5211" s="11">
        <v>0.26941095218483974</v>
      </c>
      <c r="W5211" s="11">
        <v>0.10247630582918899</v>
      </c>
      <c r="X5211" s="11">
        <v>0.1948694500205079</v>
      </c>
      <c r="Y5211" s="11">
        <v>0.002949418968444541</v>
      </c>
      <c r="Z5211" s="11">
        <v>0.10149351272281536</v>
      </c>
    </row>
    <row r="5212" ht="22.5" customHeight="1">
      <c r="Q5212" s="9" t="s">
        <v>5250</v>
      </c>
      <c r="R5212" s="10">
        <v>0.3984081380429353</v>
      </c>
      <c r="S5212" s="10">
        <v>0.017986426846946072</v>
      </c>
      <c r="T5212" s="10">
        <v>19.926589149294525</v>
      </c>
      <c r="U5212" s="11">
        <v>0.23738795789453387</v>
      </c>
      <c r="V5212" s="11">
        <v>0.1509200019925242</v>
      </c>
      <c r="W5212" s="11">
        <v>0.018714837623223186</v>
      </c>
      <c r="X5212" s="11">
        <v>0.2934994931231588</v>
      </c>
      <c r="Y5212" s="11">
        <v>0.18391274066132773</v>
      </c>
      <c r="Z5212" s="11">
        <v>0.1155649687052322</v>
      </c>
    </row>
    <row r="5213" ht="22.5" customHeight="1">
      <c r="Q5213" s="9" t="s">
        <v>5251</v>
      </c>
      <c r="R5213" s="10">
        <v>0.6996093026898835</v>
      </c>
      <c r="S5213" s="10">
        <v>0.03310303474859106</v>
      </c>
      <c r="T5213" s="10">
        <v>19.925946599743636</v>
      </c>
      <c r="U5213" s="11">
        <v>0.0016524503627245622</v>
      </c>
      <c r="V5213" s="11">
        <v>0.19278039935520397</v>
      </c>
      <c r="W5213" s="11">
        <v>0.23731368631649233</v>
      </c>
      <c r="X5213" s="11">
        <v>0.040081993774688345</v>
      </c>
      <c r="Y5213" s="11">
        <v>0.2653463110278279</v>
      </c>
      <c r="Z5213" s="11">
        <v>0.2628251591630628</v>
      </c>
    </row>
    <row r="5214" ht="22.5" customHeight="1">
      <c r="Q5214" s="9" t="s">
        <v>5252</v>
      </c>
      <c r="R5214" s="10">
        <v>0.8356019246520606</v>
      </c>
      <c r="S5214" s="10">
        <v>0.03992807395754674</v>
      </c>
      <c r="T5214" s="10">
        <v>19.92587785471393</v>
      </c>
      <c r="U5214" s="11">
        <v>0.0475373821167341</v>
      </c>
      <c r="V5214" s="11">
        <v>0.34848718537119616</v>
      </c>
      <c r="W5214" s="11">
        <v>0.1496252444943051</v>
      </c>
      <c r="X5214" s="11">
        <v>0.2621028060750273</v>
      </c>
      <c r="Y5214" s="11">
        <v>0.15910469391924403</v>
      </c>
      <c r="Z5214" s="11">
        <v>0.033142688023493315</v>
      </c>
    </row>
    <row r="5215" ht="22.5" customHeight="1">
      <c r="Q5215" s="9" t="s">
        <v>5253</v>
      </c>
      <c r="R5215" s="10">
        <v>0.5876936022164645</v>
      </c>
      <c r="S5215" s="10">
        <v>0.027486877944030614</v>
      </c>
      <c r="T5215" s="10">
        <v>19.925638820519747</v>
      </c>
      <c r="U5215" s="11">
        <v>0.20509534448491612</v>
      </c>
      <c r="V5215" s="11">
        <v>0.1137710816555037</v>
      </c>
      <c r="W5215" s="11">
        <v>0.2205790648308638</v>
      </c>
      <c r="X5215" s="11">
        <v>0.17541005602004875</v>
      </c>
      <c r="Y5215" s="11">
        <v>0.10285807255123625</v>
      </c>
      <c r="Z5215" s="11">
        <v>0.18228638045743148</v>
      </c>
    </row>
    <row r="5216" ht="22.5" customHeight="1">
      <c r="Q5216" s="9" t="s">
        <v>5254</v>
      </c>
      <c r="R5216" s="10">
        <v>0.6255097794960143</v>
      </c>
      <c r="S5216" s="10">
        <v>0.029385670160065592</v>
      </c>
      <c r="T5216" s="10">
        <v>19.925010262032675</v>
      </c>
      <c r="U5216" s="11">
        <v>0.08591095926784224</v>
      </c>
      <c r="V5216" s="11">
        <v>0.26354432097007524</v>
      </c>
      <c r="W5216" s="11">
        <v>0.0809716529792372</v>
      </c>
      <c r="X5216" s="11">
        <v>0.2870280505539389</v>
      </c>
      <c r="Y5216" s="11">
        <v>0.1274387286863221</v>
      </c>
      <c r="Z5216" s="11">
        <v>0.15510628754258438</v>
      </c>
    </row>
    <row r="5217" ht="22.5" customHeight="1">
      <c r="Q5217" s="9" t="s">
        <v>5255</v>
      </c>
      <c r="R5217" s="10">
        <v>0.40849488882938384</v>
      </c>
      <c r="S5217" s="10">
        <v>0.018494465306955175</v>
      </c>
      <c r="T5217" s="10">
        <v>19.92460353481021</v>
      </c>
      <c r="U5217" s="11">
        <v>0.3849127005620303</v>
      </c>
      <c r="V5217" s="11">
        <v>0.0438045771021259</v>
      </c>
      <c r="W5217" s="11">
        <v>0.1438988065412795</v>
      </c>
      <c r="X5217" s="11">
        <v>0.259064211139779</v>
      </c>
      <c r="Y5217" s="11">
        <v>0.06461698282776607</v>
      </c>
      <c r="Z5217" s="11">
        <v>0.10370272182701908</v>
      </c>
    </row>
    <row r="5218" ht="22.5" customHeight="1">
      <c r="Q5218" s="9" t="s">
        <v>5256</v>
      </c>
      <c r="R5218" s="10">
        <v>0.8281856763276984</v>
      </c>
      <c r="S5218" s="10">
        <v>0.03955885430927377</v>
      </c>
      <c r="T5218" s="10">
        <v>19.92438077618755</v>
      </c>
      <c r="U5218" s="11">
        <v>0.024525883606451537</v>
      </c>
      <c r="V5218" s="11">
        <v>0.24395760103082895</v>
      </c>
      <c r="W5218" s="11">
        <v>0.28108653747526025</v>
      </c>
      <c r="X5218" s="11">
        <v>0.08491230090493337</v>
      </c>
      <c r="Y5218" s="11">
        <v>0.12819470378792355</v>
      </c>
      <c r="Z5218" s="11">
        <v>0.23732297319460255</v>
      </c>
    </row>
    <row r="5219" ht="22.5" customHeight="1">
      <c r="Q5219" s="9" t="s">
        <v>5257</v>
      </c>
      <c r="R5219" s="10">
        <v>0.7908664215698178</v>
      </c>
      <c r="S5219" s="10">
        <v>0.03768581973236961</v>
      </c>
      <c r="T5219" s="10">
        <v>19.92437545215113</v>
      </c>
      <c r="U5219" s="11">
        <v>0.22248860369385015</v>
      </c>
      <c r="V5219" s="11">
        <v>0.21907090662093917</v>
      </c>
      <c r="W5219" s="11">
        <v>0.2704220550111071</v>
      </c>
      <c r="X5219" s="11">
        <v>0.017983342581170184</v>
      </c>
      <c r="Y5219" s="11">
        <v>0.23053165528458835</v>
      </c>
      <c r="Z5219" s="11">
        <v>0.039503436808344956</v>
      </c>
    </row>
    <row r="5220" ht="22.5" customHeight="1">
      <c r="Q5220" s="9" t="s">
        <v>5258</v>
      </c>
      <c r="R5220" s="10">
        <v>0.6001807368652944</v>
      </c>
      <c r="S5220" s="10">
        <v>0.02811552034974838</v>
      </c>
      <c r="T5220" s="10">
        <v>19.924252864496875</v>
      </c>
      <c r="U5220" s="11">
        <v>0.008358058181525543</v>
      </c>
      <c r="V5220" s="11">
        <v>0.11385849398692592</v>
      </c>
      <c r="W5220" s="11">
        <v>0.2272489008637542</v>
      </c>
      <c r="X5220" s="11">
        <v>0.28296528159284656</v>
      </c>
      <c r="Y5220" s="11">
        <v>0.08576243149704724</v>
      </c>
      <c r="Z5220" s="11">
        <v>0.2818068338779007</v>
      </c>
    </row>
    <row r="5221" ht="22.5" customHeight="1">
      <c r="Q5221" s="9" t="s">
        <v>5259</v>
      </c>
      <c r="R5221" s="10">
        <v>0.5774179251124388</v>
      </c>
      <c r="S5221" s="10">
        <v>0.02697364894264062</v>
      </c>
      <c r="T5221" s="10">
        <v>19.923812542205777</v>
      </c>
      <c r="U5221" s="11">
        <v>0.272584067734609</v>
      </c>
      <c r="V5221" s="11">
        <v>0.0980081993629696</v>
      </c>
      <c r="W5221" s="11">
        <v>0.21828036465236578</v>
      </c>
      <c r="X5221" s="11">
        <v>0.21010196975721562</v>
      </c>
      <c r="Y5221" s="11">
        <v>0.1434441682111549</v>
      </c>
      <c r="Z5221" s="11">
        <v>0.05758123028168503</v>
      </c>
    </row>
    <row r="5222" ht="22.5" customHeight="1">
      <c r="Q5222" s="9" t="s">
        <v>5260</v>
      </c>
      <c r="R5222" s="10">
        <v>0.3472584479413178</v>
      </c>
      <c r="S5222" s="10">
        <v>0.015421783458351664</v>
      </c>
      <c r="T5222" s="10">
        <v>19.923665039851283</v>
      </c>
      <c r="U5222" s="11">
        <v>0.2044459687740429</v>
      </c>
      <c r="V5222" s="11">
        <v>0.033012399104931964</v>
      </c>
      <c r="W5222" s="11">
        <v>0.11753101710923897</v>
      </c>
      <c r="X5222" s="11">
        <v>0.26283046518692366</v>
      </c>
      <c r="Y5222" s="11">
        <v>0.0906340954330323</v>
      </c>
      <c r="Z5222" s="11">
        <v>0.29154605439183023</v>
      </c>
    </row>
    <row r="5223" ht="22.5" customHeight="1">
      <c r="Q5223" s="9" t="s">
        <v>5261</v>
      </c>
      <c r="R5223" s="10">
        <v>0.5952406768905317</v>
      </c>
      <c r="S5223" s="10">
        <v>0.02786853005566381</v>
      </c>
      <c r="T5223" s="10">
        <v>19.92357242314215</v>
      </c>
      <c r="U5223" s="11">
        <v>0.16384335961324747</v>
      </c>
      <c r="V5223" s="11">
        <v>0.13590363112490164</v>
      </c>
      <c r="W5223" s="11">
        <v>0.21175109174384726</v>
      </c>
      <c r="X5223" s="11">
        <v>0.056726832325205846</v>
      </c>
      <c r="Y5223" s="11">
        <v>0.22935807972874966</v>
      </c>
      <c r="Z5223" s="11">
        <v>0.20241700546404817</v>
      </c>
    </row>
    <row r="5224" ht="22.5" customHeight="1">
      <c r="Q5224" s="9" t="s">
        <v>5262</v>
      </c>
      <c r="R5224" s="10">
        <v>0.3237943424530607</v>
      </c>
      <c r="S5224" s="10">
        <v>0.014244435036149396</v>
      </c>
      <c r="T5224" s="10">
        <v>19.92317292562675</v>
      </c>
      <c r="U5224" s="11">
        <v>0.27628584626012953</v>
      </c>
      <c r="V5224" s="11">
        <v>0.0360458965034257</v>
      </c>
      <c r="W5224" s="11">
        <v>0.09057645101182168</v>
      </c>
      <c r="X5224" s="11">
        <v>0.16190133204062068</v>
      </c>
      <c r="Y5224" s="11">
        <v>0.3102424400930997</v>
      </c>
      <c r="Z5224" s="11">
        <v>0.12494803409090262</v>
      </c>
    </row>
    <row r="5225" ht="22.5" customHeight="1">
      <c r="Q5225" s="9" t="s">
        <v>5263</v>
      </c>
      <c r="R5225" s="10">
        <v>0.8608191563276093</v>
      </c>
      <c r="S5225" s="10">
        <v>0.04119945666809451</v>
      </c>
      <c r="T5225" s="10">
        <v>19.923057795159327</v>
      </c>
      <c r="U5225" s="11">
        <v>0.2095220481214771</v>
      </c>
      <c r="V5225" s="11">
        <v>0.22993088965779807</v>
      </c>
      <c r="W5225" s="11">
        <v>0.3085643285771985</v>
      </c>
      <c r="X5225" s="11">
        <v>0.14571610224868223</v>
      </c>
      <c r="Y5225" s="11">
        <v>0.03388287849280768</v>
      </c>
      <c r="Z5225" s="11">
        <v>0.07238375290203641</v>
      </c>
    </row>
    <row r="5226" ht="22.5" customHeight="1">
      <c r="Q5226" s="9" t="s">
        <v>5264</v>
      </c>
      <c r="R5226" s="10">
        <v>1.0912672485840478</v>
      </c>
      <c r="S5226" s="10">
        <v>0.05276774484189147</v>
      </c>
      <c r="T5226" s="10">
        <v>19.922535096657445</v>
      </c>
      <c r="U5226" s="11">
        <v>0.12925977334714692</v>
      </c>
      <c r="V5226" s="11">
        <v>0.36700747133768286</v>
      </c>
      <c r="W5226" s="11">
        <v>0.34178573949939695</v>
      </c>
      <c r="X5226" s="11">
        <v>0.12980819361270945</v>
      </c>
      <c r="Y5226" s="11">
        <v>0.021443132831945207</v>
      </c>
      <c r="Z5226" s="11">
        <v>0.010695689371118434</v>
      </c>
    </row>
    <row r="5227" ht="22.5" customHeight="1">
      <c r="Q5227" s="9" t="s">
        <v>5265</v>
      </c>
      <c r="R5227" s="10">
        <v>0.3679584029697457</v>
      </c>
      <c r="S5227" s="10">
        <v>0.016461831691911396</v>
      </c>
      <c r="T5227" s="10">
        <v>19.922351844411683</v>
      </c>
      <c r="U5227" s="11">
        <v>0.24384915175537164</v>
      </c>
      <c r="V5227" s="11">
        <v>0.017888274643686655</v>
      </c>
      <c r="W5227" s="11">
        <v>0.11206048744486974</v>
      </c>
      <c r="X5227" s="11">
        <v>0.557433410110416</v>
      </c>
      <c r="Y5227" s="11">
        <v>0.023226452156225666</v>
      </c>
      <c r="Z5227" s="11">
        <v>0.04554222388943032</v>
      </c>
    </row>
    <row r="5228" ht="22.5" customHeight="1">
      <c r="Q5228" s="9" t="s">
        <v>5266</v>
      </c>
      <c r="R5228" s="10">
        <v>0.5728533558436629</v>
      </c>
      <c r="S5228" s="10">
        <v>0.02674735709093737</v>
      </c>
      <c r="T5228" s="10">
        <v>19.92171989299855</v>
      </c>
      <c r="U5228" s="11">
        <v>0.17000072672347455</v>
      </c>
      <c r="V5228" s="11">
        <v>0.23905255894777322</v>
      </c>
      <c r="W5228" s="11">
        <v>0.07668492720150624</v>
      </c>
      <c r="X5228" s="11">
        <v>0.2505620520758281</v>
      </c>
      <c r="Y5228" s="11">
        <v>0.011651179807941647</v>
      </c>
      <c r="Z5228" s="11">
        <v>0.25204855524347625</v>
      </c>
    </row>
    <row r="5229" ht="22.5" customHeight="1">
      <c r="Q5229" s="9" t="s">
        <v>5267</v>
      </c>
      <c r="R5229" s="10">
        <v>0.5194116668495643</v>
      </c>
      <c r="S5229" s="10">
        <v>0.02406544115796396</v>
      </c>
      <c r="T5229" s="10">
        <v>19.92116677615581</v>
      </c>
      <c r="U5229" s="11">
        <v>0.32003081259938415</v>
      </c>
      <c r="V5229" s="11">
        <v>0.20247804754049495</v>
      </c>
      <c r="W5229" s="11">
        <v>0.08176576485280247</v>
      </c>
      <c r="X5229" s="11">
        <v>0.043122346267777355</v>
      </c>
      <c r="Y5229" s="11">
        <v>0.1964717528963752</v>
      </c>
      <c r="Z5229" s="11">
        <v>0.15613127584316577</v>
      </c>
    </row>
    <row r="5230" ht="22.5" customHeight="1">
      <c r="Q5230" s="9" t="s">
        <v>5268</v>
      </c>
      <c r="R5230" s="10">
        <v>0.8796243347659398</v>
      </c>
      <c r="S5230" s="10">
        <v>0.04214917059543004</v>
      </c>
      <c r="T5230" s="10">
        <v>19.92030502391368</v>
      </c>
      <c r="U5230" s="11">
        <v>0.01696178316618697</v>
      </c>
      <c r="V5230" s="11">
        <v>0.34310352753681084</v>
      </c>
      <c r="W5230" s="11">
        <v>0.2129629779484467</v>
      </c>
      <c r="X5230" s="11">
        <v>0.10959584113418708</v>
      </c>
      <c r="Y5230" s="11">
        <v>0.11515072898915278</v>
      </c>
      <c r="Z5230" s="11">
        <v>0.2022251412252155</v>
      </c>
    </row>
    <row r="5231" ht="22.5" customHeight="1">
      <c r="Q5231" s="9" t="s">
        <v>5269</v>
      </c>
      <c r="R5231" s="10">
        <v>0.5414990240202014</v>
      </c>
      <c r="S5231" s="10">
        <v>0.025177126683881758</v>
      </c>
      <c r="T5231" s="10">
        <v>19.918834675493688</v>
      </c>
      <c r="U5231" s="11">
        <v>0.017339642563348676</v>
      </c>
      <c r="V5231" s="11">
        <v>0.09255961922235381</v>
      </c>
      <c r="W5231" s="11">
        <v>0.2042974026758424</v>
      </c>
      <c r="X5231" s="11">
        <v>0.2704468087140357</v>
      </c>
      <c r="Y5231" s="11">
        <v>0.13054959299863356</v>
      </c>
      <c r="Z5231" s="11">
        <v>0.28480693382578587</v>
      </c>
    </row>
    <row r="5232" ht="22.5" customHeight="1">
      <c r="Q5232" s="9" t="s">
        <v>5270</v>
      </c>
      <c r="R5232" s="10">
        <v>0.7142852639219417</v>
      </c>
      <c r="S5232" s="10">
        <v>0.03385216255234319</v>
      </c>
      <c r="T5232" s="10">
        <v>19.91852848039892</v>
      </c>
      <c r="U5232" s="11">
        <v>0.31482636605720093</v>
      </c>
      <c r="V5232" s="11">
        <v>0.18725379448037086</v>
      </c>
      <c r="W5232" s="11">
        <v>0.24715799744282294</v>
      </c>
      <c r="X5232" s="11">
        <v>0.0126820421640307</v>
      </c>
      <c r="Y5232" s="11">
        <v>0.17529501333391306</v>
      </c>
      <c r="Z5232" s="11">
        <v>0.06278478652166132</v>
      </c>
    </row>
    <row r="5233" ht="22.5" customHeight="1">
      <c r="Q5233" s="9" t="s">
        <v>5271</v>
      </c>
      <c r="R5233" s="10">
        <v>0.739861923633959</v>
      </c>
      <c r="S5233" s="10">
        <v>0.03513656917326161</v>
      </c>
      <c r="T5233" s="10">
        <v>19.918334091836805</v>
      </c>
      <c r="U5233" s="11">
        <v>0.18936375810775866</v>
      </c>
      <c r="V5233" s="11">
        <v>0.19812495882528416</v>
      </c>
      <c r="W5233" s="11">
        <v>0.2567820524979417</v>
      </c>
      <c r="X5233" s="11">
        <v>0.02916817045160283</v>
      </c>
      <c r="Y5233" s="11">
        <v>0.20827724153067986</v>
      </c>
      <c r="Z5233" s="11">
        <v>0.11828381858673273</v>
      </c>
    </row>
    <row r="5234" ht="22.5" customHeight="1">
      <c r="Q5234" s="9" t="s">
        <v>5272</v>
      </c>
      <c r="R5234" s="10">
        <v>0.2728634629431217</v>
      </c>
      <c r="S5234" s="10">
        <v>0.011691604142730991</v>
      </c>
      <c r="T5234" s="10">
        <v>19.91715252247055</v>
      </c>
      <c r="U5234" s="11">
        <v>0.18989864127625855</v>
      </c>
      <c r="V5234" s="11">
        <v>0.055792336091300986</v>
      </c>
      <c r="W5234" s="11">
        <v>0.0476256874596906</v>
      </c>
      <c r="X5234" s="11">
        <v>0.09397177398731352</v>
      </c>
      <c r="Y5234" s="11">
        <v>0.2896609439939407</v>
      </c>
      <c r="Z5234" s="11">
        <v>0.32305061719149575</v>
      </c>
    </row>
    <row r="5235" ht="22.5" customHeight="1">
      <c r="Q5235" s="9" t="s">
        <v>5273</v>
      </c>
      <c r="R5235" s="10">
        <v>0.6971186512428156</v>
      </c>
      <c r="S5235" s="10">
        <v>0.03299346769714091</v>
      </c>
      <c r="T5235" s="10">
        <v>19.91662886953101</v>
      </c>
      <c r="U5235" s="11">
        <v>0.14652892765767656</v>
      </c>
      <c r="V5235" s="11">
        <v>0.12757055125098266</v>
      </c>
      <c r="W5235" s="11">
        <v>0.2693447252563618</v>
      </c>
      <c r="X5235" s="11">
        <v>0.3791271082048172</v>
      </c>
      <c r="Y5235" s="11">
        <v>0.011100489645929407</v>
      </c>
      <c r="Z5235" s="11">
        <v>0.06632819798423242</v>
      </c>
    </row>
    <row r="5236" ht="22.5" customHeight="1">
      <c r="Q5236" s="9" t="s">
        <v>5274</v>
      </c>
      <c r="R5236" s="10">
        <v>0.7173832566444858</v>
      </c>
      <c r="S5236" s="10">
        <v>0.034011364946316375</v>
      </c>
      <c r="T5236" s="10">
        <v>19.91637964879296</v>
      </c>
      <c r="U5236" s="11">
        <v>0.33882667134950134</v>
      </c>
      <c r="V5236" s="11">
        <v>0.2811514473788483</v>
      </c>
      <c r="W5236" s="11">
        <v>0.1543005494257781</v>
      </c>
      <c r="X5236" s="11">
        <v>0.03294681206309353</v>
      </c>
      <c r="Y5236" s="11">
        <v>0.0737329568447025</v>
      </c>
      <c r="Z5236" s="11">
        <v>0.11904156293807631</v>
      </c>
    </row>
    <row r="5237" ht="22.5" customHeight="1">
      <c r="Q5237" s="9" t="s">
        <v>5275</v>
      </c>
      <c r="R5237" s="10">
        <v>0.7806866387048008</v>
      </c>
      <c r="S5237" s="10">
        <v>0.037191488951838325</v>
      </c>
      <c r="T5237" s="10">
        <v>19.915487644605033</v>
      </c>
      <c r="U5237" s="11">
        <v>0.03616551827053741</v>
      </c>
      <c r="V5237" s="11">
        <v>0.28310281754315464</v>
      </c>
      <c r="W5237" s="11">
        <v>0.21210097916263915</v>
      </c>
      <c r="X5237" s="11">
        <v>0.010320762070760242</v>
      </c>
      <c r="Y5237" s="11">
        <v>0.15900431909821708</v>
      </c>
      <c r="Z5237" s="11">
        <v>0.2993056038546915</v>
      </c>
    </row>
    <row r="5238" ht="22.5" customHeight="1">
      <c r="Q5238" s="9" t="s">
        <v>5276</v>
      </c>
      <c r="R5238" s="10">
        <v>0.5490095883518004</v>
      </c>
      <c r="S5238" s="10">
        <v>0.025558830357228262</v>
      </c>
      <c r="T5238" s="10">
        <v>19.915214477248092</v>
      </c>
      <c r="U5238" s="11">
        <v>0.2942456378239304</v>
      </c>
      <c r="V5238" s="11">
        <v>0.12131008003040565</v>
      </c>
      <c r="W5238" s="11">
        <v>0.19114618234284778</v>
      </c>
      <c r="X5238" s="11">
        <v>0.02649322286774859</v>
      </c>
      <c r="Y5238" s="11">
        <v>0.21340897712824347</v>
      </c>
      <c r="Z5238" s="11">
        <v>0.1533958998068242</v>
      </c>
    </row>
    <row r="5239" ht="22.5" customHeight="1">
      <c r="Q5239" s="9" t="s">
        <v>5277</v>
      </c>
      <c r="R5239" s="10">
        <v>0.9608054510080389</v>
      </c>
      <c r="S5239" s="10">
        <v>0.04623629648294648</v>
      </c>
      <c r="T5239" s="10">
        <v>19.91520777075351</v>
      </c>
      <c r="U5239" s="11">
        <v>0.012658293198454615</v>
      </c>
      <c r="V5239" s="11">
        <v>0.2879184250957044</v>
      </c>
      <c r="W5239" s="11">
        <v>0.3285230251337048</v>
      </c>
      <c r="X5239" s="11">
        <v>0.16812698721217942</v>
      </c>
      <c r="Y5239" s="11">
        <v>0.04083471690445961</v>
      </c>
      <c r="Z5239" s="11">
        <v>0.16193855245549715</v>
      </c>
    </row>
    <row r="5240" ht="22.5" customHeight="1">
      <c r="Q5240" s="9" t="s">
        <v>5278</v>
      </c>
      <c r="R5240" s="10">
        <v>0.4432458894905451</v>
      </c>
      <c r="S5240" s="10">
        <v>0.0202483488386598</v>
      </c>
      <c r="T5240" s="10">
        <v>19.915001104714037</v>
      </c>
      <c r="U5240" s="11">
        <v>0.33426456894530027</v>
      </c>
      <c r="V5240" s="11">
        <v>0.050164156598929865</v>
      </c>
      <c r="W5240" s="11">
        <v>0.15793427314265374</v>
      </c>
      <c r="X5240" s="11">
        <v>0.23376185898252236</v>
      </c>
      <c r="Y5240" s="11">
        <v>0.21506886089594401</v>
      </c>
      <c r="Z5240" s="11">
        <v>0.00880628143464991</v>
      </c>
    </row>
    <row r="5241" ht="22.5" customHeight="1">
      <c r="Q5241" s="9" t="s">
        <v>5279</v>
      </c>
      <c r="R5241" s="10">
        <v>0.5216269767692422</v>
      </c>
      <c r="S5241" s="10">
        <v>0.024184220555364764</v>
      </c>
      <c r="T5241" s="10">
        <v>19.914926580604778</v>
      </c>
      <c r="U5241" s="11">
        <v>0.0053144047311521085</v>
      </c>
      <c r="V5241" s="11">
        <v>0.1140403543018906</v>
      </c>
      <c r="W5241" s="11">
        <v>0.18699598627557265</v>
      </c>
      <c r="X5241" s="11">
        <v>0.1446888147191368</v>
      </c>
      <c r="Y5241" s="11">
        <v>0.09756414679392468</v>
      </c>
      <c r="Z5241" s="11">
        <v>0.45139629317832314</v>
      </c>
    </row>
    <row r="5242" ht="22.5" customHeight="1">
      <c r="Q5242" s="9" t="s">
        <v>5280</v>
      </c>
      <c r="R5242" s="10">
        <v>0.5458929876484927</v>
      </c>
      <c r="S5242" s="10">
        <v>0.025405727256190187</v>
      </c>
      <c r="T5242" s="10">
        <v>19.912556824179486</v>
      </c>
      <c r="U5242" s="11">
        <v>0.20795001326262025</v>
      </c>
      <c r="V5242" s="11">
        <v>0.2272785568138462</v>
      </c>
      <c r="W5242" s="11">
        <v>0.06529391015640412</v>
      </c>
      <c r="X5242" s="11">
        <v>0.24673531417123792</v>
      </c>
      <c r="Y5242" s="11">
        <v>0.04367514310700469</v>
      </c>
      <c r="Z5242" s="11">
        <v>0.2090670624888869</v>
      </c>
    </row>
    <row r="5243" ht="22.5" customHeight="1">
      <c r="Q5243" s="9" t="s">
        <v>5281</v>
      </c>
      <c r="R5243" s="10">
        <v>0.7831655746278582</v>
      </c>
      <c r="S5243" s="10">
        <v>0.03732254519818026</v>
      </c>
      <c r="T5243" s="10">
        <v>19.911974670583096</v>
      </c>
      <c r="U5243" s="11">
        <v>0.25744164198440295</v>
      </c>
      <c r="V5243" s="11">
        <v>0.2110186369511607</v>
      </c>
      <c r="W5243" s="11">
        <v>0.27557299731575347</v>
      </c>
      <c r="X5243" s="11">
        <v>0.0650884224254482</v>
      </c>
      <c r="Y5243" s="11">
        <v>0.08621236732489759</v>
      </c>
      <c r="Z5243" s="11">
        <v>0.10466593399833712</v>
      </c>
    </row>
    <row r="5244" ht="22.5" customHeight="1">
      <c r="Q5244" s="9" t="s">
        <v>5282</v>
      </c>
      <c r="R5244" s="10">
        <v>0.8366522568517308</v>
      </c>
      <c r="S5244" s="10">
        <v>0.04001006821036321</v>
      </c>
      <c r="T5244" s="10">
        <v>19.91129464371635</v>
      </c>
      <c r="U5244" s="11">
        <v>0.17361320582073028</v>
      </c>
      <c r="V5244" s="11">
        <v>0.2795319234024889</v>
      </c>
      <c r="W5244" s="11">
        <v>0.25695361074247486</v>
      </c>
      <c r="X5244" s="11">
        <v>0.02699377754497517</v>
      </c>
      <c r="Y5244" s="11">
        <v>0.028035391818730864</v>
      </c>
      <c r="Z5244" s="11">
        <v>0.2348720906705999</v>
      </c>
    </row>
    <row r="5245" ht="22.5" customHeight="1">
      <c r="Q5245" s="9" t="s">
        <v>5283</v>
      </c>
      <c r="R5245" s="10">
        <v>0.7446719198412055</v>
      </c>
      <c r="S5245" s="10">
        <v>0.035390659779921785</v>
      </c>
      <c r="T5245" s="10">
        <v>19.911239977531803</v>
      </c>
      <c r="U5245" s="11">
        <v>0.18364394490130226</v>
      </c>
      <c r="V5245" s="11">
        <v>0.21032314209364317</v>
      </c>
      <c r="W5245" s="11">
        <v>0.2560161311219376</v>
      </c>
      <c r="X5245" s="11">
        <v>0.05841989225410067</v>
      </c>
      <c r="Y5245" s="11">
        <v>0.04307579576830115</v>
      </c>
      <c r="Z5245" s="11">
        <v>0.24852109386071514</v>
      </c>
    </row>
    <row r="5246" ht="22.5" customHeight="1">
      <c r="Q5246" s="9" t="s">
        <v>5284</v>
      </c>
      <c r="R5246" s="10">
        <v>0.521717207699323</v>
      </c>
      <c r="S5246" s="10">
        <v>0.024193259340467878</v>
      </c>
      <c r="T5246" s="10">
        <v>19.911215802723955</v>
      </c>
      <c r="U5246" s="11">
        <v>0.11674589862032851</v>
      </c>
      <c r="V5246" s="11">
        <v>0.20912476398922625</v>
      </c>
      <c r="W5246" s="11">
        <v>0.07024743346972553</v>
      </c>
      <c r="X5246" s="11">
        <v>0.11863320261878703</v>
      </c>
      <c r="Y5246" s="11">
        <v>0.2947152156438818</v>
      </c>
      <c r="Z5246" s="11">
        <v>0.19053348565805073</v>
      </c>
    </row>
    <row r="5247" ht="22.5" customHeight="1">
      <c r="Q5247" s="9" t="s">
        <v>5285</v>
      </c>
      <c r="R5247" s="10">
        <v>0.43516241026158287</v>
      </c>
      <c r="S5247" s="10">
        <v>0.01984729786634241</v>
      </c>
      <c r="T5247" s="10">
        <v>19.910136529552975</v>
      </c>
      <c r="U5247" s="11">
        <v>0.025594432900921033</v>
      </c>
      <c r="V5247" s="11">
        <v>0.17120259525420936</v>
      </c>
      <c r="W5247" s="11">
        <v>0.048912122175660856</v>
      </c>
      <c r="X5247" s="11">
        <v>0.15445142669124381</v>
      </c>
      <c r="Y5247" s="11">
        <v>0.26147070726902094</v>
      </c>
      <c r="Z5247" s="11">
        <v>0.3383687157089441</v>
      </c>
    </row>
    <row r="5248" ht="22.5" customHeight="1">
      <c r="Q5248" s="9" t="s">
        <v>5286</v>
      </c>
      <c r="R5248" s="10">
        <v>0.6902040576741921</v>
      </c>
      <c r="S5248" s="10">
        <v>0.03265711000019196</v>
      </c>
      <c r="T5248" s="10">
        <v>19.910030546804972</v>
      </c>
      <c r="U5248" s="11">
        <v>0.1292943908248089</v>
      </c>
      <c r="V5248" s="11">
        <v>0.15281405751101274</v>
      </c>
      <c r="W5248" s="11">
        <v>0.25890149971075854</v>
      </c>
      <c r="X5248" s="11">
        <v>0.20422984307308478</v>
      </c>
      <c r="Y5248" s="11">
        <v>0.054415950100776336</v>
      </c>
      <c r="Z5248" s="11">
        <v>0.20034425877955878</v>
      </c>
    </row>
    <row r="5249" ht="22.5" customHeight="1">
      <c r="Q5249" s="9" t="s">
        <v>5287</v>
      </c>
      <c r="R5249" s="10">
        <v>0.7260829076802502</v>
      </c>
      <c r="S5249" s="10">
        <v>0.03445923395068869</v>
      </c>
      <c r="T5249" s="10">
        <v>19.909987223222593</v>
      </c>
      <c r="U5249" s="11">
        <v>0.0477962630023698</v>
      </c>
      <c r="V5249" s="11">
        <v>0.29520190744522323</v>
      </c>
      <c r="W5249" s="11">
        <v>0.14187402517758382</v>
      </c>
      <c r="X5249" s="11">
        <v>0.11037017671917304</v>
      </c>
      <c r="Y5249" s="11">
        <v>0.20419134884003293</v>
      </c>
      <c r="Z5249" s="11">
        <v>0.20056627881561703</v>
      </c>
    </row>
    <row r="5250" ht="22.5" customHeight="1">
      <c r="Q5250" s="9" t="s">
        <v>5288</v>
      </c>
      <c r="R5250" s="10">
        <v>0.6591045326257391</v>
      </c>
      <c r="S5250" s="10">
        <v>0.031095898374931676</v>
      </c>
      <c r="T5250" s="10">
        <v>19.909523923735147</v>
      </c>
      <c r="U5250" s="11">
        <v>0.20763178251485584</v>
      </c>
      <c r="V5250" s="11">
        <v>0.1285685925808559</v>
      </c>
      <c r="W5250" s="11">
        <v>0.25140652199496066</v>
      </c>
      <c r="X5250" s="11">
        <v>0.23410589488341083</v>
      </c>
      <c r="Y5250" s="11">
        <v>0.07887529123300277</v>
      </c>
      <c r="Z5250" s="11">
        <v>0.09941191679291403</v>
      </c>
    </row>
    <row r="5251" ht="22.5" customHeight="1">
      <c r="Q5251" s="9" t="s">
        <v>5289</v>
      </c>
      <c r="R5251" s="10">
        <v>0.55330703749669</v>
      </c>
      <c r="S5251" s="10">
        <v>0.02578229138774782</v>
      </c>
      <c r="T5251" s="10">
        <v>19.909286951144384</v>
      </c>
      <c r="U5251" s="11">
        <v>0.1307194872730489</v>
      </c>
      <c r="V5251" s="11">
        <v>0.2290646017253543</v>
      </c>
      <c r="W5251" s="11">
        <v>0.07304714303400624</v>
      </c>
      <c r="X5251" s="11">
        <v>0.17220988494255765</v>
      </c>
      <c r="Y5251" s="11">
        <v>0.18014763817080523</v>
      </c>
      <c r="Z5251" s="11">
        <v>0.21481124485422778</v>
      </c>
    </row>
    <row r="5252" ht="22.5" customHeight="1">
      <c r="Q5252" s="9" t="s">
        <v>5290</v>
      </c>
      <c r="R5252" s="10">
        <v>0.5225221338738971</v>
      </c>
      <c r="S5252" s="10">
        <v>0.024236258108189544</v>
      </c>
      <c r="T5252" s="10">
        <v>19.90910196285006</v>
      </c>
      <c r="U5252" s="11">
        <v>0.20792318079699135</v>
      </c>
      <c r="V5252" s="11">
        <v>0.11109857056301761</v>
      </c>
      <c r="W5252" s="11">
        <v>0.181675935046514</v>
      </c>
      <c r="X5252" s="11">
        <v>0.038765534441968674</v>
      </c>
      <c r="Y5252" s="11">
        <v>0.264407542007468</v>
      </c>
      <c r="Z5252" s="11">
        <v>0.19612923714404043</v>
      </c>
    </row>
    <row r="5253" ht="22.5" customHeight="1">
      <c r="Q5253" s="9" t="s">
        <v>5291</v>
      </c>
      <c r="R5253" s="10">
        <v>0.9523655167010368</v>
      </c>
      <c r="S5253" s="10">
        <v>0.04582792738228319</v>
      </c>
      <c r="T5253" s="10">
        <v>19.90850489681434</v>
      </c>
      <c r="U5253" s="11">
        <v>0.05630755587740264</v>
      </c>
      <c r="V5253" s="11">
        <v>0.35155727733855463</v>
      </c>
      <c r="W5253" s="11">
        <v>0.26255693779093847</v>
      </c>
      <c r="X5253" s="11">
        <v>0.09375539202582399</v>
      </c>
      <c r="Y5253" s="11">
        <v>0.04795000622715769</v>
      </c>
      <c r="Z5253" s="11">
        <v>0.18787283074012245</v>
      </c>
    </row>
    <row r="5254" ht="22.5" customHeight="1">
      <c r="Q5254" s="9" t="s">
        <v>5292</v>
      </c>
      <c r="R5254" s="10">
        <v>0.357571876537322</v>
      </c>
      <c r="S5254" s="10">
        <v>0.01595176118251451</v>
      </c>
      <c r="T5254" s="10">
        <v>19.90826422886946</v>
      </c>
      <c r="U5254" s="11">
        <v>0.3398386179317568</v>
      </c>
      <c r="V5254" s="11">
        <v>0.04007864436702517</v>
      </c>
      <c r="W5254" s="11">
        <v>0.11869250085654123</v>
      </c>
      <c r="X5254" s="11">
        <v>0.18204563741683524</v>
      </c>
      <c r="Y5254" s="11">
        <v>0.12419834508160035</v>
      </c>
      <c r="Z5254" s="11">
        <v>0.19514625434624117</v>
      </c>
    </row>
    <row r="5255" ht="22.5" customHeight="1">
      <c r="Q5255" s="9" t="s">
        <v>5293</v>
      </c>
      <c r="R5255" s="10">
        <v>0.8203020190376684</v>
      </c>
      <c r="S5255" s="10">
        <v>0.03919563364989129</v>
      </c>
      <c r="T5255" s="10">
        <v>19.90788121982135</v>
      </c>
      <c r="U5255" s="11">
        <v>0.16428935347250545</v>
      </c>
      <c r="V5255" s="11">
        <v>0.311938977551665</v>
      </c>
      <c r="W5255" s="11">
        <v>0.20673378210185198</v>
      </c>
      <c r="X5255" s="11">
        <v>0.03607569506752053</v>
      </c>
      <c r="Y5255" s="11">
        <v>0.07522536189133444</v>
      </c>
      <c r="Z5255" s="11">
        <v>0.2057368299151226</v>
      </c>
    </row>
    <row r="5256" ht="22.5" customHeight="1">
      <c r="Q5256" s="9" t="s">
        <v>5294</v>
      </c>
      <c r="R5256" s="10">
        <v>0.5322397851072492</v>
      </c>
      <c r="S5256" s="10">
        <v>0.02472622588614063</v>
      </c>
      <c r="T5256" s="10">
        <v>19.90759881325666</v>
      </c>
      <c r="U5256" s="11">
        <v>0.060341511948937145</v>
      </c>
      <c r="V5256" s="11">
        <v>0.21858565030125757</v>
      </c>
      <c r="W5256" s="11">
        <v>0.04330948051732508</v>
      </c>
      <c r="X5256" s="11">
        <v>0.45020755874564145</v>
      </c>
      <c r="Y5256" s="11">
        <v>0.06929836792428319</v>
      </c>
      <c r="Z5256" s="11">
        <v>0.15825743056255567</v>
      </c>
    </row>
    <row r="5257" ht="22.5" customHeight="1">
      <c r="Q5257" s="9" t="s">
        <v>5295</v>
      </c>
      <c r="R5257" s="10">
        <v>0.7722347121215489</v>
      </c>
      <c r="S5257" s="10">
        <v>0.0367857624098257</v>
      </c>
      <c r="T5257" s="10">
        <v>19.90538360912059</v>
      </c>
      <c r="U5257" s="11">
        <v>0.07145720094798735</v>
      </c>
      <c r="V5257" s="11">
        <v>0.2336558459924712</v>
      </c>
      <c r="W5257" s="11">
        <v>0.25712693176303175</v>
      </c>
      <c r="X5257" s="11">
        <v>0.07984214875769642</v>
      </c>
      <c r="Y5257" s="11">
        <v>0.014787859808457251</v>
      </c>
      <c r="Z5257" s="11">
        <v>0.34313001273035604</v>
      </c>
    </row>
    <row r="5258" ht="22.5" customHeight="1">
      <c r="Q5258" s="9" t="s">
        <v>5296</v>
      </c>
      <c r="R5258" s="10">
        <v>0.522331348251574</v>
      </c>
      <c r="S5258" s="10">
        <v>0.023862631494538884</v>
      </c>
      <c r="T5258" s="10">
        <v>19.9053745766687</v>
      </c>
      <c r="U5258" s="11">
        <v>0.012365566238233414</v>
      </c>
      <c r="V5258" s="11">
        <v>0.08680770332950652</v>
      </c>
      <c r="W5258" s="11">
        <v>0.18989234893185997</v>
      </c>
      <c r="X5258" s="11">
        <v>0.20910267561413273</v>
      </c>
      <c r="Y5258" s="11">
        <v>0.2588707756994229</v>
      </c>
      <c r="Z5258" s="11">
        <v>0.24296093018684453</v>
      </c>
    </row>
    <row r="5259" ht="22.5" customHeight="1">
      <c r="Q5259" s="9" t="s">
        <v>5297</v>
      </c>
      <c r="R5259" s="10">
        <v>0.5335265995555163</v>
      </c>
      <c r="S5259" s="10">
        <v>0.024795053031951775</v>
      </c>
      <c r="T5259" s="10">
        <v>19.904236499092807</v>
      </c>
      <c r="U5259" s="11">
        <v>0.21702434553407202</v>
      </c>
      <c r="V5259" s="11">
        <v>0.12121188987834913</v>
      </c>
      <c r="W5259" s="11">
        <v>0.18465431365055107</v>
      </c>
      <c r="X5259" s="11">
        <v>0.021252041224527885</v>
      </c>
      <c r="Y5259" s="11">
        <v>0.2146449959940377</v>
      </c>
      <c r="Z5259" s="11">
        <v>0.24121241371846217</v>
      </c>
    </row>
    <row r="5260" ht="22.5" customHeight="1">
      <c r="Q5260" s="9" t="s">
        <v>5298</v>
      </c>
      <c r="R5260" s="10">
        <v>0.4151719639866031</v>
      </c>
      <c r="S5260" s="10">
        <v>0.018849300333754215</v>
      </c>
      <c r="T5260" s="10">
        <v>19.90376074144075</v>
      </c>
      <c r="U5260" s="11">
        <v>0.28888260326615905</v>
      </c>
      <c r="V5260" s="11">
        <v>0.16061995519498592</v>
      </c>
      <c r="W5260" s="11">
        <v>0.024720591325571466</v>
      </c>
      <c r="X5260" s="11">
        <v>0.2654479340772369</v>
      </c>
      <c r="Y5260" s="11">
        <v>0.14442867668764256</v>
      </c>
      <c r="Z5260" s="11">
        <v>0.11590023944840411</v>
      </c>
    </row>
    <row r="5261" ht="22.5" customHeight="1">
      <c r="Q5261" s="9" t="s">
        <v>5299</v>
      </c>
      <c r="R5261" s="10">
        <v>0.7670276592231087</v>
      </c>
      <c r="S5261" s="10">
        <v>0.03652898001768772</v>
      </c>
      <c r="T5261" s="10">
        <v>19.902763747333598</v>
      </c>
      <c r="U5261" s="11">
        <v>0.024411387010921822</v>
      </c>
      <c r="V5261" s="11">
        <v>0.31302065981968485</v>
      </c>
      <c r="W5261" s="11">
        <v>0.13779886313127787</v>
      </c>
      <c r="X5261" s="11">
        <v>0.16131922734038073</v>
      </c>
      <c r="Y5261" s="11">
        <v>0.34055080616330635</v>
      </c>
      <c r="Z5261" s="11">
        <v>0.022899056534428357</v>
      </c>
    </row>
    <row r="5262" ht="22.5" customHeight="1">
      <c r="Q5262" s="9" t="s">
        <v>5300</v>
      </c>
      <c r="R5262" s="10">
        <v>0.8299092565846748</v>
      </c>
      <c r="S5262" s="10">
        <v>0.03968857915039686</v>
      </c>
      <c r="T5262" s="10">
        <v>19.90268418507434</v>
      </c>
      <c r="U5262" s="11">
        <v>0.3004691695239096</v>
      </c>
      <c r="V5262" s="11">
        <v>0.2586978961790702</v>
      </c>
      <c r="W5262" s="11">
        <v>0.2690925458371184</v>
      </c>
      <c r="X5262" s="11">
        <v>0.02326730055864682</v>
      </c>
      <c r="Y5262" s="11">
        <v>0.00574391021364027</v>
      </c>
      <c r="Z5262" s="11">
        <v>0.14272917768761462</v>
      </c>
    </row>
    <row r="5263" ht="22.5" customHeight="1">
      <c r="Q5263" s="9" t="s">
        <v>5301</v>
      </c>
      <c r="R5263" s="10">
        <v>0.6367180582163926</v>
      </c>
      <c r="S5263" s="10">
        <v>0.02998186897362173</v>
      </c>
      <c r="T5263" s="10">
        <v>19.902630444465938</v>
      </c>
      <c r="U5263" s="11">
        <v>0.02971064484087661</v>
      </c>
      <c r="V5263" s="11">
        <v>0.26216260456326285</v>
      </c>
      <c r="W5263" s="11">
        <v>0.1146152990449434</v>
      </c>
      <c r="X5263" s="11">
        <v>0.1695813859807591</v>
      </c>
      <c r="Y5263" s="11">
        <v>0.05663357146854893</v>
      </c>
      <c r="Z5263" s="11">
        <v>0.3672964941016092</v>
      </c>
    </row>
    <row r="5264" ht="22.5" customHeight="1">
      <c r="Q5264" s="9" t="s">
        <v>5302</v>
      </c>
      <c r="R5264" s="10">
        <v>0.5922636939312605</v>
      </c>
      <c r="S5264" s="10">
        <v>0.027748492697926307</v>
      </c>
      <c r="T5264" s="10">
        <v>19.90247542247699</v>
      </c>
      <c r="U5264" s="11">
        <v>0.1886509072596796</v>
      </c>
      <c r="V5264" s="11">
        <v>0.24217095370714434</v>
      </c>
      <c r="W5264" s="11">
        <v>0.08241255324763978</v>
      </c>
      <c r="X5264" s="11">
        <v>0.14275533225819576</v>
      </c>
      <c r="Y5264" s="11">
        <v>0.266942176936263</v>
      </c>
      <c r="Z5264" s="11">
        <v>0.07706807659107746</v>
      </c>
    </row>
    <row r="5265" ht="22.5" customHeight="1">
      <c r="Q5265" s="9" t="s">
        <v>5303</v>
      </c>
      <c r="R5265" s="10">
        <v>0.7406107286779067</v>
      </c>
      <c r="S5265" s="10">
        <v>0.0352029049957746</v>
      </c>
      <c r="T5265" s="10">
        <v>19.902071398993943</v>
      </c>
      <c r="U5265" s="11">
        <v>0.24546169937385848</v>
      </c>
      <c r="V5265" s="11">
        <v>0.1959399017023682</v>
      </c>
      <c r="W5265" s="11">
        <v>0.25992922961771486</v>
      </c>
      <c r="X5265" s="11">
        <v>0.03860219520170082</v>
      </c>
      <c r="Y5265" s="11">
        <v>0.14528374773019</v>
      </c>
      <c r="Z5265" s="11">
        <v>0.11478322637416767</v>
      </c>
    </row>
    <row r="5266" ht="22.5" customHeight="1">
      <c r="Q5266" s="9" t="s">
        <v>5304</v>
      </c>
      <c r="R5266" s="10">
        <v>0.522331348251574</v>
      </c>
      <c r="S5266" s="10">
        <v>0.039210941396321745</v>
      </c>
      <c r="T5266" s="10">
        <v>19.901819059045838</v>
      </c>
      <c r="U5266" s="11">
        <v>0.016730839394351712</v>
      </c>
      <c r="V5266" s="11">
        <v>0.32535546669699106</v>
      </c>
      <c r="W5266" s="11">
        <v>0.17629159881841389</v>
      </c>
      <c r="X5266" s="11">
        <v>0.0862981148880754</v>
      </c>
      <c r="Y5266" s="11">
        <v>0.3171692606597413</v>
      </c>
      <c r="Z5266" s="11">
        <v>0.07815471954242657</v>
      </c>
    </row>
    <row r="5267" ht="22.5" customHeight="1">
      <c r="Q5267" s="9" t="s">
        <v>5305</v>
      </c>
      <c r="R5267" s="10">
        <v>0.41860325372680846</v>
      </c>
      <c r="S5267" s="10">
        <v>0.019023996217978217</v>
      </c>
      <c r="T5267" s="10">
        <v>19.901352449230284</v>
      </c>
      <c r="U5267" s="11">
        <v>0.2895434156182264</v>
      </c>
      <c r="V5267" s="11">
        <v>0.16146875585191564</v>
      </c>
      <c r="W5267" s="11">
        <v>0.04974802895836121</v>
      </c>
      <c r="X5267" s="11">
        <v>0.10260176879111346</v>
      </c>
      <c r="Y5267" s="11">
        <v>0.1217897079707723</v>
      </c>
      <c r="Z5267" s="11">
        <v>0.2748483228096108</v>
      </c>
    </row>
    <row r="5268" ht="22.5" customHeight="1">
      <c r="Q5268" s="9" t="s">
        <v>5306</v>
      </c>
      <c r="R5268" s="10">
        <v>0.753158616273174</v>
      </c>
      <c r="S5268" s="10">
        <v>0.035840299039773614</v>
      </c>
      <c r="T5268" s="10">
        <v>19.89823286579583</v>
      </c>
      <c r="U5268" s="11">
        <v>0.04743881813197943</v>
      </c>
      <c r="V5268" s="11">
        <v>0.3147313505254031</v>
      </c>
      <c r="W5268" s="11">
        <v>0.11865978673763752</v>
      </c>
      <c r="X5268" s="11">
        <v>0.24689440661370193</v>
      </c>
      <c r="Y5268" s="11">
        <v>0.2645908144128098</v>
      </c>
      <c r="Z5268" s="11">
        <v>0.0076848235784681</v>
      </c>
    </row>
    <row r="5269" ht="22.5" customHeight="1">
      <c r="Q5269" s="9" t="s">
        <v>5307</v>
      </c>
      <c r="R5269" s="10">
        <v>0.6230494290577374</v>
      </c>
      <c r="S5269" s="10">
        <v>0.02930182659638385</v>
      </c>
      <c r="T5269" s="10">
        <v>19.898057451807176</v>
      </c>
      <c r="U5269" s="11">
        <v>0.16043669172655037</v>
      </c>
      <c r="V5269" s="11">
        <v>0.2580471441431663</v>
      </c>
      <c r="W5269" s="11">
        <v>0.09842305323681894</v>
      </c>
      <c r="X5269" s="11">
        <v>0.13863823900206207</v>
      </c>
      <c r="Y5269" s="11">
        <v>0.15876829978657186</v>
      </c>
      <c r="Z5269" s="11">
        <v>0.18568657210483053</v>
      </c>
    </row>
    <row r="5270" ht="22.5" customHeight="1">
      <c r="Q5270" s="9" t="s">
        <v>5308</v>
      </c>
      <c r="R5270" s="10">
        <v>0.388990957390288</v>
      </c>
      <c r="S5270" s="10">
        <v>0.01753942256453607</v>
      </c>
      <c r="T5270" s="10">
        <v>19.89751692829</v>
      </c>
      <c r="U5270" s="11">
        <v>0.2615830039315137</v>
      </c>
      <c r="V5270" s="11">
        <v>0.14388161437576408</v>
      </c>
      <c r="W5270" s="11">
        <v>0.04367831117731365</v>
      </c>
      <c r="X5270" s="11">
        <v>0.0834780382085075</v>
      </c>
      <c r="Y5270" s="11">
        <v>0.2146564085360036</v>
      </c>
      <c r="Z5270" s="11">
        <v>0.2527226237708975</v>
      </c>
    </row>
    <row r="5271" ht="22.5" customHeight="1">
      <c r="Q5271" s="9" t="s">
        <v>5309</v>
      </c>
      <c r="R5271" s="10">
        <v>0.8434634937342611</v>
      </c>
      <c r="S5271" s="10">
        <v>0.040380483155404545</v>
      </c>
      <c r="T5271" s="10">
        <v>19.89732244267922</v>
      </c>
      <c r="U5271" s="11">
        <v>0.23590070116375778</v>
      </c>
      <c r="V5271" s="11">
        <v>0.24188833409825652</v>
      </c>
      <c r="W5271" s="11">
        <v>0.29117725817687234</v>
      </c>
      <c r="X5271" s="11">
        <v>0.06929436718619282</v>
      </c>
      <c r="Y5271" s="11">
        <v>0.04531891275379462</v>
      </c>
      <c r="Z5271" s="11">
        <v>0.11642042662112595</v>
      </c>
    </row>
    <row r="5272" ht="22.5" customHeight="1">
      <c r="Q5272" s="9" t="s">
        <v>5310</v>
      </c>
      <c r="R5272" s="10">
        <v>0.522331348251574</v>
      </c>
      <c r="S5272" s="10">
        <v>0.03629891161260335</v>
      </c>
      <c r="T5272" s="10">
        <v>19.896924345742832</v>
      </c>
      <c r="U5272" s="11">
        <v>0.039803605654527285</v>
      </c>
      <c r="V5272" s="11">
        <v>0.20638093807655175</v>
      </c>
      <c r="W5272" s="11">
        <v>0.27020830649933386</v>
      </c>
      <c r="X5272" s="11">
        <v>0.12793143029492268</v>
      </c>
      <c r="Y5272" s="11">
        <v>0.06227814308651932</v>
      </c>
      <c r="Z5272" s="11">
        <v>0.2933975763881452</v>
      </c>
    </row>
    <row r="5273" ht="22.5" customHeight="1">
      <c r="Q5273" s="9" t="s">
        <v>5311</v>
      </c>
      <c r="R5273" s="10">
        <v>0.5094822049607987</v>
      </c>
      <c r="S5273" s="10">
        <v>0.02359673836840252</v>
      </c>
      <c r="T5273" s="10">
        <v>19.89606349958366</v>
      </c>
      <c r="U5273" s="11">
        <v>0.2310736737055738</v>
      </c>
      <c r="V5273" s="11">
        <v>0.20360120987778996</v>
      </c>
      <c r="W5273" s="11">
        <v>0.06807652503507867</v>
      </c>
      <c r="X5273" s="11">
        <v>0.09687292102250013</v>
      </c>
      <c r="Y5273" s="11">
        <v>0.23535863957142733</v>
      </c>
      <c r="Z5273" s="11">
        <v>0.16501703078763016</v>
      </c>
    </row>
    <row r="5274" ht="22.5" customHeight="1">
      <c r="Q5274" s="9" t="s">
        <v>5312</v>
      </c>
      <c r="R5274" s="10">
        <v>0.8964974279530066</v>
      </c>
      <c r="S5274" s="10">
        <v>0.04305039476781466</v>
      </c>
      <c r="T5274" s="10">
        <v>19.895228198774642</v>
      </c>
      <c r="U5274" s="11">
        <v>0.2584800034323041</v>
      </c>
      <c r="V5274" s="11">
        <v>0.3017941001726515</v>
      </c>
      <c r="W5274" s="11">
        <v>0.27424825758324684</v>
      </c>
      <c r="X5274" s="11">
        <v>0.017408678420976556</v>
      </c>
      <c r="Y5274" s="11">
        <v>0.029095660656907416</v>
      </c>
      <c r="Z5274" s="11">
        <v>0.1189732997339137</v>
      </c>
    </row>
    <row r="5275" ht="22.5" customHeight="1">
      <c r="Q5275" s="9" t="s">
        <v>5313</v>
      </c>
      <c r="R5275" s="10">
        <v>0.8169395621696712</v>
      </c>
      <c r="S5275" s="10">
        <v>0.039051737796393114</v>
      </c>
      <c r="T5275" s="10">
        <v>19.895134147946436</v>
      </c>
      <c r="U5275" s="11">
        <v>0.21489837508728907</v>
      </c>
      <c r="V5275" s="11">
        <v>0.21502522222495177</v>
      </c>
      <c r="W5275" s="11">
        <v>0.2894710716796055</v>
      </c>
      <c r="X5275" s="11">
        <v>0.06355650886391478</v>
      </c>
      <c r="Y5275" s="11">
        <v>0.21302976945285068</v>
      </c>
      <c r="Z5275" s="11">
        <v>0.0040190526913882665</v>
      </c>
    </row>
    <row r="5276" ht="22.5" customHeight="1">
      <c r="Q5276" s="9" t="s">
        <v>5314</v>
      </c>
      <c r="R5276" s="10">
        <v>0.7851737689335542</v>
      </c>
      <c r="S5276" s="10">
        <v>0.03745516907730459</v>
      </c>
      <c r="T5276" s="10">
        <v>19.89508490525227</v>
      </c>
      <c r="U5276" s="11">
        <v>0.2282892190061416</v>
      </c>
      <c r="V5276" s="11">
        <v>0.32434060533115716</v>
      </c>
      <c r="W5276" s="11">
        <v>0.14477923369716264</v>
      </c>
      <c r="X5276" s="11">
        <v>0.1550739227840782</v>
      </c>
      <c r="Y5276" s="11">
        <v>0.12550450147906708</v>
      </c>
      <c r="Z5276" s="11">
        <v>0.022012517702393396</v>
      </c>
    </row>
    <row r="5277" ht="22.5" customHeight="1">
      <c r="Q5277" s="9" t="s">
        <v>5315</v>
      </c>
      <c r="R5277" s="10">
        <v>0.33074601785120883</v>
      </c>
      <c r="S5277" s="10">
        <v>0.014614612968224574</v>
      </c>
      <c r="T5277" s="10">
        <v>19.894198942069522</v>
      </c>
      <c r="U5277" s="11">
        <v>0.19129818003667365</v>
      </c>
      <c r="V5277" s="11">
        <v>0.0371063632178521</v>
      </c>
      <c r="W5277" s="11">
        <v>0.0926597380480658</v>
      </c>
      <c r="X5277" s="11">
        <v>0.1809996478638987</v>
      </c>
      <c r="Y5277" s="11">
        <v>0.36472155761018343</v>
      </c>
      <c r="Z5277" s="11">
        <v>0.13321451322332625</v>
      </c>
    </row>
    <row r="5278" ht="22.5" customHeight="1">
      <c r="Q5278" s="9" t="s">
        <v>5316</v>
      </c>
      <c r="R5278" s="10">
        <v>0.8473100840528546</v>
      </c>
      <c r="S5278" s="10">
        <v>0.040581578934971704</v>
      </c>
      <c r="T5278" s="10">
        <v>19.893510928850148</v>
      </c>
      <c r="U5278" s="11">
        <v>0.19928810974683772</v>
      </c>
      <c r="V5278" s="11">
        <v>0.35420900028600083</v>
      </c>
      <c r="W5278" s="11">
        <v>0.15395601463210962</v>
      </c>
      <c r="X5278" s="11">
        <v>0.26962209796902936</v>
      </c>
      <c r="Y5278" s="11">
        <v>0.0093122882395793</v>
      </c>
      <c r="Z5278" s="11">
        <v>0.013612489126443366</v>
      </c>
    </row>
    <row r="5279" ht="22.5" customHeight="1">
      <c r="Q5279" s="9" t="s">
        <v>5317</v>
      </c>
      <c r="R5279" s="10">
        <v>0.6391752072196918</v>
      </c>
      <c r="S5279" s="10">
        <v>0.030119764544510718</v>
      </c>
      <c r="T5279" s="10">
        <v>19.89309067586621</v>
      </c>
      <c r="U5279" s="11">
        <v>0.2205873665538894</v>
      </c>
      <c r="V5279" s="11">
        <v>0.2660960951646308</v>
      </c>
      <c r="W5279" s="11">
        <v>0.08979032861940982</v>
      </c>
      <c r="X5279" s="11">
        <v>0.18568517871669712</v>
      </c>
      <c r="Y5279" s="11">
        <v>0.19292444354714774</v>
      </c>
      <c r="Z5279" s="11">
        <v>0.044916587398225086</v>
      </c>
    </row>
    <row r="5280" ht="22.5" customHeight="1">
      <c r="Q5280" s="9" t="s">
        <v>5318</v>
      </c>
      <c r="R5280" s="10">
        <v>0.32411165056033386</v>
      </c>
      <c r="S5280" s="10">
        <v>0.01428204131685943</v>
      </c>
      <c r="T5280" s="10">
        <v>19.89293016712887</v>
      </c>
      <c r="U5280" s="11">
        <v>0.056882358967459225</v>
      </c>
      <c r="V5280" s="11">
        <v>0.11377594138381197</v>
      </c>
      <c r="W5280" s="11">
        <v>0.02024842929638417</v>
      </c>
      <c r="X5280" s="11">
        <v>0.20863738116137592</v>
      </c>
      <c r="Y5280" s="11">
        <v>0.23713616158882828</v>
      </c>
      <c r="Z5280" s="11">
        <v>0.36331972760214043</v>
      </c>
    </row>
    <row r="5281" ht="22.5" customHeight="1">
      <c r="Q5281" s="9" t="s">
        <v>5319</v>
      </c>
      <c r="R5281" s="10">
        <v>0.41766979785680913</v>
      </c>
      <c r="S5281" s="10">
        <v>0.01898524601428291</v>
      </c>
      <c r="T5281" s="10">
        <v>19.892805053602256</v>
      </c>
      <c r="U5281" s="11">
        <v>0.22014532378138307</v>
      </c>
      <c r="V5281" s="11">
        <v>0.16055320478997306</v>
      </c>
      <c r="W5281" s="11">
        <v>0.03846068269043714</v>
      </c>
      <c r="X5281" s="11">
        <v>0.14613476172725454</v>
      </c>
      <c r="Y5281" s="11">
        <v>0.25171875733133176</v>
      </c>
      <c r="Z5281" s="11">
        <v>0.18298726967962045</v>
      </c>
    </row>
    <row r="5282" ht="22.5" customHeight="1">
      <c r="Q5282" s="9" t="s">
        <v>5320</v>
      </c>
      <c r="R5282" s="10">
        <v>0.5859397246333186</v>
      </c>
      <c r="S5282" s="10">
        <v>0.0274441376741925</v>
      </c>
      <c r="T5282" s="10">
        <v>19.892762932270998</v>
      </c>
      <c r="U5282" s="11">
        <v>0.17866049130270495</v>
      </c>
      <c r="V5282" s="11">
        <v>0.1048898698493583</v>
      </c>
      <c r="W5282" s="11">
        <v>0.21716742489731902</v>
      </c>
      <c r="X5282" s="11">
        <v>0.16782842825024244</v>
      </c>
      <c r="Y5282" s="11">
        <v>0.2926038803585676</v>
      </c>
      <c r="Z5282" s="11">
        <v>0.038849905341807635</v>
      </c>
    </row>
    <row r="5283" ht="22.5" customHeight="1">
      <c r="Q5283" s="9" t="s">
        <v>5321</v>
      </c>
      <c r="R5283" s="10">
        <v>0.7409192075314135</v>
      </c>
      <c r="S5283" s="10">
        <v>0.03523569812786881</v>
      </c>
      <c r="T5283" s="10">
        <v>19.892303679859225</v>
      </c>
      <c r="U5283" s="11">
        <v>0.01805990135507552</v>
      </c>
      <c r="V5283" s="11">
        <v>0.19195864517457156</v>
      </c>
      <c r="W5283" s="11">
        <v>0.2625865836867094</v>
      </c>
      <c r="X5283" s="11">
        <v>0.0856514803590572</v>
      </c>
      <c r="Y5283" s="11">
        <v>0.25206444284840895</v>
      </c>
      <c r="Z5283" s="11">
        <v>0.18967894657617745</v>
      </c>
    </row>
    <row r="5284" ht="22.5" customHeight="1">
      <c r="Q5284" s="9" t="s">
        <v>5322</v>
      </c>
      <c r="R5284" s="10">
        <v>0.7945649969721881</v>
      </c>
      <c r="S5284" s="10">
        <v>0.037936171968545256</v>
      </c>
      <c r="T5284" s="10">
        <v>19.890383183570417</v>
      </c>
      <c r="U5284" s="11">
        <v>0.25237389790534465</v>
      </c>
      <c r="V5284" s="11">
        <v>0.23331133641803448</v>
      </c>
      <c r="W5284" s="11">
        <v>0.26703266881913923</v>
      </c>
      <c r="X5284" s="11">
        <v>0.011555453303204415</v>
      </c>
      <c r="Y5284" s="11">
        <v>0.0994204252669812</v>
      </c>
      <c r="Z5284" s="11">
        <v>0.13630621828729603</v>
      </c>
    </row>
    <row r="5285" ht="22.5" customHeight="1">
      <c r="Q5285" s="9" t="s">
        <v>5323</v>
      </c>
      <c r="R5285" s="10">
        <v>0.7523481933498894</v>
      </c>
      <c r="S5285" s="10">
        <v>0.035813786724079165</v>
      </c>
      <c r="T5285" s="10">
        <v>19.89033437983107</v>
      </c>
      <c r="U5285" s="11">
        <v>0.07257760329775731</v>
      </c>
      <c r="V5285" s="11">
        <v>0.2966918317881904</v>
      </c>
      <c r="W5285" s="11">
        <v>0.17076660591023923</v>
      </c>
      <c r="X5285" s="11">
        <v>0.06047256352341062</v>
      </c>
      <c r="Y5285" s="11">
        <v>0.1251040967568175</v>
      </c>
      <c r="Z5285" s="11">
        <v>0.2743872987235848</v>
      </c>
    </row>
    <row r="5286" ht="22.5" customHeight="1">
      <c r="Q5286" s="9" t="s">
        <v>5324</v>
      </c>
      <c r="R5286" s="10">
        <v>0.9055948380173986</v>
      </c>
      <c r="S5286" s="10">
        <v>0.043518416507020825</v>
      </c>
      <c r="T5286" s="10">
        <v>19.890310987711423</v>
      </c>
      <c r="U5286" s="11">
        <v>0.07187224729637018</v>
      </c>
      <c r="V5286" s="11">
        <v>0.36801469634714795</v>
      </c>
      <c r="W5286" s="11">
        <v>0.1903129327229059</v>
      </c>
      <c r="X5286" s="11">
        <v>0.15707695553659728</v>
      </c>
      <c r="Y5286" s="11">
        <v>0.20112800092533997</v>
      </c>
      <c r="Z5286" s="11">
        <v>0.011595167171638785</v>
      </c>
    </row>
    <row r="5287" ht="22.5" customHeight="1">
      <c r="Q5287" s="9" t="s">
        <v>5325</v>
      </c>
      <c r="R5287" s="10">
        <v>0.5646385577260756</v>
      </c>
      <c r="S5287" s="10">
        <v>0.026376710367932203</v>
      </c>
      <c r="T5287" s="10">
        <v>19.89021945526274</v>
      </c>
      <c r="U5287" s="11">
        <v>0.09998436668702435</v>
      </c>
      <c r="V5287" s="11">
        <v>0.12523517525781555</v>
      </c>
      <c r="W5287" s="11">
        <v>0.2034315349052182</v>
      </c>
      <c r="X5287" s="11">
        <v>0.0837067976950455</v>
      </c>
      <c r="Y5287" s="11">
        <v>0.1862772693927672</v>
      </c>
      <c r="Z5287" s="11">
        <v>0.3013648560621291</v>
      </c>
    </row>
    <row r="5288" ht="22.5" customHeight="1">
      <c r="Q5288" s="9" t="s">
        <v>5326</v>
      </c>
      <c r="R5288" s="10">
        <v>0.3166857387890248</v>
      </c>
      <c r="S5288" s="10">
        <v>0.01391070413860793</v>
      </c>
      <c r="T5288" s="10">
        <v>19.890131802969485</v>
      </c>
      <c r="U5288" s="11">
        <v>0.2201273021542024</v>
      </c>
      <c r="V5288" s="11">
        <v>0.07110399599947467</v>
      </c>
      <c r="W5288" s="11">
        <v>0.06813690133999224</v>
      </c>
      <c r="X5288" s="11">
        <v>0.03265009045598985</v>
      </c>
      <c r="Y5288" s="11">
        <v>0.3202968983345515</v>
      </c>
      <c r="Z5288" s="11">
        <v>0.2876848117157893</v>
      </c>
    </row>
    <row r="5289" ht="22.5" customHeight="1">
      <c r="Q5289" s="9" t="s">
        <v>5327</v>
      </c>
      <c r="R5289" s="10">
        <v>0.8855152937277125</v>
      </c>
      <c r="S5289" s="10">
        <v>0.042509390870088704</v>
      </c>
      <c r="T5289" s="10">
        <v>19.8900825540328</v>
      </c>
      <c r="U5289" s="11">
        <v>0.12314945685099121</v>
      </c>
      <c r="V5289" s="11">
        <v>0.3195525126559001</v>
      </c>
      <c r="W5289" s="11">
        <v>0.24725997055018384</v>
      </c>
      <c r="X5289" s="11">
        <v>0.004731740790156846</v>
      </c>
      <c r="Y5289" s="11">
        <v>0.15625364529018018</v>
      </c>
      <c r="Z5289" s="11">
        <v>0.14905267386258775</v>
      </c>
    </row>
    <row r="5290" ht="22.5" customHeight="1">
      <c r="Q5290" s="9" t="s">
        <v>5328</v>
      </c>
      <c r="R5290" s="10">
        <v>0.8786495812476071</v>
      </c>
      <c r="S5290" s="10">
        <v>0.04216560000459432</v>
      </c>
      <c r="T5290" s="10">
        <v>19.889426004995272</v>
      </c>
      <c r="U5290" s="11">
        <v>0.04731693467345881</v>
      </c>
      <c r="V5290" s="11">
        <v>0.24009062915943946</v>
      </c>
      <c r="W5290" s="11">
        <v>0.3116076525681558</v>
      </c>
      <c r="X5290" s="11">
        <v>0.12100758753941253</v>
      </c>
      <c r="Y5290" s="11">
        <v>0.19152144912454105</v>
      </c>
      <c r="Z5290" s="11">
        <v>0.08845574693499221</v>
      </c>
    </row>
    <row r="5291" ht="22.5" customHeight="1">
      <c r="Q5291" s="9" t="s">
        <v>5329</v>
      </c>
      <c r="R5291" s="10">
        <v>0.8298509704705056</v>
      </c>
      <c r="S5291" s="10">
        <v>0.03971267886951757</v>
      </c>
      <c r="T5291" s="10">
        <v>19.889138505757536</v>
      </c>
      <c r="U5291" s="11">
        <v>0.009612523454420182</v>
      </c>
      <c r="V5291" s="11">
        <v>0.3490718548702009</v>
      </c>
      <c r="W5291" s="11">
        <v>0.14416340531930993</v>
      </c>
      <c r="X5291" s="11">
        <v>0.3029296506232833</v>
      </c>
      <c r="Y5291" s="11">
        <v>0.12108488260940203</v>
      </c>
      <c r="Z5291" s="11">
        <v>0.07313768312338366</v>
      </c>
    </row>
    <row r="5292" ht="22.5" customHeight="1">
      <c r="Q5292" s="9" t="s">
        <v>5330</v>
      </c>
      <c r="R5292" s="10">
        <v>0.555757286325261</v>
      </c>
      <c r="S5292" s="10">
        <v>0.025931946725074737</v>
      </c>
      <c r="T5292" s="10">
        <v>19.888876519499888</v>
      </c>
      <c r="U5292" s="11">
        <v>0.1050881517251129</v>
      </c>
      <c r="V5292" s="11">
        <v>0.09736408493515217</v>
      </c>
      <c r="W5292" s="11">
        <v>0.21029165948118025</v>
      </c>
      <c r="X5292" s="11">
        <v>0.21481106818767262</v>
      </c>
      <c r="Y5292" s="11">
        <v>0.1596585734789925</v>
      </c>
      <c r="Z5292" s="11">
        <v>0.2127864621918895</v>
      </c>
    </row>
    <row r="5293" ht="22.5" customHeight="1">
      <c r="Q5293" s="9" t="s">
        <v>5331</v>
      </c>
      <c r="R5293" s="10">
        <v>0.7691126635279002</v>
      </c>
      <c r="S5293" s="10">
        <v>0.036660126595199564</v>
      </c>
      <c r="T5293" s="10">
        <v>19.88843823641824</v>
      </c>
      <c r="U5293" s="11">
        <v>0.08150008875964183</v>
      </c>
      <c r="V5293" s="11">
        <v>0.32065869219825166</v>
      </c>
      <c r="W5293" s="11">
        <v>0.13745305405213365</v>
      </c>
      <c r="X5293" s="11">
        <v>0.19463019686461622</v>
      </c>
      <c r="Y5293" s="11">
        <v>0.15354512081290583</v>
      </c>
      <c r="Z5293" s="11">
        <v>0.11221284731245082</v>
      </c>
    </row>
    <row r="5294" ht="22.5" customHeight="1">
      <c r="Q5294" s="9" t="s">
        <v>5332</v>
      </c>
      <c r="R5294" s="10">
        <v>0.7898422097353832</v>
      </c>
      <c r="S5294" s="10">
        <v>0.03770444645454672</v>
      </c>
      <c r="T5294" s="10">
        <v>19.88736820839763</v>
      </c>
      <c r="U5294" s="11">
        <v>0.10860417936756027</v>
      </c>
      <c r="V5294" s="11">
        <v>0.24025179077810152</v>
      </c>
      <c r="W5294" s="11">
        <v>0.26028337340662583</v>
      </c>
      <c r="X5294" s="11">
        <v>0.013054980719100242</v>
      </c>
      <c r="Y5294" s="11">
        <v>0.14858161107454063</v>
      </c>
      <c r="Z5294" s="11">
        <v>0.22922406465407164</v>
      </c>
    </row>
    <row r="5295" ht="22.5" customHeight="1">
      <c r="Q5295" s="9" t="s">
        <v>5333</v>
      </c>
      <c r="R5295" s="10">
        <v>0.5386590094324184</v>
      </c>
      <c r="S5295" s="10">
        <v>0.02507469147919257</v>
      </c>
      <c r="T5295" s="10">
        <v>19.886944963857864</v>
      </c>
      <c r="U5295" s="11">
        <v>0.16918048828040674</v>
      </c>
      <c r="V5295" s="11">
        <v>0.1197295577460884</v>
      </c>
      <c r="W5295" s="11">
        <v>0.18629004294800242</v>
      </c>
      <c r="X5295" s="11">
        <v>0.028145329465424446</v>
      </c>
      <c r="Y5295" s="11">
        <v>0.2881059183037445</v>
      </c>
      <c r="Z5295" s="11">
        <v>0.20854866325633348</v>
      </c>
    </row>
    <row r="5296" ht="22.5" customHeight="1">
      <c r="Q5296" s="9" t="s">
        <v>5334</v>
      </c>
      <c r="R5296" s="10">
        <v>1.097211379997726</v>
      </c>
      <c r="S5296" s="10">
        <v>0.0531618680801191</v>
      </c>
      <c r="T5296" s="10">
        <v>19.886648422595414</v>
      </c>
      <c r="U5296" s="11">
        <v>0.0023321932837221285</v>
      </c>
      <c r="V5296" s="11">
        <v>0.3601982927064841</v>
      </c>
      <c r="W5296" s="11">
        <v>0.3525736782610121</v>
      </c>
      <c r="X5296" s="11">
        <v>0.1303731040767602</v>
      </c>
      <c r="Y5296" s="11">
        <v>0.12469374409678373</v>
      </c>
      <c r="Z5296" s="11">
        <v>0.029828987575237678</v>
      </c>
    </row>
    <row r="5297" ht="22.5" customHeight="1">
      <c r="Q5297" s="9" t="s">
        <v>5335</v>
      </c>
      <c r="R5297" s="10">
        <v>0.7815354192605687</v>
      </c>
      <c r="S5297" s="10">
        <v>0.03728825815722335</v>
      </c>
      <c r="T5297" s="10">
        <v>19.88656633232735</v>
      </c>
      <c r="U5297" s="11">
        <v>0.26747321683276687</v>
      </c>
      <c r="V5297" s="11">
        <v>0.19344084373597262</v>
      </c>
      <c r="W5297" s="11">
        <v>0.2842768073556824</v>
      </c>
      <c r="X5297" s="11">
        <v>0.09965583862299288</v>
      </c>
      <c r="Y5297" s="11">
        <v>0.13238019141296167</v>
      </c>
      <c r="Z5297" s="11">
        <v>0.022773102039623495</v>
      </c>
    </row>
    <row r="5298" ht="22.5" customHeight="1">
      <c r="Q5298" s="9" t="s">
        <v>5336</v>
      </c>
      <c r="R5298" s="10">
        <v>0.8949519143066291</v>
      </c>
      <c r="S5298" s="10">
        <v>0.042991645661493376</v>
      </c>
      <c r="T5298" s="10">
        <v>19.886466339026185</v>
      </c>
      <c r="U5298" s="11">
        <v>0.13298701606577437</v>
      </c>
      <c r="V5298" s="11">
        <v>0.22012501363282413</v>
      </c>
      <c r="W5298" s="11">
        <v>0.3332434203357655</v>
      </c>
      <c r="X5298" s="11">
        <v>0.24707192443010015</v>
      </c>
      <c r="Y5298" s="11">
        <v>0.05245657774045538</v>
      </c>
      <c r="Z5298" s="11">
        <v>0.014116047795080576</v>
      </c>
    </row>
    <row r="5299" ht="22.5" customHeight="1">
      <c r="Q5299" s="9" t="s">
        <v>5337</v>
      </c>
      <c r="R5299" s="10">
        <v>0.4681670754840707</v>
      </c>
      <c r="S5299" s="10">
        <v>0.021531241263023856</v>
      </c>
      <c r="T5299" s="10">
        <v>19.885851923426863</v>
      </c>
      <c r="U5299" s="11">
        <v>0.23571114767756685</v>
      </c>
      <c r="V5299" s="11">
        <v>0.1907967258226924</v>
      </c>
      <c r="W5299" s="11">
        <v>0.04211012552516484</v>
      </c>
      <c r="X5299" s="11">
        <v>0.25041534315072383</v>
      </c>
      <c r="Y5299" s="11">
        <v>0.07424006567341926</v>
      </c>
      <c r="Z5299" s="11">
        <v>0.2067265921504329</v>
      </c>
    </row>
    <row r="5300" ht="22.5" customHeight="1">
      <c r="Q5300" s="9" t="s">
        <v>5338</v>
      </c>
      <c r="R5300" s="10">
        <v>0.965232963993876</v>
      </c>
      <c r="S5300" s="10">
        <v>0.04652763982198626</v>
      </c>
      <c r="T5300" s="10">
        <v>19.885662963644776</v>
      </c>
      <c r="U5300" s="11">
        <v>0.07605500370732918</v>
      </c>
      <c r="V5300" s="11">
        <v>0.32909873826302066</v>
      </c>
      <c r="W5300" s="11">
        <v>0.2974994264933715</v>
      </c>
      <c r="X5300" s="11">
        <v>0.08818263616540466</v>
      </c>
      <c r="Y5300" s="11">
        <v>0.017617539412319114</v>
      </c>
      <c r="Z5300" s="11">
        <v>0.19154665595855483</v>
      </c>
    </row>
    <row r="5301" ht="22.5" customHeight="1">
      <c r="Q5301" s="9" t="s">
        <v>5339</v>
      </c>
      <c r="R5301" s="10">
        <v>0.524875197467132</v>
      </c>
      <c r="S5301" s="10">
        <v>0.024384825421783822</v>
      </c>
      <c r="T5301" s="10">
        <v>19.88430054676446</v>
      </c>
      <c r="U5301" s="11">
        <v>0.22540447465228314</v>
      </c>
      <c r="V5301" s="11">
        <v>0.2179395085278835</v>
      </c>
      <c r="W5301" s="11">
        <v>0.057336290260777995</v>
      </c>
      <c r="X5301" s="11">
        <v>0.23883381072640333</v>
      </c>
      <c r="Y5301" s="11">
        <v>0.07632125274200044</v>
      </c>
      <c r="Z5301" s="11">
        <v>0.1841646630906516</v>
      </c>
    </row>
    <row r="5302" ht="22.5" customHeight="1">
      <c r="Q5302" s="9" t="s">
        <v>5340</v>
      </c>
      <c r="R5302" s="10">
        <v>0.6530358528749527</v>
      </c>
      <c r="S5302" s="10">
        <v>0.030831146563185998</v>
      </c>
      <c r="T5302" s="10">
        <v>19.88365407100849</v>
      </c>
      <c r="U5302" s="11">
        <v>0.0378285918314607</v>
      </c>
      <c r="V5302" s="11">
        <v>0.1423758259845257</v>
      </c>
      <c r="W5302" s="11">
        <v>0.24285699752660336</v>
      </c>
      <c r="X5302" s="11">
        <v>0.16334987594633932</v>
      </c>
      <c r="Y5302" s="11">
        <v>0.19189482414938117</v>
      </c>
      <c r="Z5302" s="11">
        <v>0.22169388456168967</v>
      </c>
    </row>
    <row r="5303" ht="22.5" customHeight="1">
      <c r="Q5303" s="9" t="s">
        <v>5341</v>
      </c>
      <c r="R5303" s="10">
        <v>0.7488680286917045</v>
      </c>
      <c r="S5303" s="10">
        <v>0.03565110229130878</v>
      </c>
      <c r="T5303" s="10">
        <v>19.88348138297301</v>
      </c>
      <c r="U5303" s="11">
        <v>0.09115286541749233</v>
      </c>
      <c r="V5303" s="11">
        <v>0.15887662750629525</v>
      </c>
      <c r="W5303" s="11">
        <v>0.28539378601485443</v>
      </c>
      <c r="X5303" s="11">
        <v>0.25901049404688054</v>
      </c>
      <c r="Y5303" s="11">
        <v>0.12400483948861628</v>
      </c>
      <c r="Z5303" s="11">
        <v>0.08156138752586109</v>
      </c>
    </row>
    <row r="5304" ht="22.5" customHeight="1">
      <c r="Q5304" s="9" t="s">
        <v>5342</v>
      </c>
      <c r="R5304" s="10">
        <v>0.6713072293784554</v>
      </c>
      <c r="S5304" s="10">
        <v>0.03175049457358411</v>
      </c>
      <c r="T5304" s="10">
        <v>19.88338253803746</v>
      </c>
      <c r="U5304" s="11">
        <v>0.13473820454787172</v>
      </c>
      <c r="V5304" s="11">
        <v>0.13427975747916843</v>
      </c>
      <c r="W5304" s="11">
        <v>0.2565804498452519</v>
      </c>
      <c r="X5304" s="11">
        <v>0.24511585062600647</v>
      </c>
      <c r="Y5304" s="11">
        <v>0.08307388847277314</v>
      </c>
      <c r="Z5304" s="11">
        <v>0.14621184902892848</v>
      </c>
    </row>
    <row r="5305" ht="22.5" customHeight="1">
      <c r="Q5305" s="9" t="s">
        <v>5343</v>
      </c>
      <c r="R5305" s="10">
        <v>0.501298312500461</v>
      </c>
      <c r="S5305" s="10">
        <v>0.023200223191352894</v>
      </c>
      <c r="T5305" s="10">
        <v>19.883356668413192</v>
      </c>
      <c r="U5305" s="11">
        <v>0.2792206026003783</v>
      </c>
      <c r="V5305" s="11">
        <v>0.08355609179408746</v>
      </c>
      <c r="W5305" s="11">
        <v>0.17948736042780478</v>
      </c>
      <c r="X5305" s="11">
        <v>0.11889615413189666</v>
      </c>
      <c r="Y5305" s="11">
        <v>0.2764578796781331</v>
      </c>
      <c r="Z5305" s="11">
        <v>0.06238191136769967</v>
      </c>
    </row>
    <row r="5306" ht="22.5" customHeight="1">
      <c r="Q5306" s="9" t="s">
        <v>5344</v>
      </c>
      <c r="R5306" s="10">
        <v>0.486527325491426</v>
      </c>
      <c r="S5306" s="10">
        <v>0.022457462622300632</v>
      </c>
      <c r="T5306" s="10">
        <v>19.88324918987139</v>
      </c>
      <c r="U5306" s="11">
        <v>0.03786336332733998</v>
      </c>
      <c r="V5306" s="11">
        <v>0.1998870013949437</v>
      </c>
      <c r="W5306" s="11">
        <v>0.043152749166047964</v>
      </c>
      <c r="X5306" s="11">
        <v>0.2930157020539705</v>
      </c>
      <c r="Y5306" s="11">
        <v>0.18342688214495856</v>
      </c>
      <c r="Z5306" s="11">
        <v>0.24265430191273935</v>
      </c>
    </row>
    <row r="5307" ht="22.5" customHeight="1">
      <c r="Q5307" s="9" t="s">
        <v>5345</v>
      </c>
      <c r="R5307" s="10">
        <v>0.5602163645937119</v>
      </c>
      <c r="S5307" s="10">
        <v>0.02616410591451471</v>
      </c>
      <c r="T5307" s="10">
        <v>19.882825971328852</v>
      </c>
      <c r="U5307" s="11">
        <v>0.13828455082411797</v>
      </c>
      <c r="V5307" s="11">
        <v>0.10325580662656988</v>
      </c>
      <c r="W5307" s="11">
        <v>0.21165641972265017</v>
      </c>
      <c r="X5307" s="11">
        <v>0.19769481088952612</v>
      </c>
      <c r="Y5307" s="11">
        <v>0.10801231292665925</v>
      </c>
      <c r="Z5307" s="11">
        <v>0.24109609901047654</v>
      </c>
    </row>
    <row r="5308" ht="22.5" customHeight="1">
      <c r="Q5308" s="9" t="s">
        <v>5346</v>
      </c>
      <c r="R5308" s="10">
        <v>0.7278642627387915</v>
      </c>
      <c r="S5308" s="10">
        <v>0.03459658695018104</v>
      </c>
      <c r="T5308" s="10">
        <v>19.882431285181788</v>
      </c>
      <c r="U5308" s="11">
        <v>0.07873029732216774</v>
      </c>
      <c r="V5308" s="11">
        <v>0.17305881177889798</v>
      </c>
      <c r="W5308" s="11">
        <v>0.26852838322750455</v>
      </c>
      <c r="X5308" s="11">
        <v>0.14666738261846032</v>
      </c>
      <c r="Y5308" s="11">
        <v>0.15411769809198775</v>
      </c>
      <c r="Z5308" s="11">
        <v>0.17889742696098163</v>
      </c>
    </row>
    <row r="5309" ht="22.5" customHeight="1">
      <c r="Q5309" s="9" t="s">
        <v>5347</v>
      </c>
      <c r="R5309" s="10">
        <v>0.3736798106883466</v>
      </c>
      <c r="S5309" s="10">
        <v>0.016784510700737755</v>
      </c>
      <c r="T5309" s="10">
        <v>19.880222702808958</v>
      </c>
      <c r="U5309" s="11">
        <v>0.05981208260024923</v>
      </c>
      <c r="V5309" s="11">
        <v>0.023438076577348546</v>
      </c>
      <c r="W5309" s="11">
        <v>0.11867319169288831</v>
      </c>
      <c r="X5309" s="11">
        <v>0.42221554088421603</v>
      </c>
      <c r="Y5309" s="11">
        <v>0.29439096875999776</v>
      </c>
      <c r="Z5309" s="11">
        <v>0.08147013948530006</v>
      </c>
    </row>
    <row r="5310" ht="22.5" customHeight="1">
      <c r="Q5310" s="9" t="s">
        <v>5348</v>
      </c>
      <c r="R5310" s="10">
        <v>0.4213189441535508</v>
      </c>
      <c r="S5310" s="10">
        <v>0.0191814478510212</v>
      </c>
      <c r="T5310" s="10">
        <v>19.87957046387663</v>
      </c>
      <c r="U5310" s="11">
        <v>0.308338769026977</v>
      </c>
      <c r="V5310" s="11">
        <v>0.1477420906873158</v>
      </c>
      <c r="W5310" s="11">
        <v>0.06637309956020909</v>
      </c>
      <c r="X5310" s="11">
        <v>0.003966364741976961</v>
      </c>
      <c r="Y5310" s="11">
        <v>0.284971839886209</v>
      </c>
      <c r="Z5310" s="11">
        <v>0.18860783609731202</v>
      </c>
    </row>
    <row r="5311" ht="22.5" customHeight="1">
      <c r="Q5311" s="9" t="s">
        <v>5349</v>
      </c>
      <c r="R5311" s="10">
        <v>0.7666146743663745</v>
      </c>
      <c r="S5311" s="10">
        <v>0.03655147459268057</v>
      </c>
      <c r="T5311" s="10">
        <v>19.87921643281333</v>
      </c>
      <c r="U5311" s="11">
        <v>0.06190841622548522</v>
      </c>
      <c r="V5311" s="11">
        <v>0.2185493572207439</v>
      </c>
      <c r="W5311" s="11">
        <v>0.25966552520736297</v>
      </c>
      <c r="X5311" s="11">
        <v>0.020167786783479743</v>
      </c>
      <c r="Y5311" s="11">
        <v>0.25620650712620197</v>
      </c>
      <c r="Z5311" s="11">
        <v>0.18350240743672613</v>
      </c>
    </row>
    <row r="5312" ht="22.5" customHeight="1">
      <c r="Q5312" s="9" t="s">
        <v>5350</v>
      </c>
      <c r="R5312" s="10">
        <v>0.522331348251574</v>
      </c>
      <c r="S5312" s="10">
        <v>0.02684703140707888</v>
      </c>
      <c r="T5312" s="10">
        <v>19.879143088138903</v>
      </c>
      <c r="U5312" s="11">
        <v>0.22291048972534525</v>
      </c>
      <c r="V5312" s="11">
        <v>0.09438872951033467</v>
      </c>
      <c r="W5312" s="11">
        <v>0.21967662579727235</v>
      </c>
      <c r="X5312" s="11">
        <v>0.24711912721605694</v>
      </c>
      <c r="Y5312" s="11">
        <v>0.10811342233168214</v>
      </c>
      <c r="Z5312" s="11">
        <v>0.1077916054193087</v>
      </c>
    </row>
    <row r="5313" ht="22.5" customHeight="1">
      <c r="Q5313" s="9" t="s">
        <v>5351</v>
      </c>
      <c r="R5313" s="10">
        <v>0.5652439494003133</v>
      </c>
      <c r="S5313" s="10">
        <v>0.026421987911527174</v>
      </c>
      <c r="T5313" s="10">
        <v>19.879047373690003</v>
      </c>
      <c r="U5313" s="11">
        <v>0.2631124515448256</v>
      </c>
      <c r="V5313" s="11">
        <v>0.09186623798534407</v>
      </c>
      <c r="W5313" s="11">
        <v>0.212112423356664</v>
      </c>
      <c r="X5313" s="11">
        <v>0.19577962143111952</v>
      </c>
      <c r="Y5313" s="11">
        <v>0.22647442954078187</v>
      </c>
      <c r="Z5313" s="11">
        <v>0.010654836141264836</v>
      </c>
    </row>
    <row r="5314" ht="22.5" customHeight="1">
      <c r="Q5314" s="9" t="s">
        <v>5352</v>
      </c>
      <c r="R5314" s="10">
        <v>0.765984758419181</v>
      </c>
      <c r="S5314" s="10">
        <v>0.03652049965898624</v>
      </c>
      <c r="T5314" s="10">
        <v>19.87882874544804</v>
      </c>
      <c r="U5314" s="11">
        <v>0.1576900757972137</v>
      </c>
      <c r="V5314" s="11">
        <v>0.21365951960394772</v>
      </c>
      <c r="W5314" s="11">
        <v>0.2606304580020251</v>
      </c>
      <c r="X5314" s="11">
        <v>0.0034273418164564957</v>
      </c>
      <c r="Y5314" s="11">
        <v>0.2662612419680783</v>
      </c>
      <c r="Z5314" s="11">
        <v>0.0983313628122787</v>
      </c>
    </row>
    <row r="5315" ht="22.5" customHeight="1">
      <c r="Q5315" s="9" t="s">
        <v>5353</v>
      </c>
      <c r="R5315" s="10">
        <v>0.5021078310814976</v>
      </c>
      <c r="S5315" s="10">
        <v>0.02324724534585685</v>
      </c>
      <c r="T5315" s="10">
        <v>19.877960773698934</v>
      </c>
      <c r="U5315" s="11">
        <v>0.19519240003078275</v>
      </c>
      <c r="V5315" s="11">
        <v>0.07515207929044165</v>
      </c>
      <c r="W5315" s="11">
        <v>0.18946734936507284</v>
      </c>
      <c r="X5315" s="11">
        <v>0.22791974354560296</v>
      </c>
      <c r="Y5315" s="11">
        <v>0.13208948071464055</v>
      </c>
      <c r="Z5315" s="11">
        <v>0.18017894705345916</v>
      </c>
    </row>
    <row r="5316" ht="22.5" customHeight="1">
      <c r="Q5316" s="9" t="s">
        <v>5354</v>
      </c>
      <c r="R5316" s="10">
        <v>0.6298954633782234</v>
      </c>
      <c r="S5316" s="10">
        <v>0.029676343406622868</v>
      </c>
      <c r="T5316" s="10">
        <v>19.8776330121108</v>
      </c>
      <c r="U5316" s="11">
        <v>0.16615894892890848</v>
      </c>
      <c r="V5316" s="11">
        <v>0.1417688218459311</v>
      </c>
      <c r="W5316" s="11">
        <v>0.23244911348974515</v>
      </c>
      <c r="X5316" s="11">
        <v>0.12442272653513504</v>
      </c>
      <c r="Y5316" s="11">
        <v>0.08581646293643429</v>
      </c>
      <c r="Z5316" s="11">
        <v>0.249383926263846</v>
      </c>
    </row>
    <row r="5317" ht="22.5" customHeight="1">
      <c r="Q5317" s="9" t="s">
        <v>5355</v>
      </c>
      <c r="R5317" s="10">
        <v>0.8646222175013736</v>
      </c>
      <c r="S5317" s="10">
        <v>0.04148499677321241</v>
      </c>
      <c r="T5317" s="10">
        <v>19.877601100208995</v>
      </c>
      <c r="U5317" s="11">
        <v>0.1162316014194578</v>
      </c>
      <c r="V5317" s="11">
        <v>0.2592483803861577</v>
      </c>
      <c r="W5317" s="11">
        <v>0.29165809658050884</v>
      </c>
      <c r="X5317" s="11">
        <v>0.04684546614959818</v>
      </c>
      <c r="Y5317" s="11">
        <v>0.13250545385190615</v>
      </c>
      <c r="Z5317" s="11">
        <v>0.15351100161237133</v>
      </c>
    </row>
    <row r="5318" ht="22.5" customHeight="1">
      <c r="Q5318" s="9" t="s">
        <v>5356</v>
      </c>
      <c r="R5318" s="10">
        <v>0.6788853633785737</v>
      </c>
      <c r="S5318" s="10">
        <v>0.032141301849673655</v>
      </c>
      <c r="T5318" s="10">
        <v>19.87739533285459</v>
      </c>
      <c r="U5318" s="11">
        <v>0.19978624088401892</v>
      </c>
      <c r="V5318" s="11">
        <v>0.155628307738263</v>
      </c>
      <c r="W5318" s="11">
        <v>0.24981849812842885</v>
      </c>
      <c r="X5318" s="11">
        <v>0.10395810204696375</v>
      </c>
      <c r="Y5318" s="11">
        <v>0.15503693140657937</v>
      </c>
      <c r="Z5318" s="11">
        <v>0.13577191979574627</v>
      </c>
    </row>
    <row r="5319" ht="22.5" customHeight="1">
      <c r="Q5319" s="9" t="s">
        <v>5357</v>
      </c>
      <c r="R5319" s="10">
        <v>0.513308257737196</v>
      </c>
      <c r="S5319" s="10">
        <v>0.023811633485391327</v>
      </c>
      <c r="T5319" s="10">
        <v>19.87718557937553</v>
      </c>
      <c r="U5319" s="11">
        <v>0.06884935282729572</v>
      </c>
      <c r="V5319" s="11">
        <v>0.21285428984514917</v>
      </c>
      <c r="W5319" s="11">
        <v>0.04492018419774127</v>
      </c>
      <c r="X5319" s="11">
        <v>0.3619235148449712</v>
      </c>
      <c r="Y5319" s="11">
        <v>0.09393051965585533</v>
      </c>
      <c r="Z5319" s="11">
        <v>0.21752213862898717</v>
      </c>
    </row>
    <row r="5320" ht="22.5" customHeight="1">
      <c r="Q5320" s="9" t="s">
        <v>5358</v>
      </c>
      <c r="R5320" s="10">
        <v>0.6652340490301231</v>
      </c>
      <c r="S5320" s="10">
        <v>0.0314549653319309</v>
      </c>
      <c r="T5320" s="10">
        <v>19.877117727910154</v>
      </c>
      <c r="U5320" s="11">
        <v>0.20047940830982888</v>
      </c>
      <c r="V5320" s="11">
        <v>0.26970967436937593</v>
      </c>
      <c r="W5320" s="11">
        <v>0.12934462377876174</v>
      </c>
      <c r="X5320" s="11">
        <v>0.08381344920731319</v>
      </c>
      <c r="Y5320" s="11">
        <v>0.06391582539947305</v>
      </c>
      <c r="Z5320" s="11">
        <v>0.2527370189352472</v>
      </c>
    </row>
    <row r="5321" ht="22.5" customHeight="1">
      <c r="Q5321" s="9" t="s">
        <v>5359</v>
      </c>
      <c r="R5321" s="10">
        <v>0.7125305347912045</v>
      </c>
      <c r="S5321" s="10">
        <v>0.0338363932484318</v>
      </c>
      <c r="T5321" s="10">
        <v>19.87595219896476</v>
      </c>
      <c r="U5321" s="11">
        <v>0.18384671673081288</v>
      </c>
      <c r="V5321" s="11">
        <v>0.17241051265712778</v>
      </c>
      <c r="W5321" s="11">
        <v>0.2561678737643106</v>
      </c>
      <c r="X5321" s="11">
        <v>0.0639326130032573</v>
      </c>
      <c r="Y5321" s="11">
        <v>0.2510382240500484</v>
      </c>
      <c r="Z5321" s="11">
        <v>0.07260405979444304</v>
      </c>
    </row>
    <row r="5322" ht="22.5" customHeight="1">
      <c r="Q5322" s="9" t="s">
        <v>5360</v>
      </c>
      <c r="R5322" s="10">
        <v>1.0239669525399315</v>
      </c>
      <c r="S5322" s="10">
        <v>0.049506054686066496</v>
      </c>
      <c r="T5322" s="10">
        <v>19.875689120847465</v>
      </c>
      <c r="U5322" s="11">
        <v>0.0455903122816194</v>
      </c>
      <c r="V5322" s="11">
        <v>0.3992655654913592</v>
      </c>
      <c r="W5322" s="11">
        <v>0.2548870322836543</v>
      </c>
      <c r="X5322" s="11">
        <v>0.13395953829992782</v>
      </c>
      <c r="Y5322" s="11">
        <v>0.12346019113758151</v>
      </c>
      <c r="Z5322" s="11">
        <v>0.042837360505857625</v>
      </c>
    </row>
    <row r="5323" ht="22.5" customHeight="1">
      <c r="Q5323" s="9" t="s">
        <v>5361</v>
      </c>
      <c r="R5323" s="10">
        <v>1.0061180655361797</v>
      </c>
      <c r="S5323" s="10">
        <v>0.048608271373723505</v>
      </c>
      <c r="T5323" s="10">
        <v>19.87558985811704</v>
      </c>
      <c r="U5323" s="11">
        <v>0.04394520164396328</v>
      </c>
      <c r="V5323" s="11">
        <v>0.358440701365216</v>
      </c>
      <c r="W5323" s="11">
        <v>0.292742997397091</v>
      </c>
      <c r="X5323" s="11">
        <v>0.05511350145107747</v>
      </c>
      <c r="Y5323" s="11">
        <v>0.15736188907365478</v>
      </c>
      <c r="Z5323" s="11">
        <v>0.09239570906899748</v>
      </c>
    </row>
    <row r="5324" ht="22.5" customHeight="1">
      <c r="Q5324" s="9" t="s">
        <v>5362</v>
      </c>
      <c r="R5324" s="10">
        <v>0.6150194040361132</v>
      </c>
      <c r="S5324" s="10">
        <v>0.028931502811036</v>
      </c>
      <c r="T5324" s="10">
        <v>19.875199978093445</v>
      </c>
      <c r="U5324" s="11">
        <v>0.226091499655968</v>
      </c>
      <c r="V5324" s="11">
        <v>0.12339696642718259</v>
      </c>
      <c r="W5324" s="11">
        <v>0.2322134375107326</v>
      </c>
      <c r="X5324" s="11">
        <v>0.184225784377262</v>
      </c>
      <c r="Y5324" s="11">
        <v>0.049117788743338685</v>
      </c>
      <c r="Z5324" s="11">
        <v>0.18495452328551612</v>
      </c>
    </row>
    <row r="5325" ht="22.5" customHeight="1">
      <c r="Q5325" s="9" t="s">
        <v>5363</v>
      </c>
      <c r="R5325" s="10">
        <v>0.7225901908387746</v>
      </c>
      <c r="S5325" s="10">
        <v>0.0343448576184049</v>
      </c>
      <c r="T5325" s="10">
        <v>19.874596611312914</v>
      </c>
      <c r="U5325" s="11">
        <v>0.17022647133916705</v>
      </c>
      <c r="V5325" s="11">
        <v>0.19691359304786957</v>
      </c>
      <c r="W5325" s="11">
        <v>0.24837909057992907</v>
      </c>
      <c r="X5325" s="11">
        <v>0.00619395139534597</v>
      </c>
      <c r="Y5325" s="11">
        <v>0.22284481737844067</v>
      </c>
      <c r="Z5325" s="11">
        <v>0.15544207625924775</v>
      </c>
    </row>
    <row r="5326" ht="22.5" customHeight="1">
      <c r="Q5326" s="9" t="s">
        <v>5364</v>
      </c>
      <c r="R5326" s="10">
        <v>0.6821087819501073</v>
      </c>
      <c r="S5326" s="10">
        <v>0.032308482270624925</v>
      </c>
      <c r="T5326" s="10">
        <v>19.87430968039983</v>
      </c>
      <c r="U5326" s="11">
        <v>0.09134506966744525</v>
      </c>
      <c r="V5326" s="11">
        <v>0.28899719749384106</v>
      </c>
      <c r="W5326" s="11">
        <v>0.07895918869692188</v>
      </c>
      <c r="X5326" s="11">
        <v>0.4423259207471574</v>
      </c>
      <c r="Y5326" s="11">
        <v>0.07171318823082587</v>
      </c>
      <c r="Z5326" s="11">
        <v>0.026659435163808514</v>
      </c>
    </row>
    <row r="5327" ht="22.5" customHeight="1">
      <c r="Q5327" s="9" t="s">
        <v>5365</v>
      </c>
      <c r="R5327" s="10">
        <v>0.9048184592011113</v>
      </c>
      <c r="S5327" s="10">
        <v>0.0435147720814901</v>
      </c>
      <c r="T5327" s="10">
        <v>19.87413510018083</v>
      </c>
      <c r="U5327" s="11">
        <v>0.05341898483614498</v>
      </c>
      <c r="V5327" s="11">
        <v>0.2837189181515363</v>
      </c>
      <c r="W5327" s="11">
        <v>0.29526786025730867</v>
      </c>
      <c r="X5327" s="11">
        <v>0.03158031680381841</v>
      </c>
      <c r="Y5327" s="11">
        <v>0.21117754861886573</v>
      </c>
      <c r="Z5327" s="11">
        <v>0.12483637133232574</v>
      </c>
    </row>
    <row r="5328" ht="22.5" customHeight="1">
      <c r="Q5328" s="9" t="s">
        <v>5366</v>
      </c>
      <c r="R5328" s="10">
        <v>0.8416280299317543</v>
      </c>
      <c r="S5328" s="10">
        <v>0.040335398654945405</v>
      </c>
      <c r="T5328" s="10">
        <v>19.87405744491059</v>
      </c>
      <c r="U5328" s="11">
        <v>0.0743319281519604</v>
      </c>
      <c r="V5328" s="11">
        <v>0.32634357630342664</v>
      </c>
      <c r="W5328" s="11">
        <v>0.20866373426659443</v>
      </c>
      <c r="X5328" s="11">
        <v>0.1031158149057527</v>
      </c>
      <c r="Y5328" s="11">
        <v>0.001224052814396543</v>
      </c>
      <c r="Z5328" s="11">
        <v>0.2863208935578692</v>
      </c>
    </row>
    <row r="5329" ht="22.5" customHeight="1">
      <c r="Q5329" s="9" t="s">
        <v>5367</v>
      </c>
      <c r="R5329" s="10">
        <v>0.9079679888989368</v>
      </c>
      <c r="S5329" s="10">
        <v>0.04367356364877174</v>
      </c>
      <c r="T5329" s="10">
        <v>19.873990496384582</v>
      </c>
      <c r="U5329" s="11">
        <v>0.03710372215059505</v>
      </c>
      <c r="V5329" s="11">
        <v>0.30218093543605956</v>
      </c>
      <c r="W5329" s="11">
        <v>0.27956439179032305</v>
      </c>
      <c r="X5329" s="11">
        <v>0.006563864767196369</v>
      </c>
      <c r="Y5329" s="11">
        <v>0.2504422515926776</v>
      </c>
      <c r="Z5329" s="11">
        <v>0.12414483426314837</v>
      </c>
    </row>
    <row r="5330" ht="22.5" customHeight="1">
      <c r="Q5330" s="9" t="s">
        <v>5368</v>
      </c>
      <c r="R5330" s="10">
        <v>0.8716828235787459</v>
      </c>
      <c r="S5330" s="10">
        <v>0.04184873845293685</v>
      </c>
      <c r="T5330" s="10">
        <v>19.873545877949404</v>
      </c>
      <c r="U5330" s="11">
        <v>0.3119319127453463</v>
      </c>
      <c r="V5330" s="11">
        <v>0.2714089704209763</v>
      </c>
      <c r="W5330" s="11">
        <v>0.28497745216997616</v>
      </c>
      <c r="X5330" s="11">
        <v>0.02054031267154069</v>
      </c>
      <c r="Y5330" s="11">
        <v>0.02318763800672714</v>
      </c>
      <c r="Z5330" s="11">
        <v>0.08795371398543364</v>
      </c>
    </row>
    <row r="5331" ht="22.5" customHeight="1">
      <c r="Q5331" s="9" t="s">
        <v>5369</v>
      </c>
      <c r="R5331" s="10">
        <v>0.35105109637079274</v>
      </c>
      <c r="S5331" s="10">
        <v>0.01565195689386965</v>
      </c>
      <c r="T5331" s="10">
        <v>19.87298447599361</v>
      </c>
      <c r="U5331" s="11">
        <v>0.3276010568185028</v>
      </c>
      <c r="V5331" s="11">
        <v>0.12535308116957256</v>
      </c>
      <c r="W5331" s="11">
        <v>0.017872832803300428</v>
      </c>
      <c r="X5331" s="11">
        <v>0.303153317467038</v>
      </c>
      <c r="Y5331" s="11">
        <v>0.0010390918894526736</v>
      </c>
      <c r="Z5331" s="11">
        <v>0.22498061985213363</v>
      </c>
    </row>
    <row r="5332" ht="22.5" customHeight="1">
      <c r="Q5332" s="9" t="s">
        <v>5370</v>
      </c>
      <c r="R5332" s="10">
        <v>0.8126038767255206</v>
      </c>
      <c r="S5332" s="10">
        <v>0.038879466229338626</v>
      </c>
      <c r="T5332" s="10">
        <v>19.871771699954824</v>
      </c>
      <c r="U5332" s="11">
        <v>0.18036760882995762</v>
      </c>
      <c r="V5332" s="11">
        <v>0.33056868143131857</v>
      </c>
      <c r="W5332" s="11">
        <v>0.17104026639763256</v>
      </c>
      <c r="X5332" s="11">
        <v>0.1388075232407484</v>
      </c>
      <c r="Y5332" s="11">
        <v>0.018708503340726778</v>
      </c>
      <c r="Z5332" s="11">
        <v>0.1605074167596161</v>
      </c>
    </row>
    <row r="5333" ht="22.5" customHeight="1">
      <c r="Q5333" s="9" t="s">
        <v>5371</v>
      </c>
      <c r="R5333" s="10">
        <v>0.5856596047790604</v>
      </c>
      <c r="S5333" s="10">
        <v>0.027459582045178014</v>
      </c>
      <c r="T5333" s="10">
        <v>19.871373274411503</v>
      </c>
      <c r="U5333" s="11">
        <v>0.13203804919506337</v>
      </c>
      <c r="V5333" s="11">
        <v>0.08840257208339264</v>
      </c>
      <c r="W5333" s="11">
        <v>0.22652105209574827</v>
      </c>
      <c r="X5333" s="11">
        <v>0.37268197574243683</v>
      </c>
      <c r="Y5333" s="11">
        <v>0.05897807673389059</v>
      </c>
      <c r="Z5333" s="11">
        <v>0.12137827414946818</v>
      </c>
    </row>
    <row r="5334" ht="22.5" customHeight="1">
      <c r="Q5334" s="9" t="s">
        <v>5372</v>
      </c>
      <c r="R5334" s="10">
        <v>0.6327242526382034</v>
      </c>
      <c r="S5334" s="10">
        <v>0.029828209937693227</v>
      </c>
      <c r="T5334" s="10">
        <v>19.871264614146064</v>
      </c>
      <c r="U5334" s="11">
        <v>0.30067398892686237</v>
      </c>
      <c r="V5334" s="11">
        <v>0.2614874800390718</v>
      </c>
      <c r="W5334" s="11">
        <v>0.09368094621268734</v>
      </c>
      <c r="X5334" s="11">
        <v>0.1443941785434554</v>
      </c>
      <c r="Y5334" s="11">
        <v>0.15691624825192746</v>
      </c>
      <c r="Z5334" s="11">
        <v>0.042847158025995744</v>
      </c>
    </row>
    <row r="5335" ht="22.5" customHeight="1">
      <c r="Q5335" s="9" t="s">
        <v>5373</v>
      </c>
      <c r="R5335" s="10">
        <v>0.8076975455477649</v>
      </c>
      <c r="S5335" s="10">
        <v>0.038633579598038655</v>
      </c>
      <c r="T5335" s="10">
        <v>19.87125069784471</v>
      </c>
      <c r="U5335" s="11">
        <v>0.08741194218345613</v>
      </c>
      <c r="V5335" s="11">
        <v>0.22260505441727232</v>
      </c>
      <c r="W5335" s="11">
        <v>0.28397050655587724</v>
      </c>
      <c r="X5335" s="11">
        <v>0.07487988737880326</v>
      </c>
      <c r="Y5335" s="11">
        <v>0.16049073219401475</v>
      </c>
      <c r="Z5335" s="11">
        <v>0.17064187727057634</v>
      </c>
    </row>
    <row r="5336" ht="22.5" customHeight="1">
      <c r="Q5336" s="9" t="s">
        <v>5374</v>
      </c>
      <c r="R5336" s="10">
        <v>0.40272274731318286</v>
      </c>
      <c r="S5336" s="10">
        <v>0.018253842292895683</v>
      </c>
      <c r="T5336" s="10">
        <v>19.871035450676214</v>
      </c>
      <c r="U5336" s="11">
        <v>0.10003238492785396</v>
      </c>
      <c r="V5336" s="11">
        <v>0.05316846424629077</v>
      </c>
      <c r="W5336" s="11">
        <v>0.14250107854499286</v>
      </c>
      <c r="X5336" s="11">
        <v>0.1917300816360839</v>
      </c>
      <c r="Y5336" s="11">
        <v>0.22581527005314309</v>
      </c>
      <c r="Z5336" s="11">
        <v>0.2867527205916354</v>
      </c>
    </row>
    <row r="5337" ht="22.5" customHeight="1">
      <c r="Q5337" s="9" t="s">
        <v>5375</v>
      </c>
      <c r="R5337" s="10">
        <v>0.4914546294139662</v>
      </c>
      <c r="S5337" s="10">
        <v>0.022719883125592335</v>
      </c>
      <c r="T5337" s="10">
        <v>19.870464426176323</v>
      </c>
      <c r="U5337" s="11">
        <v>0.13779107420301395</v>
      </c>
      <c r="V5337" s="11">
        <v>0.2027121623448732</v>
      </c>
      <c r="W5337" s="11">
        <v>0.04187589504490201</v>
      </c>
      <c r="X5337" s="11">
        <v>0.2904564597298835</v>
      </c>
      <c r="Y5337" s="11">
        <v>0.14041905905111998</v>
      </c>
      <c r="Z5337" s="11">
        <v>0.18674534962620742</v>
      </c>
    </row>
    <row r="5338" ht="22.5" customHeight="1">
      <c r="Q5338" s="9" t="s">
        <v>5376</v>
      </c>
      <c r="R5338" s="10">
        <v>0.3732986372274044</v>
      </c>
      <c r="S5338" s="10">
        <v>0.01677359150332372</v>
      </c>
      <c r="T5338" s="10">
        <v>19.870439622984776</v>
      </c>
      <c r="U5338" s="11">
        <v>0.2963400032835026</v>
      </c>
      <c r="V5338" s="11">
        <v>0.020724895829452097</v>
      </c>
      <c r="W5338" s="11">
        <v>0.12411229198264859</v>
      </c>
      <c r="X5338" s="11">
        <v>0.37771131668833424</v>
      </c>
      <c r="Y5338" s="11">
        <v>0.16085050515286156</v>
      </c>
      <c r="Z5338" s="11">
        <v>0.020260987063200803</v>
      </c>
    </row>
    <row r="5339" ht="22.5" customHeight="1">
      <c r="Q5339" s="9" t="s">
        <v>5377</v>
      </c>
      <c r="R5339" s="10">
        <v>0.8433201052491224</v>
      </c>
      <c r="S5339" s="10">
        <v>0.04042815359157854</v>
      </c>
      <c r="T5339" s="10">
        <v>19.870313973885253</v>
      </c>
      <c r="U5339" s="11">
        <v>0.05853504148784262</v>
      </c>
      <c r="V5339" s="11">
        <v>0.2779231354942322</v>
      </c>
      <c r="W5339" s="11">
        <v>0.26229010207211506</v>
      </c>
      <c r="X5339" s="11">
        <v>0.0022511349474218984</v>
      </c>
      <c r="Y5339" s="11">
        <v>0.17587833706390696</v>
      </c>
      <c r="Z5339" s="11">
        <v>0.22312224893448132</v>
      </c>
    </row>
    <row r="5340" ht="22.5" customHeight="1">
      <c r="Q5340" s="9" t="s">
        <v>5378</v>
      </c>
      <c r="R5340" s="10">
        <v>0.7079714328075268</v>
      </c>
      <c r="S5340" s="10">
        <v>0.03361686339600588</v>
      </c>
      <c r="T5340" s="10">
        <v>19.87012961140481</v>
      </c>
      <c r="U5340" s="11">
        <v>0.022961508386400667</v>
      </c>
      <c r="V5340" s="11">
        <v>0.29544603854828194</v>
      </c>
      <c r="W5340" s="11">
        <v>0.1135412689751017</v>
      </c>
      <c r="X5340" s="11">
        <v>0.20129150682351124</v>
      </c>
      <c r="Y5340" s="11">
        <v>0.25792018997504795</v>
      </c>
      <c r="Z5340" s="11">
        <v>0.10883948729165653</v>
      </c>
    </row>
    <row r="5341" ht="22.5" customHeight="1">
      <c r="Q5341" s="9" t="s">
        <v>5379</v>
      </c>
      <c r="R5341" s="10">
        <v>0.355392880096754</v>
      </c>
      <c r="S5341" s="10">
        <v>0.01587316130459871</v>
      </c>
      <c r="T5341" s="10">
        <v>19.869569397331055</v>
      </c>
      <c r="U5341" s="11">
        <v>0.12725056124453163</v>
      </c>
      <c r="V5341" s="11">
        <v>0.13474062201860262</v>
      </c>
      <c r="W5341" s="11">
        <v>0.02659755962387451</v>
      </c>
      <c r="X5341" s="11">
        <v>0.20453367397172306</v>
      </c>
      <c r="Y5341" s="11">
        <v>0.11974830242730117</v>
      </c>
      <c r="Z5341" s="11">
        <v>0.387129280713967</v>
      </c>
    </row>
    <row r="5342" ht="22.5" customHeight="1">
      <c r="Q5342" s="9" t="s">
        <v>5380</v>
      </c>
      <c r="R5342" s="10">
        <v>0.859343792823609</v>
      </c>
      <c r="S5342" s="10">
        <v>0.04123751334640568</v>
      </c>
      <c r="T5342" s="10">
        <v>19.86889427451435</v>
      </c>
      <c r="U5342" s="11">
        <v>0.09244661871316727</v>
      </c>
      <c r="V5342" s="11">
        <v>0.33575452808934747</v>
      </c>
      <c r="W5342" s="11">
        <v>0.20165628243247652</v>
      </c>
      <c r="X5342" s="11">
        <v>0.043128412495555095</v>
      </c>
      <c r="Y5342" s="11">
        <v>0.23628059230382173</v>
      </c>
      <c r="Z5342" s="11">
        <v>0.09073356596563201</v>
      </c>
    </row>
    <row r="5343" ht="22.5" customHeight="1">
      <c r="Q5343" s="9" t="s">
        <v>5381</v>
      </c>
      <c r="R5343" s="10">
        <v>0.6902528207032093</v>
      </c>
      <c r="S5343" s="10">
        <v>0.03272813141506142</v>
      </c>
      <c r="T5343" s="10">
        <v>19.868314889617075</v>
      </c>
      <c r="U5343" s="11">
        <v>0.050372529029480154</v>
      </c>
      <c r="V5343" s="11">
        <v>0.1408143022926941</v>
      </c>
      <c r="W5343" s="11">
        <v>0.25849652780814164</v>
      </c>
      <c r="X5343" s="11">
        <v>0.19971336916520402</v>
      </c>
      <c r="Y5343" s="11">
        <v>0.2993009843197541</v>
      </c>
      <c r="Z5343" s="11">
        <v>0.05130228738472574</v>
      </c>
    </row>
    <row r="5344" ht="22.5" customHeight="1">
      <c r="Q5344" s="9" t="s">
        <v>5382</v>
      </c>
      <c r="R5344" s="10">
        <v>0.6408667195626273</v>
      </c>
      <c r="S5344" s="10">
        <v>0.03024274494270977</v>
      </c>
      <c r="T5344" s="10">
        <v>19.868127734465798</v>
      </c>
      <c r="U5344" s="11">
        <v>0.029789882906009618</v>
      </c>
      <c r="V5344" s="11">
        <v>0.13474889604003012</v>
      </c>
      <c r="W5344" s="11">
        <v>0.23929381007666722</v>
      </c>
      <c r="X5344" s="11">
        <v>0.17166409292075785</v>
      </c>
      <c r="Y5344" s="11">
        <v>0.21829240764402047</v>
      </c>
      <c r="Z5344" s="11">
        <v>0.20621091041251466</v>
      </c>
    </row>
    <row r="5345" ht="22.5" customHeight="1">
      <c r="Q5345" s="9" t="s">
        <v>5383</v>
      </c>
      <c r="R5345" s="10">
        <v>0.6740232723498332</v>
      </c>
      <c r="S5345" s="10">
        <v>0.031913514924243075</v>
      </c>
      <c r="T5345" s="10">
        <v>19.866920765540556</v>
      </c>
      <c r="U5345" s="11">
        <v>0.2195638543800998</v>
      </c>
      <c r="V5345" s="11">
        <v>0.1719316230290862</v>
      </c>
      <c r="W5345" s="11">
        <v>0.23744907173428678</v>
      </c>
      <c r="X5345" s="11">
        <v>0.024800442083905447</v>
      </c>
      <c r="Y5345" s="11">
        <v>0.17119413099679504</v>
      </c>
      <c r="Z5345" s="11">
        <v>0.17506087777582663</v>
      </c>
    </row>
    <row r="5346" ht="22.5" customHeight="1">
      <c r="Q5346" s="9" t="s">
        <v>5384</v>
      </c>
      <c r="R5346" s="10">
        <v>0.5062533360862083</v>
      </c>
      <c r="S5346" s="10">
        <v>0.023469139624873764</v>
      </c>
      <c r="T5346" s="10">
        <v>19.866656534441073</v>
      </c>
      <c r="U5346" s="11">
        <v>0.058323742568671164</v>
      </c>
      <c r="V5346" s="11">
        <v>0.18785226442031722</v>
      </c>
      <c r="W5346" s="11">
        <v>0.09571807259742829</v>
      </c>
      <c r="X5346" s="11">
        <v>0.0011935789863849727</v>
      </c>
      <c r="Y5346" s="11">
        <v>0.35406585090263176</v>
      </c>
      <c r="Z5346" s="11">
        <v>0.3028464905245665</v>
      </c>
    </row>
    <row r="5347" ht="22.5" customHeight="1">
      <c r="Q5347" s="9" t="s">
        <v>5385</v>
      </c>
      <c r="R5347" s="10">
        <v>0.5643123670985819</v>
      </c>
      <c r="S5347" s="10">
        <v>0.026392063569743104</v>
      </c>
      <c r="T5347" s="10">
        <v>19.866289186256513</v>
      </c>
      <c r="U5347" s="11">
        <v>0.14466757843595102</v>
      </c>
      <c r="V5347" s="11">
        <v>0.08516050637278078</v>
      </c>
      <c r="W5347" s="11">
        <v>0.2133550933810005</v>
      </c>
      <c r="X5347" s="11">
        <v>0.26117830607758724</v>
      </c>
      <c r="Y5347" s="11">
        <v>0.2647813790952497</v>
      </c>
      <c r="Z5347" s="11">
        <v>0.03085713663743076</v>
      </c>
    </row>
    <row r="5348" ht="22.5" customHeight="1">
      <c r="Q5348" s="9" t="s">
        <v>5386</v>
      </c>
      <c r="R5348" s="10">
        <v>0.6636850337048417</v>
      </c>
      <c r="S5348" s="10">
        <v>0.031394434871300295</v>
      </c>
      <c r="T5348" s="10">
        <v>19.866101627935112</v>
      </c>
      <c r="U5348" s="11">
        <v>0.30068031815958196</v>
      </c>
      <c r="V5348" s="11">
        <v>0.2608489550909536</v>
      </c>
      <c r="W5348" s="11">
        <v>0.129089712891577</v>
      </c>
      <c r="X5348" s="11">
        <v>0.0078045419861334795</v>
      </c>
      <c r="Y5348" s="11">
        <v>0.24325017290726664</v>
      </c>
      <c r="Z5348" s="11">
        <v>0.05832629896448733</v>
      </c>
    </row>
    <row r="5349" ht="22.5" customHeight="1">
      <c r="Q5349" s="9" t="s">
        <v>5387</v>
      </c>
      <c r="R5349" s="10">
        <v>0.9541735297914525</v>
      </c>
      <c r="S5349" s="10">
        <v>0.04601784319340195</v>
      </c>
      <c r="T5349" s="10">
        <v>19.865631814802807</v>
      </c>
      <c r="U5349" s="11">
        <v>0.025397429420542454</v>
      </c>
      <c r="V5349" s="11">
        <v>0.2900632255324002</v>
      </c>
      <c r="W5349" s="11">
        <v>0.3182193975575723</v>
      </c>
      <c r="X5349" s="11">
        <v>0.05633711625676653</v>
      </c>
      <c r="Y5349" s="11">
        <v>0.2787646361283767</v>
      </c>
      <c r="Z5349" s="11">
        <v>0.031218195104341696</v>
      </c>
    </row>
    <row r="5350" ht="22.5" customHeight="1">
      <c r="Q5350" s="9" t="s">
        <v>5388</v>
      </c>
      <c r="R5350" s="10">
        <v>0.4196862734539764</v>
      </c>
      <c r="S5350" s="10">
        <v>0.019113194781079073</v>
      </c>
      <c r="T5350" s="10">
        <v>19.865139125241548</v>
      </c>
      <c r="U5350" s="11">
        <v>0.11310536825379511</v>
      </c>
      <c r="V5350" s="11">
        <v>0.04555900718369113</v>
      </c>
      <c r="W5350" s="11">
        <v>0.15320852884174932</v>
      </c>
      <c r="X5350" s="11">
        <v>0.2943962210706089</v>
      </c>
      <c r="Y5350" s="11">
        <v>0.16212755563675624</v>
      </c>
      <c r="Z5350" s="11">
        <v>0.23160331901339914</v>
      </c>
    </row>
    <row r="5351" ht="22.5" customHeight="1">
      <c r="Q5351" s="9" t="s">
        <v>5389</v>
      </c>
      <c r="R5351" s="10">
        <v>1.0607727221468055</v>
      </c>
      <c r="S5351" s="10">
        <v>0.0513851748852502</v>
      </c>
      <c r="T5351" s="10">
        <v>19.86512110596732</v>
      </c>
      <c r="U5351" s="11">
        <v>0.16223761652160193</v>
      </c>
      <c r="V5351" s="11">
        <v>0.3632166544037177</v>
      </c>
      <c r="W5351" s="11">
        <v>0.32760589961846603</v>
      </c>
      <c r="X5351" s="11">
        <v>0.08967207374650937</v>
      </c>
      <c r="Y5351" s="11">
        <v>0.011545921076998825</v>
      </c>
      <c r="Z5351" s="11">
        <v>0.04572183463270616</v>
      </c>
    </row>
    <row r="5352" ht="22.5" customHeight="1">
      <c r="Q5352" s="9" t="s">
        <v>5390</v>
      </c>
      <c r="R5352" s="10">
        <v>0.48083352486249503</v>
      </c>
      <c r="S5352" s="10">
        <v>0.02219146664338494</v>
      </c>
      <c r="T5352" s="10">
        <v>19.86500180211853</v>
      </c>
      <c r="U5352" s="11">
        <v>0.1494756226396489</v>
      </c>
      <c r="V5352" s="11">
        <v>0.19538725659464778</v>
      </c>
      <c r="W5352" s="11">
        <v>0.041992487449096304</v>
      </c>
      <c r="X5352" s="11">
        <v>0.23546765279333665</v>
      </c>
      <c r="Y5352" s="11">
        <v>0.22873988109574478</v>
      </c>
      <c r="Z5352" s="11">
        <v>0.14893709942752556</v>
      </c>
    </row>
    <row r="5353" ht="22.5" customHeight="1">
      <c r="Q5353" s="9" t="s">
        <v>5391</v>
      </c>
      <c r="R5353" s="10">
        <v>0.7537084658653578</v>
      </c>
      <c r="S5353" s="10">
        <v>0.03592811483342829</v>
      </c>
      <c r="T5353" s="10">
        <v>19.864901600718223</v>
      </c>
      <c r="U5353" s="11">
        <v>0.17663370459124292</v>
      </c>
      <c r="V5353" s="11">
        <v>0.3083325904762936</v>
      </c>
      <c r="W5353" s="11">
        <v>0.15178645893209683</v>
      </c>
      <c r="X5353" s="11">
        <v>0.13423585327917725</v>
      </c>
      <c r="Y5353" s="11">
        <v>0.019208471249221287</v>
      </c>
      <c r="Z5353" s="11">
        <v>0.20980292147196808</v>
      </c>
    </row>
    <row r="5354" ht="22.5" customHeight="1">
      <c r="Q5354" s="9" t="s">
        <v>5392</v>
      </c>
      <c r="R5354" s="10">
        <v>0.9251564794105263</v>
      </c>
      <c r="S5354" s="10">
        <v>0.044558878182000675</v>
      </c>
      <c r="T5354" s="10">
        <v>19.864873522962267</v>
      </c>
      <c r="U5354" s="11">
        <v>0.24966777689559064</v>
      </c>
      <c r="V5354" s="11">
        <v>0.2794517850545987</v>
      </c>
      <c r="W5354" s="11">
        <v>0.31306888458157806</v>
      </c>
      <c r="X5354" s="11">
        <v>0.0682368020466841</v>
      </c>
      <c r="Y5354" s="11">
        <v>0.021182173076866588</v>
      </c>
      <c r="Z5354" s="11">
        <v>0.06839257834468183</v>
      </c>
    </row>
    <row r="5355" ht="22.5" customHeight="1">
      <c r="Q5355" s="9" t="s">
        <v>5393</v>
      </c>
      <c r="R5355" s="10">
        <v>0.6686150427402976</v>
      </c>
      <c r="S5355" s="10">
        <v>0.03164588389834012</v>
      </c>
      <c r="T5355" s="10">
        <v>19.864038077105803</v>
      </c>
      <c r="U5355" s="11">
        <v>0.128166089660159</v>
      </c>
      <c r="V5355" s="11">
        <v>0.174380457725718</v>
      </c>
      <c r="W5355" s="11">
        <v>0.23265398156222164</v>
      </c>
      <c r="X5355" s="11">
        <v>0.01871330061950303</v>
      </c>
      <c r="Y5355" s="11">
        <v>0.2261406291162923</v>
      </c>
      <c r="Z5355" s="11">
        <v>0.2199455413161061</v>
      </c>
    </row>
    <row r="5356" ht="22.5" customHeight="1">
      <c r="Q5356" s="9" t="s">
        <v>5394</v>
      </c>
      <c r="R5356" s="10">
        <v>0.522331348251574</v>
      </c>
      <c r="S5356" s="10">
        <v>0.0457668237725883</v>
      </c>
      <c r="T5356" s="10">
        <v>19.86359901770312</v>
      </c>
      <c r="U5356" s="11">
        <v>0.18261089311554346</v>
      </c>
      <c r="V5356" s="11">
        <v>0.37528485529678945</v>
      </c>
      <c r="W5356" s="11">
        <v>0.22656452954631132</v>
      </c>
      <c r="X5356" s="11">
        <v>0.12387856969355097</v>
      </c>
      <c r="Y5356" s="11">
        <v>0.017704546997158108</v>
      </c>
      <c r="Z5356" s="11">
        <v>0.07395660535064666</v>
      </c>
    </row>
    <row r="5357" ht="22.5" customHeight="1">
      <c r="Q5357" s="9" t="s">
        <v>5395</v>
      </c>
      <c r="R5357" s="10">
        <v>0.41334190480159894</v>
      </c>
      <c r="S5357" s="10">
        <v>0.018795352412264384</v>
      </c>
      <c r="T5357" s="10">
        <v>19.863522460902892</v>
      </c>
      <c r="U5357" s="11">
        <v>0.3790079318268879</v>
      </c>
      <c r="V5357" s="11">
        <v>0.14632656868703164</v>
      </c>
      <c r="W5357" s="11">
        <v>0.059698510239288155</v>
      </c>
      <c r="X5357" s="11">
        <v>0.02405728466439375</v>
      </c>
      <c r="Y5357" s="11">
        <v>0.22705265141700104</v>
      </c>
      <c r="Z5357" s="11">
        <v>0.1638570531653975</v>
      </c>
    </row>
    <row r="5358" ht="22.5" customHeight="1">
      <c r="Q5358" s="9" t="s">
        <v>5396</v>
      </c>
      <c r="R5358" s="10">
        <v>0.6484885570769467</v>
      </c>
      <c r="S5358" s="10">
        <v>0.030633529809883275</v>
      </c>
      <c r="T5358" s="10">
        <v>19.86348164424168</v>
      </c>
      <c r="U5358" s="11">
        <v>0.04920324892724986</v>
      </c>
      <c r="V5358" s="11">
        <v>0.2626923276913139</v>
      </c>
      <c r="W5358" s="11">
        <v>0.12145357339855499</v>
      </c>
      <c r="X5358" s="11">
        <v>0.07510239742883211</v>
      </c>
      <c r="Y5358" s="11">
        <v>0.23206580309068345</v>
      </c>
      <c r="Z5358" s="11">
        <v>0.2594826494633658</v>
      </c>
    </row>
    <row r="5359" ht="22.5" customHeight="1">
      <c r="Q5359" s="9" t="s">
        <v>5397</v>
      </c>
      <c r="R5359" s="10">
        <v>0.7400828780513806</v>
      </c>
      <c r="S5359" s="10">
        <v>0.03524721762074851</v>
      </c>
      <c r="T5359" s="10">
        <v>19.86207494685402</v>
      </c>
      <c r="U5359" s="11">
        <v>0.04055823974025549</v>
      </c>
      <c r="V5359" s="11">
        <v>0.3026166388141405</v>
      </c>
      <c r="W5359" s="11">
        <v>0.15075070454534728</v>
      </c>
      <c r="X5359" s="11">
        <v>0.144356611071936</v>
      </c>
      <c r="Y5359" s="11">
        <v>0.06078392503549968</v>
      </c>
      <c r="Z5359" s="11">
        <v>0.30093388079282096</v>
      </c>
    </row>
    <row r="5360" ht="22.5" customHeight="1">
      <c r="Q5360" s="9" t="s">
        <v>5398</v>
      </c>
      <c r="R5360" s="10">
        <v>0.6708452201492298</v>
      </c>
      <c r="S5360" s="10">
        <v>0.03176173294780293</v>
      </c>
      <c r="T5360" s="10">
        <v>19.861801029117572</v>
      </c>
      <c r="U5360" s="11">
        <v>0.2490155536418769</v>
      </c>
      <c r="V5360" s="11">
        <v>0.14916593185052937</v>
      </c>
      <c r="W5360" s="11">
        <v>0.24491440641132278</v>
      </c>
      <c r="X5360" s="11">
        <v>0.08056394671096542</v>
      </c>
      <c r="Y5360" s="11">
        <v>0.23996749780025364</v>
      </c>
      <c r="Z5360" s="11">
        <v>0.036372663585051784</v>
      </c>
    </row>
    <row r="5361" ht="22.5" customHeight="1">
      <c r="Q5361" s="9" t="s">
        <v>5399</v>
      </c>
      <c r="R5361" s="10">
        <v>0.3620384844579948</v>
      </c>
      <c r="S5361" s="10">
        <v>0.01621398724739464</v>
      </c>
      <c r="T5361" s="10">
        <v>19.861769936308658</v>
      </c>
      <c r="U5361" s="11">
        <v>0.1309438642984595</v>
      </c>
      <c r="V5361" s="11">
        <v>0.1337713235616519</v>
      </c>
      <c r="W5361" s="11">
        <v>0.022968395653631374</v>
      </c>
      <c r="X5361" s="11">
        <v>0.1992741821186637</v>
      </c>
      <c r="Y5361" s="11">
        <v>0.25691511679269224</v>
      </c>
      <c r="Z5361" s="11">
        <v>0.25612711757490136</v>
      </c>
    </row>
    <row r="5362" ht="22.5" customHeight="1">
      <c r="Q5362" s="9" t="s">
        <v>5400</v>
      </c>
      <c r="R5362" s="10">
        <v>0.772685192915724</v>
      </c>
      <c r="S5362" s="10">
        <v>0.036889357422327865</v>
      </c>
      <c r="T5362" s="10">
        <v>19.86169573320501</v>
      </c>
      <c r="U5362" s="11">
        <v>0.12740245171619083</v>
      </c>
      <c r="V5362" s="11">
        <v>0.21656952735554716</v>
      </c>
      <c r="W5362" s="11">
        <v>0.2696197302664455</v>
      </c>
      <c r="X5362" s="11">
        <v>0.0687598588843602</v>
      </c>
      <c r="Y5362" s="11">
        <v>0.07235476501352563</v>
      </c>
      <c r="Z5362" s="11">
        <v>0.24529366676393072</v>
      </c>
    </row>
    <row r="5363" ht="22.5" customHeight="1">
      <c r="Q5363" s="9" t="s">
        <v>5401</v>
      </c>
      <c r="R5363" s="10">
        <v>0.2920148395226914</v>
      </c>
      <c r="S5363" s="10">
        <v>0.01268859975994154</v>
      </c>
      <c r="T5363" s="10">
        <v>19.861516975128588</v>
      </c>
      <c r="U5363" s="11">
        <v>0.34505731469443546</v>
      </c>
      <c r="V5363" s="11">
        <v>0.08351780917726567</v>
      </c>
      <c r="W5363" s="11">
        <v>0.011988389278354843</v>
      </c>
      <c r="X5363" s="11">
        <v>0.23075267947653666</v>
      </c>
      <c r="Y5363" s="11">
        <v>0.20662150560165796</v>
      </c>
      <c r="Z5363" s="11">
        <v>0.12206230177174926</v>
      </c>
    </row>
    <row r="5364" ht="22.5" customHeight="1">
      <c r="Q5364" s="9" t="s">
        <v>5402</v>
      </c>
      <c r="R5364" s="10">
        <v>0.418498941275029</v>
      </c>
      <c r="S5364" s="10">
        <v>0.019057531186012607</v>
      </c>
      <c r="T5364" s="10">
        <v>19.860859078789318</v>
      </c>
      <c r="U5364" s="11">
        <v>0.24015992642474324</v>
      </c>
      <c r="V5364" s="11">
        <v>0.16522721414066943</v>
      </c>
      <c r="W5364" s="11">
        <v>0.04015992262170695</v>
      </c>
      <c r="X5364" s="11">
        <v>0.15656412296599434</v>
      </c>
      <c r="Y5364" s="11">
        <v>0.1359422635130882</v>
      </c>
      <c r="Z5364" s="11">
        <v>0.26194655033379793</v>
      </c>
    </row>
    <row r="5365" ht="22.5" customHeight="1">
      <c r="Q5365" s="9" t="s">
        <v>5403</v>
      </c>
      <c r="R5365" s="10">
        <v>0.741099677738728</v>
      </c>
      <c r="S5365" s="10">
        <v>0.035300867082469406</v>
      </c>
      <c r="T5365" s="10">
        <v>19.860692829465872</v>
      </c>
      <c r="U5365" s="11">
        <v>0.24645383207797217</v>
      </c>
      <c r="V5365" s="11">
        <v>0.17460747135305701</v>
      </c>
      <c r="W5365" s="11">
        <v>0.2752380829058425</v>
      </c>
      <c r="X5365" s="11">
        <v>0.14758382998115682</v>
      </c>
      <c r="Y5365" s="11">
        <v>0.04722229694654634</v>
      </c>
      <c r="Z5365" s="11">
        <v>0.10889448673542532</v>
      </c>
    </row>
    <row r="5366" ht="22.5" customHeight="1">
      <c r="Q5366" s="9" t="s">
        <v>5404</v>
      </c>
      <c r="R5366" s="10">
        <v>0.4034877011401254</v>
      </c>
      <c r="S5366" s="10">
        <v>0.0183019710440644</v>
      </c>
      <c r="T5366" s="10">
        <v>19.86057677968023</v>
      </c>
      <c r="U5366" s="11">
        <v>0.20212951998076345</v>
      </c>
      <c r="V5366" s="11">
        <v>0.04797714405432441</v>
      </c>
      <c r="W5366" s="11">
        <v>0.14210342791765695</v>
      </c>
      <c r="X5366" s="11">
        <v>0.19305925912573924</v>
      </c>
      <c r="Y5366" s="11">
        <v>0.23515156765612635</v>
      </c>
      <c r="Z5366" s="11">
        <v>0.17957908126538957</v>
      </c>
    </row>
    <row r="5367" ht="22.5" customHeight="1">
      <c r="Q5367" s="9" t="s">
        <v>5405</v>
      </c>
      <c r="R5367" s="10">
        <v>0.48942823123931073</v>
      </c>
      <c r="S5367" s="10">
        <v>0.022629582823524487</v>
      </c>
      <c r="T5367" s="10">
        <v>19.860208415866577</v>
      </c>
      <c r="U5367" s="11">
        <v>0.23029835965033985</v>
      </c>
      <c r="V5367" s="11">
        <v>0.1943632954237058</v>
      </c>
      <c r="W5367" s="11">
        <v>0.06938508563194079</v>
      </c>
      <c r="X5367" s="11">
        <v>0.06808065610368692</v>
      </c>
      <c r="Y5367" s="11">
        <v>0.20136677712154413</v>
      </c>
      <c r="Z5367" s="11">
        <v>0.23650582606878262</v>
      </c>
    </row>
    <row r="5368" ht="22.5" customHeight="1">
      <c r="Q5368" s="9" t="s">
        <v>5406</v>
      </c>
      <c r="R5368" s="10">
        <v>0.7514119721729919</v>
      </c>
      <c r="S5368" s="10">
        <v>0.03582484804762003</v>
      </c>
      <c r="T5368" s="10">
        <v>19.858059725120132</v>
      </c>
      <c r="U5368" s="11">
        <v>0.20548331278790624</v>
      </c>
      <c r="V5368" s="11">
        <v>0.3188177283296962</v>
      </c>
      <c r="W5368" s="11">
        <v>0.11307621366839717</v>
      </c>
      <c r="X5368" s="11">
        <v>0.29943158929534375</v>
      </c>
      <c r="Y5368" s="11">
        <v>0.05145783371856838</v>
      </c>
      <c r="Z5368" s="11">
        <v>0.011733322200088332</v>
      </c>
    </row>
    <row r="5369" ht="22.5" customHeight="1">
      <c r="Q5369" s="9" t="s">
        <v>5407</v>
      </c>
      <c r="R5369" s="10">
        <v>0.7336082386121499</v>
      </c>
      <c r="S5369" s="10">
        <v>0.03492994016582501</v>
      </c>
      <c r="T5369" s="10">
        <v>19.8571264456607</v>
      </c>
      <c r="U5369" s="11">
        <v>0.25776510629286</v>
      </c>
      <c r="V5369" s="11">
        <v>0.28812758516870524</v>
      </c>
      <c r="W5369" s="11">
        <v>0.15175136978397732</v>
      </c>
      <c r="X5369" s="11">
        <v>0.0075100202154200135</v>
      </c>
      <c r="Y5369" s="11">
        <v>0.27834464206893406</v>
      </c>
      <c r="Z5369" s="11">
        <v>0.016501276470103403</v>
      </c>
    </row>
    <row r="5370" ht="22.5" customHeight="1">
      <c r="Q5370" s="9" t="s">
        <v>5408</v>
      </c>
      <c r="R5370" s="10">
        <v>0.6048549700067177</v>
      </c>
      <c r="S5370" s="10">
        <v>0.02844742334005248</v>
      </c>
      <c r="T5370" s="10">
        <v>19.85610307318876</v>
      </c>
      <c r="U5370" s="11">
        <v>0.1212041060326168</v>
      </c>
      <c r="V5370" s="11">
        <v>0.25408265387991336</v>
      </c>
      <c r="W5370" s="11">
        <v>0.0796204734584645</v>
      </c>
      <c r="X5370" s="11">
        <v>0.21071302292078425</v>
      </c>
      <c r="Y5370" s="11">
        <v>0.18693421918429792</v>
      </c>
      <c r="Z5370" s="11">
        <v>0.14744552452392315</v>
      </c>
    </row>
    <row r="5371" ht="22.5" customHeight="1">
      <c r="Q5371" s="9" t="s">
        <v>5409</v>
      </c>
      <c r="R5371" s="10">
        <v>0.8643452983281074</v>
      </c>
      <c r="S5371" s="10">
        <v>0.041516224139718096</v>
      </c>
      <c r="T5371" s="10">
        <v>19.855979569670588</v>
      </c>
      <c r="U5371" s="11">
        <v>0.04049932358552544</v>
      </c>
      <c r="V5371" s="11">
        <v>0.26951603395482715</v>
      </c>
      <c r="W5371" s="11">
        <v>0.28586791789151</v>
      </c>
      <c r="X5371" s="11">
        <v>0.060141183123209964</v>
      </c>
      <c r="Y5371" s="11">
        <v>0.09354138984525864</v>
      </c>
      <c r="Z5371" s="11">
        <v>0.2504341515996689</v>
      </c>
    </row>
    <row r="5372" ht="22.5" customHeight="1">
      <c r="Q5372" s="9" t="s">
        <v>5410</v>
      </c>
      <c r="R5372" s="10">
        <v>0.4844758763195318</v>
      </c>
      <c r="S5372" s="10">
        <v>0.022385082781200733</v>
      </c>
      <c r="T5372" s="10">
        <v>19.85589602969028</v>
      </c>
      <c r="U5372" s="11">
        <v>0.16055892664759816</v>
      </c>
      <c r="V5372" s="11">
        <v>0.0812979945490552</v>
      </c>
      <c r="W5372" s="11">
        <v>0.18060986623038527</v>
      </c>
      <c r="X5372" s="11">
        <v>0.18730103177147023</v>
      </c>
      <c r="Y5372" s="11">
        <v>0.08748394212714075</v>
      </c>
      <c r="Z5372" s="11">
        <v>0.30274823867435036</v>
      </c>
    </row>
    <row r="5373" ht="22.5" customHeight="1">
      <c r="Q5373" s="9" t="s">
        <v>5411</v>
      </c>
      <c r="R5373" s="10">
        <v>0.9905881678377636</v>
      </c>
      <c r="S5373" s="10">
        <v>0.04787508768615218</v>
      </c>
      <c r="T5373" s="10">
        <v>19.855591159840742</v>
      </c>
      <c r="U5373" s="11">
        <v>0.1927078688096208</v>
      </c>
      <c r="V5373" s="11">
        <v>0.3398534966952184</v>
      </c>
      <c r="W5373" s="11">
        <v>0.29977158457909603</v>
      </c>
      <c r="X5373" s="11">
        <v>0.006272708611312863</v>
      </c>
      <c r="Y5373" s="11">
        <v>0.15038799084175256</v>
      </c>
      <c r="Z5373" s="11">
        <v>0.011006350462999262</v>
      </c>
    </row>
    <row r="5374" ht="22.5" customHeight="1">
      <c r="Q5374" s="9" t="s">
        <v>5412</v>
      </c>
      <c r="R5374" s="10">
        <v>0.44600324695381394</v>
      </c>
      <c r="S5374" s="10">
        <v>0.02044780604015423</v>
      </c>
      <c r="T5374" s="10">
        <v>19.855589697815407</v>
      </c>
      <c r="U5374" s="11">
        <v>0.023485409755078023</v>
      </c>
      <c r="V5374" s="11">
        <v>0.17543113942114408</v>
      </c>
      <c r="W5374" s="11">
        <v>0.03800489494336044</v>
      </c>
      <c r="X5374" s="11">
        <v>0.23358306993536163</v>
      </c>
      <c r="Y5374" s="11">
        <v>0.31594010391870275</v>
      </c>
      <c r="Z5374" s="11">
        <v>0.21355538202635307</v>
      </c>
    </row>
    <row r="5375" ht="22.5" customHeight="1">
      <c r="Q5375" s="9" t="s">
        <v>5413</v>
      </c>
      <c r="R5375" s="10">
        <v>0.9400156170940632</v>
      </c>
      <c r="S5375" s="10">
        <v>0.045328586094554035</v>
      </c>
      <c r="T5375" s="10">
        <v>19.855364895270686</v>
      </c>
      <c r="U5375" s="11">
        <v>0.2118386685789507</v>
      </c>
      <c r="V5375" s="11">
        <v>0.2990056813960536</v>
      </c>
      <c r="W5375" s="11">
        <v>0.30726834041773915</v>
      </c>
      <c r="X5375" s="11">
        <v>0.04706675330087901</v>
      </c>
      <c r="Y5375" s="11">
        <v>0.03626159439824738</v>
      </c>
      <c r="Z5375" s="11">
        <v>0.09855896190813017</v>
      </c>
    </row>
    <row r="5376" ht="22.5" customHeight="1">
      <c r="Q5376" s="9" t="s">
        <v>5414</v>
      </c>
      <c r="R5376" s="10">
        <v>0.555851030500549</v>
      </c>
      <c r="S5376" s="10">
        <v>0.025982263518378963</v>
      </c>
      <c r="T5376" s="10">
        <v>19.853968078479905</v>
      </c>
      <c r="U5376" s="11">
        <v>0.011220695864623952</v>
      </c>
      <c r="V5376" s="11">
        <v>0.0773220910108636</v>
      </c>
      <c r="W5376" s="11">
        <v>0.21277773909555092</v>
      </c>
      <c r="X5376" s="11">
        <v>0.41747047710062646</v>
      </c>
      <c r="Y5376" s="11">
        <v>0.11362791504988086</v>
      </c>
      <c r="Z5376" s="11">
        <v>0.1675810818784542</v>
      </c>
    </row>
    <row r="5377" ht="22.5" customHeight="1">
      <c r="Q5377" s="9" t="s">
        <v>5415</v>
      </c>
      <c r="R5377" s="10">
        <v>0.9087115718122504</v>
      </c>
      <c r="S5377" s="10">
        <v>0.043755266328033796</v>
      </c>
      <c r="T5377" s="10">
        <v>19.853874623902605</v>
      </c>
      <c r="U5377" s="11">
        <v>0.08100098540473126</v>
      </c>
      <c r="V5377" s="11">
        <v>0.33167467780212173</v>
      </c>
      <c r="W5377" s="11">
        <v>0.25407721228191144</v>
      </c>
      <c r="X5377" s="11">
        <v>0.029621439248829602</v>
      </c>
      <c r="Y5377" s="11">
        <v>0.108506712638771</v>
      </c>
      <c r="Z5377" s="11">
        <v>0.195118972623635</v>
      </c>
    </row>
    <row r="5378" ht="22.5" customHeight="1">
      <c r="Q5378" s="9" t="s">
        <v>5416</v>
      </c>
      <c r="R5378" s="10">
        <v>0.5945379573856321</v>
      </c>
      <c r="S5378" s="10">
        <v>0.027932603948594203</v>
      </c>
      <c r="T5378" s="10">
        <v>19.85271256507902</v>
      </c>
      <c r="U5378" s="11">
        <v>0.2336719969729631</v>
      </c>
      <c r="V5378" s="11">
        <v>0.10632116240457824</v>
      </c>
      <c r="W5378" s="11">
        <v>0.22790179504593863</v>
      </c>
      <c r="X5378" s="11">
        <v>0.2503985193611143</v>
      </c>
      <c r="Y5378" s="11">
        <v>0.02035957106856595</v>
      </c>
      <c r="Z5378" s="11">
        <v>0.16134695514683972</v>
      </c>
    </row>
    <row r="5379" ht="22.5" customHeight="1">
      <c r="Q5379" s="9" t="s">
        <v>5417</v>
      </c>
      <c r="R5379" s="10">
        <v>0.522331348251574</v>
      </c>
      <c r="S5379" s="10">
        <v>0.03336692390496086</v>
      </c>
      <c r="T5379" s="10">
        <v>19.85210818451691</v>
      </c>
      <c r="U5379" s="11">
        <v>0.23299998911507036</v>
      </c>
      <c r="V5379" s="11">
        <v>0.19027461095606737</v>
      </c>
      <c r="W5379" s="11">
        <v>0.24362591190649738</v>
      </c>
      <c r="X5379" s="11">
        <v>0.013198884312043217</v>
      </c>
      <c r="Y5379" s="11">
        <v>0.12052014040068453</v>
      </c>
      <c r="Z5379" s="11">
        <v>0.19938046330963718</v>
      </c>
    </row>
    <row r="5380" ht="22.5" customHeight="1">
      <c r="Q5380" s="9" t="s">
        <v>5418</v>
      </c>
      <c r="R5380" s="10">
        <v>0.522331348251574</v>
      </c>
      <c r="S5380" s="10">
        <v>0.030359652746127168</v>
      </c>
      <c r="T5380" s="10">
        <v>19.851652446599687</v>
      </c>
      <c r="U5380" s="11">
        <v>0.22274504272511977</v>
      </c>
      <c r="V5380" s="11">
        <v>0.2721581594510826</v>
      </c>
      <c r="W5380" s="11">
        <v>0.0827450095286893</v>
      </c>
      <c r="X5380" s="11">
        <v>0.2848648788282142</v>
      </c>
      <c r="Y5380" s="11">
        <v>0.05489670270402978</v>
      </c>
      <c r="Z5380" s="11">
        <v>0.08259020676286427</v>
      </c>
    </row>
    <row r="5381" ht="22.5" customHeight="1">
      <c r="Q5381" s="9" t="s">
        <v>5419</v>
      </c>
      <c r="R5381" s="10">
        <v>0.6147913608877309</v>
      </c>
      <c r="S5381" s="10">
        <v>0.02895521191121138</v>
      </c>
      <c r="T5381" s="10">
        <v>19.851050051033237</v>
      </c>
      <c r="U5381" s="11">
        <v>0.16310113400124726</v>
      </c>
      <c r="V5381" s="11">
        <v>0.2603138515953245</v>
      </c>
      <c r="W5381" s="11">
        <v>0.07874688847146724</v>
      </c>
      <c r="X5381" s="11">
        <v>0.29373018517802096</v>
      </c>
      <c r="Y5381" s="11">
        <v>0.026796050818818955</v>
      </c>
      <c r="Z5381" s="11">
        <v>0.17731188993512098</v>
      </c>
    </row>
    <row r="5382" ht="22.5" customHeight="1">
      <c r="Q5382" s="9" t="s">
        <v>5420</v>
      </c>
      <c r="R5382" s="10">
        <v>0.9130742328027883</v>
      </c>
      <c r="S5382" s="10">
        <v>0.04398180442780835</v>
      </c>
      <c r="T5382" s="10">
        <v>19.85080521732233</v>
      </c>
      <c r="U5382" s="11">
        <v>0.10140725431034751</v>
      </c>
      <c r="V5382" s="11">
        <v>0.3395521439864887</v>
      </c>
      <c r="W5382" s="11">
        <v>0.2495337740054894</v>
      </c>
      <c r="X5382" s="11">
        <v>0.06443346250443163</v>
      </c>
      <c r="Y5382" s="11">
        <v>0.022797171325311102</v>
      </c>
      <c r="Z5382" s="11">
        <v>0.22227619386793168</v>
      </c>
    </row>
    <row r="5383" ht="22.5" customHeight="1">
      <c r="Q5383" s="9" t="s">
        <v>5421</v>
      </c>
      <c r="R5383" s="10">
        <v>0.32432579588684124</v>
      </c>
      <c r="S5383" s="10">
        <v>0.014323179127002652</v>
      </c>
      <c r="T5383" s="10">
        <v>19.85074635775646</v>
      </c>
      <c r="U5383" s="11">
        <v>0.20722000690512918</v>
      </c>
      <c r="V5383" s="11">
        <v>0.1069340894459741</v>
      </c>
      <c r="W5383" s="11">
        <v>0.014000897800818783</v>
      </c>
      <c r="X5383" s="11">
        <v>0.22389762277137074</v>
      </c>
      <c r="Y5383" s="11">
        <v>0.28324781385485054</v>
      </c>
      <c r="Z5383" s="11">
        <v>0.16469956922185666</v>
      </c>
    </row>
    <row r="5384" ht="22.5" customHeight="1">
      <c r="Q5384" s="9" t="s">
        <v>5422</v>
      </c>
      <c r="R5384" s="10">
        <v>0.6620746118552621</v>
      </c>
      <c r="S5384" s="10">
        <v>0.031337700230512244</v>
      </c>
      <c r="T5384" s="10">
        <v>19.850678488830948</v>
      </c>
      <c r="U5384" s="11">
        <v>0.10542919605275465</v>
      </c>
      <c r="V5384" s="11">
        <v>0.2626338889207266</v>
      </c>
      <c r="W5384" s="11">
        <v>0.14359812323348384</v>
      </c>
      <c r="X5384" s="11">
        <v>0.06403739848255917</v>
      </c>
      <c r="Y5384" s="11">
        <v>0.04556878986819177</v>
      </c>
      <c r="Z5384" s="11">
        <v>0.37873260344228393</v>
      </c>
    </row>
    <row r="5385" ht="22.5" customHeight="1">
      <c r="Q5385" s="9" t="s">
        <v>5423</v>
      </c>
      <c r="R5385" s="10">
        <v>0.2748017315725436</v>
      </c>
      <c r="S5385" s="10">
        <v>0.01182857179328876</v>
      </c>
      <c r="T5385" s="10">
        <v>19.850387322818154</v>
      </c>
      <c r="U5385" s="11">
        <v>0.1039179943500015</v>
      </c>
      <c r="V5385" s="11">
        <v>0.08124780634180986</v>
      </c>
      <c r="W5385" s="11">
        <v>0.010954135120958941</v>
      </c>
      <c r="X5385" s="11">
        <v>0.24297440724496086</v>
      </c>
      <c r="Y5385" s="11">
        <v>0.23684335708069518</v>
      </c>
      <c r="Z5385" s="11">
        <v>0.32406229986157364</v>
      </c>
    </row>
    <row r="5386" ht="22.5" customHeight="1">
      <c r="Q5386" s="9" t="s">
        <v>5424</v>
      </c>
      <c r="R5386" s="10">
        <v>0.6505638170763481</v>
      </c>
      <c r="S5386" s="10">
        <v>0.030758959943894125</v>
      </c>
      <c r="T5386" s="10">
        <v>19.849950004488022</v>
      </c>
      <c r="U5386" s="11">
        <v>0.08865929644423687</v>
      </c>
      <c r="V5386" s="11">
        <v>0.1527389971909424</v>
      </c>
      <c r="W5386" s="11">
        <v>0.23718252436020162</v>
      </c>
      <c r="X5386" s="11">
        <v>0.09260594130265991</v>
      </c>
      <c r="Y5386" s="11">
        <v>0.18739888249235634</v>
      </c>
      <c r="Z5386" s="11">
        <v>0.24141435820960291</v>
      </c>
    </row>
    <row r="5387" ht="22.5" customHeight="1">
      <c r="Q5387" s="9" t="s">
        <v>5425</v>
      </c>
      <c r="R5387" s="10">
        <v>0.8726513536863496</v>
      </c>
      <c r="S5387" s="10">
        <v>0.041948461358548336</v>
      </c>
      <c r="T5387" s="10">
        <v>19.849389625268586</v>
      </c>
      <c r="U5387" s="11">
        <v>0.09993378815988796</v>
      </c>
      <c r="V5387" s="11">
        <v>0.2768154194370422</v>
      </c>
      <c r="W5387" s="11">
        <v>0.2843906800584285</v>
      </c>
      <c r="X5387" s="11">
        <v>0.03136696428444936</v>
      </c>
      <c r="Y5387" s="11">
        <v>0.10103267442099743</v>
      </c>
      <c r="Z5387" s="11">
        <v>0.2064604736391947</v>
      </c>
    </row>
    <row r="5388" ht="22.5" customHeight="1">
      <c r="Q5388" s="9" t="s">
        <v>5426</v>
      </c>
      <c r="R5388" s="10">
        <v>0.4313393128766672</v>
      </c>
      <c r="S5388" s="10">
        <v>0.019715457002148613</v>
      </c>
      <c r="T5388" s="10">
        <v>19.849365542681493</v>
      </c>
      <c r="U5388" s="11">
        <v>0.27465320426745676</v>
      </c>
      <c r="V5388" s="11">
        <v>0.1676054850797629</v>
      </c>
      <c r="W5388" s="11">
        <v>0.04869645777279771</v>
      </c>
      <c r="X5388" s="11">
        <v>0.09953884292174807</v>
      </c>
      <c r="Y5388" s="11">
        <v>0.19291891633627065</v>
      </c>
      <c r="Z5388" s="11">
        <v>0.21658709362196404</v>
      </c>
    </row>
    <row r="5389" ht="22.5" customHeight="1">
      <c r="Q5389" s="9" t="s">
        <v>5427</v>
      </c>
      <c r="R5389" s="10">
        <v>0.5358537635076476</v>
      </c>
      <c r="S5389" s="10">
        <v>0.024980873821705458</v>
      </c>
      <c r="T5389" s="10">
        <v>19.84933621804729</v>
      </c>
      <c r="U5389" s="11">
        <v>0.13640698567528814</v>
      </c>
      <c r="V5389" s="11">
        <v>0.11802059672199755</v>
      </c>
      <c r="W5389" s="11">
        <v>0.18906103662436977</v>
      </c>
      <c r="X5389" s="11">
        <v>0.043295003844557846</v>
      </c>
      <c r="Y5389" s="11">
        <v>0.24321135826862225</v>
      </c>
      <c r="Z5389" s="11">
        <v>0.27000501886516454</v>
      </c>
    </row>
    <row r="5390" ht="22.5" customHeight="1">
      <c r="Q5390" s="9" t="s">
        <v>5428</v>
      </c>
      <c r="R5390" s="10">
        <v>0.6300293970161982</v>
      </c>
      <c r="S5390" s="10">
        <v>0.02972736852977879</v>
      </c>
      <c r="T5390" s="10">
        <v>19.84801972717996</v>
      </c>
      <c r="U5390" s="11">
        <v>0.27572154670387294</v>
      </c>
      <c r="V5390" s="11">
        <v>0.2575768272018394</v>
      </c>
      <c r="W5390" s="11">
        <v>0.10979972891401953</v>
      </c>
      <c r="X5390" s="11">
        <v>0.08600217707327114</v>
      </c>
      <c r="Y5390" s="11">
        <v>0.09086281710625539</v>
      </c>
      <c r="Z5390" s="11">
        <v>0.18003690300074165</v>
      </c>
    </row>
    <row r="5391" ht="22.5" customHeight="1">
      <c r="Q5391" s="9" t="s">
        <v>5429</v>
      </c>
      <c r="R5391" s="10">
        <v>0.5643011146402535</v>
      </c>
      <c r="S5391" s="10">
        <v>0.026415841347787152</v>
      </c>
      <c r="T5391" s="10">
        <v>19.84798090423775</v>
      </c>
      <c r="U5391" s="11">
        <v>0.26685329500942306</v>
      </c>
      <c r="V5391" s="11">
        <v>0.2265489955553146</v>
      </c>
      <c r="W5391" s="11">
        <v>0.08973868969554223</v>
      </c>
      <c r="X5391" s="11">
        <v>0.05563586353318777</v>
      </c>
      <c r="Y5391" s="11">
        <v>0.21061298827549507</v>
      </c>
      <c r="Z5391" s="11">
        <v>0.15061016793103718</v>
      </c>
    </row>
    <row r="5392" ht="22.5" customHeight="1">
      <c r="Q5392" s="9" t="s">
        <v>5430</v>
      </c>
      <c r="R5392" s="10">
        <v>0.4906479279793269</v>
      </c>
      <c r="S5392" s="10">
        <v>0.022705319381385456</v>
      </c>
      <c r="T5392" s="10">
        <v>19.847680643011895</v>
      </c>
      <c r="U5392" s="11">
        <v>0.21883244782230651</v>
      </c>
      <c r="V5392" s="11">
        <v>0.19672494533937254</v>
      </c>
      <c r="W5392" s="11">
        <v>0.06611135328170976</v>
      </c>
      <c r="X5392" s="11">
        <v>0.08679064795185724</v>
      </c>
      <c r="Y5392" s="11">
        <v>0.1988391152340372</v>
      </c>
      <c r="Z5392" s="11">
        <v>0.23270149037071677</v>
      </c>
    </row>
    <row r="5393" ht="22.5" customHeight="1">
      <c r="Q5393" s="9" t="s">
        <v>5431</v>
      </c>
      <c r="R5393" s="10">
        <v>0.7221617717632537</v>
      </c>
      <c r="S5393" s="10">
        <v>0.034370969342285174</v>
      </c>
      <c r="T5393" s="10">
        <v>19.847033261410477</v>
      </c>
      <c r="U5393" s="11">
        <v>0.1312104180365828</v>
      </c>
      <c r="V5393" s="11">
        <v>0.17653634341111407</v>
      </c>
      <c r="W5393" s="11">
        <v>0.2632706759623462</v>
      </c>
      <c r="X5393" s="11">
        <v>0.09136410756362416</v>
      </c>
      <c r="Y5393" s="11">
        <v>0.1807360046028558</v>
      </c>
      <c r="Z5393" s="11">
        <v>0.15688245042347682</v>
      </c>
    </row>
    <row r="5394" ht="22.5" customHeight="1">
      <c r="Q5394" s="9" t="s">
        <v>5432</v>
      </c>
      <c r="R5394" s="10">
        <v>0.651006106479418</v>
      </c>
      <c r="S5394" s="10">
        <v>0.030786404843106473</v>
      </c>
      <c r="T5394" s="10">
        <v>19.846620922229288</v>
      </c>
      <c r="U5394" s="11">
        <v>0.23009258976829247</v>
      </c>
      <c r="V5394" s="11">
        <v>0.27452371029457695</v>
      </c>
      <c r="W5394" s="11">
        <v>0.09506151328147301</v>
      </c>
      <c r="X5394" s="11">
        <v>0.22775763153552941</v>
      </c>
      <c r="Y5394" s="11">
        <v>0.035230773792706976</v>
      </c>
      <c r="Z5394" s="11">
        <v>0.1373337813274212</v>
      </c>
    </row>
    <row r="5395" ht="22.5" customHeight="1">
      <c r="Q5395" s="9" t="s">
        <v>5433</v>
      </c>
      <c r="R5395" s="10">
        <v>0.9514381801006441</v>
      </c>
      <c r="S5395" s="10">
        <v>0.04592412704087672</v>
      </c>
      <c r="T5395" s="10">
        <v>19.84660871810105</v>
      </c>
      <c r="U5395" s="11">
        <v>0.11050435331728076</v>
      </c>
      <c r="V5395" s="11">
        <v>0.33768239565001185</v>
      </c>
      <c r="W5395" s="11">
        <v>0.2801062900181858</v>
      </c>
      <c r="X5395" s="11">
        <v>0.05634790413562126</v>
      </c>
      <c r="Y5395" s="11">
        <v>0.025919654129444622</v>
      </c>
      <c r="Z5395" s="11">
        <v>0.18943940274945584</v>
      </c>
    </row>
    <row r="5396" ht="22.5" customHeight="1">
      <c r="Q5396" s="9" t="s">
        <v>5434</v>
      </c>
      <c r="R5396" s="10">
        <v>0.78094087553116</v>
      </c>
      <c r="S5396" s="10">
        <v>0.03733435326198713</v>
      </c>
      <c r="T5396" s="10">
        <v>19.8460884090248</v>
      </c>
      <c r="U5396" s="11">
        <v>0.3263016470231095</v>
      </c>
      <c r="V5396" s="11">
        <v>0.2125517767198578</v>
      </c>
      <c r="W5396" s="11">
        <v>0.27309553364743894</v>
      </c>
      <c r="X5396" s="11">
        <v>0.02810024921260451</v>
      </c>
      <c r="Y5396" s="11">
        <v>0.09211396411982319</v>
      </c>
      <c r="Z5396" s="11">
        <v>0.067836829277166</v>
      </c>
    </row>
    <row r="5397" ht="22.5" customHeight="1">
      <c r="Q5397" s="9" t="s">
        <v>5435</v>
      </c>
      <c r="R5397" s="10">
        <v>0.7735389280952599</v>
      </c>
      <c r="S5397" s="10">
        <v>0.03696158011816179</v>
      </c>
      <c r="T5397" s="10">
        <v>19.845984012323687</v>
      </c>
      <c r="U5397" s="11">
        <v>0.040596532999067014</v>
      </c>
      <c r="V5397" s="11">
        <v>0.31160509184980345</v>
      </c>
      <c r="W5397" s="11">
        <v>0.15717462591349787</v>
      </c>
      <c r="X5397" s="11">
        <v>0.07962034930696515</v>
      </c>
      <c r="Y5397" s="11">
        <v>0.29885716724269534</v>
      </c>
      <c r="Z5397" s="11">
        <v>0.11214623268797118</v>
      </c>
    </row>
    <row r="5398" ht="22.5" customHeight="1">
      <c r="Q5398" s="9" t="s">
        <v>5436</v>
      </c>
      <c r="R5398" s="10">
        <v>0.8582556497236352</v>
      </c>
      <c r="S5398" s="10">
        <v>0.041231395263477945</v>
      </c>
      <c r="T5398" s="10">
        <v>19.84545137254746</v>
      </c>
      <c r="U5398" s="11">
        <v>0.09989792399583897</v>
      </c>
      <c r="V5398" s="11">
        <v>0.359041625051244</v>
      </c>
      <c r="W5398" s="11">
        <v>0.16275487286721702</v>
      </c>
      <c r="X5398" s="11">
        <v>0.2412011779713194</v>
      </c>
      <c r="Y5398" s="11">
        <v>0.05561580929555257</v>
      </c>
      <c r="Z5398" s="11">
        <v>0.081488590818828</v>
      </c>
    </row>
    <row r="5399" ht="22.5" customHeight="1">
      <c r="Q5399" s="9" t="s">
        <v>5437</v>
      </c>
      <c r="R5399" s="10">
        <v>0.5796341720829098</v>
      </c>
      <c r="S5399" s="10">
        <v>0.02719189051624653</v>
      </c>
      <c r="T5399" s="10">
        <v>19.845408386021955</v>
      </c>
      <c r="U5399" s="11">
        <v>0.05254214537189923</v>
      </c>
      <c r="V5399" s="11">
        <v>0.11074793532593823</v>
      </c>
      <c r="W5399" s="11">
        <v>0.21855025502139444</v>
      </c>
      <c r="X5399" s="11">
        <v>0.19018238993195064</v>
      </c>
      <c r="Y5399" s="11">
        <v>0.17911460190432152</v>
      </c>
      <c r="Z5399" s="11">
        <v>0.24886267244449584</v>
      </c>
    </row>
    <row r="5400" ht="22.5" customHeight="1">
      <c r="Q5400" s="9" t="s">
        <v>5438</v>
      </c>
      <c r="R5400" s="10">
        <v>0.3242743072424191</v>
      </c>
      <c r="S5400" s="10">
        <v>0.01432456967733801</v>
      </c>
      <c r="T5400" s="10">
        <v>19.845224927918878</v>
      </c>
      <c r="U5400" s="11">
        <v>0.23469526520110381</v>
      </c>
      <c r="V5400" s="11">
        <v>0.11539124888504608</v>
      </c>
      <c r="W5400" s="11">
        <v>0.01643544175972314</v>
      </c>
      <c r="X5400" s="11">
        <v>0.234321759465499</v>
      </c>
      <c r="Y5400" s="11">
        <v>0.08880581176228385</v>
      </c>
      <c r="Z5400" s="11">
        <v>0.31035047292634405</v>
      </c>
    </row>
    <row r="5401" ht="22.5" customHeight="1">
      <c r="Q5401" s="9" t="s">
        <v>5439</v>
      </c>
      <c r="R5401" s="10">
        <v>0.5896668331868218</v>
      </c>
      <c r="S5401" s="10">
        <v>0.027697791462663695</v>
      </c>
      <c r="T5401" s="10">
        <v>19.84515025061714</v>
      </c>
      <c r="U5401" s="11">
        <v>0.2227652878482086</v>
      </c>
      <c r="V5401" s="11">
        <v>0.11712735802561285</v>
      </c>
      <c r="W5401" s="11">
        <v>0.22205274420408325</v>
      </c>
      <c r="X5401" s="11">
        <v>0.16197981381367516</v>
      </c>
      <c r="Y5401" s="11">
        <v>0.06586573377211855</v>
      </c>
      <c r="Z5401" s="11">
        <v>0.2102090623363017</v>
      </c>
    </row>
    <row r="5402" ht="22.5" customHeight="1">
      <c r="Q5402" s="9" t="s">
        <v>5440</v>
      </c>
      <c r="R5402" s="10">
        <v>0.7349259786069349</v>
      </c>
      <c r="S5402" s="10">
        <v>0.03501802229609267</v>
      </c>
      <c r="T5402" s="10">
        <v>19.8448094164494</v>
      </c>
      <c r="U5402" s="11">
        <v>0.12678741565094315</v>
      </c>
      <c r="V5402" s="11">
        <v>0.18892677653716713</v>
      </c>
      <c r="W5402" s="11">
        <v>0.2644380252470931</v>
      </c>
      <c r="X5402" s="11">
        <v>0.0768383838264727</v>
      </c>
      <c r="Y5402" s="11">
        <v>0.14534624437819002</v>
      </c>
      <c r="Z5402" s="11">
        <v>0.1976631543601338</v>
      </c>
    </row>
    <row r="5403" ht="22.5" customHeight="1">
      <c r="Q5403" s="9" t="s">
        <v>5441</v>
      </c>
      <c r="R5403" s="10">
        <v>0.2918957706106103</v>
      </c>
      <c r="S5403" s="10">
        <v>0.012693379414919756</v>
      </c>
      <c r="T5403" s="10">
        <v>19.844657783925758</v>
      </c>
      <c r="U5403" s="11">
        <v>0.1562631596790024</v>
      </c>
      <c r="V5403" s="11">
        <v>0.05576698042277227</v>
      </c>
      <c r="W5403" s="11">
        <v>0.04745103415093527</v>
      </c>
      <c r="X5403" s="11">
        <v>0.1488327773708042</v>
      </c>
      <c r="Y5403" s="11">
        <v>0.40863729854304465</v>
      </c>
      <c r="Z5403" s="11">
        <v>0.18304874983344124</v>
      </c>
    </row>
    <row r="5404" ht="22.5" customHeight="1">
      <c r="Q5404" s="9" t="s">
        <v>5442</v>
      </c>
      <c r="R5404" s="10">
        <v>0.5904850202803115</v>
      </c>
      <c r="S5404" s="10">
        <v>0.02774026514076179</v>
      </c>
      <c r="T5404" s="10">
        <v>19.844259508227406</v>
      </c>
      <c r="U5404" s="11">
        <v>0.24004237070859893</v>
      </c>
      <c r="V5404" s="11">
        <v>0.1288314541182971</v>
      </c>
      <c r="W5404" s="11">
        <v>0.20876538784483245</v>
      </c>
      <c r="X5404" s="11">
        <v>0.03756214155112709</v>
      </c>
      <c r="Y5404" s="11">
        <v>0.302123171635041</v>
      </c>
      <c r="Z5404" s="11">
        <v>0.08267547414210326</v>
      </c>
    </row>
    <row r="5405" ht="22.5" customHeight="1">
      <c r="Q5405" s="9" t="s">
        <v>5443</v>
      </c>
      <c r="R5405" s="10">
        <v>0.7172844078096123</v>
      </c>
      <c r="S5405" s="10">
        <v>0.034130530710975875</v>
      </c>
      <c r="T5405" s="10">
        <v>19.843945983289608</v>
      </c>
      <c r="U5405" s="11">
        <v>0.07757411325807943</v>
      </c>
      <c r="V5405" s="11">
        <v>0.30097617254934794</v>
      </c>
      <c r="W5405" s="11">
        <v>0.1242804442464437</v>
      </c>
      <c r="X5405" s="11">
        <v>0.1898081114223752</v>
      </c>
      <c r="Y5405" s="11">
        <v>0.1060605950586952</v>
      </c>
      <c r="Z5405" s="11">
        <v>0.20130056346505845</v>
      </c>
    </row>
    <row r="5406" ht="22.5" customHeight="1">
      <c r="Q5406" s="9" t="s">
        <v>5444</v>
      </c>
      <c r="R5406" s="10">
        <v>0.643231079554058</v>
      </c>
      <c r="S5406" s="10">
        <v>0.03039885587878017</v>
      </c>
      <c r="T5406" s="10">
        <v>19.843874452365217</v>
      </c>
      <c r="U5406" s="11">
        <v>0.15690678842300276</v>
      </c>
      <c r="V5406" s="11">
        <v>0.27222411442537603</v>
      </c>
      <c r="W5406" s="11">
        <v>0.09221218826807567</v>
      </c>
      <c r="X5406" s="11">
        <v>0.2337661871862273</v>
      </c>
      <c r="Y5406" s="11">
        <v>0.07226828310552708</v>
      </c>
      <c r="Z5406" s="11">
        <v>0.17262243859179102</v>
      </c>
    </row>
    <row r="5407" ht="22.5" customHeight="1">
      <c r="Q5407" s="9" t="s">
        <v>5445</v>
      </c>
      <c r="R5407" s="10">
        <v>0.3891892863456995</v>
      </c>
      <c r="S5407" s="10">
        <v>0.017597336787985033</v>
      </c>
      <c r="T5407" s="10">
        <v>19.843303026632764</v>
      </c>
      <c r="U5407" s="11">
        <v>0.2097953792921053</v>
      </c>
      <c r="V5407" s="11">
        <v>0.05485011870690452</v>
      </c>
      <c r="W5407" s="11">
        <v>0.13173837418611253</v>
      </c>
      <c r="X5407" s="11">
        <v>0.12164745386036951</v>
      </c>
      <c r="Y5407" s="11">
        <v>0.2590668588806251</v>
      </c>
      <c r="Z5407" s="11">
        <v>0.222901815073883</v>
      </c>
    </row>
    <row r="5408" ht="22.5" customHeight="1">
      <c r="Q5408" s="9" t="s">
        <v>5446</v>
      </c>
      <c r="R5408" s="10">
        <v>0.6121981383938834</v>
      </c>
      <c r="S5408" s="10">
        <v>0.02883632967430036</v>
      </c>
      <c r="T5408" s="10">
        <v>19.842960073515883</v>
      </c>
      <c r="U5408" s="11">
        <v>0.31279883598132135</v>
      </c>
      <c r="V5408" s="11">
        <v>0.2570535143697399</v>
      </c>
      <c r="W5408" s="11">
        <v>0.06995814171692079</v>
      </c>
      <c r="X5408" s="11">
        <v>0.3188179927723229</v>
      </c>
      <c r="Y5408" s="11">
        <v>0.010564299083553504</v>
      </c>
      <c r="Z5408" s="11">
        <v>0.030807216076141505</v>
      </c>
    </row>
    <row r="5409" ht="22.5" customHeight="1">
      <c r="Q5409" s="9" t="s">
        <v>5447</v>
      </c>
      <c r="R5409" s="10">
        <v>0.5455270587978341</v>
      </c>
      <c r="S5409" s="10">
        <v>0.02547642231670242</v>
      </c>
      <c r="T5409" s="10">
        <v>19.84293761947921</v>
      </c>
      <c r="U5409" s="11">
        <v>0.1989757847334877</v>
      </c>
      <c r="V5409" s="11">
        <v>0.21770502722731944</v>
      </c>
      <c r="W5409" s="11">
        <v>0.08640394976231183</v>
      </c>
      <c r="X5409" s="11">
        <v>0.04984188422297261</v>
      </c>
      <c r="Y5409" s="11">
        <v>0.25508358181460467</v>
      </c>
      <c r="Z5409" s="11">
        <v>0.19198977223930383</v>
      </c>
    </row>
    <row r="5410" ht="22.5" customHeight="1">
      <c r="Q5410" s="9" t="s">
        <v>5448</v>
      </c>
      <c r="R5410" s="10">
        <v>0.6567147531171379</v>
      </c>
      <c r="S5410" s="10">
        <v>0.031080987106503477</v>
      </c>
      <c r="T5410" s="10">
        <v>19.84218683286589</v>
      </c>
      <c r="U5410" s="11">
        <v>0.10764191843204432</v>
      </c>
      <c r="V5410" s="11">
        <v>0.27751727302584606</v>
      </c>
      <c r="W5410" s="11">
        <v>0.09827121433266213</v>
      </c>
      <c r="X5410" s="11">
        <v>0.21295476291437485</v>
      </c>
      <c r="Y5410" s="11">
        <v>0.12381664015540834</v>
      </c>
      <c r="Z5410" s="11">
        <v>0.1797981911396643</v>
      </c>
    </row>
    <row r="5411" ht="22.5" customHeight="1">
      <c r="Q5411" s="9" t="s">
        <v>5449</v>
      </c>
      <c r="R5411" s="10">
        <v>0.6856969660940849</v>
      </c>
      <c r="S5411" s="10">
        <v>0.032542302048682636</v>
      </c>
      <c r="T5411" s="10">
        <v>19.84177287544486</v>
      </c>
      <c r="U5411" s="11">
        <v>0.02841410268489453</v>
      </c>
      <c r="V5411" s="11">
        <v>0.2743703357095716</v>
      </c>
      <c r="W5411" s="11">
        <v>0.12257398467576477</v>
      </c>
      <c r="X5411" s="11">
        <v>0.09397677043085333</v>
      </c>
      <c r="Y5411" s="11">
        <v>0.40455674833890093</v>
      </c>
      <c r="Z5411" s="11">
        <v>0.07610805816001492</v>
      </c>
    </row>
    <row r="5412" ht="22.5" customHeight="1">
      <c r="Q5412" s="9" t="s">
        <v>5450</v>
      </c>
      <c r="R5412" s="10">
        <v>0.5330752370599767</v>
      </c>
      <c r="S5412" s="10">
        <v>0.024850744109910654</v>
      </c>
      <c r="T5412" s="10">
        <v>19.84146771940462</v>
      </c>
      <c r="U5412" s="11">
        <v>0.169703354191282</v>
      </c>
      <c r="V5412" s="11">
        <v>0.22062996054491169</v>
      </c>
      <c r="W5412" s="11">
        <v>0.06530197008076298</v>
      </c>
      <c r="X5412" s="11">
        <v>0.16365888808395512</v>
      </c>
      <c r="Y5412" s="11">
        <v>0.19003632371592977</v>
      </c>
      <c r="Z5412" s="11">
        <v>0.19066950338315855</v>
      </c>
    </row>
    <row r="5413" ht="22.5" customHeight="1">
      <c r="Q5413" s="9" t="s">
        <v>5451</v>
      </c>
      <c r="R5413" s="10">
        <v>0.30314196969315504</v>
      </c>
      <c r="S5413" s="10">
        <v>0.013262423083500919</v>
      </c>
      <c r="T5413" s="10">
        <v>19.841168392562903</v>
      </c>
      <c r="U5413" s="11">
        <v>0.44371934312263245</v>
      </c>
      <c r="V5413" s="11">
        <v>0.07575115429626748</v>
      </c>
      <c r="W5413" s="11">
        <v>0.05067606608231128</v>
      </c>
      <c r="X5413" s="11">
        <v>0.06506617897852403</v>
      </c>
      <c r="Y5413" s="11">
        <v>0.13077028055777937</v>
      </c>
      <c r="Z5413" s="11">
        <v>0.23401697696248533</v>
      </c>
    </row>
    <row r="5414" ht="22.5" customHeight="1">
      <c r="Q5414" s="9" t="s">
        <v>5452</v>
      </c>
      <c r="R5414" s="10">
        <v>0.8677588873602344</v>
      </c>
      <c r="S5414" s="10">
        <v>0.04172114446353376</v>
      </c>
      <c r="T5414" s="10">
        <v>19.840272792222528</v>
      </c>
      <c r="U5414" s="11">
        <v>0.19886370618719496</v>
      </c>
      <c r="V5414" s="11">
        <v>0.22670732904806015</v>
      </c>
      <c r="W5414" s="11">
        <v>0.31704086591112257</v>
      </c>
      <c r="X5414" s="11">
        <v>0.16744047032873388</v>
      </c>
      <c r="Y5414" s="11">
        <v>0.0023708047156762516</v>
      </c>
      <c r="Z5414" s="11">
        <v>0.08757682380921222</v>
      </c>
    </row>
    <row r="5415" ht="22.5" customHeight="1">
      <c r="Q5415" s="9" t="s">
        <v>5453</v>
      </c>
      <c r="R5415" s="10">
        <v>0.7382818546042493</v>
      </c>
      <c r="S5415" s="10">
        <v>0.035195610866350625</v>
      </c>
      <c r="T5415" s="10">
        <v>19.84002656626295</v>
      </c>
      <c r="U5415" s="11">
        <v>0.05948523062136641</v>
      </c>
      <c r="V5415" s="11">
        <v>0.19997824750282386</v>
      </c>
      <c r="W5415" s="11">
        <v>0.26106899369571773</v>
      </c>
      <c r="X5415" s="11">
        <v>0.07758813444446863</v>
      </c>
      <c r="Y5415" s="11">
        <v>0.11526528951736163</v>
      </c>
      <c r="Z5415" s="11">
        <v>0.2866141042182617</v>
      </c>
    </row>
    <row r="5416" ht="22.5" customHeight="1">
      <c r="Q5416" s="9" t="s">
        <v>5454</v>
      </c>
      <c r="R5416" s="10">
        <v>0.6870281173170291</v>
      </c>
      <c r="S5416" s="10">
        <v>0.032612870759607254</v>
      </c>
      <c r="T5416" s="10">
        <v>19.839655395145623</v>
      </c>
      <c r="U5416" s="11">
        <v>0.006135577286105311</v>
      </c>
      <c r="V5416" s="11">
        <v>0.26971096790525234</v>
      </c>
      <c r="W5416" s="11">
        <v>0.14995944675007772</v>
      </c>
      <c r="X5416" s="11">
        <v>0.027180865861256502</v>
      </c>
      <c r="Y5416" s="11">
        <v>0.2492099491686002</v>
      </c>
      <c r="Z5416" s="11">
        <v>0.2978031930287079</v>
      </c>
    </row>
    <row r="5417" ht="22.5" customHeight="1">
      <c r="Q5417" s="9" t="s">
        <v>5455</v>
      </c>
      <c r="R5417" s="10">
        <v>0.5556125898711316</v>
      </c>
      <c r="S5417" s="10">
        <v>0.025989106574112852</v>
      </c>
      <c r="T5417" s="10">
        <v>19.839565796568063</v>
      </c>
      <c r="U5417" s="11">
        <v>0.021503095509234547</v>
      </c>
      <c r="V5417" s="11">
        <v>0.0865157078853182</v>
      </c>
      <c r="W5417" s="11">
        <v>0.21077661270257106</v>
      </c>
      <c r="X5417" s="11">
        <v>0.28304284732338736</v>
      </c>
      <c r="Y5417" s="11">
        <v>0.24457033146742785</v>
      </c>
      <c r="Z5417" s="11">
        <v>0.15359140511206096</v>
      </c>
    </row>
    <row r="5418" ht="22.5" customHeight="1">
      <c r="Q5418" s="9" t="s">
        <v>5456</v>
      </c>
      <c r="R5418" s="10">
        <v>0.8128628381542521</v>
      </c>
      <c r="S5418" s="10">
        <v>0.038955647532864845</v>
      </c>
      <c r="T5418" s="10">
        <v>19.8395582438266</v>
      </c>
      <c r="U5418" s="11">
        <v>0.008941936647434838</v>
      </c>
      <c r="V5418" s="11">
        <v>0.3186502051416513</v>
      </c>
      <c r="W5418" s="11">
        <v>0.19332165942970542</v>
      </c>
      <c r="X5418" s="11">
        <v>0.059376347140260036</v>
      </c>
      <c r="Y5418" s="11">
        <v>0.16014065854270176</v>
      </c>
      <c r="Z5418" s="11">
        <v>0.2595691930982467</v>
      </c>
    </row>
    <row r="5419" ht="22.5" customHeight="1">
      <c r="Q5419" s="9" t="s">
        <v>5457</v>
      </c>
      <c r="R5419" s="10">
        <v>0.7360702761867284</v>
      </c>
      <c r="S5419" s="10">
        <v>0.03508545963173526</v>
      </c>
      <c r="T5419" s="10">
        <v>19.8392805308192</v>
      </c>
      <c r="U5419" s="11">
        <v>0.3983264331544152</v>
      </c>
      <c r="V5419" s="11">
        <v>0.2867244681095622</v>
      </c>
      <c r="W5419" s="11">
        <v>0.16393708603390508</v>
      </c>
      <c r="X5419" s="11">
        <v>0.01452204606640643</v>
      </c>
      <c r="Y5419" s="11">
        <v>0.03964922583249699</v>
      </c>
      <c r="Z5419" s="11">
        <v>0.09684074080321411</v>
      </c>
    </row>
    <row r="5420" ht="22.5" customHeight="1">
      <c r="Q5420" s="9" t="s">
        <v>5458</v>
      </c>
      <c r="R5420" s="10">
        <v>0.522331348251574</v>
      </c>
      <c r="S5420" s="10">
        <v>0.025579382437185803</v>
      </c>
      <c r="T5420" s="10">
        <v>19.838922680572896</v>
      </c>
      <c r="U5420" s="11">
        <v>0.3015443143061034</v>
      </c>
      <c r="V5420" s="11">
        <v>0.08483348269173573</v>
      </c>
      <c r="W5420" s="11">
        <v>0.20602951252434287</v>
      </c>
      <c r="X5420" s="11">
        <v>0.19874431039529303</v>
      </c>
      <c r="Y5420" s="11">
        <v>0.1976406533360898</v>
      </c>
      <c r="Z5420" s="11">
        <v>0.011207726746435265</v>
      </c>
    </row>
    <row r="5421" ht="22.5" customHeight="1">
      <c r="Q5421" s="9" t="s">
        <v>5459</v>
      </c>
      <c r="R5421" s="10">
        <v>0.5621466607999445</v>
      </c>
      <c r="S5421" s="10">
        <v>0.026319367967379093</v>
      </c>
      <c r="T5421" s="10">
        <v>19.838875365362366</v>
      </c>
      <c r="U5421" s="11">
        <v>0.27657320155264753</v>
      </c>
      <c r="V5421" s="11">
        <v>0.10494982829573583</v>
      </c>
      <c r="W5421" s="11">
        <v>0.2095895310222408</v>
      </c>
      <c r="X5421" s="11">
        <v>0.12774437189682983</v>
      </c>
      <c r="Y5421" s="11">
        <v>0.15643836039217474</v>
      </c>
      <c r="Z5421" s="11">
        <v>0.12470470684037137</v>
      </c>
    </row>
    <row r="5422" ht="22.5" customHeight="1">
      <c r="Q5422" s="9" t="s">
        <v>5460</v>
      </c>
      <c r="R5422" s="10">
        <v>0.5960729615911713</v>
      </c>
      <c r="S5422" s="10">
        <v>0.02802962648832502</v>
      </c>
      <c r="T5422" s="10">
        <v>19.838757459818037</v>
      </c>
      <c r="U5422" s="11">
        <v>0.18866470240311212</v>
      </c>
      <c r="V5422" s="11">
        <v>0.08462587157182205</v>
      </c>
      <c r="W5422" s="11">
        <v>0.23137650535665016</v>
      </c>
      <c r="X5422" s="11">
        <v>0.36642426410197776</v>
      </c>
      <c r="Y5422" s="11">
        <v>0.12093631098603451</v>
      </c>
      <c r="Z5422" s="11">
        <v>0.007972345580403464</v>
      </c>
    </row>
    <row r="5423" ht="22.5" customHeight="1">
      <c r="Q5423" s="9" t="s">
        <v>5461</v>
      </c>
      <c r="R5423" s="10">
        <v>0.7396792824028326</v>
      </c>
      <c r="S5423" s="10">
        <v>0.035269335085637336</v>
      </c>
      <c r="T5423" s="10">
        <v>19.83817615795546</v>
      </c>
      <c r="U5423" s="11">
        <v>0.07180025760514142</v>
      </c>
      <c r="V5423" s="11">
        <v>0.1474777163554401</v>
      </c>
      <c r="W5423" s="11">
        <v>0.284171508858968</v>
      </c>
      <c r="X5423" s="11">
        <v>0.27507203279039744</v>
      </c>
      <c r="Y5423" s="11">
        <v>0.19673659556087814</v>
      </c>
      <c r="Z5423" s="11">
        <v>0.0247418888291748</v>
      </c>
    </row>
    <row r="5424" ht="22.5" customHeight="1">
      <c r="Q5424" s="9" t="s">
        <v>5462</v>
      </c>
      <c r="R5424" s="10">
        <v>0.700296047284269</v>
      </c>
      <c r="S5424" s="10">
        <v>0.03328527857078089</v>
      </c>
      <c r="T5424" s="10">
        <v>19.837479980230732</v>
      </c>
      <c r="U5424" s="11">
        <v>0.026904128486134677</v>
      </c>
      <c r="V5424" s="11">
        <v>0.17749867177515558</v>
      </c>
      <c r="W5424" s="11">
        <v>0.25066857718255003</v>
      </c>
      <c r="X5424" s="11">
        <v>0.07706743126929333</v>
      </c>
      <c r="Y5424" s="11">
        <v>0.22266293974567347</v>
      </c>
      <c r="Z5424" s="11">
        <v>0.24519825154119293</v>
      </c>
    </row>
    <row r="5425" ht="22.5" customHeight="1">
      <c r="Q5425" s="9" t="s">
        <v>5463</v>
      </c>
      <c r="R5425" s="10">
        <v>0.5899293456802437</v>
      </c>
      <c r="S5425" s="10">
        <v>0.027722365839191673</v>
      </c>
      <c r="T5425" s="10">
        <v>19.83702793874819</v>
      </c>
      <c r="U5425" s="11">
        <v>0.31041961112228367</v>
      </c>
      <c r="V5425" s="11">
        <v>0.2465309496024059</v>
      </c>
      <c r="W5425" s="11">
        <v>0.07206017593094334</v>
      </c>
      <c r="X5425" s="11">
        <v>0.22205777606179214</v>
      </c>
      <c r="Y5425" s="11">
        <v>0.08716581102709846</v>
      </c>
      <c r="Z5425" s="11">
        <v>0.06176567625547637</v>
      </c>
    </row>
    <row r="5426" ht="22.5" customHeight="1">
      <c r="Q5426" s="9" t="s">
        <v>5464</v>
      </c>
      <c r="R5426" s="10">
        <v>0.9486728739597716</v>
      </c>
      <c r="S5426" s="10">
        <v>0.04580903089097822</v>
      </c>
      <c r="T5426" s="10">
        <v>19.836107778013016</v>
      </c>
      <c r="U5426" s="11">
        <v>0.042356602977728176</v>
      </c>
      <c r="V5426" s="11">
        <v>0.31610210867762395</v>
      </c>
      <c r="W5426" s="11">
        <v>0.3009523910333025</v>
      </c>
      <c r="X5426" s="11">
        <v>0.0840095350489824</v>
      </c>
      <c r="Y5426" s="11">
        <v>0.02285330887775982</v>
      </c>
      <c r="Z5426" s="11">
        <v>0.23372605338460317</v>
      </c>
    </row>
    <row r="5427" ht="22.5" customHeight="1">
      <c r="Q5427" s="9" t="s">
        <v>5465</v>
      </c>
      <c r="R5427" s="10">
        <v>0.7464110041188635</v>
      </c>
      <c r="S5427" s="10">
        <v>0.03561286460883417</v>
      </c>
      <c r="T5427" s="10">
        <v>19.83583774790277</v>
      </c>
      <c r="U5427" s="11">
        <v>0.2734452965048282</v>
      </c>
      <c r="V5427" s="11">
        <v>0.1958418355524854</v>
      </c>
      <c r="W5427" s="11">
        <v>0.2661296411690999</v>
      </c>
      <c r="X5427" s="11">
        <v>0.05566635102091991</v>
      </c>
      <c r="Y5427" s="11">
        <v>0.06841493135892247</v>
      </c>
      <c r="Z5427" s="11">
        <v>0.14050194439374405</v>
      </c>
    </row>
    <row r="5428" ht="22.5" customHeight="1">
      <c r="Q5428" s="9" t="s">
        <v>5466</v>
      </c>
      <c r="R5428" s="10">
        <v>0.5931630286276717</v>
      </c>
      <c r="S5428" s="10">
        <v>0.02788707437873882</v>
      </c>
      <c r="T5428" s="10">
        <v>19.835821467504122</v>
      </c>
      <c r="U5428" s="11">
        <v>0.1531159766333761</v>
      </c>
      <c r="V5428" s="11">
        <v>0.24831889490996584</v>
      </c>
      <c r="W5428" s="11">
        <v>0.08953841787509158</v>
      </c>
      <c r="X5428" s="11">
        <v>0.17680763596468207</v>
      </c>
      <c r="Y5428" s="11">
        <v>0.05472624603436757</v>
      </c>
      <c r="Z5428" s="11">
        <v>0.2774928285825169</v>
      </c>
    </row>
    <row r="5429" ht="22.5" customHeight="1">
      <c r="Q5429" s="9" t="s">
        <v>5467</v>
      </c>
      <c r="R5429" s="10">
        <v>0.3465278897962447</v>
      </c>
      <c r="S5429" s="10">
        <v>0.015453282911945547</v>
      </c>
      <c r="T5429" s="10">
        <v>19.835778037771863</v>
      </c>
      <c r="U5429" s="11">
        <v>0.2338430314400011</v>
      </c>
      <c r="V5429" s="11">
        <v>0.027326810672412938</v>
      </c>
      <c r="W5429" s="11">
        <v>0.11550227909874346</v>
      </c>
      <c r="X5429" s="11">
        <v>0.2547874007224018</v>
      </c>
      <c r="Y5429" s="11">
        <v>0.1853695343252738</v>
      </c>
      <c r="Z5429" s="11">
        <v>0.18317094374116694</v>
      </c>
    </row>
    <row r="5430" ht="22.5" customHeight="1">
      <c r="Q5430" s="9" t="s">
        <v>5468</v>
      </c>
      <c r="R5430" s="10">
        <v>0.7123146159737803</v>
      </c>
      <c r="S5430" s="10">
        <v>0.03389447672513831</v>
      </c>
      <c r="T5430" s="10">
        <v>19.835521327731513</v>
      </c>
      <c r="U5430" s="11">
        <v>0.015590184307492564</v>
      </c>
      <c r="V5430" s="11">
        <v>0.19523726845903286</v>
      </c>
      <c r="W5430" s="11">
        <v>0.24291511369848537</v>
      </c>
      <c r="X5430" s="11">
        <v>0.018375221743100204</v>
      </c>
      <c r="Y5430" s="11">
        <v>0.31069741497570325</v>
      </c>
      <c r="Z5430" s="11">
        <v>0.21718479681618574</v>
      </c>
    </row>
    <row r="5431" ht="22.5" customHeight="1">
      <c r="Q5431" s="9" t="s">
        <v>5469</v>
      </c>
      <c r="R5431" s="10">
        <v>0.5882119656695182</v>
      </c>
      <c r="S5431" s="10">
        <v>0.027638475570525713</v>
      </c>
      <c r="T5431" s="10">
        <v>19.83510140675572</v>
      </c>
      <c r="U5431" s="11">
        <v>0.2605458218275176</v>
      </c>
      <c r="V5431" s="11">
        <v>0.09961144783849789</v>
      </c>
      <c r="W5431" s="11">
        <v>0.22645987910302795</v>
      </c>
      <c r="X5431" s="11">
        <v>0.2672760102164292</v>
      </c>
      <c r="Y5431" s="11">
        <v>0.021854987779880073</v>
      </c>
      <c r="Z5431" s="11">
        <v>0.12425185323464727</v>
      </c>
    </row>
    <row r="5432" ht="22.5" customHeight="1">
      <c r="Q5432" s="9" t="s">
        <v>5470</v>
      </c>
      <c r="R5432" s="10">
        <v>0.8210527117783826</v>
      </c>
      <c r="S5432" s="10">
        <v>0.03937889057738942</v>
      </c>
      <c r="T5432" s="10">
        <v>19.834299553041433</v>
      </c>
      <c r="U5432" s="11">
        <v>0.07964318878912345</v>
      </c>
      <c r="V5432" s="11">
        <v>0.34352435048499835</v>
      </c>
      <c r="W5432" s="11">
        <v>0.14540493203064597</v>
      </c>
      <c r="X5432" s="11">
        <v>0.20467276496044362</v>
      </c>
      <c r="Y5432" s="11">
        <v>0.22258494089544567</v>
      </c>
      <c r="Z5432" s="11">
        <v>0.004169822839342959</v>
      </c>
    </row>
    <row r="5433" ht="22.5" customHeight="1">
      <c r="Q5433" s="9" t="s">
        <v>5471</v>
      </c>
      <c r="R5433" s="10">
        <v>0.9014506218239682</v>
      </c>
      <c r="S5433" s="10">
        <v>0.043433361242632564</v>
      </c>
      <c r="T5433" s="10">
        <v>19.833846545093092</v>
      </c>
      <c r="U5433" s="11">
        <v>0.13976968337889886</v>
      </c>
      <c r="V5433" s="11">
        <v>0.27342046239344264</v>
      </c>
      <c r="W5433" s="11">
        <v>0.30471689030950827</v>
      </c>
      <c r="X5433" s="11">
        <v>0.04756939058200432</v>
      </c>
      <c r="Y5433" s="11">
        <v>0.10259957236803867</v>
      </c>
      <c r="Z5433" s="11">
        <v>0.13192400096810722</v>
      </c>
    </row>
    <row r="5434" ht="22.5" customHeight="1">
      <c r="Q5434" s="9" t="s">
        <v>5472</v>
      </c>
      <c r="R5434" s="10">
        <v>0.5198684161882425</v>
      </c>
      <c r="S5434" s="10">
        <v>0.02419490844196448</v>
      </c>
      <c r="T5434" s="10">
        <v>19.833446253342387</v>
      </c>
      <c r="U5434" s="11">
        <v>0.2660485284377312</v>
      </c>
      <c r="V5434" s="11">
        <v>0.2156868137649693</v>
      </c>
      <c r="W5434" s="11">
        <v>0.04953502714586158</v>
      </c>
      <c r="X5434" s="11">
        <v>0.29058607545284865</v>
      </c>
      <c r="Y5434" s="11">
        <v>0.040145904720431384</v>
      </c>
      <c r="Z5434" s="11">
        <v>0.13799765047815787</v>
      </c>
    </row>
    <row r="5435" ht="22.5" customHeight="1">
      <c r="Q5435" s="9" t="s">
        <v>5473</v>
      </c>
      <c r="R5435" s="10">
        <v>0.5655592313236077</v>
      </c>
      <c r="S5435" s="10">
        <v>0.026498863153140442</v>
      </c>
      <c r="T5435" s="10">
        <v>19.833274668665265</v>
      </c>
      <c r="U5435" s="11">
        <v>0.11787014794585782</v>
      </c>
      <c r="V5435" s="11">
        <v>0.08959785230989357</v>
      </c>
      <c r="W5435" s="11">
        <v>0.2183911023766108</v>
      </c>
      <c r="X5435" s="11">
        <v>0.31359332595886386</v>
      </c>
      <c r="Y5435" s="11">
        <v>0.06911449104769965</v>
      </c>
      <c r="Z5435" s="11">
        <v>0.19143308036107431</v>
      </c>
    </row>
    <row r="5436" ht="22.5" customHeight="1">
      <c r="Q5436" s="9" t="s">
        <v>5474</v>
      </c>
      <c r="R5436" s="10">
        <v>0.7983611546423126</v>
      </c>
      <c r="S5436" s="10">
        <v>0.0382393399203624</v>
      </c>
      <c r="T5436" s="10">
        <v>19.831962482137047</v>
      </c>
      <c r="U5436" s="11">
        <v>0.015297265406905037</v>
      </c>
      <c r="V5436" s="11">
        <v>0.22300417805505987</v>
      </c>
      <c r="W5436" s="11">
        <v>0.2796194825839063</v>
      </c>
      <c r="X5436" s="11">
        <v>0.07386613097329435</v>
      </c>
      <c r="Y5436" s="11">
        <v>0.1756708816720301</v>
      </c>
      <c r="Z5436" s="11">
        <v>0.23254206130880445</v>
      </c>
    </row>
    <row r="5437" ht="22.5" customHeight="1">
      <c r="Q5437" s="9" t="s">
        <v>5475</v>
      </c>
      <c r="R5437" s="10">
        <v>0.7231080811782378</v>
      </c>
      <c r="S5437" s="10">
        <v>0.0344457019724931</v>
      </c>
      <c r="T5437" s="10">
        <v>19.83144607486122</v>
      </c>
      <c r="U5437" s="11">
        <v>0.05911263098293636</v>
      </c>
      <c r="V5437" s="11">
        <v>0.29412556351665436</v>
      </c>
      <c r="W5437" s="11">
        <v>0.1457842209358527</v>
      </c>
      <c r="X5437" s="11">
        <v>0.08091537247296403</v>
      </c>
      <c r="Y5437" s="11">
        <v>0.18167579610199389</v>
      </c>
      <c r="Z5437" s="11">
        <v>0.23838641598959856</v>
      </c>
    </row>
    <row r="5438" ht="22.5" customHeight="1">
      <c r="Q5438" s="9" t="s">
        <v>5476</v>
      </c>
      <c r="R5438" s="10">
        <v>0.7743186546066095</v>
      </c>
      <c r="S5438" s="10">
        <v>0.03702826993109562</v>
      </c>
      <c r="T5438" s="10">
        <v>19.831297977817293</v>
      </c>
      <c r="U5438" s="11">
        <v>0.13839616593210338</v>
      </c>
      <c r="V5438" s="11">
        <v>0.22244013029251347</v>
      </c>
      <c r="W5438" s="11">
        <v>0.26637069480911285</v>
      </c>
      <c r="X5438" s="11">
        <v>0.03192249877664759</v>
      </c>
      <c r="Y5438" s="11">
        <v>0.10809528450069729</v>
      </c>
      <c r="Z5438" s="11">
        <v>0.23277522568892536</v>
      </c>
    </row>
    <row r="5439" ht="22.5" customHeight="1">
      <c r="Q5439" s="9" t="s">
        <v>5477</v>
      </c>
      <c r="R5439" s="10">
        <v>0.9617185138738146</v>
      </c>
      <c r="S5439" s="10">
        <v>0.04647829442960478</v>
      </c>
      <c r="T5439" s="10">
        <v>19.83116044135039</v>
      </c>
      <c r="U5439" s="11">
        <v>0.16812230248831952</v>
      </c>
      <c r="V5439" s="11">
        <v>0.3803995805449763</v>
      </c>
      <c r="W5439" s="11">
        <v>0.2284701239630065</v>
      </c>
      <c r="X5439" s="11">
        <v>0.08310147108568337</v>
      </c>
      <c r="Y5439" s="11">
        <v>0.13053878102739772</v>
      </c>
      <c r="Z5439" s="11">
        <v>0.009367740890616691</v>
      </c>
    </row>
    <row r="5440" ht="22.5" customHeight="1">
      <c r="Q5440" s="9" t="s">
        <v>5478</v>
      </c>
      <c r="R5440" s="10">
        <v>0.25988665997803756</v>
      </c>
      <c r="S5440" s="10">
        <v>0.011088042033450145</v>
      </c>
      <c r="T5440" s="10">
        <v>19.830972800670185</v>
      </c>
      <c r="U5440" s="11">
        <v>0.10872435717300348</v>
      </c>
      <c r="V5440" s="11">
        <v>0.02907666743263157</v>
      </c>
      <c r="W5440" s="11">
        <v>0.03312699908316443</v>
      </c>
      <c r="X5440" s="11">
        <v>0.34690484535780414</v>
      </c>
      <c r="Y5440" s="11">
        <v>0.33860620928041646</v>
      </c>
      <c r="Z5440" s="11">
        <v>0.14356092167297985</v>
      </c>
    </row>
    <row r="5441" ht="22.5" customHeight="1">
      <c r="Q5441" s="9" t="s">
        <v>5479</v>
      </c>
      <c r="R5441" s="10">
        <v>0.9133231529341426</v>
      </c>
      <c r="S5441" s="10">
        <v>0.04403859567004767</v>
      </c>
      <c r="T5441" s="10">
        <v>19.83085835609701</v>
      </c>
      <c r="U5441" s="11">
        <v>0.041475425123115583</v>
      </c>
      <c r="V5441" s="11">
        <v>0.2888413631048872</v>
      </c>
      <c r="W5441" s="11">
        <v>0.29802535817486936</v>
      </c>
      <c r="X5441" s="11">
        <v>0.024964569018582627</v>
      </c>
      <c r="Y5441" s="11">
        <v>0.20656394244227574</v>
      </c>
      <c r="Z5441" s="11">
        <v>0.14012934213626935</v>
      </c>
    </row>
    <row r="5442" ht="22.5" customHeight="1">
      <c r="Q5442" s="9" t="s">
        <v>5480</v>
      </c>
      <c r="R5442" s="10">
        <v>0.691425196210369</v>
      </c>
      <c r="S5442" s="10">
        <v>0.032851000631269</v>
      </c>
      <c r="T5442" s="10">
        <v>19.82969114159385</v>
      </c>
      <c r="U5442" s="11">
        <v>0.15182548783842315</v>
      </c>
      <c r="V5442" s="11">
        <v>0.1276021418002242</v>
      </c>
      <c r="W5442" s="11">
        <v>0.26746813391785884</v>
      </c>
      <c r="X5442" s="11">
        <v>0.27361117246845557</v>
      </c>
      <c r="Y5442" s="11">
        <v>0.1677381110364014</v>
      </c>
      <c r="Z5442" s="11">
        <v>0.011754952938636789</v>
      </c>
    </row>
    <row r="5443" ht="22.5" customHeight="1">
      <c r="Q5443" s="9" t="s">
        <v>5481</v>
      </c>
      <c r="R5443" s="10">
        <v>0.8757469238319519</v>
      </c>
      <c r="S5443" s="10">
        <v>0.042146468973811115</v>
      </c>
      <c r="T5443" s="10">
        <v>19.82958345457757</v>
      </c>
      <c r="U5443" s="11">
        <v>0.04514019265840249</v>
      </c>
      <c r="V5443" s="11">
        <v>0.23361129522818558</v>
      </c>
      <c r="W5443" s="11">
        <v>0.317596602249477</v>
      </c>
      <c r="X5443" s="11">
        <v>0.15591233092130594</v>
      </c>
      <c r="Y5443" s="11">
        <v>0.11130434174838315</v>
      </c>
      <c r="Z5443" s="11">
        <v>0.1364352371942459</v>
      </c>
    </row>
    <row r="5444" ht="22.5" customHeight="1">
      <c r="Q5444" s="9" t="s">
        <v>5482</v>
      </c>
      <c r="R5444" s="10">
        <v>0.9129225296367958</v>
      </c>
      <c r="S5444" s="10">
        <v>0.0440217765195138</v>
      </c>
      <c r="T5444" s="10">
        <v>19.829334448823303</v>
      </c>
      <c r="U5444" s="11">
        <v>0.05465005712067376</v>
      </c>
      <c r="V5444" s="11">
        <v>0.33512062769583</v>
      </c>
      <c r="W5444" s="11">
        <v>0.2506673268341618</v>
      </c>
      <c r="X5444" s="11">
        <v>0.004469258417956502</v>
      </c>
      <c r="Y5444" s="11">
        <v>0.21351502798413663</v>
      </c>
      <c r="Z5444" s="11">
        <v>0.14157770194724117</v>
      </c>
    </row>
    <row r="5445" ht="22.5" customHeight="1">
      <c r="Q5445" s="9" t="s">
        <v>5483</v>
      </c>
      <c r="R5445" s="10">
        <v>0.8333052549475689</v>
      </c>
      <c r="S5445" s="10">
        <v>0.0400066780999339</v>
      </c>
      <c r="T5445" s="10">
        <v>19.82932081903795</v>
      </c>
      <c r="U5445" s="11">
        <v>0.18304035869467392</v>
      </c>
      <c r="V5445" s="11">
        <v>0.24612463826655598</v>
      </c>
      <c r="W5445" s="11">
        <v>0.2828261298614184</v>
      </c>
      <c r="X5445" s="11">
        <v>0.013661330600238367</v>
      </c>
      <c r="Y5445" s="11">
        <v>0.13728934913940471</v>
      </c>
      <c r="Z5445" s="11">
        <v>0.1370581934377086</v>
      </c>
    </row>
    <row r="5446" ht="22.5" customHeight="1">
      <c r="Q5446" s="9" t="s">
        <v>5484</v>
      </c>
      <c r="R5446" s="10">
        <v>0.522331348251574</v>
      </c>
      <c r="S5446" s="10">
        <v>0.022472457280667945</v>
      </c>
      <c r="T5446" s="10">
        <v>19.828300006909604</v>
      </c>
      <c r="U5446" s="11">
        <v>0.08886019974237858</v>
      </c>
      <c r="V5446" s="11">
        <v>0.10035114725484486</v>
      </c>
      <c r="W5446" s="11">
        <v>0.16475293921819567</v>
      </c>
      <c r="X5446" s="11">
        <v>0.04786935047537126</v>
      </c>
      <c r="Y5446" s="11">
        <v>0.3499205873564708</v>
      </c>
      <c r="Z5446" s="11">
        <v>0.24824577595273878</v>
      </c>
    </row>
    <row r="5447" ht="22.5" customHeight="1">
      <c r="Q5447" s="9" t="s">
        <v>5485</v>
      </c>
      <c r="R5447" s="10">
        <v>0.7173431101001496</v>
      </c>
      <c r="S5447" s="10">
        <v>0.034160594085765876</v>
      </c>
      <c r="T5447" s="10">
        <v>19.82820054005989</v>
      </c>
      <c r="U5447" s="11">
        <v>0.005681054443519409</v>
      </c>
      <c r="V5447" s="11">
        <v>0.30271473039798</v>
      </c>
      <c r="W5447" s="11">
        <v>0.12087830265749852</v>
      </c>
      <c r="X5447" s="11">
        <v>0.2319961354803411</v>
      </c>
      <c r="Y5447" s="11">
        <v>0.10452992679836948</v>
      </c>
      <c r="Z5447" s="11">
        <v>0.2341998502222916</v>
      </c>
    </row>
    <row r="5448" ht="22.5" customHeight="1">
      <c r="Q5448" s="9" t="s">
        <v>5486</v>
      </c>
      <c r="R5448" s="10">
        <v>0.48477512681427165</v>
      </c>
      <c r="S5448" s="10">
        <v>0.022432013762960622</v>
      </c>
      <c r="T5448" s="10">
        <v>19.827694986023822</v>
      </c>
      <c r="U5448" s="11">
        <v>0.24052737670410723</v>
      </c>
      <c r="V5448" s="11">
        <v>0.07044015823473206</v>
      </c>
      <c r="W5448" s="11">
        <v>0.18075865119638979</v>
      </c>
      <c r="X5448" s="11">
        <v>0.18977324418947766</v>
      </c>
      <c r="Y5448" s="11">
        <v>0.18024951054530294</v>
      </c>
      <c r="Z5448" s="11">
        <v>0.13825105912999033</v>
      </c>
    </row>
    <row r="5449" ht="22.5" customHeight="1">
      <c r="Q5449" s="9" t="s">
        <v>5487</v>
      </c>
      <c r="R5449" s="10">
        <v>0.9504432270710231</v>
      </c>
      <c r="S5449" s="10">
        <v>0.04591808351407882</v>
      </c>
      <c r="T5449" s="10">
        <v>19.827552837475775</v>
      </c>
      <c r="U5449" s="11">
        <v>0.10557603237815914</v>
      </c>
      <c r="V5449" s="11">
        <v>0.3175677513715201</v>
      </c>
      <c r="W5449" s="11">
        <v>0.29609627341470623</v>
      </c>
      <c r="X5449" s="11">
        <v>0.001942681784388988</v>
      </c>
      <c r="Y5449" s="11">
        <v>0.18888682287216688</v>
      </c>
      <c r="Z5449" s="11">
        <v>0.08993043817905862</v>
      </c>
    </row>
    <row r="5450" ht="22.5" customHeight="1">
      <c r="Q5450" s="9" t="s">
        <v>5488</v>
      </c>
      <c r="R5450" s="10">
        <v>0.9737839499251263</v>
      </c>
      <c r="S5450" s="10">
        <v>0.047096383268220236</v>
      </c>
      <c r="T5450" s="10">
        <v>19.82708405881405</v>
      </c>
      <c r="U5450" s="11">
        <v>0.01217519924549704</v>
      </c>
      <c r="V5450" s="11">
        <v>0.24497139134461635</v>
      </c>
      <c r="W5450" s="11">
        <v>0.36377910392815016</v>
      </c>
      <c r="X5450" s="11">
        <v>0.33517864719947404</v>
      </c>
      <c r="Y5450" s="11">
        <v>8.97598558417124E-4</v>
      </c>
      <c r="Z5450" s="11">
        <v>0.04299805972384537</v>
      </c>
    </row>
    <row r="5451" ht="22.5" customHeight="1">
      <c r="Q5451" s="9" t="s">
        <v>5489</v>
      </c>
      <c r="R5451" s="10">
        <v>0.4994862867788998</v>
      </c>
      <c r="S5451" s="10">
        <v>0.02317513259853163</v>
      </c>
      <c r="T5451" s="10">
        <v>19.826695050194132</v>
      </c>
      <c r="U5451" s="11">
        <v>0.23671390199093464</v>
      </c>
      <c r="V5451" s="11">
        <v>0.0771180599675321</v>
      </c>
      <c r="W5451" s="11">
        <v>0.1890401402458806</v>
      </c>
      <c r="X5451" s="11">
        <v>0.23415246539301315</v>
      </c>
      <c r="Y5451" s="11">
        <v>0.04117011817251626</v>
      </c>
      <c r="Z5451" s="11">
        <v>0.2218053142301232</v>
      </c>
    </row>
    <row r="5452" ht="22.5" customHeight="1">
      <c r="Q5452" s="9" t="s">
        <v>5490</v>
      </c>
      <c r="R5452" s="10">
        <v>0.7278652852647803</v>
      </c>
      <c r="S5452" s="10">
        <v>0.03469601270042331</v>
      </c>
      <c r="T5452" s="10">
        <v>19.825485170415217</v>
      </c>
      <c r="U5452" s="11">
        <v>0.18774423468162466</v>
      </c>
      <c r="V5452" s="11">
        <v>0.30880797589644154</v>
      </c>
      <c r="W5452" s="11">
        <v>0.11225594250031064</v>
      </c>
      <c r="X5452" s="11">
        <v>0.2432974892593448</v>
      </c>
      <c r="Y5452" s="11">
        <v>0.08499148392485072</v>
      </c>
      <c r="Z5452" s="11">
        <v>0.06290287373742746</v>
      </c>
    </row>
    <row r="5453" ht="22.5" customHeight="1">
      <c r="Q5453" s="9" t="s">
        <v>5491</v>
      </c>
      <c r="R5453" s="10">
        <v>0.6714102214844024</v>
      </c>
      <c r="S5453" s="10">
        <v>0.03184880082523127</v>
      </c>
      <c r="T5453" s="10">
        <v>19.825243184169945</v>
      </c>
      <c r="U5453" s="11">
        <v>0.21853742677119137</v>
      </c>
      <c r="V5453" s="11">
        <v>0.18754223483844837</v>
      </c>
      <c r="W5453" s="11">
        <v>0.22978436940180375</v>
      </c>
      <c r="X5453" s="11">
        <v>0.023784669777219755</v>
      </c>
      <c r="Y5453" s="11">
        <v>0.0284131220452201</v>
      </c>
      <c r="Z5453" s="11">
        <v>0.3119381771661167</v>
      </c>
    </row>
    <row r="5454" ht="22.5" customHeight="1">
      <c r="Q5454" s="9" t="s">
        <v>5492</v>
      </c>
      <c r="R5454" s="10">
        <v>0.602101518048858</v>
      </c>
      <c r="S5454" s="10">
        <v>0.02835368135941983</v>
      </c>
      <c r="T5454" s="10">
        <v>19.824639732791287</v>
      </c>
      <c r="U5454" s="11">
        <v>0.2095261337389975</v>
      </c>
      <c r="V5454" s="11">
        <v>0.25207310420681833</v>
      </c>
      <c r="W5454" s="11">
        <v>0.06973787319822544</v>
      </c>
      <c r="X5454" s="11">
        <v>0.23561952594113203</v>
      </c>
      <c r="Y5454" s="11">
        <v>0.21198916637357826</v>
      </c>
      <c r="Z5454" s="11">
        <v>0.021054196541248432</v>
      </c>
    </row>
    <row r="5455" ht="22.5" customHeight="1">
      <c r="Q5455" s="9" t="s">
        <v>5493</v>
      </c>
      <c r="R5455" s="10">
        <v>0.6373339353427866</v>
      </c>
      <c r="S5455" s="10">
        <v>0.030131241270866176</v>
      </c>
      <c r="T5455" s="10">
        <v>19.824405173787092</v>
      </c>
      <c r="U5455" s="11">
        <v>0.32719999226580493</v>
      </c>
      <c r="V5455" s="11">
        <v>0.14421232602057363</v>
      </c>
      <c r="W5455" s="11">
        <v>0.22635541953587346</v>
      </c>
      <c r="X5455" s="11">
        <v>0.0272041549672383</v>
      </c>
      <c r="Y5455" s="11">
        <v>0.2667958644100019</v>
      </c>
      <c r="Z5455" s="11">
        <v>0.008232242800507763</v>
      </c>
    </row>
    <row r="5456" ht="22.5" customHeight="1">
      <c r="Q5456" s="9" t="s">
        <v>5494</v>
      </c>
      <c r="R5456" s="10">
        <v>0.8779637087258612</v>
      </c>
      <c r="S5456" s="10">
        <v>0.04226940641428172</v>
      </c>
      <c r="T5456" s="10">
        <v>19.824354771226105</v>
      </c>
      <c r="U5456" s="11">
        <v>0.08848878211975321</v>
      </c>
      <c r="V5456" s="11">
        <v>0.19948698476036547</v>
      </c>
      <c r="W5456" s="11">
        <v>0.3355989428751698</v>
      </c>
      <c r="X5456" s="11">
        <v>0.34073210553283706</v>
      </c>
      <c r="Y5456" s="11">
        <v>0.007312793487584969</v>
      </c>
      <c r="Z5456" s="11">
        <v>0.028380391224289456</v>
      </c>
    </row>
    <row r="5457" ht="22.5" customHeight="1">
      <c r="Q5457" s="9" t="s">
        <v>5495</v>
      </c>
      <c r="R5457" s="10">
        <v>0.522331348251574</v>
      </c>
      <c r="S5457" s="10">
        <v>0.03205812070779409</v>
      </c>
      <c r="T5457" s="10">
        <v>19.824108098127436</v>
      </c>
      <c r="U5457" s="11">
        <v>0.02249833048662055</v>
      </c>
      <c r="V5457" s="11">
        <v>0.1472744386442023</v>
      </c>
      <c r="W5457" s="11">
        <v>0.25437152830189724</v>
      </c>
      <c r="X5457" s="11">
        <v>0.18711180898921742</v>
      </c>
      <c r="Y5457" s="11">
        <v>0.1585780214219854</v>
      </c>
      <c r="Z5457" s="11">
        <v>0.23016587215607723</v>
      </c>
    </row>
    <row r="5458" ht="22.5" customHeight="1">
      <c r="Q5458" s="9" t="s">
        <v>5496</v>
      </c>
      <c r="R5458" s="10">
        <v>0.5406138538071839</v>
      </c>
      <c r="S5458" s="10">
        <v>0.025253001191824175</v>
      </c>
      <c r="T5458" s="10">
        <v>19.82393498517162</v>
      </c>
      <c r="U5458" s="11">
        <v>0.004018568502905006</v>
      </c>
      <c r="V5458" s="11">
        <v>0.22025547397898848</v>
      </c>
      <c r="W5458" s="11">
        <v>0.05125540856688916</v>
      </c>
      <c r="X5458" s="11">
        <v>0.30069514379955675</v>
      </c>
      <c r="Y5458" s="11">
        <v>0.33585674829835555</v>
      </c>
      <c r="Z5458" s="11">
        <v>0.08791865685330498</v>
      </c>
    </row>
    <row r="5459" ht="22.5" customHeight="1">
      <c r="Q5459" s="9" t="s">
        <v>5497</v>
      </c>
      <c r="R5459" s="10">
        <v>0.6211063322828666</v>
      </c>
      <c r="S5459" s="10">
        <v>0.029315115202225035</v>
      </c>
      <c r="T5459" s="10">
        <v>19.822754516712944</v>
      </c>
      <c r="U5459" s="11">
        <v>0.08045528531599659</v>
      </c>
      <c r="V5459" s="11">
        <v>0.12822485068943426</v>
      </c>
      <c r="W5459" s="11">
        <v>0.23539101902772305</v>
      </c>
      <c r="X5459" s="11">
        <v>0.241786336756296</v>
      </c>
      <c r="Y5459" s="11">
        <v>7.35125935161638E-4</v>
      </c>
      <c r="Z5459" s="11">
        <v>0.31340738227538856</v>
      </c>
    </row>
    <row r="5460" ht="22.5" customHeight="1">
      <c r="Q5460" s="9" t="s">
        <v>5498</v>
      </c>
      <c r="R5460" s="10">
        <v>0.5620480875850423</v>
      </c>
      <c r="S5460" s="10">
        <v>0.02633783092700326</v>
      </c>
      <c r="T5460" s="10">
        <v>19.82122556075051</v>
      </c>
      <c r="U5460" s="11">
        <v>0.10946971926193504</v>
      </c>
      <c r="V5460" s="11">
        <v>0.22975230770501567</v>
      </c>
      <c r="W5460" s="11">
        <v>0.0887725891614052</v>
      </c>
      <c r="X5460" s="11">
        <v>0.08550194369961767</v>
      </c>
      <c r="Y5460" s="11">
        <v>0.2175177357716122</v>
      </c>
      <c r="Z5460" s="11">
        <v>0.26898570440041425</v>
      </c>
    </row>
    <row r="5461" ht="22.5" customHeight="1">
      <c r="Q5461" s="9" t="s">
        <v>5499</v>
      </c>
      <c r="R5461" s="10">
        <v>0.9344252693540732</v>
      </c>
      <c r="S5461" s="10">
        <v>0.04512464847628872</v>
      </c>
      <c r="T5461" s="10">
        <v>19.821213007876604</v>
      </c>
      <c r="U5461" s="11">
        <v>0.09107243144532028</v>
      </c>
      <c r="V5461" s="11">
        <v>0.3095337151845418</v>
      </c>
      <c r="W5461" s="11">
        <v>0.2968374148511224</v>
      </c>
      <c r="X5461" s="11">
        <v>0.03988193042065849</v>
      </c>
      <c r="Y5461" s="11">
        <v>0.07432846193352399</v>
      </c>
      <c r="Z5461" s="11">
        <v>0.18834604616483291</v>
      </c>
    </row>
    <row r="5462" ht="22.5" customHeight="1">
      <c r="Q5462" s="9" t="s">
        <v>5500</v>
      </c>
      <c r="R5462" s="10">
        <v>0.6317239475771262</v>
      </c>
      <c r="S5462" s="10">
        <v>0.029854184498236715</v>
      </c>
      <c r="T5462" s="10">
        <v>19.82046930848422</v>
      </c>
      <c r="U5462" s="11">
        <v>0.25410481716975686</v>
      </c>
      <c r="V5462" s="11">
        <v>0.25529074667902957</v>
      </c>
      <c r="W5462" s="11">
        <v>0.12145650348900136</v>
      </c>
      <c r="X5462" s="11">
        <v>0.06655194215864561</v>
      </c>
      <c r="Y5462" s="11">
        <v>0.03303184411579905</v>
      </c>
      <c r="Z5462" s="11">
        <v>0.26956414638776754</v>
      </c>
    </row>
    <row r="5463" ht="22.5" customHeight="1">
      <c r="Q5463" s="9" t="s">
        <v>5501</v>
      </c>
      <c r="R5463" s="10">
        <v>0.522331348251574</v>
      </c>
      <c r="S5463" s="10">
        <v>0.030044613028797826</v>
      </c>
      <c r="T5463" s="10">
        <v>19.819381576329278</v>
      </c>
      <c r="U5463" s="11">
        <v>0.14905882310398116</v>
      </c>
      <c r="V5463" s="11">
        <v>0.14744217425219378</v>
      </c>
      <c r="W5463" s="11">
        <v>0.23260774310578877</v>
      </c>
      <c r="X5463" s="11">
        <v>0.08133792981894664</v>
      </c>
      <c r="Y5463" s="11">
        <v>0.14969966840894208</v>
      </c>
      <c r="Z5463" s="11">
        <v>0.23985366131014757</v>
      </c>
    </row>
    <row r="5464" ht="22.5" customHeight="1">
      <c r="Q5464" s="9" t="s">
        <v>5502</v>
      </c>
      <c r="R5464" s="10">
        <v>0.8036162007534396</v>
      </c>
      <c r="S5464" s="10">
        <v>0.03852946394263768</v>
      </c>
      <c r="T5464" s="10">
        <v>19.81901959213096</v>
      </c>
      <c r="U5464" s="11">
        <v>0.10456189096199987</v>
      </c>
      <c r="V5464" s="11">
        <v>0.1610972144910933</v>
      </c>
      <c r="W5464" s="11">
        <v>0.3125057058411182</v>
      </c>
      <c r="X5464" s="11">
        <v>0.38214010930433806</v>
      </c>
      <c r="Y5464" s="11">
        <v>0.03776441591837889</v>
      </c>
      <c r="Z5464" s="11">
        <v>0.0019306634830713598</v>
      </c>
    </row>
    <row r="5465" ht="22.5" customHeight="1">
      <c r="Q5465" s="9" t="s">
        <v>5503</v>
      </c>
      <c r="R5465" s="10">
        <v>0.6348346926629003</v>
      </c>
      <c r="S5465" s="10">
        <v>0.030013444897989267</v>
      </c>
      <c r="T5465" s="10">
        <v>19.81894096744459</v>
      </c>
      <c r="U5465" s="11">
        <v>0.3378786972758173</v>
      </c>
      <c r="V5465" s="11">
        <v>0.26126442980733183</v>
      </c>
      <c r="W5465" s="11">
        <v>0.1027330934505946</v>
      </c>
      <c r="X5465" s="11">
        <v>0.10574959509798783</v>
      </c>
      <c r="Y5465" s="11">
        <v>0.10064883785389975</v>
      </c>
      <c r="Z5465" s="11">
        <v>0.09172534651436864</v>
      </c>
    </row>
    <row r="5466" ht="22.5" customHeight="1">
      <c r="Q5466" s="9" t="s">
        <v>5504</v>
      </c>
      <c r="R5466" s="10">
        <v>0.49060007730677224</v>
      </c>
      <c r="S5466" s="10">
        <v>0.02273595373184613</v>
      </c>
      <c r="T5466" s="10">
        <v>19.81883331666088</v>
      </c>
      <c r="U5466" s="11">
        <v>0.19297023455552229</v>
      </c>
      <c r="V5466" s="11">
        <v>0.07444042493303085</v>
      </c>
      <c r="W5466" s="11">
        <v>0.18499515462717087</v>
      </c>
      <c r="X5466" s="11">
        <v>0.20561744091803053</v>
      </c>
      <c r="Y5466" s="11">
        <v>0.12999800412365717</v>
      </c>
      <c r="Z5466" s="11">
        <v>0.21197874084258833</v>
      </c>
    </row>
    <row r="5467" ht="22.5" customHeight="1">
      <c r="Q5467" s="9" t="s">
        <v>5505</v>
      </c>
      <c r="R5467" s="10">
        <v>0.7001340113059973</v>
      </c>
      <c r="S5467" s="10">
        <v>0.03330858347235192</v>
      </c>
      <c r="T5467" s="10">
        <v>19.81873566775805</v>
      </c>
      <c r="U5467" s="11">
        <v>0.027103373683973718</v>
      </c>
      <c r="V5467" s="11">
        <v>0.2806282867736132</v>
      </c>
      <c r="W5467" s="11">
        <v>0.14897690652060014</v>
      </c>
      <c r="X5467" s="11">
        <v>0.056220152867392695</v>
      </c>
      <c r="Y5467" s="11">
        <v>0.16934832321855467</v>
      </c>
      <c r="Z5467" s="11">
        <v>0.3177229569358656</v>
      </c>
    </row>
    <row r="5468" ht="22.5" customHeight="1">
      <c r="Q5468" s="9" t="s">
        <v>5506</v>
      </c>
      <c r="R5468" s="10">
        <v>0.7484061661647465</v>
      </c>
      <c r="S5468" s="10">
        <v>0.03574616799024277</v>
      </c>
      <c r="T5468" s="10">
        <v>19.81768133462899</v>
      </c>
      <c r="U5468" s="11">
        <v>0.2796955218108023</v>
      </c>
      <c r="V5468" s="11">
        <v>0.18739988897133014</v>
      </c>
      <c r="W5468" s="11">
        <v>0.2680424754172594</v>
      </c>
      <c r="X5468" s="11">
        <v>0.03518969944110076</v>
      </c>
      <c r="Y5468" s="11">
        <v>0.21613183411710227</v>
      </c>
      <c r="Z5468" s="11">
        <v>0.013540580242405011</v>
      </c>
    </row>
    <row r="5469" ht="22.5" customHeight="1">
      <c r="Q5469" s="9" t="s">
        <v>5507</v>
      </c>
      <c r="R5469" s="10">
        <v>0.6021909462918169</v>
      </c>
      <c r="S5469" s="10">
        <v>0.02836815277082298</v>
      </c>
      <c r="T5469" s="10">
        <v>19.81767903019888</v>
      </c>
      <c r="U5469" s="11">
        <v>0.10904424469052035</v>
      </c>
      <c r="V5469" s="11">
        <v>0.12178650411319693</v>
      </c>
      <c r="W5469" s="11">
        <v>0.22275393287258533</v>
      </c>
      <c r="X5469" s="11">
        <v>0.12029845706306082</v>
      </c>
      <c r="Y5469" s="11">
        <v>0.27598096491308194</v>
      </c>
      <c r="Z5469" s="11">
        <v>0.15013589634755461</v>
      </c>
    </row>
    <row r="5470" ht="22.5" customHeight="1">
      <c r="Q5470" s="9" t="s">
        <v>5508</v>
      </c>
      <c r="R5470" s="10">
        <v>0.9975020380957925</v>
      </c>
      <c r="S5470" s="10">
        <v>0.04831590858576577</v>
      </c>
      <c r="T5470" s="10">
        <v>19.817531453354057</v>
      </c>
      <c r="U5470" s="11">
        <v>0.12863361924235078</v>
      </c>
      <c r="V5470" s="11">
        <v>0.34420332925989594</v>
      </c>
      <c r="W5470" s="11">
        <v>0.30270096093764076</v>
      </c>
      <c r="X5470" s="11">
        <v>0.009922967733162966</v>
      </c>
      <c r="Y5470" s="11">
        <v>0.15845515348785136</v>
      </c>
      <c r="Z5470" s="11">
        <v>0.056083969339098275</v>
      </c>
    </row>
    <row r="5471" ht="22.5" customHeight="1">
      <c r="Q5471" s="9" t="s">
        <v>5509</v>
      </c>
      <c r="R5471" s="10">
        <v>0.6574761504012168</v>
      </c>
      <c r="S5471" s="10">
        <v>0.031159515258784208</v>
      </c>
      <c r="T5471" s="10">
        <v>19.816616056860624</v>
      </c>
      <c r="U5471" s="11">
        <v>0.17882323404074194</v>
      </c>
      <c r="V5471" s="11">
        <v>0.1358350321180359</v>
      </c>
      <c r="W5471" s="11">
        <v>0.25056627506074475</v>
      </c>
      <c r="X5471" s="11">
        <v>0.19486932161561332</v>
      </c>
      <c r="Y5471" s="11">
        <v>0.06282330292235931</v>
      </c>
      <c r="Z5471" s="11">
        <v>0.1770828342425048</v>
      </c>
    </row>
    <row r="5472" ht="22.5" customHeight="1">
      <c r="Q5472" s="9" t="s">
        <v>5510</v>
      </c>
      <c r="R5472" s="10">
        <v>0.522331348251574</v>
      </c>
      <c r="S5472" s="10">
        <v>0.03899653608396867</v>
      </c>
      <c r="T5472" s="10">
        <v>19.81647023824676</v>
      </c>
      <c r="U5472" s="11">
        <v>0.2648186821939989</v>
      </c>
      <c r="V5472" s="11">
        <v>0.33658059049401723</v>
      </c>
      <c r="W5472" s="11">
        <v>0.1560328691343499</v>
      </c>
      <c r="X5472" s="11">
        <v>0.14136942725547588</v>
      </c>
      <c r="Y5472" s="11">
        <v>0.07183298085179281</v>
      </c>
      <c r="Z5472" s="11">
        <v>0.029365450070365378</v>
      </c>
    </row>
    <row r="5473" ht="22.5" customHeight="1">
      <c r="Q5473" s="9" t="s">
        <v>5511</v>
      </c>
      <c r="R5473" s="10">
        <v>0.522331348251574</v>
      </c>
      <c r="S5473" s="10">
        <v>0.04048696222231896</v>
      </c>
      <c r="T5473" s="10">
        <v>19.816152843812695</v>
      </c>
      <c r="U5473" s="11">
        <v>0.05488142563482181</v>
      </c>
      <c r="V5473" s="11">
        <v>0.24843451803643657</v>
      </c>
      <c r="W5473" s="11">
        <v>0.28440441877841194</v>
      </c>
      <c r="X5473" s="11">
        <v>0.015206793673277264</v>
      </c>
      <c r="Y5473" s="11">
        <v>0.2653560291862724</v>
      </c>
      <c r="Z5473" s="11">
        <v>0.13171681469078003</v>
      </c>
    </row>
    <row r="5474" ht="22.5" customHeight="1">
      <c r="Q5474" s="9" t="s">
        <v>5512</v>
      </c>
      <c r="R5474" s="10">
        <v>0.43793074245363617</v>
      </c>
      <c r="S5474" s="10">
        <v>0.020081156465316167</v>
      </c>
      <c r="T5474" s="10">
        <v>19.816126782386036</v>
      </c>
      <c r="U5474" s="11">
        <v>0.07521307588137956</v>
      </c>
      <c r="V5474" s="11">
        <v>0.05287830484878607</v>
      </c>
      <c r="W5474" s="11">
        <v>0.15673101261034839</v>
      </c>
      <c r="X5474" s="11">
        <v>0.24676944444373666</v>
      </c>
      <c r="Y5474" s="11">
        <v>0.30767590594045513</v>
      </c>
      <c r="Z5474" s="11">
        <v>0.16073225627529425</v>
      </c>
    </row>
    <row r="5475" ht="22.5" customHeight="1">
      <c r="Q5475" s="9" t="s">
        <v>5513</v>
      </c>
      <c r="R5475" s="10">
        <v>0.8464814039249258</v>
      </c>
      <c r="S5475" s="10">
        <v>0.040701188048894166</v>
      </c>
      <c r="T5475" s="10">
        <v>19.81468951117847</v>
      </c>
      <c r="U5475" s="11">
        <v>0.17266009349583078</v>
      </c>
      <c r="V5475" s="11">
        <v>0.2340934526395061</v>
      </c>
      <c r="W5475" s="11">
        <v>0.3015718974616195</v>
      </c>
      <c r="X5475" s="11">
        <v>0.0991506920925598</v>
      </c>
      <c r="Y5475" s="11">
        <v>0.03788383831770613</v>
      </c>
      <c r="Z5475" s="11">
        <v>0.15464002599277765</v>
      </c>
    </row>
    <row r="5476" ht="22.5" customHeight="1">
      <c r="Q5476" s="9" t="s">
        <v>5514</v>
      </c>
      <c r="R5476" s="10">
        <v>0.5643676415722243</v>
      </c>
      <c r="S5476" s="10">
        <v>0.02646366430616345</v>
      </c>
      <c r="T5476" s="10">
        <v>19.81462716219907</v>
      </c>
      <c r="U5476" s="11">
        <v>0.044305841927328775</v>
      </c>
      <c r="V5476" s="11">
        <v>0.13839331485896578</v>
      </c>
      <c r="W5476" s="11">
        <v>0.1931737313090736</v>
      </c>
      <c r="X5476" s="11">
        <v>0.01659182817064384</v>
      </c>
      <c r="Y5476" s="11">
        <v>0.29888559914701773</v>
      </c>
      <c r="Z5476" s="11">
        <v>0.3086496845869703</v>
      </c>
    </row>
    <row r="5477" ht="22.5" customHeight="1">
      <c r="Q5477" s="9" t="s">
        <v>5515</v>
      </c>
      <c r="R5477" s="10">
        <v>0.7441870808338457</v>
      </c>
      <c r="S5477" s="10">
        <v>0.03553878965659308</v>
      </c>
      <c r="T5477" s="10">
        <v>19.81460504531297</v>
      </c>
      <c r="U5477" s="11">
        <v>0.12030317943712619</v>
      </c>
      <c r="V5477" s="11">
        <v>0.2969840632367366</v>
      </c>
      <c r="W5477" s="11">
        <v>0.16548918374991756</v>
      </c>
      <c r="X5477" s="11">
        <v>0.051349210471911474</v>
      </c>
      <c r="Y5477" s="11">
        <v>0.09213995482903352</v>
      </c>
      <c r="Z5477" s="11">
        <v>0.2737344082752747</v>
      </c>
    </row>
    <row r="5478" ht="22.5" customHeight="1">
      <c r="Q5478" s="9" t="s">
        <v>5516</v>
      </c>
      <c r="R5478" s="10">
        <v>0.5442062232281956</v>
      </c>
      <c r="S5478" s="10">
        <v>0.025446453708476924</v>
      </c>
      <c r="T5478" s="10">
        <v>19.814400427051662</v>
      </c>
      <c r="U5478" s="11">
        <v>0.12011176709491521</v>
      </c>
      <c r="V5478" s="11">
        <v>0.2291897022395785</v>
      </c>
      <c r="W5478" s="11">
        <v>0.05613549738113392</v>
      </c>
      <c r="X5478" s="11">
        <v>0.28055182763857295</v>
      </c>
      <c r="Y5478" s="11">
        <v>0.12785471543527158</v>
      </c>
      <c r="Z5478" s="11">
        <v>0.18615649021052774</v>
      </c>
    </row>
    <row r="5479" ht="22.5" customHeight="1">
      <c r="Q5479" s="9" t="s">
        <v>5517</v>
      </c>
      <c r="R5479" s="10">
        <v>0.5365250519241533</v>
      </c>
      <c r="S5479" s="10">
        <v>0.025059661950725624</v>
      </c>
      <c r="T5479" s="10">
        <v>19.813717076489777</v>
      </c>
      <c r="U5479" s="11">
        <v>0.20497558461694823</v>
      </c>
      <c r="V5479" s="11">
        <v>0.08352293575370302</v>
      </c>
      <c r="W5479" s="11">
        <v>0.20591334291678648</v>
      </c>
      <c r="X5479" s="11">
        <v>0.29436884835242233</v>
      </c>
      <c r="Y5479" s="11">
        <v>0.005043715062142783</v>
      </c>
      <c r="Z5479" s="11">
        <v>0.2061755732979971</v>
      </c>
    </row>
    <row r="5480" ht="22.5" customHeight="1">
      <c r="Q5480" s="9" t="s">
        <v>5518</v>
      </c>
      <c r="R5480" s="10">
        <v>0.38568488035671206</v>
      </c>
      <c r="S5480" s="10">
        <v>0.017446749702887444</v>
      </c>
      <c r="T5480" s="10">
        <v>19.81371236726696</v>
      </c>
      <c r="U5480" s="11">
        <v>0.2423148007478748</v>
      </c>
      <c r="V5480" s="11">
        <v>0.14675684970461447</v>
      </c>
      <c r="W5480" s="11">
        <v>0.019411158233483387</v>
      </c>
      <c r="X5480" s="11">
        <v>0.24822119908681056</v>
      </c>
      <c r="Y5480" s="11">
        <v>0.18513015086991755</v>
      </c>
      <c r="Z5480" s="11">
        <v>0.15816584135729922</v>
      </c>
    </row>
    <row r="5481" ht="22.5" customHeight="1">
      <c r="Q5481" s="9" t="s">
        <v>5519</v>
      </c>
      <c r="R5481" s="10">
        <v>0.7510823078731096</v>
      </c>
      <c r="S5481" s="10">
        <v>0.03588904778526135</v>
      </c>
      <c r="T5481" s="10">
        <v>19.813351196381745</v>
      </c>
      <c r="U5481" s="11">
        <v>0.16569299784449776</v>
      </c>
      <c r="V5481" s="11">
        <v>0.182206852036472</v>
      </c>
      <c r="W5481" s="11">
        <v>0.2758162426137799</v>
      </c>
      <c r="X5481" s="11">
        <v>0.09288231043635735</v>
      </c>
      <c r="Y5481" s="11">
        <v>0.1906096456427389</v>
      </c>
      <c r="Z5481" s="11">
        <v>0.09279195142615405</v>
      </c>
    </row>
    <row r="5482" ht="22.5" customHeight="1">
      <c r="Q5482" s="9" t="s">
        <v>5520</v>
      </c>
      <c r="R5482" s="10">
        <v>0.38696911002131945</v>
      </c>
      <c r="S5482" s="10">
        <v>0.017511981198203762</v>
      </c>
      <c r="T5482" s="10">
        <v>19.813241351407388</v>
      </c>
      <c r="U5482" s="11">
        <v>0.06299349527360176</v>
      </c>
      <c r="V5482" s="11">
        <v>0.1467275356158797</v>
      </c>
      <c r="W5482" s="11">
        <v>0.021186159872807826</v>
      </c>
      <c r="X5482" s="11">
        <v>0.266336046478316</v>
      </c>
      <c r="Y5482" s="11">
        <v>0.27425945209709796</v>
      </c>
      <c r="Z5482" s="11">
        <v>0.22849731066229673</v>
      </c>
    </row>
    <row r="5483" ht="22.5" customHeight="1">
      <c r="Q5483" s="9" t="s">
        <v>5521</v>
      </c>
      <c r="R5483" s="10">
        <v>0.31355903794999107</v>
      </c>
      <c r="S5483" s="10">
        <v>0.013806937111235018</v>
      </c>
      <c r="T5483" s="10">
        <v>19.813158830671423</v>
      </c>
      <c r="U5483" s="11">
        <v>0.25003759104215784</v>
      </c>
      <c r="V5483" s="11">
        <v>0.10469378577648904</v>
      </c>
      <c r="W5483" s="11">
        <v>0.0101055633629196</v>
      </c>
      <c r="X5483" s="11">
        <v>0.24140066040847752</v>
      </c>
      <c r="Y5483" s="11">
        <v>0.1965341057545058</v>
      </c>
      <c r="Z5483" s="11">
        <v>0.1972282936554502</v>
      </c>
    </row>
    <row r="5484" ht="22.5" customHeight="1">
      <c r="Q5484" s="9" t="s">
        <v>5522</v>
      </c>
      <c r="R5484" s="10">
        <v>0.620089020861829</v>
      </c>
      <c r="S5484" s="10">
        <v>0.02927950832160362</v>
      </c>
      <c r="T5484" s="10">
        <v>19.81211619027822</v>
      </c>
      <c r="U5484" s="11">
        <v>0.20245331379170403</v>
      </c>
      <c r="V5484" s="11">
        <v>0.1087386883833887</v>
      </c>
      <c r="W5484" s="11">
        <v>0.2370580693062015</v>
      </c>
      <c r="X5484" s="11">
        <v>0.20892700986651172</v>
      </c>
      <c r="Y5484" s="11">
        <v>0.21653296952988435</v>
      </c>
      <c r="Z5484" s="11">
        <v>0.026289949122309676</v>
      </c>
    </row>
    <row r="5485" ht="22.5" customHeight="1">
      <c r="Q5485" s="9" t="s">
        <v>5523</v>
      </c>
      <c r="R5485" s="10">
        <v>0.7538850841696583</v>
      </c>
      <c r="S5485" s="10">
        <v>0.03603351104104867</v>
      </c>
      <c r="T5485" s="10">
        <v>19.811699263955</v>
      </c>
      <c r="U5485" s="11">
        <v>0.04806395650617336</v>
      </c>
      <c r="V5485" s="11">
        <v>0.3133252870674816</v>
      </c>
      <c r="W5485" s="11">
        <v>0.1401864447813093</v>
      </c>
      <c r="X5485" s="11">
        <v>0.14099903062461983</v>
      </c>
      <c r="Y5485" s="11">
        <v>0.19092958302167468</v>
      </c>
      <c r="Z5485" s="11">
        <v>0.16649569799874125</v>
      </c>
    </row>
    <row r="5486" ht="22.5" customHeight="1">
      <c r="Q5486" s="9" t="s">
        <v>5524</v>
      </c>
      <c r="R5486" s="10">
        <v>0.4123814670081844</v>
      </c>
      <c r="S5486" s="10">
        <v>0.018796235688922833</v>
      </c>
      <c r="T5486" s="10">
        <v>19.811491682222286</v>
      </c>
      <c r="U5486" s="11">
        <v>0.24573346095198534</v>
      </c>
      <c r="V5486" s="11">
        <v>0.16382468162744532</v>
      </c>
      <c r="W5486" s="11">
        <v>0.030983284856994652</v>
      </c>
      <c r="X5486" s="11">
        <v>0.23283576064944392</v>
      </c>
      <c r="Y5486" s="11">
        <v>0.07645618323161366</v>
      </c>
      <c r="Z5486" s="11">
        <v>0.25016662868251716</v>
      </c>
    </row>
    <row r="5487" ht="22.5" customHeight="1">
      <c r="Q5487" s="9" t="s">
        <v>5525</v>
      </c>
      <c r="R5487" s="10">
        <v>0.9473359927691962</v>
      </c>
      <c r="S5487" s="10">
        <v>0.04579865043473314</v>
      </c>
      <c r="T5487" s="10">
        <v>19.811413309268247</v>
      </c>
      <c r="U5487" s="11">
        <v>0.0033596171488768332</v>
      </c>
      <c r="V5487" s="11">
        <v>0.24760665918255595</v>
      </c>
      <c r="W5487" s="11">
        <v>0.3477117318789806</v>
      </c>
      <c r="X5487" s="11">
        <v>0.20586527563792478</v>
      </c>
      <c r="Y5487" s="11">
        <v>0.15920195469621926</v>
      </c>
      <c r="Z5487" s="11">
        <v>0.036254761455442715</v>
      </c>
    </row>
    <row r="5488" ht="22.5" customHeight="1">
      <c r="Q5488" s="9" t="s">
        <v>5526</v>
      </c>
      <c r="R5488" s="10">
        <v>0.7486899614649414</v>
      </c>
      <c r="S5488" s="10">
        <v>0.03577230838910947</v>
      </c>
      <c r="T5488" s="10">
        <v>19.811133062933536</v>
      </c>
      <c r="U5488" s="11">
        <v>0.1281312049962576</v>
      </c>
      <c r="V5488" s="11">
        <v>0.18595643997877023</v>
      </c>
      <c r="W5488" s="11">
        <v>0.276223166870726</v>
      </c>
      <c r="X5488" s="11">
        <v>0.14440605746243726</v>
      </c>
      <c r="Y5488" s="11">
        <v>0.041041193954749124</v>
      </c>
      <c r="Z5488" s="11">
        <v>0.22424193673705978</v>
      </c>
    </row>
    <row r="5489" ht="22.5" customHeight="1">
      <c r="Q5489" s="9" t="s">
        <v>5527</v>
      </c>
      <c r="R5489" s="10">
        <v>0.7570149159725512</v>
      </c>
      <c r="S5489" s="10">
        <v>0.03619388083671769</v>
      </c>
      <c r="T5489" s="10">
        <v>19.810390579756767</v>
      </c>
      <c r="U5489" s="11">
        <v>0.16123944694525721</v>
      </c>
      <c r="V5489" s="11">
        <v>0.2955056777172283</v>
      </c>
      <c r="W5489" s="11">
        <v>0.1794714495993863</v>
      </c>
      <c r="X5489" s="11">
        <v>0.021179027947137226</v>
      </c>
      <c r="Y5489" s="11">
        <v>0.07608708207990535</v>
      </c>
      <c r="Z5489" s="11">
        <v>0.2665173157110857</v>
      </c>
    </row>
    <row r="5490" ht="22.5" customHeight="1">
      <c r="Q5490" s="9" t="s">
        <v>5528</v>
      </c>
      <c r="R5490" s="10">
        <v>0.41676992459731665</v>
      </c>
      <c r="S5490" s="10">
        <v>0.019019049695553313</v>
      </c>
      <c r="T5490" s="10">
        <v>19.81013408285095</v>
      </c>
      <c r="U5490" s="11">
        <v>0.27980335283991103</v>
      </c>
      <c r="V5490" s="11">
        <v>0.08543200076270957</v>
      </c>
      <c r="W5490" s="11">
        <v>0.13279525210105567</v>
      </c>
      <c r="X5490" s="11">
        <v>0.0029439845655649696</v>
      </c>
      <c r="Y5490" s="11">
        <v>0.24837372103158917</v>
      </c>
      <c r="Z5490" s="11">
        <v>0.2506516886991696</v>
      </c>
    </row>
    <row r="5491" ht="22.5" customHeight="1">
      <c r="Q5491" s="9" t="s">
        <v>5529</v>
      </c>
      <c r="R5491" s="10">
        <v>0.8744405608643295</v>
      </c>
      <c r="S5491" s="10">
        <v>0.042125065153713566</v>
      </c>
      <c r="T5491" s="10">
        <v>19.808647365160663</v>
      </c>
      <c r="U5491" s="11">
        <v>0.015797771482528075</v>
      </c>
      <c r="V5491" s="11">
        <v>0.22249259097799984</v>
      </c>
      <c r="W5491" s="11">
        <v>0.3244742391872633</v>
      </c>
      <c r="X5491" s="11">
        <v>0.24219858419549745</v>
      </c>
      <c r="Y5491" s="11">
        <v>0.027866966566781358</v>
      </c>
      <c r="Z5491" s="11">
        <v>0.16716984758992987</v>
      </c>
    </row>
    <row r="5492" ht="22.5" customHeight="1">
      <c r="Q5492" s="9" t="s">
        <v>5530</v>
      </c>
      <c r="R5492" s="10">
        <v>0.4435537757072284</v>
      </c>
      <c r="S5492" s="10">
        <v>0.020372613785297058</v>
      </c>
      <c r="T5492" s="10">
        <v>19.80864016567544</v>
      </c>
      <c r="U5492" s="11">
        <v>0.0127739409526884</v>
      </c>
      <c r="V5492" s="11">
        <v>0.06295994773027679</v>
      </c>
      <c r="W5492" s="11">
        <v>0.16397976565561506</v>
      </c>
      <c r="X5492" s="11">
        <v>0.2649638791048171</v>
      </c>
      <c r="Y5492" s="11">
        <v>0.13382281209997596</v>
      </c>
      <c r="Z5492" s="11">
        <v>0.36149965445662663</v>
      </c>
    </row>
    <row r="5493" ht="22.5" customHeight="1">
      <c r="Q5493" s="9" t="s">
        <v>5531</v>
      </c>
      <c r="R5493" s="10">
        <v>0.5279423203709445</v>
      </c>
      <c r="S5493" s="10">
        <v>0.02463333773505745</v>
      </c>
      <c r="T5493" s="10">
        <v>19.808209736698373</v>
      </c>
      <c r="U5493" s="11">
        <v>0.14234143917426836</v>
      </c>
      <c r="V5493" s="11">
        <v>0.22008246638292794</v>
      </c>
      <c r="W5493" s="11">
        <v>0.05218052350962664</v>
      </c>
      <c r="X5493" s="11">
        <v>0.24557025676908156</v>
      </c>
      <c r="Y5493" s="11">
        <v>0.19622373781206326</v>
      </c>
      <c r="Z5493" s="11">
        <v>0.14360157635203227</v>
      </c>
    </row>
    <row r="5494" ht="22.5" customHeight="1">
      <c r="Q5494" s="9" t="s">
        <v>5532</v>
      </c>
      <c r="R5494" s="10">
        <v>0.8111456152131102</v>
      </c>
      <c r="S5494" s="10">
        <v>0.03893138190208339</v>
      </c>
      <c r="T5494" s="10">
        <v>19.807815123352785</v>
      </c>
      <c r="U5494" s="11">
        <v>0.215205587445653</v>
      </c>
      <c r="V5494" s="11">
        <v>0.235085694565395</v>
      </c>
      <c r="W5494" s="11">
        <v>0.27845750735231733</v>
      </c>
      <c r="X5494" s="11">
        <v>0.014679664314560387</v>
      </c>
      <c r="Y5494" s="11">
        <v>0.10659633973155726</v>
      </c>
      <c r="Z5494" s="11">
        <v>0.1499752065905169</v>
      </c>
    </row>
    <row r="5495" ht="22.5" customHeight="1">
      <c r="Q5495" s="9" t="s">
        <v>5533</v>
      </c>
      <c r="R5495" s="10">
        <v>0.522331348251574</v>
      </c>
      <c r="S5495" s="10">
        <v>0.025608217461110316</v>
      </c>
      <c r="T5495" s="10">
        <v>19.807634826620014</v>
      </c>
      <c r="U5495" s="11">
        <v>0.16405572097244633</v>
      </c>
      <c r="V5495" s="11">
        <v>0.06526363968389097</v>
      </c>
      <c r="W5495" s="11">
        <v>0.21035717157788714</v>
      </c>
      <c r="X5495" s="11">
        <v>0.45842848763162564</v>
      </c>
      <c r="Y5495" s="11">
        <v>0.044701902394065296</v>
      </c>
      <c r="Z5495" s="11">
        <v>0.05719307774008457</v>
      </c>
    </row>
    <row r="5496" ht="22.5" customHeight="1">
      <c r="Q5496" s="9" t="s">
        <v>5534</v>
      </c>
      <c r="R5496" s="10">
        <v>0.4873056535076664</v>
      </c>
      <c r="S5496" s="10">
        <v>0.022583472764818383</v>
      </c>
      <c r="T5496" s="10">
        <v>19.806770117503834</v>
      </c>
      <c r="U5496" s="11">
        <v>0.008923989002887532</v>
      </c>
      <c r="V5496" s="11">
        <v>0.07964733583857292</v>
      </c>
      <c r="W5496" s="11">
        <v>0.181833367215025</v>
      </c>
      <c r="X5496" s="11">
        <v>0.21820767102509403</v>
      </c>
      <c r="Y5496" s="11">
        <v>0.17902755079464197</v>
      </c>
      <c r="Z5496" s="11">
        <v>0.33236008612377854</v>
      </c>
    </row>
    <row r="5497" ht="22.5" customHeight="1">
      <c r="Q5497" s="9" t="s">
        <v>5535</v>
      </c>
      <c r="R5497" s="10">
        <v>0.5795020183773703</v>
      </c>
      <c r="S5497" s="10">
        <v>0.027238503472062782</v>
      </c>
      <c r="T5497" s="10">
        <v>19.806595429543748</v>
      </c>
      <c r="U5497" s="11">
        <v>0.17825140914290438</v>
      </c>
      <c r="V5497" s="11">
        <v>0.10339517714286346</v>
      </c>
      <c r="W5497" s="11">
        <v>0.22156452013228067</v>
      </c>
      <c r="X5497" s="11">
        <v>0.19609737121484203</v>
      </c>
      <c r="Y5497" s="11">
        <v>0.1379146829920605</v>
      </c>
      <c r="Z5497" s="11">
        <v>0.162776839375049</v>
      </c>
    </row>
    <row r="5498" ht="22.5" customHeight="1">
      <c r="Q5498" s="9" t="s">
        <v>5536</v>
      </c>
      <c r="R5498" s="10">
        <v>0.6199427678269508</v>
      </c>
      <c r="S5498" s="10">
        <v>0.02928055145638794</v>
      </c>
      <c r="T5498" s="10">
        <v>19.806415486769414</v>
      </c>
      <c r="U5498" s="11">
        <v>0.24377196615485652</v>
      </c>
      <c r="V5498" s="11">
        <v>0.2556087771949405</v>
      </c>
      <c r="W5498" s="11">
        <v>0.10063353021006073</v>
      </c>
      <c r="X5498" s="11">
        <v>0.08984948260284632</v>
      </c>
      <c r="Y5498" s="11">
        <v>0.1595093644911222</v>
      </c>
      <c r="Z5498" s="11">
        <v>0.15062687934617358</v>
      </c>
    </row>
    <row r="5499" ht="22.5" customHeight="1">
      <c r="Q5499" s="9" t="s">
        <v>5537</v>
      </c>
      <c r="R5499" s="10">
        <v>0.3441054345677045</v>
      </c>
      <c r="S5499" s="10">
        <v>0.015353920439793138</v>
      </c>
      <c r="T5499" s="10">
        <v>19.806370350828892</v>
      </c>
      <c r="U5499" s="11">
        <v>0.14366616662277676</v>
      </c>
      <c r="V5499" s="11">
        <v>0.12681567895834706</v>
      </c>
      <c r="W5499" s="11">
        <v>0.013119491540429526</v>
      </c>
      <c r="X5499" s="11">
        <v>0.27720015265822623</v>
      </c>
      <c r="Y5499" s="11">
        <v>0.15905369609308503</v>
      </c>
      <c r="Z5499" s="11">
        <v>0.2801448141271354</v>
      </c>
    </row>
    <row r="5500" ht="22.5" customHeight="1">
      <c r="Q5500" s="9" t="s">
        <v>5538</v>
      </c>
      <c r="R5500" s="10">
        <v>0.6386611693130745</v>
      </c>
      <c r="S5500" s="10">
        <v>0.030225898227550514</v>
      </c>
      <c r="T5500" s="10">
        <v>19.806232549522797</v>
      </c>
      <c r="U5500" s="11">
        <v>0.13409203556651728</v>
      </c>
      <c r="V5500" s="11">
        <v>0.26846541869471197</v>
      </c>
      <c r="W5500" s="11">
        <v>0.08412954627044553</v>
      </c>
      <c r="X5500" s="11">
        <v>0.2122527546806863</v>
      </c>
      <c r="Y5500" s="11">
        <v>0.24679869966778265</v>
      </c>
      <c r="Z5500" s="11">
        <v>0.054261545119856314</v>
      </c>
    </row>
    <row r="5501" ht="22.5" customHeight="1">
      <c r="Q5501" s="9" t="s">
        <v>5539</v>
      </c>
      <c r="R5501" s="10">
        <v>0.7998022477477396</v>
      </c>
      <c r="S5501" s="10">
        <v>0.03836379458424954</v>
      </c>
      <c r="T5501" s="10">
        <v>19.805190179484498</v>
      </c>
      <c r="U5501" s="11">
        <v>0.3837568281753549</v>
      </c>
      <c r="V5501" s="11">
        <v>0.201184762819079</v>
      </c>
      <c r="W5501" s="11">
        <v>0.29155835584509326</v>
      </c>
      <c r="X5501" s="11">
        <v>0.09744778658177737</v>
      </c>
      <c r="Y5501" s="11">
        <v>0.023351725563247983</v>
      </c>
      <c r="Z5501" s="11">
        <v>0.0027005410154477285</v>
      </c>
    </row>
    <row r="5502" ht="22.5" customHeight="1">
      <c r="Q5502" s="9" t="s">
        <v>5540</v>
      </c>
      <c r="R5502" s="10">
        <v>0.652458297207345</v>
      </c>
      <c r="S5502" s="10">
        <v>0.030925390169923874</v>
      </c>
      <c r="T5502" s="10">
        <v>19.804383836132946</v>
      </c>
      <c r="U5502" s="11">
        <v>0.015840168322322185</v>
      </c>
      <c r="V5502" s="11">
        <v>0.2620828507250877</v>
      </c>
      <c r="W5502" s="11">
        <v>0.12806546880955935</v>
      </c>
      <c r="X5502" s="11">
        <v>0.04859625239258417</v>
      </c>
      <c r="Y5502" s="11">
        <v>0.2635877783572527</v>
      </c>
      <c r="Z5502" s="11">
        <v>0.28182748139319386</v>
      </c>
    </row>
    <row r="5503" ht="22.5" customHeight="1">
      <c r="Q5503" s="9" t="s">
        <v>5541</v>
      </c>
      <c r="R5503" s="10">
        <v>0.5677026266664715</v>
      </c>
      <c r="S5503" s="10">
        <v>0.02664579721618717</v>
      </c>
      <c r="T5503" s="10">
        <v>19.8043474693223</v>
      </c>
      <c r="U5503" s="11">
        <v>0.1731397488500983</v>
      </c>
      <c r="V5503" s="11">
        <v>0.23244512010116478</v>
      </c>
      <c r="W5503" s="11">
        <v>0.08687523477166693</v>
      </c>
      <c r="X5503" s="11">
        <v>0.08329269237440004</v>
      </c>
      <c r="Y5503" s="11">
        <v>0.21847174526074473</v>
      </c>
      <c r="Z5503" s="11">
        <v>0.20577545864192529</v>
      </c>
    </row>
    <row r="5504" ht="22.5" customHeight="1">
      <c r="Q5504" s="9" t="s">
        <v>5542</v>
      </c>
      <c r="R5504" s="10">
        <v>0.5972885815463075</v>
      </c>
      <c r="S5504" s="10">
        <v>0.028140026979842837</v>
      </c>
      <c r="T5504" s="10">
        <v>19.804123924454743</v>
      </c>
      <c r="U5504" s="11">
        <v>0.20793600096891027</v>
      </c>
      <c r="V5504" s="11">
        <v>0.11328122420405265</v>
      </c>
      <c r="W5504" s="11">
        <v>0.22503862232392957</v>
      </c>
      <c r="X5504" s="11">
        <v>0.1422859271991199</v>
      </c>
      <c r="Y5504" s="11">
        <v>0.20385019492107775</v>
      </c>
      <c r="Z5504" s="11">
        <v>0.10760803038290989</v>
      </c>
    </row>
    <row r="5505" ht="22.5" customHeight="1">
      <c r="Q5505" s="9" t="s">
        <v>5543</v>
      </c>
      <c r="R5505" s="10">
        <v>0.9264251153932911</v>
      </c>
      <c r="S5505" s="10">
        <v>0.04475988425487223</v>
      </c>
      <c r="T5505" s="10">
        <v>19.804008212930118</v>
      </c>
      <c r="U5505" s="11">
        <v>0.020894068877353206</v>
      </c>
      <c r="V5505" s="11">
        <v>0.24936546173947183</v>
      </c>
      <c r="W5505" s="11">
        <v>0.33784041883115806</v>
      </c>
      <c r="X5505" s="11">
        <v>0.213955493854284</v>
      </c>
      <c r="Y5505" s="11">
        <v>0.030699473350896574</v>
      </c>
      <c r="Z5505" s="11">
        <v>0.14724508334683645</v>
      </c>
    </row>
    <row r="5506" ht="22.5" customHeight="1">
      <c r="Q5506" s="9" t="s">
        <v>5544</v>
      </c>
      <c r="R5506" s="10">
        <v>0.4686806229026012</v>
      </c>
      <c r="S5506" s="10">
        <v>0.021646590775902575</v>
      </c>
      <c r="T5506" s="10">
        <v>19.80360913829522</v>
      </c>
      <c r="U5506" s="11">
        <v>0.24121184065532922</v>
      </c>
      <c r="V5506" s="11">
        <v>0.18355825682767243</v>
      </c>
      <c r="W5506" s="11">
        <v>0.06468827434479622</v>
      </c>
      <c r="X5506" s="11">
        <v>0.052977426890355214</v>
      </c>
      <c r="Y5506" s="11">
        <v>0.23121591120992502</v>
      </c>
      <c r="Z5506" s="11">
        <v>0.22634829007192186</v>
      </c>
    </row>
    <row r="5507" ht="22.5" customHeight="1">
      <c r="Q5507" s="9" t="s">
        <v>5545</v>
      </c>
      <c r="R5507" s="10">
        <v>0.7449891614453241</v>
      </c>
      <c r="S5507" s="10">
        <v>0.035600125753693326</v>
      </c>
      <c r="T5507" s="10">
        <v>19.80299638048849</v>
      </c>
      <c r="U5507" s="11">
        <v>0.16763004208422952</v>
      </c>
      <c r="V5507" s="11">
        <v>0.18810699761020747</v>
      </c>
      <c r="W5507" s="11">
        <v>0.27274778465997107</v>
      </c>
      <c r="X5507" s="11">
        <v>0.11211215205777977</v>
      </c>
      <c r="Y5507" s="11">
        <v>0.0500978800763429</v>
      </c>
      <c r="Z5507" s="11">
        <v>0.2093051435114693</v>
      </c>
    </row>
    <row r="5508" ht="22.5" customHeight="1">
      <c r="Q5508" s="9" t="s">
        <v>5546</v>
      </c>
      <c r="R5508" s="10">
        <v>0.522331348251574</v>
      </c>
      <c r="S5508" s="10">
        <v>0.033765047445844146</v>
      </c>
      <c r="T5508" s="10">
        <v>19.80224237884814</v>
      </c>
      <c r="U5508" s="11">
        <v>0.05571767619546536</v>
      </c>
      <c r="V5508" s="11">
        <v>0.16097761936637564</v>
      </c>
      <c r="W5508" s="11">
        <v>0.2658954616540213</v>
      </c>
      <c r="X5508" s="11">
        <v>0.16082181616703803</v>
      </c>
      <c r="Y5508" s="11">
        <v>0.16099425301993306</v>
      </c>
      <c r="Z5508" s="11">
        <v>0.19559317359716671</v>
      </c>
    </row>
    <row r="5509" ht="22.5" customHeight="1">
      <c r="Q5509" s="9" t="s">
        <v>5547</v>
      </c>
      <c r="R5509" s="10">
        <v>0.7857202983679817</v>
      </c>
      <c r="S5509" s="10">
        <v>0.037658419751146</v>
      </c>
      <c r="T5509" s="10">
        <v>19.802219617706832</v>
      </c>
      <c r="U5509" s="11">
        <v>0.035676773528143226</v>
      </c>
      <c r="V5509" s="11">
        <v>0.27242275626284806</v>
      </c>
      <c r="W5509" s="11">
        <v>0.23348840237665694</v>
      </c>
      <c r="X5509" s="11">
        <v>0.01216108441453173</v>
      </c>
      <c r="Y5509" s="11">
        <v>0.06763964121759662</v>
      </c>
      <c r="Z5509" s="11">
        <v>0.37861134220022336</v>
      </c>
    </row>
    <row r="5510" ht="22.5" customHeight="1">
      <c r="Q5510" s="9" t="s">
        <v>5548</v>
      </c>
      <c r="R5510" s="10">
        <v>0.7555480946304803</v>
      </c>
      <c r="S5510" s="10">
        <v>0.03613637302632726</v>
      </c>
      <c r="T5510" s="10">
        <v>19.801325775256018</v>
      </c>
      <c r="U5510" s="11">
        <v>0.02551376325704581</v>
      </c>
      <c r="V5510" s="11">
        <v>0.22679417833597662</v>
      </c>
      <c r="W5510" s="11">
        <v>0.2523137345250624</v>
      </c>
      <c r="X5510" s="11">
        <v>0.012891035944835781</v>
      </c>
      <c r="Y5510" s="11">
        <v>0.16741010282875673</v>
      </c>
      <c r="Z5510" s="11">
        <v>0.3150771851083226</v>
      </c>
    </row>
    <row r="5511" ht="22.5" customHeight="1">
      <c r="Q5511" s="9" t="s">
        <v>5549</v>
      </c>
      <c r="R5511" s="10">
        <v>0.4480786907289743</v>
      </c>
      <c r="S5511" s="10">
        <v>0.020608888327895834</v>
      </c>
      <c r="T5511" s="10">
        <v>19.801101555614046</v>
      </c>
      <c r="U5511" s="11">
        <v>0.24221054540251394</v>
      </c>
      <c r="V5511" s="11">
        <v>0.06427034858273618</v>
      </c>
      <c r="W5511" s="11">
        <v>0.16567044905943065</v>
      </c>
      <c r="X5511" s="11">
        <v>0.18211628255457615</v>
      </c>
      <c r="Y5511" s="11">
        <v>0.1184136110236965</v>
      </c>
      <c r="Z5511" s="11">
        <v>0.22731876337704662</v>
      </c>
    </row>
    <row r="5512" ht="22.5" customHeight="1">
      <c r="Q5512" s="9" t="s">
        <v>5550</v>
      </c>
      <c r="R5512" s="10">
        <v>0.5054935401501653</v>
      </c>
      <c r="S5512" s="10">
        <v>0.023508827005419453</v>
      </c>
      <c r="T5512" s="10">
        <v>19.800798229654582</v>
      </c>
      <c r="U5512" s="11">
        <v>0.2341626145285097</v>
      </c>
      <c r="V5512" s="11">
        <v>0.20975436104208947</v>
      </c>
      <c r="W5512" s="11">
        <v>0.05535610932792294</v>
      </c>
      <c r="X5512" s="11">
        <v>0.19729090556990567</v>
      </c>
      <c r="Y5512" s="11">
        <v>0.09512050772937808</v>
      </c>
      <c r="Z5512" s="11">
        <v>0.2083155018021941</v>
      </c>
    </row>
    <row r="5513" ht="22.5" customHeight="1">
      <c r="Q5513" s="9" t="s">
        <v>5551</v>
      </c>
      <c r="R5513" s="10">
        <v>0.7901777868408244</v>
      </c>
      <c r="S5513" s="10">
        <v>0.03788716490117499</v>
      </c>
      <c r="T5513" s="10">
        <v>19.80031466586615</v>
      </c>
      <c r="U5513" s="11">
        <v>0.014370838122510438</v>
      </c>
      <c r="V5513" s="11">
        <v>0.3352380075103208</v>
      </c>
      <c r="W5513" s="11">
        <v>0.13339586675297532</v>
      </c>
      <c r="X5513" s="11">
        <v>0.26117976265931914</v>
      </c>
      <c r="Y5513" s="11">
        <v>0.1401377540804696</v>
      </c>
      <c r="Z5513" s="11">
        <v>0.11567777087440467</v>
      </c>
    </row>
    <row r="5514" ht="22.5" customHeight="1">
      <c r="Q5514" s="9" t="s">
        <v>5552</v>
      </c>
      <c r="R5514" s="10">
        <v>0.42011196521063293</v>
      </c>
      <c r="S5514" s="10">
        <v>0.019197588369922136</v>
      </c>
      <c r="T5514" s="10">
        <v>19.799985179710085</v>
      </c>
      <c r="U5514" s="11">
        <v>0.02393482946075841</v>
      </c>
      <c r="V5514" s="11">
        <v>0.16665441745093498</v>
      </c>
      <c r="W5514" s="11">
        <v>0.03683897870924576</v>
      </c>
      <c r="X5514" s="11">
        <v>0.203673147124029</v>
      </c>
      <c r="Y5514" s="11">
        <v>0.2515524426283388</v>
      </c>
      <c r="Z5514" s="11">
        <v>0.31734618462669306</v>
      </c>
    </row>
    <row r="5515" ht="22.5" customHeight="1">
      <c r="Q5515" s="9" t="s">
        <v>5553</v>
      </c>
      <c r="R5515" s="10">
        <v>0.4969035669002935</v>
      </c>
      <c r="S5515" s="10">
        <v>0.02307632516008827</v>
      </c>
      <c r="T5515" s="10">
        <v>19.799667569710472</v>
      </c>
      <c r="U5515" s="11">
        <v>0.2778325355990309</v>
      </c>
      <c r="V5515" s="11">
        <v>0.20111495826894948</v>
      </c>
      <c r="W5515" s="11">
        <v>0.0701314821144365</v>
      </c>
      <c r="X5515" s="11">
        <v>0.09867892359906558</v>
      </c>
      <c r="Y5515" s="11">
        <v>0.07841265457832698</v>
      </c>
      <c r="Z5515" s="11">
        <v>0.2738294458401905</v>
      </c>
    </row>
    <row r="5516" ht="22.5" customHeight="1">
      <c r="Q5516" s="9" t="s">
        <v>5554</v>
      </c>
      <c r="R5516" s="10">
        <v>0.8486844598920446</v>
      </c>
      <c r="S5516" s="10">
        <v>0.04084359678026897</v>
      </c>
      <c r="T5516" s="10">
        <v>19.79954077606382</v>
      </c>
      <c r="U5516" s="11">
        <v>0.037949356138040805</v>
      </c>
      <c r="V5516" s="11">
        <v>0.2779210869071639</v>
      </c>
      <c r="W5516" s="11">
        <v>0.2717036456852785</v>
      </c>
      <c r="X5516" s="11">
        <v>0.059024268028067116</v>
      </c>
      <c r="Y5516" s="11">
        <v>0.01291363561855073</v>
      </c>
      <c r="Z5516" s="11">
        <v>0.3404880076228988</v>
      </c>
    </row>
    <row r="5517" ht="22.5" customHeight="1">
      <c r="Q5517" s="9" t="s">
        <v>5555</v>
      </c>
      <c r="R5517" s="10">
        <v>0.8467769204690654</v>
      </c>
      <c r="S5517" s="10">
        <v>0.04074836166861644</v>
      </c>
      <c r="T5517" s="10">
        <v>19.799002645311962</v>
      </c>
      <c r="U5517" s="11">
        <v>0.1714424767466817</v>
      </c>
      <c r="V5517" s="11">
        <v>0.3538928679886497</v>
      </c>
      <c r="W5517" s="11">
        <v>0.16136762058874443</v>
      </c>
      <c r="X5517" s="11">
        <v>0.17994695266594313</v>
      </c>
      <c r="Y5517" s="11">
        <v>0.09165762904633223</v>
      </c>
      <c r="Z5517" s="11">
        <v>0.041692452963648735</v>
      </c>
    </row>
    <row r="5518" ht="22.5" customHeight="1">
      <c r="Q5518" s="9" t="s">
        <v>5556</v>
      </c>
      <c r="R5518" s="10">
        <v>0.6807560721672061</v>
      </c>
      <c r="S5518" s="10">
        <v>0.032363055669635904</v>
      </c>
      <c r="T5518" s="10">
        <v>19.798997928628378</v>
      </c>
      <c r="U5518" s="11">
        <v>0.10131504237448241</v>
      </c>
      <c r="V5518" s="11">
        <v>0.14845117674221076</v>
      </c>
      <c r="W5518" s="11">
        <v>0.25626663791700466</v>
      </c>
      <c r="X5518" s="11">
        <v>0.14920393252983127</v>
      </c>
      <c r="Y5518" s="11">
        <v>0.1791609650497331</v>
      </c>
      <c r="Z5518" s="11">
        <v>0.1656022453867379</v>
      </c>
    </row>
    <row r="5519" ht="22.5" customHeight="1">
      <c r="Q5519" s="9" t="s">
        <v>5557</v>
      </c>
      <c r="R5519" s="10">
        <v>0.8326868004461205</v>
      </c>
      <c r="S5519" s="10">
        <v>0.04003870082474107</v>
      </c>
      <c r="T5519" s="10">
        <v>19.79801502341196</v>
      </c>
      <c r="U5519" s="11">
        <v>0.08401863987672821</v>
      </c>
      <c r="V5519" s="11">
        <v>0.26493229912819133</v>
      </c>
      <c r="W5519" s="11">
        <v>0.2716555038954103</v>
      </c>
      <c r="X5519" s="11">
        <v>0.027860489563853116</v>
      </c>
      <c r="Y5519" s="11">
        <v>0.061581574100713646</v>
      </c>
      <c r="Z5519" s="11">
        <v>0.2899514934351034</v>
      </c>
    </row>
    <row r="5520" ht="22.5" customHeight="1">
      <c r="Q5520" s="9" t="s">
        <v>5558</v>
      </c>
      <c r="R5520" s="10">
        <v>0.2563471521274131</v>
      </c>
      <c r="S5520" s="10">
        <v>0.010927898417412167</v>
      </c>
      <c r="T5520" s="10">
        <v>19.797690632143176</v>
      </c>
      <c r="U5520" s="11">
        <v>0.17117359979486477</v>
      </c>
      <c r="V5520" s="11">
        <v>0.03278385547390785</v>
      </c>
      <c r="W5520" s="11">
        <v>0.054510459624956695</v>
      </c>
      <c r="X5520" s="11">
        <v>0.15671266921127405</v>
      </c>
      <c r="Y5520" s="11">
        <v>0.25870934474893564</v>
      </c>
      <c r="Z5520" s="11">
        <v>0.32611007114606105</v>
      </c>
    </row>
    <row r="5521" ht="22.5" customHeight="1">
      <c r="Q5521" s="9" t="s">
        <v>5559</v>
      </c>
      <c r="R5521" s="10">
        <v>0.47803104531059754</v>
      </c>
      <c r="S5521" s="10">
        <v>0.022126016698056788</v>
      </c>
      <c r="T5521" s="10">
        <v>19.797103621867354</v>
      </c>
      <c r="U5521" s="11">
        <v>0.31274841419649824</v>
      </c>
      <c r="V5521" s="11">
        <v>0.09025511731411551</v>
      </c>
      <c r="W5521" s="11">
        <v>0.17110694293420264</v>
      </c>
      <c r="X5521" s="11">
        <v>0.07410195423452591</v>
      </c>
      <c r="Y5521" s="11">
        <v>0.1177543661639204</v>
      </c>
      <c r="Z5521" s="11">
        <v>0.2340332051567373</v>
      </c>
    </row>
    <row r="5522" ht="22.5" customHeight="1">
      <c r="Q5522" s="9" t="s">
        <v>5560</v>
      </c>
      <c r="R5522" s="10">
        <v>0.5936931099059353</v>
      </c>
      <c r="S5522" s="10">
        <v>0.027969095090652662</v>
      </c>
      <c r="T5522" s="10">
        <v>19.79660436318445</v>
      </c>
      <c r="U5522" s="11">
        <v>0.24162788448861222</v>
      </c>
      <c r="V5522" s="11">
        <v>0.11804626112239487</v>
      </c>
      <c r="W5522" s="11">
        <v>0.22261687470701266</v>
      </c>
      <c r="X5522" s="11">
        <v>0.11910203128203294</v>
      </c>
      <c r="Y5522" s="11">
        <v>0.14977044872583886</v>
      </c>
      <c r="Z5522" s="11">
        <v>0.14883649967410842</v>
      </c>
    </row>
    <row r="5523" ht="22.5" customHeight="1">
      <c r="Q5523" s="9" t="s">
        <v>5561</v>
      </c>
      <c r="R5523" s="10">
        <v>0.8466100597639061</v>
      </c>
      <c r="S5523" s="10">
        <v>0.04074860027963707</v>
      </c>
      <c r="T5523" s="10">
        <v>19.794791826677443</v>
      </c>
      <c r="U5523" s="11">
        <v>0.09238645300625112</v>
      </c>
      <c r="V5523" s="11">
        <v>0.22314473794393763</v>
      </c>
      <c r="W5523" s="11">
        <v>0.3018183621328364</v>
      </c>
      <c r="X5523" s="11">
        <v>0.06728516903214334</v>
      </c>
      <c r="Y5523" s="11">
        <v>0.31054577168764774</v>
      </c>
      <c r="Z5523" s="11">
        <v>0.0048195061971836395</v>
      </c>
    </row>
    <row r="5524" ht="22.5" customHeight="1">
      <c r="Q5524" s="9" t="s">
        <v>5562</v>
      </c>
      <c r="R5524" s="10">
        <v>0.4628544158474391</v>
      </c>
      <c r="S5524" s="10">
        <v>0.02136201022739267</v>
      </c>
      <c r="T5524" s="10">
        <v>19.794692135537396</v>
      </c>
      <c r="U5524" s="11">
        <v>0.23068778525204756</v>
      </c>
      <c r="V5524" s="11">
        <v>0.081801795831166</v>
      </c>
      <c r="W5524" s="11">
        <v>0.1671359977163974</v>
      </c>
      <c r="X5524" s="11">
        <v>0.09487224257200821</v>
      </c>
      <c r="Y5524" s="11">
        <v>0.16352255637462587</v>
      </c>
      <c r="Z5524" s="11">
        <v>0.26197962225375504</v>
      </c>
    </row>
    <row r="5525" ht="22.5" customHeight="1">
      <c r="Q5525" s="9" t="s">
        <v>5563</v>
      </c>
      <c r="R5525" s="10">
        <v>0.5687192143382366</v>
      </c>
      <c r="S5525" s="10">
        <v>0.026710469114627437</v>
      </c>
      <c r="T5525" s="10">
        <v>19.794456326066335</v>
      </c>
      <c r="U5525" s="11">
        <v>0.24962477957362744</v>
      </c>
      <c r="V5525" s="11">
        <v>0.23366496380962037</v>
      </c>
      <c r="W5525" s="11">
        <v>0.08347258291226703</v>
      </c>
      <c r="X5525" s="11">
        <v>0.09420132600081468</v>
      </c>
      <c r="Y5525" s="11">
        <v>0.1809895082729519</v>
      </c>
      <c r="Z5525" s="11">
        <v>0.15804683943071862</v>
      </c>
    </row>
    <row r="5526" ht="22.5" customHeight="1">
      <c r="Q5526" s="9" t="s">
        <v>5564</v>
      </c>
      <c r="R5526" s="10">
        <v>0.39690390641127793</v>
      </c>
      <c r="S5526" s="10">
        <v>0.01803093084408039</v>
      </c>
      <c r="T5526" s="10">
        <v>19.793981214699773</v>
      </c>
      <c r="U5526" s="11">
        <v>0.1868138699455746</v>
      </c>
      <c r="V5526" s="11">
        <v>0.04445222498538128</v>
      </c>
      <c r="W5526" s="11">
        <v>0.14161938904725385</v>
      </c>
      <c r="X5526" s="11">
        <v>0.21132450968595248</v>
      </c>
      <c r="Y5526" s="11">
        <v>0.20409619232902476</v>
      </c>
      <c r="Z5526" s="11">
        <v>0.2116938140068132</v>
      </c>
    </row>
    <row r="5527" ht="22.5" customHeight="1">
      <c r="Q5527" s="9" t="s">
        <v>5565</v>
      </c>
      <c r="R5527" s="10">
        <v>0.6175477357197691</v>
      </c>
      <c r="S5527" s="10">
        <v>0.029178664321673452</v>
      </c>
      <c r="T5527" s="10">
        <v>19.793494635420156</v>
      </c>
      <c r="U5527" s="11">
        <v>0.11086774004814638</v>
      </c>
      <c r="V5527" s="11">
        <v>0.11919009051421296</v>
      </c>
      <c r="W5527" s="11">
        <v>0.23365792020262408</v>
      </c>
      <c r="X5527" s="11">
        <v>0.1661413541150682</v>
      </c>
      <c r="Y5527" s="11">
        <v>0.2336807510456506</v>
      </c>
      <c r="Z5527" s="11">
        <v>0.1364621440742978</v>
      </c>
    </row>
    <row r="5528" ht="22.5" customHeight="1">
      <c r="Q5528" s="9" t="s">
        <v>5566</v>
      </c>
      <c r="R5528" s="10">
        <v>0.522331348251574</v>
      </c>
      <c r="S5528" s="10">
        <v>0.03536333514490269</v>
      </c>
      <c r="T5528" s="10">
        <v>19.793217191567482</v>
      </c>
      <c r="U5528" s="11">
        <v>0.06323361206826812</v>
      </c>
      <c r="V5528" s="11">
        <v>0.21181889281383742</v>
      </c>
      <c r="W5528" s="11">
        <v>0.2542292960838891</v>
      </c>
      <c r="X5528" s="11">
        <v>0.023423622892327845</v>
      </c>
      <c r="Y5528" s="11">
        <v>0.15186409767166978</v>
      </c>
      <c r="Z5528" s="11">
        <v>0.29543047847000775</v>
      </c>
    </row>
    <row r="5529" ht="22.5" customHeight="1">
      <c r="Q5529" s="9" t="s">
        <v>5567</v>
      </c>
      <c r="R5529" s="10">
        <v>0.6583167886228848</v>
      </c>
      <c r="S5529" s="10">
        <v>0.031239224096132938</v>
      </c>
      <c r="T5529" s="10">
        <v>19.792962421861986</v>
      </c>
      <c r="U5529" s="11">
        <v>0.1696962862058447</v>
      </c>
      <c r="V5529" s="11">
        <v>0.15782662485746374</v>
      </c>
      <c r="W5529" s="11">
        <v>0.24134395378441192</v>
      </c>
      <c r="X5529" s="11">
        <v>0.08843209726101142</v>
      </c>
      <c r="Y5529" s="11">
        <v>0.08307059476265227</v>
      </c>
      <c r="Z5529" s="11">
        <v>0.25963044312861594</v>
      </c>
    </row>
    <row r="5530" ht="22.5" customHeight="1">
      <c r="Q5530" s="9" t="s">
        <v>5568</v>
      </c>
      <c r="R5530" s="10">
        <v>0.7111874365340028</v>
      </c>
      <c r="S5530" s="10">
        <v>0.03391044536966985</v>
      </c>
      <c r="T5530" s="10">
        <v>19.792940765511908</v>
      </c>
      <c r="U5530" s="11">
        <v>0.1031622709030344</v>
      </c>
      <c r="V5530" s="11">
        <v>0.12663785633498342</v>
      </c>
      <c r="W5530" s="11">
        <v>0.2779439470381016</v>
      </c>
      <c r="X5530" s="11">
        <v>0.3424429880125113</v>
      </c>
      <c r="Y5530" s="11">
        <v>0.14769921824758486</v>
      </c>
      <c r="Z5530" s="11">
        <v>0.0021137194637844622</v>
      </c>
    </row>
    <row r="5531" ht="22.5" customHeight="1">
      <c r="Q5531" s="9" t="s">
        <v>5569</v>
      </c>
      <c r="R5531" s="10">
        <v>0.7170028363811458</v>
      </c>
      <c r="S5531" s="10">
        <v>0.034205713201024654</v>
      </c>
      <c r="T5531" s="10">
        <v>19.79209824985803</v>
      </c>
      <c r="U5531" s="11">
        <v>0.3029283520926657</v>
      </c>
      <c r="V5531" s="11">
        <v>0.17583465666571563</v>
      </c>
      <c r="W5531" s="11">
        <v>0.26049966558652354</v>
      </c>
      <c r="X5531" s="11">
        <v>0.05329817923077371</v>
      </c>
      <c r="Y5531" s="11">
        <v>0.11878987776049377</v>
      </c>
      <c r="Z5531" s="11">
        <v>0.0886492686638275</v>
      </c>
    </row>
    <row r="5532" ht="22.5" customHeight="1">
      <c r="Q5532" s="9" t="s">
        <v>5570</v>
      </c>
      <c r="R5532" s="10">
        <v>0.34107905157906676</v>
      </c>
      <c r="S5532" s="10">
        <v>0.015213272297169149</v>
      </c>
      <c r="T5532" s="10">
        <v>19.790551677372587</v>
      </c>
      <c r="U5532" s="11">
        <v>0.20037258567587501</v>
      </c>
      <c r="V5532" s="11">
        <v>0.030879604521676544</v>
      </c>
      <c r="W5532" s="11">
        <v>0.11281730690192124</v>
      </c>
      <c r="X5532" s="11">
        <v>0.214638583405551</v>
      </c>
      <c r="Y5532" s="11">
        <v>0.21445294812544163</v>
      </c>
      <c r="Z5532" s="11">
        <v>0.22683897136953468</v>
      </c>
    </row>
    <row r="5533" ht="22.5" customHeight="1">
      <c r="Q5533" s="9" t="s">
        <v>5571</v>
      </c>
      <c r="R5533" s="10">
        <v>0.6981584678313113</v>
      </c>
      <c r="S5533" s="10">
        <v>0.03325838872914283</v>
      </c>
      <c r="T5533" s="10">
        <v>19.78924695334373</v>
      </c>
      <c r="U5533" s="11">
        <v>0.19354849388744663</v>
      </c>
      <c r="V5533" s="11">
        <v>0.29864314889691734</v>
      </c>
      <c r="W5533" s="11">
        <v>0.09146183442655677</v>
      </c>
      <c r="X5533" s="11">
        <v>0.3481520685961213</v>
      </c>
      <c r="Y5533" s="11">
        <v>0.020174322390468825</v>
      </c>
      <c r="Z5533" s="11">
        <v>0.04802013180248911</v>
      </c>
    </row>
    <row r="5534" ht="22.5" customHeight="1">
      <c r="Q5534" s="9" t="s">
        <v>5572</v>
      </c>
      <c r="R5534" s="10">
        <v>0.4751458228666024</v>
      </c>
      <c r="S5534" s="10">
        <v>0.02198918615597618</v>
      </c>
      <c r="T5534" s="10">
        <v>19.78908267818449</v>
      </c>
      <c r="U5534" s="11">
        <v>0.25809746295308256</v>
      </c>
      <c r="V5534" s="11">
        <v>0.06645712856909201</v>
      </c>
      <c r="W5534" s="11">
        <v>0.17822853910572053</v>
      </c>
      <c r="X5534" s="11">
        <v>0.2038563921230367</v>
      </c>
      <c r="Y5534" s="11">
        <v>0.13630001358267665</v>
      </c>
      <c r="Z5534" s="11">
        <v>0.1570604636663915</v>
      </c>
    </row>
    <row r="5535" ht="22.5" customHeight="1">
      <c r="Q5535" s="9" t="s">
        <v>5573</v>
      </c>
      <c r="R5535" s="10">
        <v>0.7950276153712408</v>
      </c>
      <c r="S5535" s="10">
        <v>0.03815385013978579</v>
      </c>
      <c r="T5535" s="10">
        <v>19.789028174221365</v>
      </c>
      <c r="U5535" s="11">
        <v>0.14528875617298334</v>
      </c>
      <c r="V5535" s="11">
        <v>0.20264202372268975</v>
      </c>
      <c r="W5535" s="11">
        <v>0.2887048581486574</v>
      </c>
      <c r="X5535" s="11">
        <v>0.07451086649789765</v>
      </c>
      <c r="Y5535" s="11">
        <v>0.21230385460230491</v>
      </c>
      <c r="Z5535" s="11">
        <v>0.07654964085546703</v>
      </c>
    </row>
    <row r="5536" ht="22.5" customHeight="1">
      <c r="Q5536" s="9" t="s">
        <v>5574</v>
      </c>
      <c r="R5536" s="10">
        <v>0.8740583591300733</v>
      </c>
      <c r="S5536" s="10">
        <v>0.04214752319306357</v>
      </c>
      <c r="T5536" s="10">
        <v>19.78902426388221</v>
      </c>
      <c r="U5536" s="11">
        <v>0.17513291988541496</v>
      </c>
      <c r="V5536" s="11">
        <v>0.24257260606314235</v>
      </c>
      <c r="W5536" s="11">
        <v>0.311404953401769</v>
      </c>
      <c r="X5536" s="11">
        <v>0.07856123441992983</v>
      </c>
      <c r="Y5536" s="11">
        <v>0.09515154247805546</v>
      </c>
      <c r="Z5536" s="11">
        <v>0.09717674375168822</v>
      </c>
    </row>
    <row r="5537" ht="22.5" customHeight="1">
      <c r="Q5537" s="9" t="s">
        <v>5575</v>
      </c>
      <c r="R5537" s="10">
        <v>0.6822672849352671</v>
      </c>
      <c r="S5537" s="10">
        <v>0.032456443055802565</v>
      </c>
      <c r="T5537" s="10">
        <v>19.788591246151434</v>
      </c>
      <c r="U5537" s="11">
        <v>0.16654853203932002</v>
      </c>
      <c r="V5537" s="11">
        <v>0.13979244634035298</v>
      </c>
      <c r="W5537" s="11">
        <v>0.26232845856423354</v>
      </c>
      <c r="X5537" s="11">
        <v>0.22830611612429905</v>
      </c>
      <c r="Y5537" s="11">
        <v>0.042851515035197366</v>
      </c>
      <c r="Z5537" s="11">
        <v>0.16017293189659706</v>
      </c>
    </row>
    <row r="5538" ht="22.5" customHeight="1">
      <c r="Q5538" s="9" t="s">
        <v>5576</v>
      </c>
      <c r="R5538" s="10">
        <v>0.7359154263983552</v>
      </c>
      <c r="S5538" s="10">
        <v>0.0351676421124078</v>
      </c>
      <c r="T5538" s="10">
        <v>19.788515368018466</v>
      </c>
      <c r="U5538" s="11">
        <v>0.2574028379192345</v>
      </c>
      <c r="V5538" s="11">
        <v>0.16431570258927547</v>
      </c>
      <c r="W5538" s="11">
        <v>0.2790266522940901</v>
      </c>
      <c r="X5538" s="11">
        <v>0.1821028088599781</v>
      </c>
      <c r="Y5538" s="11">
        <v>0.01972732440890515</v>
      </c>
      <c r="Z5538" s="11">
        <v>0.09742467392851663</v>
      </c>
    </row>
    <row r="5539" ht="22.5" customHeight="1">
      <c r="Q5539" s="9" t="s">
        <v>5577</v>
      </c>
      <c r="R5539" s="10">
        <v>0.6926804933187666</v>
      </c>
      <c r="S5539" s="10">
        <v>0.032982897154170694</v>
      </c>
      <c r="T5539" s="10">
        <v>19.788452490027396</v>
      </c>
      <c r="U5539" s="11">
        <v>0.14889569634403066</v>
      </c>
      <c r="V5539" s="11">
        <v>0.2933978575707163</v>
      </c>
      <c r="W5539" s="11">
        <v>0.10040533855024503</v>
      </c>
      <c r="X5539" s="11">
        <v>0.2116911433031592</v>
      </c>
      <c r="Y5539" s="11">
        <v>0.20042817663743964</v>
      </c>
      <c r="Z5539" s="11">
        <v>0.04518178759440916</v>
      </c>
    </row>
    <row r="5540" ht="22.5" customHeight="1">
      <c r="Q5540" s="9" t="s">
        <v>5578</v>
      </c>
      <c r="R5540" s="10">
        <v>0.7575329555000729</v>
      </c>
      <c r="S5540" s="10">
        <v>0.03626056502362431</v>
      </c>
      <c r="T5540" s="10">
        <v>19.788245302647358</v>
      </c>
      <c r="U5540" s="11">
        <v>0.18388327606684587</v>
      </c>
      <c r="V5540" s="11">
        <v>0.3191167113520023</v>
      </c>
      <c r="W5540" s="11">
        <v>0.13325714958651272</v>
      </c>
      <c r="X5540" s="11">
        <v>0.18463522220424766</v>
      </c>
      <c r="Y5540" s="11">
        <v>0.058740266278949634</v>
      </c>
      <c r="Z5540" s="11">
        <v>0.12036737451144201</v>
      </c>
    </row>
    <row r="5541" ht="22.5" customHeight="1">
      <c r="Q5541" s="9" t="s">
        <v>5579</v>
      </c>
      <c r="R5541" s="10">
        <v>0.5509557208081787</v>
      </c>
      <c r="S5541" s="10">
        <v>0.025822079142105547</v>
      </c>
      <c r="T5541" s="10">
        <v>19.78755149793546</v>
      </c>
      <c r="U5541" s="11">
        <v>0.14402491063085687</v>
      </c>
      <c r="V5541" s="11">
        <v>0.11382495139803879</v>
      </c>
      <c r="W5541" s="11">
        <v>0.19641245525334403</v>
      </c>
      <c r="X5541" s="11">
        <v>0.058459350203036255</v>
      </c>
      <c r="Y5541" s="11">
        <v>0.32150965672436227</v>
      </c>
      <c r="Z5541" s="11">
        <v>0.16576867579036178</v>
      </c>
    </row>
    <row r="5542" ht="22.5" customHeight="1">
      <c r="Q5542" s="9" t="s">
        <v>5580</v>
      </c>
      <c r="R5542" s="10">
        <v>0.8679221934534767</v>
      </c>
      <c r="S5542" s="10">
        <v>0.04184296990882105</v>
      </c>
      <c r="T5542" s="10">
        <v>19.786410841715607</v>
      </c>
      <c r="U5542" s="11">
        <v>0.09638817220911722</v>
      </c>
      <c r="V5542" s="11">
        <v>0.3429697084017933</v>
      </c>
      <c r="W5542" s="11">
        <v>0.20645894939457385</v>
      </c>
      <c r="X5542" s="11">
        <v>0.04671147425814699</v>
      </c>
      <c r="Y5542" s="11">
        <v>0.14406002094939777</v>
      </c>
      <c r="Z5542" s="11">
        <v>0.16341167478697102</v>
      </c>
    </row>
    <row r="5543" ht="22.5" customHeight="1">
      <c r="Q5543" s="9" t="s">
        <v>5581</v>
      </c>
      <c r="R5543" s="10">
        <v>0.588749495403465</v>
      </c>
      <c r="S5543" s="10">
        <v>0.02773368796090404</v>
      </c>
      <c r="T5543" s="10">
        <v>19.786387449697738</v>
      </c>
      <c r="U5543" s="11">
        <v>0.2795915668484784</v>
      </c>
      <c r="V5543" s="11">
        <v>0.23764523797044515</v>
      </c>
      <c r="W5543" s="11">
        <v>0.1080998921048728</v>
      </c>
      <c r="X5543" s="11">
        <v>0.06373400577630353</v>
      </c>
      <c r="Y5543" s="11">
        <v>0.022416690276772244</v>
      </c>
      <c r="Z5543" s="11">
        <v>0.288512607023128</v>
      </c>
    </row>
    <row r="5544" ht="22.5" customHeight="1">
      <c r="Q5544" s="9" t="s">
        <v>5582</v>
      </c>
      <c r="R5544" s="10">
        <v>0.7688207444896195</v>
      </c>
      <c r="S5544" s="10">
        <v>0.03683514016141481</v>
      </c>
      <c r="T5544" s="10">
        <v>19.786017951767338</v>
      </c>
      <c r="U5544" s="11">
        <v>0.2640110444222925</v>
      </c>
      <c r="V5544" s="11">
        <v>0.1951984953838072</v>
      </c>
      <c r="W5544" s="11">
        <v>0.28034126289330896</v>
      </c>
      <c r="X5544" s="11">
        <v>0.07991503861253611</v>
      </c>
      <c r="Y5544" s="11">
        <v>0.0716624225253019</v>
      </c>
      <c r="Z5544" s="11">
        <v>0.10887173616275322</v>
      </c>
    </row>
    <row r="5545" ht="22.5" customHeight="1">
      <c r="Q5545" s="9" t="s">
        <v>5583</v>
      </c>
      <c r="R5545" s="10">
        <v>0.6343159331103776</v>
      </c>
      <c r="S5545" s="10">
        <v>0.030037406622164385</v>
      </c>
      <c r="T5545" s="10">
        <v>19.78586036358532</v>
      </c>
      <c r="U5545" s="11">
        <v>0.17180541714184616</v>
      </c>
      <c r="V5545" s="11">
        <v>0.1559556532418204</v>
      </c>
      <c r="W5545" s="11">
        <v>0.22634106415726354</v>
      </c>
      <c r="X5545" s="11">
        <v>0.024764051672974186</v>
      </c>
      <c r="Y5545" s="11">
        <v>0.18808435752355476</v>
      </c>
      <c r="Z5545" s="11">
        <v>0.233049456262541</v>
      </c>
    </row>
    <row r="5546" ht="22.5" customHeight="1">
      <c r="Q5546" s="9" t="s">
        <v>5584</v>
      </c>
      <c r="R5546" s="10">
        <v>0.2859495151470456</v>
      </c>
      <c r="S5546" s="10">
        <v>0.01243063685189023</v>
      </c>
      <c r="T5546" s="10">
        <v>19.785753383153974</v>
      </c>
      <c r="U5546" s="11">
        <v>0.347534687681638</v>
      </c>
      <c r="V5546" s="11">
        <v>0.06096978484578163</v>
      </c>
      <c r="W5546" s="11">
        <v>0.03643042975381952</v>
      </c>
      <c r="X5546" s="11">
        <v>0.13175838473669005</v>
      </c>
      <c r="Y5546" s="11">
        <v>0.3139540755769272</v>
      </c>
      <c r="Z5546" s="11">
        <v>0.10935263740514353</v>
      </c>
    </row>
    <row r="5547" ht="22.5" customHeight="1">
      <c r="Q5547" s="9" t="s">
        <v>5585</v>
      </c>
      <c r="R5547" s="10">
        <v>0.522331348251574</v>
      </c>
      <c r="S5547" s="10">
        <v>0.027839464285486747</v>
      </c>
      <c r="T5547" s="10">
        <v>19.78510642270176</v>
      </c>
      <c r="U5547" s="11">
        <v>0.14955533542812247</v>
      </c>
      <c r="V5547" s="11">
        <v>0.23580075445558749</v>
      </c>
      <c r="W5547" s="11">
        <v>0.10965348407682929</v>
      </c>
      <c r="X5547" s="11">
        <v>0.014764513184561285</v>
      </c>
      <c r="Y5547" s="11">
        <v>0.23427017304099038</v>
      </c>
      <c r="Z5547" s="11">
        <v>0.25595573981390907</v>
      </c>
    </row>
    <row r="5548" ht="22.5" customHeight="1">
      <c r="Q5548" s="9" t="s">
        <v>5586</v>
      </c>
      <c r="R5548" s="10">
        <v>0.5922924259897997</v>
      </c>
      <c r="S5548" s="10">
        <v>0.027914760564641886</v>
      </c>
      <c r="T5548" s="10">
        <v>19.784960172266658</v>
      </c>
      <c r="U5548" s="11">
        <v>0.0050960511764769805</v>
      </c>
      <c r="V5548" s="11">
        <v>0.2513270687257479</v>
      </c>
      <c r="W5548" s="11">
        <v>0.07222818176645975</v>
      </c>
      <c r="X5548" s="11">
        <v>0.3530812969117012</v>
      </c>
      <c r="Y5548" s="11">
        <v>0.027292009145919956</v>
      </c>
      <c r="Z5548" s="11">
        <v>0.2909753922736941</v>
      </c>
    </row>
    <row r="5549" ht="22.5" customHeight="1">
      <c r="Q5549" s="9" t="s">
        <v>5587</v>
      </c>
      <c r="R5549" s="10">
        <v>0.31361986712246454</v>
      </c>
      <c r="S5549" s="10">
        <v>0.013829824510039316</v>
      </c>
      <c r="T5549" s="10">
        <v>19.78476783446088</v>
      </c>
      <c r="U5549" s="11">
        <v>0.287798082156419</v>
      </c>
      <c r="V5549" s="11">
        <v>0.036336235383213525</v>
      </c>
      <c r="W5549" s="11">
        <v>0.0826557355283352</v>
      </c>
      <c r="X5549" s="11">
        <v>0.14866645247602706</v>
      </c>
      <c r="Y5549" s="11">
        <v>0.32754528459822235</v>
      </c>
      <c r="Z5549" s="11">
        <v>0.1169982098577828</v>
      </c>
    </row>
    <row r="5550" ht="22.5" customHeight="1">
      <c r="Q5550" s="9" t="s">
        <v>5588</v>
      </c>
      <c r="R5550" s="10">
        <v>0.6837764739955554</v>
      </c>
      <c r="S5550" s="10">
        <v>0.03253921988575999</v>
      </c>
      <c r="T5550" s="10">
        <v>19.78463147720664</v>
      </c>
      <c r="U5550" s="11">
        <v>0.05109079077724401</v>
      </c>
      <c r="V5550" s="11">
        <v>0.27137160635538365</v>
      </c>
      <c r="W5550" s="11">
        <v>0.1310441226233064</v>
      </c>
      <c r="X5550" s="11">
        <v>0.04158992482844042</v>
      </c>
      <c r="Y5550" s="11">
        <v>0.39136386750829777</v>
      </c>
      <c r="Z5550" s="11">
        <v>0.11353968790732781</v>
      </c>
    </row>
    <row r="5551" ht="22.5" customHeight="1">
      <c r="Q5551" s="9" t="s">
        <v>5589</v>
      </c>
      <c r="R5551" s="10">
        <v>0.7459376380591156</v>
      </c>
      <c r="S5551" s="10">
        <v>0.03568181632775169</v>
      </c>
      <c r="T5551" s="10">
        <v>19.78424056597336</v>
      </c>
      <c r="U5551" s="11">
        <v>0.029721304788805875</v>
      </c>
      <c r="V5551" s="11">
        <v>0.3102688389534335</v>
      </c>
      <c r="W5551" s="11">
        <v>0.12150741798280384</v>
      </c>
      <c r="X5551" s="11">
        <v>0.1827419938387091</v>
      </c>
      <c r="Y5551" s="11">
        <v>0.3473298549915099</v>
      </c>
      <c r="Z5551" s="11">
        <v>0.008430589444737822</v>
      </c>
    </row>
    <row r="5552" ht="22.5" customHeight="1">
      <c r="Q5552" s="9" t="s">
        <v>5590</v>
      </c>
      <c r="R5552" s="10">
        <v>0.7519755588158242</v>
      </c>
      <c r="S5552" s="10">
        <v>0.03598909708375562</v>
      </c>
      <c r="T5552" s="10">
        <v>19.783090338690055</v>
      </c>
      <c r="U5552" s="11">
        <v>0.060051615235241176</v>
      </c>
      <c r="V5552" s="11">
        <v>0.3224245775055628</v>
      </c>
      <c r="W5552" s="11">
        <v>0.10903467313073599</v>
      </c>
      <c r="X5552" s="11">
        <v>0.33367498375620264</v>
      </c>
      <c r="Y5552" s="11">
        <v>0.10604715805149025</v>
      </c>
      <c r="Z5552" s="11">
        <v>0.06876699232076725</v>
      </c>
    </row>
    <row r="5553" ht="22.5" customHeight="1">
      <c r="Q5553" s="9" t="s">
        <v>5591</v>
      </c>
      <c r="R5553" s="10">
        <v>0.40354367117153034</v>
      </c>
      <c r="S5553" s="10">
        <v>0.018377536369915945</v>
      </c>
      <c r="T5553" s="10">
        <v>19.78195900984051</v>
      </c>
      <c r="U5553" s="11">
        <v>0.1885288781539839</v>
      </c>
      <c r="V5553" s="11">
        <v>0.15778028747651948</v>
      </c>
      <c r="W5553" s="11">
        <v>0.027520397508371902</v>
      </c>
      <c r="X5553" s="11">
        <v>0.20476766011613562</v>
      </c>
      <c r="Y5553" s="11">
        <v>0.21522742656935276</v>
      </c>
      <c r="Z5553" s="11">
        <v>0.20617535017563648</v>
      </c>
    </row>
    <row r="5554" ht="22.5" customHeight="1">
      <c r="Q5554" s="9" t="s">
        <v>5592</v>
      </c>
      <c r="R5554" s="10">
        <v>0.8246897327839302</v>
      </c>
      <c r="S5554" s="10">
        <v>0.039667299551709015</v>
      </c>
      <c r="T5554" s="10">
        <v>19.781778483837396</v>
      </c>
      <c r="U5554" s="11">
        <v>0.0804740638863577</v>
      </c>
      <c r="V5554" s="11">
        <v>0.32949307379427223</v>
      </c>
      <c r="W5554" s="11">
        <v>0.18748679601911847</v>
      </c>
      <c r="X5554" s="11">
        <v>0.049008768479829025</v>
      </c>
      <c r="Y5554" s="11">
        <v>0.16917252164392738</v>
      </c>
      <c r="Z5554" s="11">
        <v>0.1843647761764951</v>
      </c>
    </row>
    <row r="5555" ht="22.5" customHeight="1">
      <c r="Q5555" s="9" t="s">
        <v>5593</v>
      </c>
      <c r="R5555" s="10">
        <v>0.6284530760972341</v>
      </c>
      <c r="S5555" s="10">
        <v>0.02974774070384269</v>
      </c>
      <c r="T5555" s="10">
        <v>19.781437587333148</v>
      </c>
      <c r="U5555" s="11">
        <v>0.163267546037203</v>
      </c>
      <c r="V5555" s="11">
        <v>0.15083380865441218</v>
      </c>
      <c r="W5555" s="11">
        <v>0.22254205323412404</v>
      </c>
      <c r="X5555" s="11">
        <v>0.015990846756760036</v>
      </c>
      <c r="Y5555" s="11">
        <v>0.2767874555198951</v>
      </c>
      <c r="Z5555" s="11">
        <v>0.17057828979760575</v>
      </c>
    </row>
    <row r="5556" ht="22.5" customHeight="1">
      <c r="Q5556" s="9" t="s">
        <v>5594</v>
      </c>
      <c r="R5556" s="10">
        <v>0.6158337614445438</v>
      </c>
      <c r="S5556" s="10">
        <v>0.02910983423403489</v>
      </c>
      <c r="T5556" s="10">
        <v>19.78141671350658</v>
      </c>
      <c r="U5556" s="11">
        <v>0.09939420931144337</v>
      </c>
      <c r="V5556" s="11">
        <v>0.25969123933706695</v>
      </c>
      <c r="W5556" s="11">
        <v>0.09119472189529648</v>
      </c>
      <c r="X5556" s="11">
        <v>0.16646115604705022</v>
      </c>
      <c r="Y5556" s="11">
        <v>0.15585824403902704</v>
      </c>
      <c r="Z5556" s="11">
        <v>0.22740042937011604</v>
      </c>
    </row>
    <row r="5557" ht="22.5" customHeight="1">
      <c r="Q5557" s="9" t="s">
        <v>5595</v>
      </c>
      <c r="R5557" s="10">
        <v>0.634096331063688</v>
      </c>
      <c r="S5557" s="10">
        <v>0.030033074807481793</v>
      </c>
      <c r="T5557" s="10">
        <v>19.781402166510357</v>
      </c>
      <c r="U5557" s="11">
        <v>0.2034256141672735</v>
      </c>
      <c r="V5557" s="11">
        <v>0.26665083309239207</v>
      </c>
      <c r="W5557" s="11">
        <v>0.10058116764408408</v>
      </c>
      <c r="X5557" s="11">
        <v>0.18182616987418038</v>
      </c>
      <c r="Y5557" s="11">
        <v>0.006291582497009562</v>
      </c>
      <c r="Z5557" s="11">
        <v>0.2412246327250605</v>
      </c>
    </row>
    <row r="5558" ht="22.5" customHeight="1">
      <c r="Q5558" s="9" t="s">
        <v>5596</v>
      </c>
      <c r="R5558" s="10">
        <v>0.39906824998855234</v>
      </c>
      <c r="S5558" s="10">
        <v>0.018151995248522467</v>
      </c>
      <c r="T5558" s="10">
        <v>19.78120008695902</v>
      </c>
      <c r="U5558" s="11">
        <v>0.10018267504259235</v>
      </c>
      <c r="V5558" s="11">
        <v>0.1422228808704583</v>
      </c>
      <c r="W5558" s="11">
        <v>0.023208489318132942</v>
      </c>
      <c r="X5558" s="11">
        <v>0.27016786909192486</v>
      </c>
      <c r="Y5558" s="11">
        <v>0.3983109071054499</v>
      </c>
      <c r="Z5558" s="11">
        <v>0.06590717857144168</v>
      </c>
    </row>
    <row r="5559" ht="22.5" customHeight="1">
      <c r="Q5559" s="9" t="s">
        <v>5597</v>
      </c>
      <c r="R5559" s="10">
        <v>1.0800003190376695</v>
      </c>
      <c r="S5559" s="10">
        <v>0.052579962673627516</v>
      </c>
      <c r="T5559" s="10">
        <v>19.77940390511729</v>
      </c>
      <c r="U5559" s="11">
        <v>0.04760237821731833</v>
      </c>
      <c r="V5559" s="11">
        <v>0.39392291345496666</v>
      </c>
      <c r="W5559" s="11">
        <v>0.3111524868580561</v>
      </c>
      <c r="X5559" s="11">
        <v>0.058033161156024075</v>
      </c>
      <c r="Y5559" s="11">
        <v>0.13230368675259704</v>
      </c>
      <c r="Z5559" s="11">
        <v>0.05698537356103787</v>
      </c>
    </row>
    <row r="5560" ht="22.5" customHeight="1">
      <c r="Q5560" s="9" t="s">
        <v>5598</v>
      </c>
      <c r="R5560" s="10">
        <v>0.5552444760049339</v>
      </c>
      <c r="S5560" s="10">
        <v>0.026049549460410115</v>
      </c>
      <c r="T5560" s="10">
        <v>19.779400668253324</v>
      </c>
      <c r="U5560" s="11">
        <v>0.13705463175511062</v>
      </c>
      <c r="V5560" s="11">
        <v>0.23390021668324304</v>
      </c>
      <c r="W5560" s="11">
        <v>0.07326957811383823</v>
      </c>
      <c r="X5560" s="11">
        <v>0.2342252753635037</v>
      </c>
      <c r="Y5560" s="11">
        <v>0.009337514673374831</v>
      </c>
      <c r="Z5560" s="11">
        <v>0.3122127834109297</v>
      </c>
    </row>
    <row r="5561" ht="22.5" customHeight="1">
      <c r="Q5561" s="9" t="s">
        <v>5599</v>
      </c>
      <c r="R5561" s="10">
        <v>0.29908330532941574</v>
      </c>
      <c r="S5561" s="10">
        <v>0.013098834808543484</v>
      </c>
      <c r="T5561" s="10">
        <v>19.77911082292856</v>
      </c>
      <c r="U5561" s="11">
        <v>0.2954359254896191</v>
      </c>
      <c r="V5561" s="11">
        <v>0.073919630284411</v>
      </c>
      <c r="W5561" s="11">
        <v>0.06400487929229058</v>
      </c>
      <c r="X5561" s="11">
        <v>0.0476387305237223</v>
      </c>
      <c r="Y5561" s="11">
        <v>0.07605113005101266</v>
      </c>
      <c r="Z5561" s="11">
        <v>0.4429497043589444</v>
      </c>
    </row>
    <row r="5562" ht="22.5" customHeight="1">
      <c r="Q5562" s="9" t="s">
        <v>5600</v>
      </c>
      <c r="R5562" s="10">
        <v>0.6423789011820673</v>
      </c>
      <c r="S5562" s="10">
        <v>0.03045546168171034</v>
      </c>
      <c r="T5562" s="10">
        <v>19.779010657514302</v>
      </c>
      <c r="U5562" s="11">
        <v>0.12071888968855062</v>
      </c>
      <c r="V5562" s="11">
        <v>0.11231396888491721</v>
      </c>
      <c r="W5562" s="11">
        <v>0.2499126689129544</v>
      </c>
      <c r="X5562" s="11">
        <v>0.27711158121380064</v>
      </c>
      <c r="Y5562" s="11">
        <v>0.15007721222207362</v>
      </c>
      <c r="Z5562" s="11">
        <v>0.08986567907770342</v>
      </c>
    </row>
    <row r="5563" ht="22.5" customHeight="1">
      <c r="Q5563" s="9" t="s">
        <v>5601</v>
      </c>
      <c r="R5563" s="10">
        <v>0.40281990464263956</v>
      </c>
      <c r="S5563" s="10">
        <v>0.01834426475496181</v>
      </c>
      <c r="T5563" s="10">
        <v>19.77838357051094</v>
      </c>
      <c r="U5563" s="11">
        <v>0.13421497256305048</v>
      </c>
      <c r="V5563" s="11">
        <v>0.031534276145402405</v>
      </c>
      <c r="W5563" s="11">
        <v>0.14170756778442506</v>
      </c>
      <c r="X5563" s="11">
        <v>0.3419863586380364</v>
      </c>
      <c r="Y5563" s="11">
        <v>0.2480668703865005</v>
      </c>
      <c r="Z5563" s="11">
        <v>0.10248995448258522</v>
      </c>
    </row>
    <row r="5564" ht="22.5" customHeight="1">
      <c r="Q5564" s="9" t="s">
        <v>5602</v>
      </c>
      <c r="R5564" s="10">
        <v>0.522331348251574</v>
      </c>
      <c r="S5564" s="10">
        <v>0.04158815339235242</v>
      </c>
      <c r="T5564" s="10">
        <v>19.77826149363892</v>
      </c>
      <c r="U5564" s="11">
        <v>0.04261946862198547</v>
      </c>
      <c r="V5564" s="11">
        <v>0.2154598398527879</v>
      </c>
      <c r="W5564" s="11">
        <v>0.3175724329220869</v>
      </c>
      <c r="X5564" s="11">
        <v>0.1424444576236838</v>
      </c>
      <c r="Y5564" s="11">
        <v>0.2655003560042134</v>
      </c>
      <c r="Z5564" s="11">
        <v>0.01640344497524257</v>
      </c>
    </row>
    <row r="5565" ht="22.5" customHeight="1">
      <c r="Q5565" s="9" t="s">
        <v>5603</v>
      </c>
      <c r="R5565" s="10">
        <v>0.9302777131699</v>
      </c>
      <c r="S5565" s="10">
        <v>0.045017161777506025</v>
      </c>
      <c r="T5565" s="10">
        <v>19.776406997181017</v>
      </c>
      <c r="U5565" s="11">
        <v>0.22404357534843433</v>
      </c>
      <c r="V5565" s="11">
        <v>0.2755125462508626</v>
      </c>
      <c r="W5565" s="11">
        <v>0.32249993079449757</v>
      </c>
      <c r="X5565" s="11">
        <v>0.07281534621907187</v>
      </c>
      <c r="Y5565" s="11">
        <v>0.01101804388518686</v>
      </c>
      <c r="Z5565" s="11">
        <v>0.09411055750194677</v>
      </c>
    </row>
    <row r="5566" ht="22.5" customHeight="1">
      <c r="Q5566" s="9" t="s">
        <v>5604</v>
      </c>
      <c r="R5566" s="10">
        <v>0.6480915362777172</v>
      </c>
      <c r="S5566" s="10">
        <v>0.030749580656658216</v>
      </c>
      <c r="T5566" s="10">
        <v>19.77560419660705</v>
      </c>
      <c r="U5566" s="11">
        <v>0.2748582808962377</v>
      </c>
      <c r="V5566" s="11">
        <v>0.1157204091269829</v>
      </c>
      <c r="W5566" s="11">
        <v>0.2520833556338839</v>
      </c>
      <c r="X5566" s="11">
        <v>0.28172820822856665</v>
      </c>
      <c r="Y5566" s="11">
        <v>0.0062048286847877525</v>
      </c>
      <c r="Z5566" s="11">
        <v>0.06940491742954107</v>
      </c>
    </row>
    <row r="5567" ht="22.5" customHeight="1">
      <c r="Q5567" s="9" t="s">
        <v>5605</v>
      </c>
      <c r="R5567" s="10">
        <v>0.2903063013290485</v>
      </c>
      <c r="S5567" s="10">
        <v>0.012657802722032731</v>
      </c>
      <c r="T5567" s="10">
        <v>19.77486194293061</v>
      </c>
      <c r="U5567" s="11">
        <v>0.01658758092204238</v>
      </c>
      <c r="V5567" s="11">
        <v>0.08409422278111178</v>
      </c>
      <c r="W5567" s="11">
        <v>0.0048090626119105225</v>
      </c>
      <c r="X5567" s="11">
        <v>0.4132401136148561</v>
      </c>
      <c r="Y5567" s="11">
        <v>0.18985633353312142</v>
      </c>
      <c r="Z5567" s="11">
        <v>0.29141268653695784</v>
      </c>
    </row>
    <row r="5568" ht="22.5" customHeight="1">
      <c r="Q5568" s="9" t="s">
        <v>5606</v>
      </c>
      <c r="R5568" s="10">
        <v>0.522331348251574</v>
      </c>
      <c r="S5568" s="10">
        <v>0.01628752433567192</v>
      </c>
      <c r="T5568" s="10">
        <v>19.77480582233792</v>
      </c>
      <c r="U5568" s="11">
        <v>0.35988427332040906</v>
      </c>
      <c r="V5568" s="11">
        <v>0.0289366664679254</v>
      </c>
      <c r="W5568" s="11">
        <v>0.1214554005013287</v>
      </c>
      <c r="X5568" s="11">
        <v>0.25177688546059146</v>
      </c>
      <c r="Y5568" s="11">
        <v>0.14936891063664012</v>
      </c>
      <c r="Z5568" s="11">
        <v>0.08857786361310514</v>
      </c>
    </row>
    <row r="5569" ht="22.5" customHeight="1">
      <c r="Q5569" s="9" t="s">
        <v>5607</v>
      </c>
      <c r="R5569" s="10">
        <v>0.7687844998089625</v>
      </c>
      <c r="S5569" s="10">
        <v>0.03685426276650998</v>
      </c>
      <c r="T5569" s="10">
        <v>19.774768102842632</v>
      </c>
      <c r="U5569" s="11">
        <v>0.2963171944291925</v>
      </c>
      <c r="V5569" s="11">
        <v>0.3094653925033354</v>
      </c>
      <c r="W5569" s="11">
        <v>0.16570347685670667</v>
      </c>
      <c r="X5569" s="11">
        <v>0.05992193570364318</v>
      </c>
      <c r="Y5569" s="11">
        <v>0.011370166924079253</v>
      </c>
      <c r="Z5569" s="11">
        <v>0.15722183358304292</v>
      </c>
    </row>
    <row r="5570" ht="22.5" customHeight="1">
      <c r="Q5570" s="9" t="s">
        <v>5608</v>
      </c>
      <c r="R5570" s="10">
        <v>0.7142367341288212</v>
      </c>
      <c r="S5570" s="10">
        <v>0.034097203217762724</v>
      </c>
      <c r="T5570" s="10">
        <v>19.773960046599417</v>
      </c>
      <c r="U5570" s="11">
        <v>0.15926183028979354</v>
      </c>
      <c r="V5570" s="11">
        <v>0.15096927738824484</v>
      </c>
      <c r="W5570" s="11">
        <v>0.2743360344077306</v>
      </c>
      <c r="X5570" s="11">
        <v>0.21528461966258333</v>
      </c>
      <c r="Y5570" s="11">
        <v>0.06935105153870948</v>
      </c>
      <c r="Z5570" s="11">
        <v>0.1307971867129383</v>
      </c>
    </row>
    <row r="5571" ht="22.5" customHeight="1">
      <c r="Q5571" s="9" t="s">
        <v>5609</v>
      </c>
      <c r="R5571" s="10">
        <v>0.7935335428821876</v>
      </c>
      <c r="S5571" s="10">
        <v>0.03810878586758875</v>
      </c>
      <c r="T5571" s="10">
        <v>19.77322356845439</v>
      </c>
      <c r="U5571" s="11">
        <v>0.18538665785628294</v>
      </c>
      <c r="V5571" s="11">
        <v>0.33310774837022983</v>
      </c>
      <c r="W5571" s="11">
        <v>0.14086456712412437</v>
      </c>
      <c r="X5571" s="11">
        <v>0.15747876272037148</v>
      </c>
      <c r="Y5571" s="11">
        <v>0.16482056175241283</v>
      </c>
      <c r="Z5571" s="11">
        <v>0.018341702176578698</v>
      </c>
    </row>
    <row r="5572" ht="22.5" customHeight="1">
      <c r="Q5572" s="9" t="s">
        <v>5610</v>
      </c>
      <c r="R5572" s="10">
        <v>0.702263332303863</v>
      </c>
      <c r="S5572" s="10">
        <v>0.033493443341446556</v>
      </c>
      <c r="T5572" s="10">
        <v>19.772924675210785</v>
      </c>
      <c r="U5572" s="11">
        <v>0.16198667366058203</v>
      </c>
      <c r="V5572" s="11">
        <v>0.27679266915322165</v>
      </c>
      <c r="W5572" s="11">
        <v>0.15928408536492936</v>
      </c>
      <c r="X5572" s="11">
        <v>0.012498478483333261</v>
      </c>
      <c r="Y5572" s="11">
        <v>0.08468397096167532</v>
      </c>
      <c r="Z5572" s="11">
        <v>0.30475412237625843</v>
      </c>
    </row>
    <row r="5573" ht="22.5" customHeight="1">
      <c r="Q5573" s="9" t="s">
        <v>5611</v>
      </c>
      <c r="R5573" s="10">
        <v>0.6216030912722854</v>
      </c>
      <c r="S5573" s="10">
        <v>0.02941539258378206</v>
      </c>
      <c r="T5573" s="10">
        <v>19.77206626142218</v>
      </c>
      <c r="U5573" s="11">
        <v>0.014252298618493532</v>
      </c>
      <c r="V5573" s="11">
        <v>0.13755841275593347</v>
      </c>
      <c r="W5573" s="11">
        <v>0.23096575124318655</v>
      </c>
      <c r="X5573" s="11">
        <v>0.13076859961719717</v>
      </c>
      <c r="Y5573" s="11">
        <v>0.18420694919679748</v>
      </c>
      <c r="Z5573" s="11">
        <v>0.3022479885683918</v>
      </c>
    </row>
    <row r="5574" ht="22.5" customHeight="1">
      <c r="Q5574" s="9" t="s">
        <v>5612</v>
      </c>
      <c r="R5574" s="10">
        <v>0.522331348251574</v>
      </c>
      <c r="S5574" s="10">
        <v>0.0352258507432665</v>
      </c>
      <c r="T5574" s="10">
        <v>19.771867683957545</v>
      </c>
      <c r="U5574" s="11">
        <v>0.2646474301328484</v>
      </c>
      <c r="V5574" s="11">
        <v>0.3074463182714321</v>
      </c>
      <c r="W5574" s="11">
        <v>0.13046111298033877</v>
      </c>
      <c r="X5574" s="11">
        <v>0.12467005944120724</v>
      </c>
      <c r="Y5574" s="11">
        <v>0.10203328339462331</v>
      </c>
      <c r="Z5574" s="11">
        <v>0.07074179577955016</v>
      </c>
    </row>
    <row r="5575" ht="22.5" customHeight="1">
      <c r="Q5575" s="9" t="s">
        <v>5613</v>
      </c>
      <c r="R5575" s="10">
        <v>0.5702902270558713</v>
      </c>
      <c r="S5575" s="10">
        <v>0.02682069451442423</v>
      </c>
      <c r="T5575" s="10">
        <v>19.77168140708213</v>
      </c>
      <c r="U5575" s="11">
        <v>0.19360235055625083</v>
      </c>
      <c r="V5575" s="11">
        <v>0.13383775228495837</v>
      </c>
      <c r="W5575" s="11">
        <v>0.203688871764534</v>
      </c>
      <c r="X5575" s="11">
        <v>0.030448928651147747</v>
      </c>
      <c r="Y5575" s="11">
        <v>0.14402580496128353</v>
      </c>
      <c r="Z5575" s="11">
        <v>0.2943962917818256</v>
      </c>
    </row>
    <row r="5576" ht="22.5" customHeight="1">
      <c r="Q5576" s="9" t="s">
        <v>5614</v>
      </c>
      <c r="R5576" s="10">
        <v>0.6176876703489694</v>
      </c>
      <c r="S5576" s="10">
        <v>0.0292184171432429</v>
      </c>
      <c r="T5576" s="10">
        <v>19.771354057848626</v>
      </c>
      <c r="U5576" s="11">
        <v>0.23177106825484714</v>
      </c>
      <c r="V5576" s="11">
        <v>0.2510480182146738</v>
      </c>
      <c r="W5576" s="11">
        <v>0.11668538578486394</v>
      </c>
      <c r="X5576" s="11">
        <v>0.062084108364972974</v>
      </c>
      <c r="Y5576" s="11">
        <v>0.04257962595345378</v>
      </c>
      <c r="Z5576" s="11">
        <v>0.29583179342718846</v>
      </c>
    </row>
    <row r="5577" ht="22.5" customHeight="1">
      <c r="Q5577" s="9" t="s">
        <v>5615</v>
      </c>
      <c r="R5577" s="10">
        <v>0.7029661221910223</v>
      </c>
      <c r="S5577" s="10">
        <v>0.033531933479974824</v>
      </c>
      <c r="T5577" s="10">
        <v>19.771186847514883</v>
      </c>
      <c r="U5577" s="11">
        <v>0.04268220331925537</v>
      </c>
      <c r="V5577" s="11">
        <v>0.14246369374953835</v>
      </c>
      <c r="W5577" s="11">
        <v>0.26988092619155446</v>
      </c>
      <c r="X5577" s="11">
        <v>0.22965452898740998</v>
      </c>
      <c r="Y5577" s="11">
        <v>0.1990777611769496</v>
      </c>
      <c r="Z5577" s="11">
        <v>0.11624088657529218</v>
      </c>
    </row>
    <row r="5578" ht="22.5" customHeight="1">
      <c r="Q5578" s="9" t="s">
        <v>5616</v>
      </c>
      <c r="R5578" s="10">
        <v>0.4429075700128298</v>
      </c>
      <c r="S5578" s="10">
        <v>0.020378779984528837</v>
      </c>
      <c r="T5578" s="10">
        <v>19.770936744923358</v>
      </c>
      <c r="U5578" s="11">
        <v>0.042657750105282756</v>
      </c>
      <c r="V5578" s="11">
        <v>0.06936654918534885</v>
      </c>
      <c r="W5578" s="11">
        <v>0.1631126338178923</v>
      </c>
      <c r="X5578" s="11">
        <v>0.2618401414077054</v>
      </c>
      <c r="Y5578" s="11">
        <v>0.030839656632006687</v>
      </c>
      <c r="Z5578" s="11">
        <v>0.43218326885176417</v>
      </c>
    </row>
    <row r="5579" ht="22.5" customHeight="1">
      <c r="Q5579" s="9" t="s">
        <v>5617</v>
      </c>
      <c r="R5579" s="10">
        <v>1.001530072643067</v>
      </c>
      <c r="S5579" s="10">
        <v>0.04863368084349791</v>
      </c>
      <c r="T5579" s="10">
        <v>19.770867760086862</v>
      </c>
      <c r="U5579" s="11">
        <v>0.11197667299172902</v>
      </c>
      <c r="V5579" s="11">
        <v>0.31590211997287837</v>
      </c>
      <c r="W5579" s="11">
        <v>0.33097988568913106</v>
      </c>
      <c r="X5579" s="11">
        <v>0.016212785011364576</v>
      </c>
      <c r="Y5579" s="11">
        <v>0.2193529889066822</v>
      </c>
      <c r="Z5579" s="11">
        <v>0.005575547428214775</v>
      </c>
    </row>
    <row r="5580" ht="22.5" customHeight="1">
      <c r="Q5580" s="9" t="s">
        <v>5618</v>
      </c>
      <c r="R5580" s="10">
        <v>0.801576300905956</v>
      </c>
      <c r="S5580" s="10">
        <v>0.03852210461174337</v>
      </c>
      <c r="T5580" s="10">
        <v>19.76985184433021</v>
      </c>
      <c r="U5580" s="11">
        <v>0.15464411676050233</v>
      </c>
      <c r="V5580" s="11">
        <v>0.20742692715327607</v>
      </c>
      <c r="W5580" s="11">
        <v>0.28986690600704557</v>
      </c>
      <c r="X5580" s="11">
        <v>0.060027457785585076</v>
      </c>
      <c r="Y5580" s="11">
        <v>0.21320143210896342</v>
      </c>
      <c r="Z5580" s="11">
        <v>0.07483316018462768</v>
      </c>
    </row>
    <row r="5581" ht="22.5" customHeight="1">
      <c r="Q5581" s="9" t="s">
        <v>5619</v>
      </c>
      <c r="R5581" s="10">
        <v>0.6622572640131532</v>
      </c>
      <c r="S5581" s="10">
        <v>0.031475187398754045</v>
      </c>
      <c r="T5581" s="10">
        <v>19.76977153876407</v>
      </c>
      <c r="U5581" s="11">
        <v>0.08096927216548161</v>
      </c>
      <c r="V5581" s="11">
        <v>0.2666111164613657</v>
      </c>
      <c r="W5581" s="11">
        <v>0.13080601760900834</v>
      </c>
      <c r="X5581" s="11">
        <v>0.0284645837092786</v>
      </c>
      <c r="Y5581" s="11">
        <v>0.24820896354561295</v>
      </c>
      <c r="Z5581" s="11">
        <v>0.24494004650925275</v>
      </c>
    </row>
    <row r="5582" ht="22.5" customHeight="1">
      <c r="Q5582" s="9" t="s">
        <v>5620</v>
      </c>
      <c r="R5582" s="10">
        <v>0.48731272228682665</v>
      </c>
      <c r="S5582" s="10">
        <v>0.022626279797138455</v>
      </c>
      <c r="T5582" s="10">
        <v>19.769609776654416</v>
      </c>
      <c r="U5582" s="11">
        <v>0.18629416186284303</v>
      </c>
      <c r="V5582" s="11">
        <v>0.060280079698493055</v>
      </c>
      <c r="W5582" s="11">
        <v>0.18425371962741902</v>
      </c>
      <c r="X5582" s="11">
        <v>0.2687271184732985</v>
      </c>
      <c r="Y5582" s="11">
        <v>0.19979511477101064</v>
      </c>
      <c r="Z5582" s="11">
        <v>0.10064980556693581</v>
      </c>
    </row>
    <row r="5583" ht="22.5" customHeight="1">
      <c r="Q5583" s="9" t="s">
        <v>5621</v>
      </c>
      <c r="R5583" s="10">
        <v>0.34518483043181963</v>
      </c>
      <c r="S5583" s="10">
        <v>0.015437418407839265</v>
      </c>
      <c r="T5583" s="10">
        <v>19.769162328128903</v>
      </c>
      <c r="U5583" s="11">
        <v>0.23601402689419113</v>
      </c>
      <c r="V5583" s="11">
        <v>0.03315883703532273</v>
      </c>
      <c r="W5583" s="11">
        <v>0.11783104491968993</v>
      </c>
      <c r="X5583" s="11">
        <v>0.24175529070831459</v>
      </c>
      <c r="Y5583" s="11">
        <v>0.07862757606657811</v>
      </c>
      <c r="Z5583" s="11">
        <v>0.29261322437590354</v>
      </c>
    </row>
    <row r="5584" ht="22.5" customHeight="1">
      <c r="Q5584" s="9" t="s">
        <v>5622</v>
      </c>
      <c r="R5584" s="10">
        <v>0.499833253405158</v>
      </c>
      <c r="S5584" s="10">
        <v>0.023260335803392967</v>
      </c>
      <c r="T5584" s="10">
        <v>19.76898602375648</v>
      </c>
      <c r="U5584" s="11">
        <v>0.20041683497242954</v>
      </c>
      <c r="V5584" s="11">
        <v>0.20629482002910562</v>
      </c>
      <c r="W5584" s="11">
        <v>0.0442108279276677</v>
      </c>
      <c r="X5584" s="11">
        <v>0.23401806692809826</v>
      </c>
      <c r="Y5584" s="11">
        <v>0.1979999038827625</v>
      </c>
      <c r="Z5584" s="11">
        <v>0.11705954625993645</v>
      </c>
    </row>
    <row r="5585" ht="22.5" customHeight="1">
      <c r="Q5585" s="9" t="s">
        <v>5623</v>
      </c>
      <c r="R5585" s="10">
        <v>0.8604616814388454</v>
      </c>
      <c r="S5585" s="10">
        <v>0.04150363045525358</v>
      </c>
      <c r="T5585" s="10">
        <v>19.768431639333624</v>
      </c>
      <c r="U5585" s="11">
        <v>0.10934377671814882</v>
      </c>
      <c r="V5585" s="11">
        <v>0.26897011577687324</v>
      </c>
      <c r="W5585" s="11">
        <v>0.28667517400637893</v>
      </c>
      <c r="X5585" s="11">
        <v>0.036744939217336625</v>
      </c>
      <c r="Y5585" s="11">
        <v>0.04289561416118189</v>
      </c>
      <c r="Z5585" s="11">
        <v>0.25537038012008045</v>
      </c>
    </row>
    <row r="5586" ht="22.5" customHeight="1">
      <c r="Q5586" s="9" t="s">
        <v>5624</v>
      </c>
      <c r="R5586" s="10">
        <v>0.5824535834695052</v>
      </c>
      <c r="S5586" s="10">
        <v>0.0274409250029415</v>
      </c>
      <c r="T5586" s="10">
        <v>19.76805021737997</v>
      </c>
      <c r="U5586" s="11">
        <v>0.25980703914932995</v>
      </c>
      <c r="V5586" s="11">
        <v>0.11386180650896843</v>
      </c>
      <c r="W5586" s="11">
        <v>0.21505999308538312</v>
      </c>
      <c r="X5586" s="11">
        <v>0.08813445257805594</v>
      </c>
      <c r="Y5586" s="11">
        <v>0.24297260775311189</v>
      </c>
      <c r="Z5586" s="11">
        <v>0.08016410092515064</v>
      </c>
    </row>
    <row r="5587" ht="22.5" customHeight="1">
      <c r="Q5587" s="9" t="s">
        <v>5625</v>
      </c>
      <c r="R5587" s="10">
        <v>0.522331348251574</v>
      </c>
      <c r="S5587" s="10">
        <v>0.03293853314459158</v>
      </c>
      <c r="T5587" s="10">
        <v>19.76784007749636</v>
      </c>
      <c r="U5587" s="11">
        <v>0.07263996971142633</v>
      </c>
      <c r="V5587" s="11">
        <v>0.14882629838202416</v>
      </c>
      <c r="W5587" s="11">
        <v>0.2642862147321335</v>
      </c>
      <c r="X5587" s="11">
        <v>0.24146668664342005</v>
      </c>
      <c r="Y5587" s="11">
        <v>0.02135645045067499</v>
      </c>
      <c r="Z5587" s="11">
        <v>0.2514243800803209</v>
      </c>
    </row>
    <row r="5588" ht="22.5" customHeight="1">
      <c r="Q5588" s="9" t="s">
        <v>5626</v>
      </c>
      <c r="R5588" s="10">
        <v>0.6352502123785927</v>
      </c>
      <c r="S5588" s="10">
        <v>0.030113364712683836</v>
      </c>
      <c r="T5588" s="10">
        <v>19.766977820577836</v>
      </c>
      <c r="U5588" s="11">
        <v>0.1915409483361061</v>
      </c>
      <c r="V5588" s="11">
        <v>0.13113698107701766</v>
      </c>
      <c r="W5588" s="11">
        <v>0.24224847375545525</v>
      </c>
      <c r="X5588" s="11">
        <v>0.1916830244051853</v>
      </c>
      <c r="Y5588" s="11">
        <v>0.016608767076091883</v>
      </c>
      <c r="Z5588" s="11">
        <v>0.22678180535014392</v>
      </c>
    </row>
    <row r="5589" ht="22.5" customHeight="1">
      <c r="Q5589" s="9" t="s">
        <v>5627</v>
      </c>
      <c r="R5589" s="10">
        <v>0.572672061914434</v>
      </c>
      <c r="S5589" s="10">
        <v>0.026949771462331643</v>
      </c>
      <c r="T5589" s="10">
        <v>19.76536471409276</v>
      </c>
      <c r="U5589" s="11">
        <v>0.302640728506097</v>
      </c>
      <c r="V5589" s="11">
        <v>0.22849773064093343</v>
      </c>
      <c r="W5589" s="11">
        <v>0.08918412540379389</v>
      </c>
      <c r="X5589" s="11">
        <v>0.04248331851271312</v>
      </c>
      <c r="Y5589" s="11">
        <v>0.2718944417494533</v>
      </c>
      <c r="Z5589" s="11">
        <v>0.06529965518700921</v>
      </c>
    </row>
    <row r="5590" ht="22.5" customHeight="1">
      <c r="Q5590" s="9" t="s">
        <v>5628</v>
      </c>
      <c r="R5590" s="10">
        <v>0.6016594975987675</v>
      </c>
      <c r="S5590" s="10">
        <v>0.028416610660721958</v>
      </c>
      <c r="T5590" s="10">
        <v>19.765182565389654</v>
      </c>
      <c r="U5590" s="11">
        <v>0.14015443431196078</v>
      </c>
      <c r="V5590" s="11">
        <v>0.09680389144919663</v>
      </c>
      <c r="W5590" s="11">
        <v>0.23267920821260288</v>
      </c>
      <c r="X5590" s="11">
        <v>0.2617397147177369</v>
      </c>
      <c r="Y5590" s="11">
        <v>0.211892592127553</v>
      </c>
      <c r="Z5590" s="11">
        <v>0.056730159180949855</v>
      </c>
    </row>
    <row r="5591" ht="22.5" customHeight="1">
      <c r="Q5591" s="9" t="s">
        <v>5629</v>
      </c>
      <c r="R5591" s="10">
        <v>0.33770601634525643</v>
      </c>
      <c r="S5591" s="10">
        <v>0.015062256067247199</v>
      </c>
      <c r="T5591" s="10">
        <v>19.765034867028767</v>
      </c>
      <c r="U5591" s="11">
        <v>0.1838373769074716</v>
      </c>
      <c r="V5591" s="11">
        <v>0.05369379473417351</v>
      </c>
      <c r="W5591" s="11">
        <v>0.1052590398568938</v>
      </c>
      <c r="X5591" s="11">
        <v>0.07722738984851434</v>
      </c>
      <c r="Y5591" s="11">
        <v>0.21985122055997497</v>
      </c>
      <c r="Z5591" s="11">
        <v>0.36013117809297174</v>
      </c>
    </row>
    <row r="5592" ht="22.5" customHeight="1">
      <c r="Q5592" s="9" t="s">
        <v>5630</v>
      </c>
      <c r="R5592" s="10">
        <v>0.8333847546658139</v>
      </c>
      <c r="S5592" s="10">
        <v>0.04014107810467345</v>
      </c>
      <c r="T5592" s="10">
        <v>19.764908969234774</v>
      </c>
      <c r="U5592" s="11">
        <v>0.17336077222120588</v>
      </c>
      <c r="V5592" s="11">
        <v>0.22685663051714414</v>
      </c>
      <c r="W5592" s="11">
        <v>0.2978255148521906</v>
      </c>
      <c r="X5592" s="11">
        <v>0.05234730468595146</v>
      </c>
      <c r="Y5592" s="11">
        <v>0.14601121849400447</v>
      </c>
      <c r="Z5592" s="11">
        <v>0.1035985592295034</v>
      </c>
    </row>
    <row r="5593" ht="22.5" customHeight="1">
      <c r="Q5593" s="9" t="s">
        <v>5631</v>
      </c>
      <c r="R5593" s="10">
        <v>0.7914344979317305</v>
      </c>
      <c r="S5593" s="10">
        <v>0.038019516388750674</v>
      </c>
      <c r="T5593" s="10">
        <v>19.764441247707904</v>
      </c>
      <c r="U5593" s="11">
        <v>0.13493236421054755</v>
      </c>
      <c r="V5593" s="11">
        <v>0.31768827382867215</v>
      </c>
      <c r="W5593" s="11">
        <v>0.16125318842211422</v>
      </c>
      <c r="X5593" s="11">
        <v>0.03861428048849876</v>
      </c>
      <c r="Y5593" s="11">
        <v>0.3407813616908275</v>
      </c>
      <c r="Z5593" s="11">
        <v>0.006730531359339779</v>
      </c>
    </row>
    <row r="5594" ht="22.5" customHeight="1">
      <c r="Q5594" s="9" t="s">
        <v>5632</v>
      </c>
      <c r="R5594" s="10">
        <v>0.6933077614739359</v>
      </c>
      <c r="S5594" s="10">
        <v>0.03305548491213514</v>
      </c>
      <c r="T5594" s="10">
        <v>19.763974517708473</v>
      </c>
      <c r="U5594" s="11">
        <v>0.14689017764961165</v>
      </c>
      <c r="V5594" s="11">
        <v>0.15203945876803648</v>
      </c>
      <c r="W5594" s="11">
        <v>0.2600287098817697</v>
      </c>
      <c r="X5594" s="11">
        <v>0.11900125336641033</v>
      </c>
      <c r="Y5594" s="11">
        <v>0.2238963026232466</v>
      </c>
      <c r="Z5594" s="11">
        <v>0.09814409771092528</v>
      </c>
    </row>
    <row r="5595" ht="22.5" customHeight="1">
      <c r="Q5595" s="9" t="s">
        <v>5633</v>
      </c>
      <c r="R5595" s="10">
        <v>0.701217168995195</v>
      </c>
      <c r="S5595" s="10">
        <v>0.03345600115920352</v>
      </c>
      <c r="T5595" s="10">
        <v>19.763783658684464</v>
      </c>
      <c r="U5595" s="11">
        <v>0.16983472007966355</v>
      </c>
      <c r="V5595" s="11">
        <v>0.28441895543241713</v>
      </c>
      <c r="W5595" s="11">
        <v>0.12874799232435397</v>
      </c>
      <c r="X5595" s="11">
        <v>0.04794536637575487</v>
      </c>
      <c r="Y5595" s="11">
        <v>0.31134411505492615</v>
      </c>
      <c r="Z5595" s="11">
        <v>0.05770885073288434</v>
      </c>
    </row>
    <row r="5596" ht="22.5" customHeight="1">
      <c r="Q5596" s="9" t="s">
        <v>5634</v>
      </c>
      <c r="R5596" s="10">
        <v>0.5109235559912503</v>
      </c>
      <c r="S5596" s="10">
        <v>0.023828197664816746</v>
      </c>
      <c r="T5596" s="10">
        <v>19.76328896610536</v>
      </c>
      <c r="U5596" s="11">
        <v>0.3293010085181885</v>
      </c>
      <c r="V5596" s="11">
        <v>0.10835777915437766</v>
      </c>
      <c r="W5596" s="11">
        <v>0.1777647475683303</v>
      </c>
      <c r="X5596" s="11">
        <v>0.010410981233235243</v>
      </c>
      <c r="Y5596" s="11">
        <v>0.20213304098994017</v>
      </c>
      <c r="Z5596" s="11">
        <v>0.17203244253592806</v>
      </c>
    </row>
    <row r="5597" ht="22.5" customHeight="1">
      <c r="Q5597" s="9" t="s">
        <v>5635</v>
      </c>
      <c r="R5597" s="10">
        <v>0.700623304417793</v>
      </c>
      <c r="S5597" s="10">
        <v>0.033428269690095526</v>
      </c>
      <c r="T5597" s="10">
        <v>19.762413984996932</v>
      </c>
      <c r="U5597" s="11">
        <v>0.18129595456908842</v>
      </c>
      <c r="V5597" s="11">
        <v>0.17182868148912295</v>
      </c>
      <c r="W5597" s="11">
        <v>0.2540908894188975</v>
      </c>
      <c r="X5597" s="11">
        <v>0.04235098052627741</v>
      </c>
      <c r="Y5597" s="11">
        <v>0.20928184714261613</v>
      </c>
      <c r="Z5597" s="11">
        <v>0.14115164685399753</v>
      </c>
    </row>
    <row r="5598" ht="22.5" customHeight="1">
      <c r="Q5598" s="9" t="s">
        <v>5636</v>
      </c>
      <c r="R5598" s="10">
        <v>0.7291714205360946</v>
      </c>
      <c r="S5598" s="10">
        <v>0.034875426137152256</v>
      </c>
      <c r="T5598" s="10">
        <v>19.760946226888706</v>
      </c>
      <c r="U5598" s="11">
        <v>0.12490681536395633</v>
      </c>
      <c r="V5598" s="11">
        <v>0.19757424257570877</v>
      </c>
      <c r="W5598" s="11">
        <v>0.257877214166727</v>
      </c>
      <c r="X5598" s="11">
        <v>0.030248895917227823</v>
      </c>
      <c r="Y5598" s="11">
        <v>0.13956228966515752</v>
      </c>
      <c r="Z5598" s="11">
        <v>0.2498305423112226</v>
      </c>
    </row>
    <row r="5599" ht="22.5" customHeight="1">
      <c r="Q5599" s="9" t="s">
        <v>5637</v>
      </c>
      <c r="R5599" s="10">
        <v>0.7644190087527051</v>
      </c>
      <c r="S5599" s="10">
        <v>0.03665981942057234</v>
      </c>
      <c r="T5599" s="10">
        <v>19.760572206915562</v>
      </c>
      <c r="U5599" s="11">
        <v>0.09086677691727751</v>
      </c>
      <c r="V5599" s="11">
        <v>0.1895675243536991</v>
      </c>
      <c r="W5599" s="11">
        <v>0.2818351165888114</v>
      </c>
      <c r="X5599" s="11">
        <v>0.10316110132018413</v>
      </c>
      <c r="Y5599" s="11">
        <v>0.17379543098960473</v>
      </c>
      <c r="Z5599" s="11">
        <v>0.160774049830423</v>
      </c>
    </row>
    <row r="5600" ht="22.5" customHeight="1">
      <c r="Q5600" s="9" t="s">
        <v>5638</v>
      </c>
      <c r="R5600" s="10">
        <v>0.8386992642816232</v>
      </c>
      <c r="S5600" s="10">
        <v>0.04042092383603463</v>
      </c>
      <c r="T5600" s="10">
        <v>19.75954996777177</v>
      </c>
      <c r="U5600" s="11">
        <v>0.061470187489777804</v>
      </c>
      <c r="V5600" s="11">
        <v>0.214709599824541</v>
      </c>
      <c r="W5600" s="11">
        <v>0.31106546454819106</v>
      </c>
      <c r="X5600" s="11">
        <v>0.18696892272933846</v>
      </c>
      <c r="Y5600" s="11">
        <v>0.030035065981112982</v>
      </c>
      <c r="Z5600" s="11">
        <v>0.19575075942703868</v>
      </c>
    </row>
    <row r="5601" ht="22.5" customHeight="1">
      <c r="Q5601" s="9" t="s">
        <v>5639</v>
      </c>
      <c r="R5601" s="10">
        <v>0.2869487358776782</v>
      </c>
      <c r="S5601" s="10">
        <v>0.01249829294973923</v>
      </c>
      <c r="T5601" s="10">
        <v>19.75859718369225</v>
      </c>
      <c r="U5601" s="11">
        <v>0.07361907575521237</v>
      </c>
      <c r="V5601" s="11">
        <v>0.02371329311587537</v>
      </c>
      <c r="W5601" s="11">
        <v>0.08426505256549877</v>
      </c>
      <c r="X5601" s="11">
        <v>0.2570967866326041</v>
      </c>
      <c r="Y5601" s="11">
        <v>0.17928023348329444</v>
      </c>
      <c r="Z5601" s="11">
        <v>0.38202555844751496</v>
      </c>
    </row>
    <row r="5602" ht="22.5" customHeight="1">
      <c r="Q5602" s="9" t="s">
        <v>5640</v>
      </c>
      <c r="R5602" s="10">
        <v>0.7018881942802561</v>
      </c>
      <c r="S5602" s="10">
        <v>0.03350004626811961</v>
      </c>
      <c r="T5602" s="10">
        <v>19.7578292573925</v>
      </c>
      <c r="U5602" s="11">
        <v>0.18588087269609246</v>
      </c>
      <c r="V5602" s="11">
        <v>0.29978649938667046</v>
      </c>
      <c r="W5602" s="11">
        <v>0.09876424948949754</v>
      </c>
      <c r="X5602" s="11">
        <v>0.24471054046069615</v>
      </c>
      <c r="Y5602" s="11">
        <v>0.13612090869675694</v>
      </c>
      <c r="Z5602" s="11">
        <v>0.034736929270286654</v>
      </c>
    </row>
    <row r="5603" ht="22.5" customHeight="1">
      <c r="Q5603" s="9" t="s">
        <v>5641</v>
      </c>
      <c r="R5603" s="10">
        <v>0.6149007570429457</v>
      </c>
      <c r="S5603" s="10">
        <v>0.02909768406311608</v>
      </c>
      <c r="T5603" s="10">
        <v>19.757612179578366</v>
      </c>
      <c r="U5603" s="11">
        <v>0.09806026142445176</v>
      </c>
      <c r="V5603" s="11">
        <v>0.12799846849153237</v>
      </c>
      <c r="W5603" s="11">
        <v>0.23265777911553767</v>
      </c>
      <c r="X5603" s="11">
        <v>0.15128958138081147</v>
      </c>
      <c r="Y5603" s="11">
        <v>0.13106096007038226</v>
      </c>
      <c r="Z5603" s="11">
        <v>0.25893294951728446</v>
      </c>
    </row>
    <row r="5604" ht="22.5" customHeight="1">
      <c r="Q5604" s="9" t="s">
        <v>5642</v>
      </c>
      <c r="R5604" s="10">
        <v>0.3965524515133692</v>
      </c>
      <c r="S5604" s="10">
        <v>0.018047002640264032</v>
      </c>
      <c r="T5604" s="10">
        <v>19.756879223693225</v>
      </c>
      <c r="U5604" s="11">
        <v>0.3117939452839339</v>
      </c>
      <c r="V5604" s="11">
        <v>0.07322168139410584</v>
      </c>
      <c r="W5604" s="11">
        <v>0.1158976502309931</v>
      </c>
      <c r="X5604" s="11">
        <v>0.03258070209133952</v>
      </c>
      <c r="Y5604" s="11">
        <v>0.373006089305397</v>
      </c>
      <c r="Z5604" s="11">
        <v>0.09349993169423064</v>
      </c>
    </row>
    <row r="5605" ht="22.5" customHeight="1">
      <c r="Q5605" s="9" t="s">
        <v>5643</v>
      </c>
      <c r="R5605" s="10">
        <v>0.9632096102001355</v>
      </c>
      <c r="S5605" s="10">
        <v>0.04672874083823437</v>
      </c>
      <c r="T5605" s="10">
        <v>19.756783376554143</v>
      </c>
      <c r="U5605" s="11">
        <v>0.1977446458476642</v>
      </c>
      <c r="V5605" s="11">
        <v>0.2917385627989936</v>
      </c>
      <c r="W5605" s="11">
        <v>0.33048415964015676</v>
      </c>
      <c r="X5605" s="11">
        <v>0.054574884805630504</v>
      </c>
      <c r="Y5605" s="11">
        <v>0.05340357507775011</v>
      </c>
      <c r="Z5605" s="11">
        <v>0.07205417182980485</v>
      </c>
    </row>
    <row r="5606" ht="22.5" customHeight="1">
      <c r="Q5606" s="9" t="s">
        <v>5644</v>
      </c>
      <c r="R5606" s="10">
        <v>0.9449702083699156</v>
      </c>
      <c r="S5606" s="10">
        <v>0.045806051785809425</v>
      </c>
      <c r="T5606" s="10">
        <v>19.756564320399967</v>
      </c>
      <c r="U5606" s="11">
        <v>0.18564890538383408</v>
      </c>
      <c r="V5606" s="11">
        <v>0.29221365357381407</v>
      </c>
      <c r="W5606" s="11">
        <v>0.3193638880196231</v>
      </c>
      <c r="X5606" s="11">
        <v>0.039937529427443434</v>
      </c>
      <c r="Y5606" s="11">
        <v>0.05072478545999072</v>
      </c>
      <c r="Z5606" s="11">
        <v>0.11211123813529465</v>
      </c>
    </row>
    <row r="5607" ht="22.5" customHeight="1">
      <c r="Q5607" s="9" t="s">
        <v>5645</v>
      </c>
      <c r="R5607" s="10">
        <v>1.0452768962135792</v>
      </c>
      <c r="S5607" s="10">
        <v>0.05088432834123888</v>
      </c>
      <c r="T5607" s="10">
        <v>19.75611998790714</v>
      </c>
      <c r="U5607" s="11">
        <v>0.10895746458408503</v>
      </c>
      <c r="V5607" s="11">
        <v>0.3312944379399291</v>
      </c>
      <c r="W5607" s="11">
        <v>0.3504748855440238</v>
      </c>
      <c r="X5607" s="11">
        <v>0.0774813998132883</v>
      </c>
      <c r="Y5607" s="11">
        <v>0.06280104690761576</v>
      </c>
      <c r="Z5607" s="11">
        <v>0.06899076521105804</v>
      </c>
    </row>
    <row r="5608" ht="22.5" customHeight="1">
      <c r="Q5608" s="9" t="s">
        <v>5646</v>
      </c>
      <c r="R5608" s="10">
        <v>0.9894105796840006</v>
      </c>
      <c r="S5608" s="10">
        <v>0.048057106440879</v>
      </c>
      <c r="T5608" s="10">
        <v>19.755883156469025</v>
      </c>
      <c r="U5608" s="11">
        <v>0.18067142116616486</v>
      </c>
      <c r="V5608" s="11">
        <v>0.3728673485946065</v>
      </c>
      <c r="W5608" s="11">
        <v>0.2664560434081622</v>
      </c>
      <c r="X5608" s="11">
        <v>0.006433470433800882</v>
      </c>
      <c r="Y5608" s="11">
        <v>0.1289092542697276</v>
      </c>
      <c r="Z5608" s="11">
        <v>0.04466246212753817</v>
      </c>
    </row>
    <row r="5609" ht="22.5" customHeight="1">
      <c r="Q5609" s="9" t="s">
        <v>5647</v>
      </c>
      <c r="R5609" s="10">
        <v>0.7343425133163062</v>
      </c>
      <c r="S5609" s="10">
        <v>0.03514736790075354</v>
      </c>
      <c r="T5609" s="10">
        <v>19.755178119651454</v>
      </c>
      <c r="U5609" s="11">
        <v>0.2551260822163234</v>
      </c>
      <c r="V5609" s="11">
        <v>0.2000574675081268</v>
      </c>
      <c r="W5609" s="11">
        <v>0.25885791564395677</v>
      </c>
      <c r="X5609" s="11">
        <v>0.022350379597759238</v>
      </c>
      <c r="Y5609" s="11">
        <v>0.06033821210524116</v>
      </c>
      <c r="Z5609" s="11">
        <v>0.2032699429285925</v>
      </c>
    </row>
    <row r="5610" ht="22.5" customHeight="1">
      <c r="Q5610" s="9" t="s">
        <v>5648</v>
      </c>
      <c r="R5610" s="10">
        <v>0.3595690770903297</v>
      </c>
      <c r="S5610" s="10">
        <v>0.01617798205452535</v>
      </c>
      <c r="T5610" s="10">
        <v>19.753333636622436</v>
      </c>
      <c r="U5610" s="11">
        <v>0.016021045353689384</v>
      </c>
      <c r="V5610" s="11">
        <v>0.10450313423828994</v>
      </c>
      <c r="W5610" s="11">
        <v>0.06772204701117576</v>
      </c>
      <c r="X5610" s="11">
        <v>0.03797398615515137</v>
      </c>
      <c r="Y5610" s="11">
        <v>0.42024997477116804</v>
      </c>
      <c r="Z5610" s="11">
        <v>0.35352981247052545</v>
      </c>
    </row>
    <row r="5611" ht="22.5" customHeight="1">
      <c r="Q5611" s="9" t="s">
        <v>5649</v>
      </c>
      <c r="R5611" s="10">
        <v>0.28156743375017157</v>
      </c>
      <c r="S5611" s="10">
        <v>0.012229910526597894</v>
      </c>
      <c r="T5611" s="10">
        <v>19.75218324163575</v>
      </c>
      <c r="U5611" s="11">
        <v>0.061303230210611306</v>
      </c>
      <c r="V5611" s="11">
        <v>0.03361740345633223</v>
      </c>
      <c r="W5611" s="11">
        <v>0.03983583968854345</v>
      </c>
      <c r="X5611" s="11">
        <v>0.3637937344737245</v>
      </c>
      <c r="Y5611" s="11">
        <v>0.40430941565204176</v>
      </c>
      <c r="Z5611" s="11">
        <v>0.09714037651874692</v>
      </c>
    </row>
    <row r="5612" ht="22.5" customHeight="1">
      <c r="Q5612" s="9" t="s">
        <v>5650</v>
      </c>
      <c r="R5612" s="10">
        <v>0.6419292881851243</v>
      </c>
      <c r="S5612" s="10">
        <v>0.03047436884221267</v>
      </c>
      <c r="T5612" s="10">
        <v>19.751985391452642</v>
      </c>
      <c r="U5612" s="11">
        <v>0.1985427127633069</v>
      </c>
      <c r="V5612" s="11">
        <v>0.2596458933207577</v>
      </c>
      <c r="W5612" s="11">
        <v>0.1160407931906561</v>
      </c>
      <c r="X5612" s="11">
        <v>0.027093871302612607</v>
      </c>
      <c r="Y5612" s="11">
        <v>0.2604969065837277</v>
      </c>
      <c r="Z5612" s="11">
        <v>0.13817982283893887</v>
      </c>
    </row>
    <row r="5613" ht="22.5" customHeight="1">
      <c r="Q5613" s="9" t="s">
        <v>5651</v>
      </c>
      <c r="R5613" s="10">
        <v>0.7885487073415087</v>
      </c>
      <c r="S5613" s="10">
        <v>0.03789777052935049</v>
      </c>
      <c r="T5613" s="10">
        <v>19.75178742405926</v>
      </c>
      <c r="U5613" s="11">
        <v>0.10547742312618262</v>
      </c>
      <c r="V5613" s="11">
        <v>0.3272487787690842</v>
      </c>
      <c r="W5613" s="11">
        <v>0.1529248686747207</v>
      </c>
      <c r="X5613" s="11">
        <v>0.10667087512702184</v>
      </c>
      <c r="Y5613" s="11">
        <v>0.18604400157795137</v>
      </c>
      <c r="Z5613" s="11">
        <v>0.12163405272503924</v>
      </c>
    </row>
    <row r="5614" ht="22.5" customHeight="1">
      <c r="Q5614" s="9" t="s">
        <v>5652</v>
      </c>
      <c r="R5614" s="10">
        <v>0.7068241181099489</v>
      </c>
      <c r="S5614" s="10">
        <v>0.033760272098512525</v>
      </c>
      <c r="T5614" s="10">
        <v>19.751740038236512</v>
      </c>
      <c r="U5614" s="11">
        <v>0.16785775411589976</v>
      </c>
      <c r="V5614" s="11">
        <v>0.1624812092693131</v>
      </c>
      <c r="W5614" s="11">
        <v>0.26159960301873875</v>
      </c>
      <c r="X5614" s="11">
        <v>0.08160189039665597</v>
      </c>
      <c r="Y5614" s="11">
        <v>0.24141369151707356</v>
      </c>
      <c r="Z5614" s="11">
        <v>0.08504585168231896</v>
      </c>
    </row>
    <row r="5615" ht="22.5" customHeight="1">
      <c r="Q5615" s="9" t="s">
        <v>5653</v>
      </c>
      <c r="R5615" s="10">
        <v>0.5308302900626004</v>
      </c>
      <c r="S5615" s="10">
        <v>0.024850040880981354</v>
      </c>
      <c r="T5615" s="10">
        <v>19.75168944040856</v>
      </c>
      <c r="U5615" s="11">
        <v>0.09405673430636065</v>
      </c>
      <c r="V5615" s="11">
        <v>0.22184084425731834</v>
      </c>
      <c r="W5615" s="11">
        <v>0.05694932340836654</v>
      </c>
      <c r="X5615" s="11">
        <v>0.2120811652477327</v>
      </c>
      <c r="Y5615" s="11">
        <v>0.23191788706784444</v>
      </c>
      <c r="Z5615" s="11">
        <v>0.1831540457123773</v>
      </c>
    </row>
    <row r="5616" ht="22.5" customHeight="1">
      <c r="Q5616" s="9" t="s">
        <v>5654</v>
      </c>
      <c r="R5616" s="10">
        <v>0.6515354985067083</v>
      </c>
      <c r="S5616" s="10">
        <v>0.030961942899741555</v>
      </c>
      <c r="T5616" s="10">
        <v>19.751199092606456</v>
      </c>
      <c r="U5616" s="11">
        <v>0.26145901139390165</v>
      </c>
      <c r="V5616" s="11">
        <v>0.2776325312809396</v>
      </c>
      <c r="W5616" s="11">
        <v>0.08713875618418573</v>
      </c>
      <c r="X5616" s="11">
        <v>0.2651084348606969</v>
      </c>
      <c r="Y5616" s="11">
        <v>0.012714842760876211</v>
      </c>
      <c r="Z5616" s="11">
        <v>0.09594642351939989</v>
      </c>
    </row>
    <row r="5617" ht="22.5" customHeight="1">
      <c r="Q5617" s="9" t="s">
        <v>5655</v>
      </c>
      <c r="R5617" s="10">
        <v>0.763630467930951</v>
      </c>
      <c r="S5617" s="10">
        <v>0.03663858777996987</v>
      </c>
      <c r="T5617" s="10">
        <v>19.750501091271758</v>
      </c>
      <c r="U5617" s="11">
        <v>0.02437389453270682</v>
      </c>
      <c r="V5617" s="11">
        <v>0.21992967723440002</v>
      </c>
      <c r="W5617" s="11">
        <v>0.2621548289283125</v>
      </c>
      <c r="X5617" s="11">
        <v>0.013370875980118203</v>
      </c>
      <c r="Y5617" s="11">
        <v>0.2126754765624116</v>
      </c>
      <c r="Z5617" s="11">
        <v>0.267495246762051</v>
      </c>
    </row>
    <row r="5618" ht="22.5" customHeight="1">
      <c r="Q5618" s="9" t="s">
        <v>5656</v>
      </c>
      <c r="R5618" s="10">
        <v>0.3165901994172206</v>
      </c>
      <c r="S5618" s="10">
        <v>0.01400458445897283</v>
      </c>
      <c r="T5618" s="10">
        <v>19.749975461785834</v>
      </c>
      <c r="U5618" s="11">
        <v>0.21603609591159234</v>
      </c>
      <c r="V5618" s="11">
        <v>0.10352282307789007</v>
      </c>
      <c r="W5618" s="11">
        <v>0.00848639319339776</v>
      </c>
      <c r="X5618" s="11">
        <v>0.2591885075487669</v>
      </c>
      <c r="Y5618" s="11">
        <v>0.2586850440285031</v>
      </c>
      <c r="Z5618" s="11">
        <v>0.1540811362398497</v>
      </c>
    </row>
    <row r="5619" ht="22.5" customHeight="1">
      <c r="Q5619" s="9" t="s">
        <v>5657</v>
      </c>
      <c r="R5619" s="10">
        <v>0.3122806455694396</v>
      </c>
      <c r="S5619" s="10">
        <v>0.013786544837172768</v>
      </c>
      <c r="T5619" s="10">
        <v>19.749737790377118</v>
      </c>
      <c r="U5619" s="11">
        <v>0.18080117584219707</v>
      </c>
      <c r="V5619" s="11">
        <v>0.013165582953439952</v>
      </c>
      <c r="W5619" s="11">
        <v>0.09465017063089246</v>
      </c>
      <c r="X5619" s="11">
        <v>0.35384374510575783</v>
      </c>
      <c r="Y5619" s="11">
        <v>0.1872389101337809</v>
      </c>
      <c r="Z5619" s="11">
        <v>0.17030041533393184</v>
      </c>
    </row>
    <row r="5620" ht="22.5" customHeight="1">
      <c r="Q5620" s="9" t="s">
        <v>5658</v>
      </c>
      <c r="R5620" s="10">
        <v>0.8336191229326014</v>
      </c>
      <c r="S5620" s="10">
        <v>0.040183944919854706</v>
      </c>
      <c r="T5620" s="10">
        <v>19.74965684716728</v>
      </c>
      <c r="U5620" s="11">
        <v>0.11215070183416782</v>
      </c>
      <c r="V5620" s="11">
        <v>0.20754393286622444</v>
      </c>
      <c r="W5620" s="11">
        <v>0.3114555847292358</v>
      </c>
      <c r="X5620" s="11">
        <v>0.16207477914056984</v>
      </c>
      <c r="Y5620" s="11">
        <v>0.08417325405276997</v>
      </c>
      <c r="Z5620" s="11">
        <v>0.122601747377032</v>
      </c>
    </row>
    <row r="5621" ht="22.5" customHeight="1">
      <c r="Q5621" s="9" t="s">
        <v>5659</v>
      </c>
      <c r="R5621" s="10">
        <v>0.6361688986421856</v>
      </c>
      <c r="S5621" s="10">
        <v>0.030186474622677324</v>
      </c>
      <c r="T5621" s="10">
        <v>19.749537039158554</v>
      </c>
      <c r="U5621" s="11">
        <v>0.17969426139963127</v>
      </c>
      <c r="V5621" s="11">
        <v>0.10909651609811223</v>
      </c>
      <c r="W5621" s="11">
        <v>0.24731484196899722</v>
      </c>
      <c r="X5621" s="11">
        <v>0.24898093308763264</v>
      </c>
      <c r="Y5621" s="11">
        <v>0.17680955217702846</v>
      </c>
      <c r="Z5621" s="11">
        <v>0.03810389526859821</v>
      </c>
    </row>
    <row r="5622" ht="22.5" customHeight="1">
      <c r="Q5622" s="9" t="s">
        <v>5660</v>
      </c>
      <c r="R5622" s="10">
        <v>0.3396613259360616</v>
      </c>
      <c r="S5622" s="10">
        <v>0.015173109048804468</v>
      </c>
      <c r="T5622" s="10">
        <v>19.749500578437665</v>
      </c>
      <c r="U5622" s="11">
        <v>0.20672910570288486</v>
      </c>
      <c r="V5622" s="11">
        <v>0.016251826223279673</v>
      </c>
      <c r="W5622" s="11">
        <v>0.10460002067918896</v>
      </c>
      <c r="X5622" s="11">
        <v>0.35175947737714536</v>
      </c>
      <c r="Y5622" s="11">
        <v>0.2670537112343258</v>
      </c>
      <c r="Z5622" s="11">
        <v>0.05360585878317534</v>
      </c>
    </row>
    <row r="5623" ht="22.5" customHeight="1">
      <c r="Q5623" s="9" t="s">
        <v>5661</v>
      </c>
      <c r="R5623" s="10">
        <v>0.7714667013684254</v>
      </c>
      <c r="S5623" s="10">
        <v>0.03703741096983186</v>
      </c>
      <c r="T5623" s="10">
        <v>19.749401543326776</v>
      </c>
      <c r="U5623" s="11">
        <v>0.2151844672067746</v>
      </c>
      <c r="V5623" s="11">
        <v>0.3073208171049083</v>
      </c>
      <c r="W5623" s="11">
        <v>0.16033281548594083</v>
      </c>
      <c r="X5623" s="11">
        <v>0.004133798084805449</v>
      </c>
      <c r="Y5623" s="11">
        <v>0.3045318354720022</v>
      </c>
      <c r="Z5623" s="11">
        <v>0.008496266645568726</v>
      </c>
    </row>
    <row r="5624" ht="22.5" customHeight="1">
      <c r="Q5624" s="9" t="s">
        <v>5662</v>
      </c>
      <c r="R5624" s="10">
        <v>0.7764304229952672</v>
      </c>
      <c r="S5624" s="10">
        <v>0.03728921614231953</v>
      </c>
      <c r="T5624" s="10">
        <v>19.74915268222794</v>
      </c>
      <c r="U5624" s="11">
        <v>0.1606032575953546</v>
      </c>
      <c r="V5624" s="11">
        <v>0.1848578047992367</v>
      </c>
      <c r="W5624" s="11">
        <v>0.29194656721208406</v>
      </c>
      <c r="X5624" s="11">
        <v>0.1459162625295387</v>
      </c>
      <c r="Y5624" s="11">
        <v>0.09419485723349953</v>
      </c>
      <c r="Z5624" s="11">
        <v>0.1224812506302865</v>
      </c>
    </row>
    <row r="5625" ht="22.5" customHeight="1">
      <c r="Q5625" s="9" t="s">
        <v>5663</v>
      </c>
      <c r="R5625" s="10">
        <v>0.8091640898168504</v>
      </c>
      <c r="S5625" s="10">
        <v>0.038948439163510096</v>
      </c>
      <c r="T5625" s="10">
        <v>19.748264791505758</v>
      </c>
      <c r="U5625" s="11">
        <v>0.2485847279889533</v>
      </c>
      <c r="V5625" s="11">
        <v>0.23489396224190728</v>
      </c>
      <c r="W5625" s="11">
        <v>0.2799212014054811</v>
      </c>
      <c r="X5625" s="11">
        <v>0.023584521221611796</v>
      </c>
      <c r="Y5625" s="11">
        <v>0.028387323935393872</v>
      </c>
      <c r="Z5625" s="11">
        <v>0.1846282632066524</v>
      </c>
    </row>
    <row r="5626" ht="22.5" customHeight="1">
      <c r="Q5626" s="9" t="s">
        <v>5664</v>
      </c>
      <c r="R5626" s="10">
        <v>1.0319734213820693</v>
      </c>
      <c r="S5626" s="10">
        <v>0.05023511717058211</v>
      </c>
      <c r="T5626" s="10">
        <v>19.746613071761143</v>
      </c>
      <c r="U5626" s="11">
        <v>0.06858795360271892</v>
      </c>
      <c r="V5626" s="11">
        <v>0.32576831995471195</v>
      </c>
      <c r="W5626" s="11">
        <v>0.3468903408741816</v>
      </c>
      <c r="X5626" s="11">
        <v>0.07175917396733292</v>
      </c>
      <c r="Y5626" s="11">
        <v>0.09759063798952435</v>
      </c>
      <c r="Z5626" s="11">
        <v>0.08940357361153038</v>
      </c>
    </row>
    <row r="5627" ht="22.5" customHeight="1">
      <c r="Q5627" s="9" t="s">
        <v>5665</v>
      </c>
      <c r="R5627" s="10">
        <v>1.0550889288642349</v>
      </c>
      <c r="S5627" s="10">
        <v>0.05141091028304936</v>
      </c>
      <c r="T5627" s="10">
        <v>19.744620806664045</v>
      </c>
      <c r="U5627" s="11">
        <v>0.16340594913436254</v>
      </c>
      <c r="V5627" s="11">
        <v>0.31266969901881125</v>
      </c>
      <c r="W5627" s="11">
        <v>0.370938386431894</v>
      </c>
      <c r="X5627" s="11">
        <v>0.13398562688781038</v>
      </c>
      <c r="Y5627" s="11">
        <v>0.00542629767879762</v>
      </c>
      <c r="Z5627" s="11">
        <v>0.01357404084832396</v>
      </c>
    </row>
    <row r="5628" ht="22.5" customHeight="1">
      <c r="Q5628" s="9" t="s">
        <v>5666</v>
      </c>
      <c r="R5628" s="10">
        <v>0.795968948483832</v>
      </c>
      <c r="S5628" s="10">
        <v>0.038287484263102765</v>
      </c>
      <c r="T5628" s="10">
        <v>19.74454480448461</v>
      </c>
      <c r="U5628" s="11">
        <v>0.2969540845661657</v>
      </c>
      <c r="V5628" s="11">
        <v>0.3163300109964482</v>
      </c>
      <c r="W5628" s="11">
        <v>0.1804897577226587</v>
      </c>
      <c r="X5628" s="11">
        <v>0.016046303255089368</v>
      </c>
      <c r="Y5628" s="11">
        <v>0.06406538819634676</v>
      </c>
      <c r="Z5628" s="11">
        <v>0.12611445526329143</v>
      </c>
    </row>
    <row r="5629" ht="22.5" customHeight="1">
      <c r="Q5629" s="9" t="s">
        <v>5667</v>
      </c>
      <c r="R5629" s="10">
        <v>0.5686418093828668</v>
      </c>
      <c r="S5629" s="10">
        <v>0.026774255179063813</v>
      </c>
      <c r="T5629" s="10">
        <v>19.744407672495754</v>
      </c>
      <c r="U5629" s="11">
        <v>0.23993029832656326</v>
      </c>
      <c r="V5629" s="11">
        <v>0.09869097005363178</v>
      </c>
      <c r="W5629" s="11">
        <v>0.21907308810795637</v>
      </c>
      <c r="X5629" s="11">
        <v>0.2134427919695519</v>
      </c>
      <c r="Y5629" s="11">
        <v>0.05269705811504019</v>
      </c>
      <c r="Z5629" s="11">
        <v>0.17616579342725652</v>
      </c>
    </row>
    <row r="5630" ht="22.5" customHeight="1">
      <c r="Q5630" s="9" t="s">
        <v>5668</v>
      </c>
      <c r="R5630" s="10">
        <v>0.7509390225053161</v>
      </c>
      <c r="S5630" s="10">
        <v>0.03600802969964342</v>
      </c>
      <c r="T5630" s="10">
        <v>19.74390235832194</v>
      </c>
      <c r="U5630" s="11">
        <v>0.23127595277810156</v>
      </c>
      <c r="V5630" s="11">
        <v>0.20145811848503734</v>
      </c>
      <c r="W5630" s="11">
        <v>0.2686268094335774</v>
      </c>
      <c r="X5630" s="11">
        <v>0.04859764346382257</v>
      </c>
      <c r="Y5630" s="11">
        <v>0.04354308118738463</v>
      </c>
      <c r="Z5630" s="11">
        <v>0.20649839465207645</v>
      </c>
    </row>
    <row r="5631" ht="22.5" customHeight="1">
      <c r="Q5631" s="9" t="s">
        <v>5669</v>
      </c>
      <c r="R5631" s="10">
        <v>0.38481855066742804</v>
      </c>
      <c r="S5631" s="10">
        <v>0.017465527334211618</v>
      </c>
      <c r="T5631" s="10">
        <v>19.74280787915259</v>
      </c>
      <c r="U5631" s="11">
        <v>0.19385155789527472</v>
      </c>
      <c r="V5631" s="11">
        <v>0.14581096761731452</v>
      </c>
      <c r="W5631" s="11">
        <v>0.03663705117111658</v>
      </c>
      <c r="X5631" s="11">
        <v>0.10877721671174523</v>
      </c>
      <c r="Y5631" s="11">
        <v>0.24528423918980174</v>
      </c>
      <c r="Z5631" s="11">
        <v>0.2696389674147472</v>
      </c>
    </row>
    <row r="5632" ht="22.5" customHeight="1">
      <c r="Q5632" s="9" t="s">
        <v>5670</v>
      </c>
      <c r="R5632" s="10">
        <v>0.5572943107783916</v>
      </c>
      <c r="S5632" s="10">
        <v>0.026203155577156592</v>
      </c>
      <c r="T5632" s="10">
        <v>19.741679938326165</v>
      </c>
      <c r="U5632" s="11">
        <v>0.0370621321668669</v>
      </c>
      <c r="V5632" s="11">
        <v>0.08737145311665918</v>
      </c>
      <c r="W5632" s="11">
        <v>0.21154776556012342</v>
      </c>
      <c r="X5632" s="11">
        <v>0.24844058755774473</v>
      </c>
      <c r="Y5632" s="11">
        <v>0.2903136521031062</v>
      </c>
      <c r="Z5632" s="11">
        <v>0.12526440949549958</v>
      </c>
    </row>
    <row r="5633" ht="22.5" customHeight="1">
      <c r="Q5633" s="9" t="s">
        <v>5671</v>
      </c>
      <c r="R5633" s="10">
        <v>1.1534221299404035</v>
      </c>
      <c r="S5633" s="10">
        <v>0.05640032789372902</v>
      </c>
      <c r="T5633" s="10">
        <v>19.741412355586704</v>
      </c>
      <c r="U5633" s="11">
        <v>0.03216834203375439</v>
      </c>
      <c r="V5633" s="11">
        <v>0.39415958887307845</v>
      </c>
      <c r="W5633" s="11">
        <v>0.3640001402611461</v>
      </c>
      <c r="X5633" s="11">
        <v>0.07673900412780546</v>
      </c>
      <c r="Y5633" s="11">
        <v>0.12289962137134088</v>
      </c>
      <c r="Z5633" s="11">
        <v>0.010033303332874825</v>
      </c>
    </row>
    <row r="5634" ht="22.5" customHeight="1">
      <c r="Q5634" s="9" t="s">
        <v>5672</v>
      </c>
      <c r="R5634" s="10">
        <v>0.8487186327376361</v>
      </c>
      <c r="S5634" s="10">
        <v>0.04096586926757479</v>
      </c>
      <c r="T5634" s="10">
        <v>19.741278464161656</v>
      </c>
      <c r="U5634" s="11">
        <v>0.013401481315661334</v>
      </c>
      <c r="V5634" s="11">
        <v>0.27041772418886867</v>
      </c>
      <c r="W5634" s="11">
        <v>0.27924817144283387</v>
      </c>
      <c r="X5634" s="11">
        <v>0.03659902028586295</v>
      </c>
      <c r="Y5634" s="11">
        <v>0.0769524403793269</v>
      </c>
      <c r="Z5634" s="11">
        <v>0.3233811623874463</v>
      </c>
    </row>
    <row r="5635" ht="22.5" customHeight="1">
      <c r="Q5635" s="9" t="s">
        <v>5673</v>
      </c>
      <c r="R5635" s="10">
        <v>0.39793042139245793</v>
      </c>
      <c r="S5635" s="10">
        <v>0.018131156181288736</v>
      </c>
      <c r="T5635" s="10">
        <v>19.741180199078556</v>
      </c>
      <c r="U5635" s="11">
        <v>0.1899592286669059</v>
      </c>
      <c r="V5635" s="11">
        <v>0.03138903698137345</v>
      </c>
      <c r="W5635" s="11">
        <v>0.14129830783956426</v>
      </c>
      <c r="X5635" s="11">
        <v>0.42776638459098276</v>
      </c>
      <c r="Y5635" s="11">
        <v>0.008559259366589439</v>
      </c>
      <c r="Z5635" s="11">
        <v>0.20102778255458428</v>
      </c>
    </row>
    <row r="5636" ht="22.5" customHeight="1">
      <c r="Q5636" s="9" t="s">
        <v>5674</v>
      </c>
      <c r="R5636" s="10">
        <v>0.6578493839704301</v>
      </c>
      <c r="S5636" s="10">
        <v>0.03129811477482297</v>
      </c>
      <c r="T5636" s="10">
        <v>19.740785936009296</v>
      </c>
      <c r="U5636" s="11">
        <v>0.06223927093219781</v>
      </c>
      <c r="V5636" s="11">
        <v>0.1455411809502262</v>
      </c>
      <c r="W5636" s="11">
        <v>0.24608994918462498</v>
      </c>
      <c r="X5636" s="11">
        <v>0.1190126465277708</v>
      </c>
      <c r="Y5636" s="11">
        <v>0.21360733953093142</v>
      </c>
      <c r="Z5636" s="11">
        <v>0.21350961287424874</v>
      </c>
    </row>
    <row r="5637" ht="22.5" customHeight="1">
      <c r="Q5637" s="9" t="s">
        <v>5675</v>
      </c>
      <c r="R5637" s="10">
        <v>0.4479251623941252</v>
      </c>
      <c r="S5637" s="10">
        <v>0.020665490126946674</v>
      </c>
      <c r="T5637" s="10">
        <v>19.739438062599493</v>
      </c>
      <c r="U5637" s="11">
        <v>0.16877033960238771</v>
      </c>
      <c r="V5637" s="11">
        <v>0.05909837277843239</v>
      </c>
      <c r="W5637" s="11">
        <v>0.16763905720576053</v>
      </c>
      <c r="X5637" s="11">
        <v>0.21692489064572473</v>
      </c>
      <c r="Y5637" s="11">
        <v>0.15508889787680397</v>
      </c>
      <c r="Z5637" s="11">
        <v>0.2324784418908907</v>
      </c>
    </row>
    <row r="5638" ht="22.5" customHeight="1">
      <c r="Q5638" s="9" t="s">
        <v>5676</v>
      </c>
      <c r="R5638" s="10">
        <v>0.8478426568983153</v>
      </c>
      <c r="S5638" s="10">
        <v>0.04092634930672249</v>
      </c>
      <c r="T5638" s="10">
        <v>19.73893764244495</v>
      </c>
      <c r="U5638" s="11">
        <v>0.019096712012073077</v>
      </c>
      <c r="V5638" s="11">
        <v>0.2503190369705941</v>
      </c>
      <c r="W5638" s="11">
        <v>0.2944807260421538</v>
      </c>
      <c r="X5638" s="11">
        <v>0.07805186926894726</v>
      </c>
      <c r="Y5638" s="11">
        <v>0.06832376211386088</v>
      </c>
      <c r="Z5638" s="11">
        <v>0.2897278935923709</v>
      </c>
    </row>
    <row r="5639" ht="22.5" customHeight="1">
      <c r="Q5639" s="9" t="s">
        <v>5677</v>
      </c>
      <c r="R5639" s="10">
        <v>0.628178376340447</v>
      </c>
      <c r="S5639" s="10">
        <v>0.02979817356625776</v>
      </c>
      <c r="T5639" s="10">
        <v>19.738739189252737</v>
      </c>
      <c r="U5639" s="11">
        <v>0.06867753280683267</v>
      </c>
      <c r="V5639" s="11">
        <v>0.1430386222479842</v>
      </c>
      <c r="W5639" s="11">
        <v>0.22199980588622995</v>
      </c>
      <c r="X5639" s="11">
        <v>0.04924777562346819</v>
      </c>
      <c r="Y5639" s="11">
        <v>0.4026773508508555</v>
      </c>
      <c r="Z5639" s="11">
        <v>0.11435891258462964</v>
      </c>
    </row>
    <row r="5640" ht="22.5" customHeight="1">
      <c r="Q5640" s="9" t="s">
        <v>5678</v>
      </c>
      <c r="R5640" s="10">
        <v>0.676996077096226</v>
      </c>
      <c r="S5640" s="10">
        <v>0.032271864286963305</v>
      </c>
      <c r="T5640" s="10">
        <v>19.738434427959277</v>
      </c>
      <c r="U5640" s="11">
        <v>0.13762184645724415</v>
      </c>
      <c r="V5640" s="11">
        <v>0.2849949782399123</v>
      </c>
      <c r="W5640" s="11">
        <v>0.11565004792211875</v>
      </c>
      <c r="X5640" s="11">
        <v>0.13371601100351427</v>
      </c>
      <c r="Y5640" s="11">
        <v>0.10566782347245988</v>
      </c>
      <c r="Z5640" s="11">
        <v>0.22234929290475053</v>
      </c>
    </row>
    <row r="5641" ht="22.5" customHeight="1">
      <c r="Q5641" s="9" t="s">
        <v>5679</v>
      </c>
      <c r="R5641" s="10">
        <v>0.8957775412072444</v>
      </c>
      <c r="S5641" s="10">
        <v>0.0433569847120649</v>
      </c>
      <c r="T5641" s="10">
        <v>19.737939501339632</v>
      </c>
      <c r="U5641" s="11">
        <v>0.14449575904777076</v>
      </c>
      <c r="V5641" s="11">
        <v>0.37438376194146267</v>
      </c>
      <c r="W5641" s="11">
        <v>0.1768968980371439</v>
      </c>
      <c r="X5641" s="11">
        <v>0.16074534729494483</v>
      </c>
      <c r="Y5641" s="11">
        <v>0.13370563019852175</v>
      </c>
      <c r="Z5641" s="11">
        <v>0.00977260348015608</v>
      </c>
    </row>
    <row r="5642" ht="22.5" customHeight="1">
      <c r="Q5642" s="9" t="s">
        <v>5680</v>
      </c>
      <c r="R5642" s="10">
        <v>0.6367828766897022</v>
      </c>
      <c r="S5642" s="10">
        <v>0.03023692432204467</v>
      </c>
      <c r="T5642" s="10">
        <v>19.736890906414345</v>
      </c>
      <c r="U5642" s="11">
        <v>0.3612534137564923</v>
      </c>
      <c r="V5642" s="11">
        <v>0.11610372926251028</v>
      </c>
      <c r="W5642" s="11">
        <v>0.24501416382824504</v>
      </c>
      <c r="X5642" s="11">
        <v>0.1928238843493155</v>
      </c>
      <c r="Y5642" s="11">
        <v>0.08171262305681126</v>
      </c>
      <c r="Z5642" s="11">
        <v>0.003092185746625803</v>
      </c>
    </row>
    <row r="5643" ht="22.5" customHeight="1">
      <c r="Q5643" s="9" t="s">
        <v>5681</v>
      </c>
      <c r="R5643" s="10">
        <v>1.0839806776204979</v>
      </c>
      <c r="S5643" s="10">
        <v>0.05289504068909141</v>
      </c>
      <c r="T5643" s="10">
        <v>19.736834758419967</v>
      </c>
      <c r="U5643" s="11">
        <v>0.03975513015510985</v>
      </c>
      <c r="V5643" s="11">
        <v>0.35640837820536764</v>
      </c>
      <c r="W5643" s="11">
        <v>0.35564254350076097</v>
      </c>
      <c r="X5643" s="11">
        <v>0.10324612343906554</v>
      </c>
      <c r="Y5643" s="11">
        <v>0.025788591785596723</v>
      </c>
      <c r="Z5643" s="11">
        <v>0.11915923291409926</v>
      </c>
    </row>
    <row r="5644" ht="22.5" customHeight="1">
      <c r="Q5644" s="9" t="s">
        <v>5682</v>
      </c>
      <c r="R5644" s="10">
        <v>0.893438014018744</v>
      </c>
      <c r="S5644" s="10">
        <v>0.04324151061100544</v>
      </c>
      <c r="T5644" s="10">
        <v>19.736544860704626</v>
      </c>
      <c r="U5644" s="11">
        <v>0.02670957991793998</v>
      </c>
      <c r="V5644" s="11">
        <v>0.2670206499687008</v>
      </c>
      <c r="W5644" s="11">
        <v>0.3009583597704204</v>
      </c>
      <c r="X5644" s="11">
        <v>0.0023037723933678807</v>
      </c>
      <c r="Y5644" s="11">
        <v>0.3316656535332978</v>
      </c>
      <c r="Z5644" s="11">
        <v>0.07134198441627314</v>
      </c>
    </row>
    <row r="5645" ht="22.5" customHeight="1">
      <c r="Q5645" s="9" t="s">
        <v>5683</v>
      </c>
      <c r="R5645" s="10">
        <v>0.8998617007614418</v>
      </c>
      <c r="S5645" s="10">
        <v>0.04356714078020695</v>
      </c>
      <c r="T5645" s="10">
        <v>19.736473070366984</v>
      </c>
      <c r="U5645" s="11">
        <v>0.024240430781560563</v>
      </c>
      <c r="V5645" s="11">
        <v>0.3848832437348773</v>
      </c>
      <c r="W5645" s="11">
        <v>0.1559571921868617</v>
      </c>
      <c r="X5645" s="11">
        <v>0.35136349187048166</v>
      </c>
      <c r="Y5645" s="11">
        <v>0.05147901499876124</v>
      </c>
      <c r="Z5645" s="11">
        <v>0.032076626427457386</v>
      </c>
    </row>
    <row r="5646" ht="22.5" customHeight="1">
      <c r="Q5646" s="9" t="s">
        <v>5684</v>
      </c>
      <c r="R5646" s="10">
        <v>0.5560494938903809</v>
      </c>
      <c r="S5646" s="10">
        <v>0.026147452408354886</v>
      </c>
      <c r="T5646" s="10">
        <v>19.736129005267365</v>
      </c>
      <c r="U5646" s="11">
        <v>0.22910022185121237</v>
      </c>
      <c r="V5646" s="11">
        <v>0.23311762115454518</v>
      </c>
      <c r="W5646" s="11">
        <v>0.07727081179932714</v>
      </c>
      <c r="X5646" s="11">
        <v>0.16275021088662817</v>
      </c>
      <c r="Y5646" s="11">
        <v>0.03618269511654812</v>
      </c>
      <c r="Z5646" s="11">
        <v>0.26157843919173895</v>
      </c>
    </row>
    <row r="5647" ht="22.5" customHeight="1">
      <c r="Q5647" s="9" t="s">
        <v>5685</v>
      </c>
      <c r="R5647" s="10">
        <v>0.6378567343814149</v>
      </c>
      <c r="S5647" s="10">
        <v>0.030292605588694725</v>
      </c>
      <c r="T5647" s="10">
        <v>19.73606174717887</v>
      </c>
      <c r="U5647" s="11">
        <v>0.23501899860955963</v>
      </c>
      <c r="V5647" s="11">
        <v>0.2678739450527371</v>
      </c>
      <c r="W5647" s="11">
        <v>0.09163593502547099</v>
      </c>
      <c r="X5647" s="11">
        <v>0.14181749381477787</v>
      </c>
      <c r="Y5647" s="11">
        <v>0.1983512719067752</v>
      </c>
      <c r="Z5647" s="11">
        <v>0.06530235559067922</v>
      </c>
    </row>
    <row r="5648" ht="22.5" customHeight="1">
      <c r="Q5648" s="9" t="s">
        <v>5686</v>
      </c>
      <c r="R5648" s="10">
        <v>0.7048651059737737</v>
      </c>
      <c r="S5648" s="10">
        <v>0.03368864562334444</v>
      </c>
      <c r="T5648" s="10">
        <v>19.7355843095413</v>
      </c>
      <c r="U5648" s="11">
        <v>0.14662157802975617</v>
      </c>
      <c r="V5648" s="11">
        <v>0.20693091981835107</v>
      </c>
      <c r="W5648" s="11">
        <v>0.23912516205504528</v>
      </c>
      <c r="X5648" s="11">
        <v>0.015023235410064137</v>
      </c>
      <c r="Y5648" s="11">
        <v>0.02874376502416161</v>
      </c>
      <c r="Z5648" s="11">
        <v>0.36355533966262166</v>
      </c>
    </row>
    <row r="5649" ht="22.5" customHeight="1">
      <c r="Q5649" s="9" t="s">
        <v>5687</v>
      </c>
      <c r="R5649" s="10">
        <v>0.6236375661392218</v>
      </c>
      <c r="S5649" s="10">
        <v>0.029574298621506626</v>
      </c>
      <c r="T5649" s="10">
        <v>19.734620712688574</v>
      </c>
      <c r="U5649" s="11">
        <v>0.06763052511904905</v>
      </c>
      <c r="V5649" s="11">
        <v>0.26085288247620814</v>
      </c>
      <c r="W5649" s="11">
        <v>0.09336072108479813</v>
      </c>
      <c r="X5649" s="11">
        <v>0.13563624361285712</v>
      </c>
      <c r="Y5649" s="11">
        <v>0.2679722950096054</v>
      </c>
      <c r="Z5649" s="11">
        <v>0.17454733269748207</v>
      </c>
    </row>
    <row r="5650" ht="22.5" customHeight="1">
      <c r="Q5650" s="9" t="s">
        <v>5688</v>
      </c>
      <c r="R5650" s="10">
        <v>0.865430122703526</v>
      </c>
      <c r="S5650" s="10">
        <v>0.041826576290902064</v>
      </c>
      <c r="T5650" s="10">
        <v>19.73458494337893</v>
      </c>
      <c r="U5650" s="11">
        <v>0.06880878814774807</v>
      </c>
      <c r="V5650" s="11">
        <v>0.2543480212893287</v>
      </c>
      <c r="W5650" s="11">
        <v>0.30240607424141513</v>
      </c>
      <c r="X5650" s="11">
        <v>0.08829307099172914</v>
      </c>
      <c r="Y5650" s="11">
        <v>0.023613548696010962</v>
      </c>
      <c r="Z5650" s="11">
        <v>0.26253049663376793</v>
      </c>
    </row>
    <row r="5651" ht="22.5" customHeight="1">
      <c r="Q5651" s="9" t="s">
        <v>5689</v>
      </c>
      <c r="R5651" s="10">
        <v>0.8927020095953873</v>
      </c>
      <c r="S5651" s="10">
        <v>0.043208764323924884</v>
      </c>
      <c r="T5651" s="10">
        <v>19.734468757377595</v>
      </c>
      <c r="U5651" s="11">
        <v>0.0501066837175945</v>
      </c>
      <c r="V5651" s="11">
        <v>0.27322472593283464</v>
      </c>
      <c r="W5651" s="11">
        <v>0.3022004726596337</v>
      </c>
      <c r="X5651" s="11">
        <v>0.02311770820347411</v>
      </c>
      <c r="Y5651" s="11">
        <v>0.16298306430270557</v>
      </c>
      <c r="Z5651" s="11">
        <v>0.18836734518375742</v>
      </c>
    </row>
    <row r="5652" ht="22.5" customHeight="1">
      <c r="Q5652" s="9" t="s">
        <v>5690</v>
      </c>
      <c r="R5652" s="10">
        <v>0.537016027182279</v>
      </c>
      <c r="S5652" s="10">
        <v>0.02518542774191744</v>
      </c>
      <c r="T5652" s="10">
        <v>19.73426984347258</v>
      </c>
      <c r="U5652" s="11">
        <v>0.19183088740534793</v>
      </c>
      <c r="V5652" s="11">
        <v>0.2249168657194154</v>
      </c>
      <c r="W5652" s="11">
        <v>0.07094592774509442</v>
      </c>
      <c r="X5652" s="11">
        <v>0.14879997318258686</v>
      </c>
      <c r="Y5652" s="11">
        <v>0.10183388066986038</v>
      </c>
      <c r="Z5652" s="11">
        <v>0.26167246527769483</v>
      </c>
    </row>
    <row r="5653" ht="22.5" customHeight="1">
      <c r="Q5653" s="9" t="s">
        <v>5691</v>
      </c>
      <c r="R5653" s="10">
        <v>0.8264330147404102</v>
      </c>
      <c r="S5653" s="10">
        <v>0.03985178662115789</v>
      </c>
      <c r="T5653" s="10">
        <v>19.733946239762346</v>
      </c>
      <c r="U5653" s="11">
        <v>0.04346528301795655</v>
      </c>
      <c r="V5653" s="11">
        <v>0.236571979522791</v>
      </c>
      <c r="W5653" s="11">
        <v>0.2886960328104749</v>
      </c>
      <c r="X5653" s="11">
        <v>0.03513964791295679</v>
      </c>
      <c r="Y5653" s="11">
        <v>0.18933784743831003</v>
      </c>
      <c r="Z5653" s="11">
        <v>0.20678920929751057</v>
      </c>
    </row>
    <row r="5654" ht="22.5" customHeight="1">
      <c r="Q5654" s="9" t="s">
        <v>5692</v>
      </c>
      <c r="R5654" s="10">
        <v>0.4328459682653115</v>
      </c>
      <c r="S5654" s="10">
        <v>0.019907495964777304</v>
      </c>
      <c r="T5654" s="10">
        <v>19.73357015670786</v>
      </c>
      <c r="U5654" s="11">
        <v>0.3159299344959829</v>
      </c>
      <c r="V5654" s="11">
        <v>0.07428899293835416</v>
      </c>
      <c r="W5654" s="11">
        <v>0.15014412778490435</v>
      </c>
      <c r="X5654" s="11">
        <v>0.06053745103896429</v>
      </c>
      <c r="Y5654" s="11">
        <v>0.20089280112281205</v>
      </c>
      <c r="Z5654" s="11">
        <v>0.19820669261898236</v>
      </c>
    </row>
    <row r="5655" ht="22.5" customHeight="1">
      <c r="Q5655" s="9" t="s">
        <v>5693</v>
      </c>
      <c r="R5655" s="10">
        <v>0.48165958661291886</v>
      </c>
      <c r="S5655" s="10">
        <v>0.02238177698708493</v>
      </c>
      <c r="T5655" s="10">
        <v>19.732999165695016</v>
      </c>
      <c r="U5655" s="11">
        <v>0.1859002953169786</v>
      </c>
      <c r="V5655" s="11">
        <v>0.1984621680272517</v>
      </c>
      <c r="W5655" s="11">
        <v>0.03694910920935555</v>
      </c>
      <c r="X5655" s="11">
        <v>0.26229519328364903</v>
      </c>
      <c r="Y5655" s="11">
        <v>0.18582660918552465</v>
      </c>
      <c r="Z5655" s="11">
        <v>0.13056662497724045</v>
      </c>
    </row>
    <row r="5656" ht="22.5" customHeight="1">
      <c r="Q5656" s="9" t="s">
        <v>5694</v>
      </c>
      <c r="R5656" s="10">
        <v>0.7058537331167782</v>
      </c>
      <c r="S5656" s="10">
        <v>0.03374500511614674</v>
      </c>
      <c r="T5656" s="10">
        <v>19.731919755975145</v>
      </c>
      <c r="U5656" s="11">
        <v>0.1725919371396354</v>
      </c>
      <c r="V5656" s="11">
        <v>0.1551414202642199</v>
      </c>
      <c r="W5656" s="11">
        <v>0.269100727578969</v>
      </c>
      <c r="X5656" s="11">
        <v>0.16174621266465292</v>
      </c>
      <c r="Y5656" s="11">
        <v>0.0845831457297271</v>
      </c>
      <c r="Z5656" s="11">
        <v>0.15683655662279555</v>
      </c>
    </row>
    <row r="5657" ht="22.5" customHeight="1">
      <c r="Q5657" s="9" t="s">
        <v>5695</v>
      </c>
      <c r="R5657" s="10">
        <v>0.3130633157266989</v>
      </c>
      <c r="S5657" s="10">
        <v>0.013838894041010113</v>
      </c>
      <c r="T5657" s="10">
        <v>19.73158511926635</v>
      </c>
      <c r="U5657" s="11">
        <v>0.05774590890729732</v>
      </c>
      <c r="V5657" s="11">
        <v>0.10495148651143382</v>
      </c>
      <c r="W5657" s="11">
        <v>0.012833317982206018</v>
      </c>
      <c r="X5657" s="11">
        <v>0.24744968772863923</v>
      </c>
      <c r="Y5657" s="11">
        <v>0.2822914209059044</v>
      </c>
      <c r="Z5657" s="11">
        <v>0.2947281779645193</v>
      </c>
    </row>
    <row r="5658" ht="22.5" customHeight="1">
      <c r="Q5658" s="9" t="s">
        <v>5696</v>
      </c>
      <c r="R5658" s="10">
        <v>0.842846751652105</v>
      </c>
      <c r="S5658" s="10">
        <v>0.04068924273519799</v>
      </c>
      <c r="T5658" s="10">
        <v>19.73117948832228</v>
      </c>
      <c r="U5658" s="11">
        <v>0.09467032299900438</v>
      </c>
      <c r="V5658" s="11">
        <v>0.19065100217950257</v>
      </c>
      <c r="W5658" s="11">
        <v>0.3229127027182361</v>
      </c>
      <c r="X5658" s="11">
        <v>0.2265012097659567</v>
      </c>
      <c r="Y5658" s="11">
        <v>0.1580299991375707</v>
      </c>
      <c r="Z5658" s="11">
        <v>0.0072347631997297344</v>
      </c>
    </row>
    <row r="5659" ht="22.5" customHeight="1">
      <c r="Q5659" s="9" t="s">
        <v>5697</v>
      </c>
      <c r="R5659" s="10">
        <v>0.6726790076223326</v>
      </c>
      <c r="S5659" s="10">
        <v>0.032066460328477334</v>
      </c>
      <c r="T5659" s="10">
        <v>19.73024154026966</v>
      </c>
      <c r="U5659" s="11">
        <v>0.2268259928927824</v>
      </c>
      <c r="V5659" s="11">
        <v>0.1531132313745343</v>
      </c>
      <c r="W5659" s="11">
        <v>0.24695943895001135</v>
      </c>
      <c r="X5659" s="11">
        <v>0.05088012488308321</v>
      </c>
      <c r="Y5659" s="11">
        <v>0.24456032278557116</v>
      </c>
      <c r="Z5659" s="11">
        <v>0.07766088911401761</v>
      </c>
    </row>
    <row r="5660" ht="22.5" customHeight="1">
      <c r="Q5660" s="9" t="s">
        <v>5698</v>
      </c>
      <c r="R5660" s="10">
        <v>0.5151944346137223</v>
      </c>
      <c r="S5660" s="10">
        <v>0.024084588152341664</v>
      </c>
      <c r="T5660" s="10">
        <v>19.730228792287683</v>
      </c>
      <c r="U5660" s="11">
        <v>0.2111850311662499</v>
      </c>
      <c r="V5660" s="11">
        <v>0.2118806169258366</v>
      </c>
      <c r="W5660" s="11">
        <v>0.0691642869422442</v>
      </c>
      <c r="X5660" s="11">
        <v>0.09733820651528363</v>
      </c>
      <c r="Y5660" s="11">
        <v>0.17317278459332824</v>
      </c>
      <c r="Z5660" s="11">
        <v>0.2372590738570574</v>
      </c>
    </row>
    <row r="5661" ht="22.5" customHeight="1">
      <c r="Q5661" s="9" t="s">
        <v>5699</v>
      </c>
      <c r="R5661" s="10">
        <v>0.7864142647016356</v>
      </c>
      <c r="S5661" s="10">
        <v>0.037832798354936005</v>
      </c>
      <c r="T5661" s="10">
        <v>19.7292903818269</v>
      </c>
      <c r="U5661" s="11">
        <v>0.03812774079217043</v>
      </c>
      <c r="V5661" s="11">
        <v>0.31183784132503933</v>
      </c>
      <c r="W5661" s="11">
        <v>0.18526927373223245</v>
      </c>
      <c r="X5661" s="11">
        <v>0.03539758483166069</v>
      </c>
      <c r="Y5661" s="11">
        <v>0.12388095296597346</v>
      </c>
      <c r="Z5661" s="11">
        <v>0.30548660635292363</v>
      </c>
    </row>
    <row r="5662" ht="22.5" customHeight="1">
      <c r="Q5662" s="9" t="s">
        <v>5700</v>
      </c>
      <c r="R5662" s="10">
        <v>0.43251599820933045</v>
      </c>
      <c r="S5662" s="10">
        <v>0.019895166424952333</v>
      </c>
      <c r="T5662" s="10">
        <v>19.729214112883245</v>
      </c>
      <c r="U5662" s="11">
        <v>0.25311942648198155</v>
      </c>
      <c r="V5662" s="11">
        <v>0.05028938116253663</v>
      </c>
      <c r="W5662" s="11">
        <v>0.16103229912738806</v>
      </c>
      <c r="X5662" s="11">
        <v>0.24496920470519007</v>
      </c>
      <c r="Y5662" s="11">
        <v>0.10280994998291514</v>
      </c>
      <c r="Z5662" s="11">
        <v>0.18777973853998867</v>
      </c>
    </row>
    <row r="5663" ht="22.5" customHeight="1">
      <c r="Q5663" s="9" t="s">
        <v>5701</v>
      </c>
      <c r="R5663" s="10">
        <v>0.25183439308507777</v>
      </c>
      <c r="S5663" s="10">
        <v>0.010737204059585875</v>
      </c>
      <c r="T5663" s="10">
        <v>19.72900877262903</v>
      </c>
      <c r="U5663" s="11">
        <v>0.41324859431227845</v>
      </c>
      <c r="V5663" s="11">
        <v>0.027937910684510778</v>
      </c>
      <c r="W5663" s="11">
        <v>0.02652666162848958</v>
      </c>
      <c r="X5663" s="11">
        <v>0.3518932457246369</v>
      </c>
      <c r="Y5663" s="11">
        <v>0.128932728132072</v>
      </c>
      <c r="Z5663" s="11">
        <v>0.05146085951801242</v>
      </c>
    </row>
    <row r="5664" ht="22.5" customHeight="1">
      <c r="Q5664" s="9" t="s">
        <v>5702</v>
      </c>
      <c r="R5664" s="10">
        <v>0.6854303070060899</v>
      </c>
      <c r="S5664" s="10">
        <v>0.03271511154010471</v>
      </c>
      <c r="T5664" s="10">
        <v>19.728812668569738</v>
      </c>
      <c r="U5664" s="11">
        <v>0.20114253409888597</v>
      </c>
      <c r="V5664" s="11">
        <v>0.2865730276859087</v>
      </c>
      <c r="W5664" s="11">
        <v>0.11782629256826029</v>
      </c>
      <c r="X5664" s="11">
        <v>0.09787154215166106</v>
      </c>
      <c r="Y5664" s="11">
        <v>0.1564483830690868</v>
      </c>
      <c r="Z5664" s="11">
        <v>0.1401382204261972</v>
      </c>
    </row>
    <row r="5665" ht="22.5" customHeight="1">
      <c r="Q5665" s="9" t="s">
        <v>5703</v>
      </c>
      <c r="R5665" s="10">
        <v>0.5864122754361105</v>
      </c>
      <c r="S5665" s="10">
        <v>0.027697613636727885</v>
      </c>
      <c r="T5665" s="10">
        <v>19.727774479154082</v>
      </c>
      <c r="U5665" s="11">
        <v>0.21105821845401723</v>
      </c>
      <c r="V5665" s="11">
        <v>0.10040690962741887</v>
      </c>
      <c r="W5665" s="11">
        <v>0.22512222678035912</v>
      </c>
      <c r="X5665" s="11">
        <v>0.18560259974106955</v>
      </c>
      <c r="Y5665" s="11">
        <v>0.19647763222911602</v>
      </c>
      <c r="Z5665" s="11">
        <v>0.0813324131680192</v>
      </c>
    </row>
    <row r="5666" ht="22.5" customHeight="1">
      <c r="Q5666" s="9" t="s">
        <v>5704</v>
      </c>
      <c r="R5666" s="10">
        <v>1.0123691886515012</v>
      </c>
      <c r="S5666" s="10">
        <v>0.04928982297757729</v>
      </c>
      <c r="T5666" s="10">
        <v>19.7275853292037</v>
      </c>
      <c r="U5666" s="11">
        <v>0.19739631466751684</v>
      </c>
      <c r="V5666" s="11">
        <v>0.31913152383803867</v>
      </c>
      <c r="W5666" s="11">
        <v>0.3402838579990505</v>
      </c>
      <c r="X5666" s="11">
        <v>0.04515341826167162</v>
      </c>
      <c r="Y5666" s="11">
        <v>0.03875316330665085</v>
      </c>
      <c r="Z5666" s="11">
        <v>0.05928172192707135</v>
      </c>
    </row>
    <row r="5667" ht="22.5" customHeight="1">
      <c r="Q5667" s="9" t="s">
        <v>5705</v>
      </c>
      <c r="R5667" s="10">
        <v>0.6147278076540564</v>
      </c>
      <c r="S5667" s="10">
        <v>0.029133218620534564</v>
      </c>
      <c r="T5667" s="10">
        <v>19.727576796096233</v>
      </c>
      <c r="U5667" s="11">
        <v>0.11187399656825282</v>
      </c>
      <c r="V5667" s="11">
        <v>0.13669373201035948</v>
      </c>
      <c r="W5667" s="11">
        <v>0.22958023239928083</v>
      </c>
      <c r="X5667" s="11">
        <v>0.1102403133914465</v>
      </c>
      <c r="Y5667" s="11">
        <v>0.1113918599461073</v>
      </c>
      <c r="Z5667" s="11">
        <v>0.30021986568455317</v>
      </c>
    </row>
    <row r="5668" ht="22.5" customHeight="1">
      <c r="Q5668" s="9" t="s">
        <v>5706</v>
      </c>
      <c r="R5668" s="10">
        <v>0.3084760589889287</v>
      </c>
      <c r="S5668" s="10">
        <v>0.013609235237403658</v>
      </c>
      <c r="T5668" s="10">
        <v>19.727490509609858</v>
      </c>
      <c r="U5668" s="11">
        <v>0.272733192631555</v>
      </c>
      <c r="V5668" s="11">
        <v>0.10326677410408718</v>
      </c>
      <c r="W5668" s="11">
        <v>0.019456444505961783</v>
      </c>
      <c r="X5668" s="11">
        <v>0.15149215418796408</v>
      </c>
      <c r="Y5668" s="11">
        <v>0.18546582135593906</v>
      </c>
      <c r="Z5668" s="11">
        <v>0.2675856132144929</v>
      </c>
    </row>
    <row r="5669" ht="22.5" customHeight="1">
      <c r="Q5669" s="9" t="s">
        <v>5707</v>
      </c>
      <c r="R5669" s="10">
        <v>0.5761128984486243</v>
      </c>
      <c r="S5669" s="10">
        <v>0.027178959759918717</v>
      </c>
      <c r="T5669" s="10">
        <v>19.725291298279902</v>
      </c>
      <c r="U5669" s="11">
        <v>0.14489173864826493</v>
      </c>
      <c r="V5669" s="11">
        <v>0.12397572916541208</v>
      </c>
      <c r="W5669" s="11">
        <v>0.2116654006794911</v>
      </c>
      <c r="X5669" s="11">
        <v>0.06464335492487179</v>
      </c>
      <c r="Y5669" s="11">
        <v>0.20875677707869594</v>
      </c>
      <c r="Z5669" s="11">
        <v>0.24606699950326413</v>
      </c>
    </row>
    <row r="5670" ht="22.5" customHeight="1">
      <c r="Q5670" s="9" t="s">
        <v>5708</v>
      </c>
      <c r="R5670" s="10">
        <v>0.6144322655807988</v>
      </c>
      <c r="S5670" s="10">
        <v>0.029123327548598386</v>
      </c>
      <c r="T5670" s="10">
        <v>19.72412886618941</v>
      </c>
      <c r="U5670" s="11">
        <v>0.1415289047723488</v>
      </c>
      <c r="V5670" s="11">
        <v>0.14732275273734588</v>
      </c>
      <c r="W5670" s="11">
        <v>0.22393482145908947</v>
      </c>
      <c r="X5670" s="11">
        <v>0.061946225484114104</v>
      </c>
      <c r="Y5670" s="11">
        <v>0.09930760592527052</v>
      </c>
      <c r="Z5670" s="11">
        <v>0.3259596896218313</v>
      </c>
    </row>
    <row r="5671" ht="22.5" customHeight="1">
      <c r="Q5671" s="9" t="s">
        <v>5709</v>
      </c>
      <c r="R5671" s="10">
        <v>0.6676799063127369</v>
      </c>
      <c r="S5671" s="10">
        <v>0.03182390899416056</v>
      </c>
      <c r="T5671" s="10">
        <v>19.72353259393468</v>
      </c>
      <c r="U5671" s="11">
        <v>0.19698148098796214</v>
      </c>
      <c r="V5671" s="11">
        <v>0.2860250067737073</v>
      </c>
      <c r="W5671" s="11">
        <v>0.09379467722574573</v>
      </c>
      <c r="X5671" s="11">
        <v>0.24127965359246278</v>
      </c>
      <c r="Y5671" s="11">
        <v>0.05524117385602928</v>
      </c>
      <c r="Z5671" s="11">
        <v>0.12667800756409278</v>
      </c>
    </row>
    <row r="5672" ht="22.5" customHeight="1">
      <c r="Q5672" s="9" t="s">
        <v>5710</v>
      </c>
      <c r="R5672" s="10">
        <v>0.7110532975455078</v>
      </c>
      <c r="S5672" s="10">
        <v>0.0340242844771686</v>
      </c>
      <c r="T5672" s="10">
        <v>19.722774713919595</v>
      </c>
      <c r="U5672" s="11">
        <v>0.03343756121852265</v>
      </c>
      <c r="V5672" s="11">
        <v>0.15185548411355212</v>
      </c>
      <c r="W5672" s="11">
        <v>0.27397080131000184</v>
      </c>
      <c r="X5672" s="11">
        <v>0.274898398254053</v>
      </c>
      <c r="Y5672" s="11">
        <v>0.01416853985336122</v>
      </c>
      <c r="Z5672" s="11">
        <v>0.25166921525050917</v>
      </c>
    </row>
    <row r="5673" ht="22.5" customHeight="1">
      <c r="Q5673" s="9" t="s">
        <v>5711</v>
      </c>
      <c r="R5673" s="10">
        <v>0.9675915465326533</v>
      </c>
      <c r="S5673" s="10">
        <v>0.04703272424169678</v>
      </c>
      <c r="T5673" s="10">
        <v>19.722258522934947</v>
      </c>
      <c r="U5673" s="11">
        <v>0.05252757784361642</v>
      </c>
      <c r="V5673" s="11">
        <v>0.26925493600712</v>
      </c>
      <c r="W5673" s="11">
        <v>0.3515288317626449</v>
      </c>
      <c r="X5673" s="11">
        <v>0.18596270936154213</v>
      </c>
      <c r="Y5673" s="11">
        <v>2.828086651709882E-4</v>
      </c>
      <c r="Z5673" s="11">
        <v>0.1404431363599057</v>
      </c>
    </row>
    <row r="5674" ht="22.5" customHeight="1">
      <c r="Q5674" s="9" t="s">
        <v>5712</v>
      </c>
      <c r="R5674" s="10">
        <v>0.5057161165937986</v>
      </c>
      <c r="S5674" s="10">
        <v>0.023613820135208616</v>
      </c>
      <c r="T5674" s="10">
        <v>19.722184463470516</v>
      </c>
      <c r="U5674" s="11">
        <v>0.3069623790173736</v>
      </c>
      <c r="V5674" s="11">
        <v>0.09411462458040158</v>
      </c>
      <c r="W5674" s="11">
        <v>0.1796384423455455</v>
      </c>
      <c r="X5674" s="11">
        <v>0.05115198800657564</v>
      </c>
      <c r="Y5674" s="11">
        <v>0.2705557928186022</v>
      </c>
      <c r="Z5674" s="11">
        <v>0.09757677323150142</v>
      </c>
    </row>
    <row r="5675" ht="22.5" customHeight="1">
      <c r="Q5675" s="9" t="s">
        <v>5713</v>
      </c>
      <c r="R5675" s="10">
        <v>0.8074751338200561</v>
      </c>
      <c r="S5675" s="10">
        <v>0.03891508576020551</v>
      </c>
      <c r="T5675" s="10">
        <v>19.721789604916523</v>
      </c>
      <c r="U5675" s="11">
        <v>0.014578381264195245</v>
      </c>
      <c r="V5675" s="11">
        <v>0.1797271645045684</v>
      </c>
      <c r="W5675" s="11">
        <v>0.3113513192940398</v>
      </c>
      <c r="X5675" s="11">
        <v>0.2906303002034583</v>
      </c>
      <c r="Y5675" s="11">
        <v>0.059136322512404464</v>
      </c>
      <c r="Z5675" s="11">
        <v>0.14457651222133389</v>
      </c>
    </row>
    <row r="5676" ht="22.5" customHeight="1">
      <c r="Q5676" s="9" t="s">
        <v>5714</v>
      </c>
      <c r="R5676" s="10">
        <v>1.0347502963607746</v>
      </c>
      <c r="S5676" s="10">
        <v>0.050439627370042796</v>
      </c>
      <c r="T5676" s="10">
        <v>19.721602799777596</v>
      </c>
      <c r="U5676" s="11">
        <v>0.03729784103532423</v>
      </c>
      <c r="V5676" s="11">
        <v>0.363518923978782</v>
      </c>
      <c r="W5676" s="11">
        <v>0.3142694802625585</v>
      </c>
      <c r="X5676" s="11">
        <v>0.01823270233985657</v>
      </c>
      <c r="Y5676" s="11">
        <v>0.15080723428158452</v>
      </c>
      <c r="Z5676" s="11">
        <v>0.11587381810189412</v>
      </c>
    </row>
    <row r="5677" ht="22.5" customHeight="1">
      <c r="Q5677" s="9" t="s">
        <v>5715</v>
      </c>
      <c r="R5677" s="10">
        <v>0.857905030432687</v>
      </c>
      <c r="S5677" s="10">
        <v>0.041474019841482454</v>
      </c>
      <c r="T5677" s="10">
        <v>19.72090078460674</v>
      </c>
      <c r="U5677" s="11">
        <v>0.14111587508528195</v>
      </c>
      <c r="V5677" s="11">
        <v>0.2409717802519318</v>
      </c>
      <c r="W5677" s="11">
        <v>0.30616541472293585</v>
      </c>
      <c r="X5677" s="11">
        <v>0.06955563835087673</v>
      </c>
      <c r="Y5677" s="11">
        <v>0.06888603492122794</v>
      </c>
      <c r="Z5677" s="11">
        <v>0.17330525666774566</v>
      </c>
    </row>
    <row r="5678" ht="22.5" customHeight="1">
      <c r="Q5678" s="9" t="s">
        <v>5716</v>
      </c>
      <c r="R5678" s="10">
        <v>0.5614496446452374</v>
      </c>
      <c r="S5678" s="10">
        <v>0.026441905717724964</v>
      </c>
      <c r="T5678" s="10">
        <v>19.7205772614071</v>
      </c>
      <c r="U5678" s="11">
        <v>0.12439838930891706</v>
      </c>
      <c r="V5678" s="11">
        <v>0.23843671273248315</v>
      </c>
      <c r="W5678" s="11">
        <v>0.06259047006603535</v>
      </c>
      <c r="X5678" s="11">
        <v>0.2346714741983212</v>
      </c>
      <c r="Y5678" s="11">
        <v>0.1611478887743122</v>
      </c>
      <c r="Z5678" s="11">
        <v>0.17875506491993093</v>
      </c>
    </row>
    <row r="5679" ht="22.5" customHeight="1">
      <c r="Q5679" s="9" t="s">
        <v>5717</v>
      </c>
      <c r="R5679" s="10">
        <v>0.5084027459540561</v>
      </c>
      <c r="S5679" s="10">
        <v>0.023752000084739322</v>
      </c>
      <c r="T5679" s="10">
        <v>19.720560133165595</v>
      </c>
      <c r="U5679" s="11">
        <v>0.08275389461367597</v>
      </c>
      <c r="V5679" s="11">
        <v>0.10267500482963444</v>
      </c>
      <c r="W5679" s="11">
        <v>0.1798440518890877</v>
      </c>
      <c r="X5679" s="11">
        <v>0.0587676985636002</v>
      </c>
      <c r="Y5679" s="11">
        <v>0.324569642838578</v>
      </c>
      <c r="Z5679" s="11">
        <v>0.25138970726542376</v>
      </c>
    </row>
    <row r="5680" ht="22.5" customHeight="1">
      <c r="Q5680" s="9" t="s">
        <v>5718</v>
      </c>
      <c r="R5680" s="10">
        <v>0.6079534948557455</v>
      </c>
      <c r="S5680" s="10">
        <v>0.028800650389075685</v>
      </c>
      <c r="T5680" s="10">
        <v>19.720162120754562</v>
      </c>
      <c r="U5680" s="11">
        <v>0.056460509263041296</v>
      </c>
      <c r="V5680" s="11">
        <v>0.25130859778141457</v>
      </c>
      <c r="W5680" s="11">
        <v>0.10174897402414124</v>
      </c>
      <c r="X5680" s="11">
        <v>0.08029138914926127</v>
      </c>
      <c r="Y5680" s="11">
        <v>0.24182798982816225</v>
      </c>
      <c r="Z5680" s="11">
        <v>0.2683625399539794</v>
      </c>
    </row>
    <row r="5681" ht="22.5" customHeight="1">
      <c r="Q5681" s="9" t="s">
        <v>5719</v>
      </c>
      <c r="R5681" s="10">
        <v>0.3657922714763581</v>
      </c>
      <c r="S5681" s="10">
        <v>0.016520795065278263</v>
      </c>
      <c r="T5681" s="10">
        <v>19.720132729028</v>
      </c>
      <c r="U5681" s="11">
        <v>0.23041467756605208</v>
      </c>
      <c r="V5681" s="11">
        <v>0.13865540082806513</v>
      </c>
      <c r="W5681" s="11">
        <v>0.018269544570224512</v>
      </c>
      <c r="X5681" s="11">
        <v>0.22411034789414466</v>
      </c>
      <c r="Y5681" s="11">
        <v>0.1696433694282299</v>
      </c>
      <c r="Z5681" s="11">
        <v>0.21890665971328363</v>
      </c>
    </row>
    <row r="5682" ht="22.5" customHeight="1">
      <c r="Q5682" s="9" t="s">
        <v>5720</v>
      </c>
      <c r="R5682" s="10">
        <v>0.7172196824974784</v>
      </c>
      <c r="S5682" s="10">
        <v>0.03434160297301541</v>
      </c>
      <c r="T5682" s="10">
        <v>19.720095274225173</v>
      </c>
      <c r="U5682" s="11">
        <v>0.12950676069587838</v>
      </c>
      <c r="V5682" s="11">
        <v>0.15922224839460203</v>
      </c>
      <c r="W5682" s="11">
        <v>0.27187962803594157</v>
      </c>
      <c r="X5682" s="11">
        <v>0.13685029193135154</v>
      </c>
      <c r="Y5682" s="11">
        <v>0.17988229125165212</v>
      </c>
      <c r="Z5682" s="11">
        <v>0.12265877969057426</v>
      </c>
    </row>
    <row r="5683" ht="22.5" customHeight="1">
      <c r="Q5683" s="9" t="s">
        <v>5721</v>
      </c>
      <c r="R5683" s="10">
        <v>0.6085718713623964</v>
      </c>
      <c r="S5683" s="10">
        <v>0.028832117380182713</v>
      </c>
      <c r="T5683" s="10">
        <v>19.720087285479597</v>
      </c>
      <c r="U5683" s="11">
        <v>0.06239177328955231</v>
      </c>
      <c r="V5683" s="11">
        <v>0.12312741037722912</v>
      </c>
      <c r="W5683" s="11">
        <v>0.23288966962494415</v>
      </c>
      <c r="X5683" s="11">
        <v>0.21843480679258456</v>
      </c>
      <c r="Y5683" s="11">
        <v>0.037950296312975494</v>
      </c>
      <c r="Z5683" s="11">
        <v>0.3252060436027145</v>
      </c>
    </row>
    <row r="5684" ht="22.5" customHeight="1">
      <c r="Q5684" s="9" t="s">
        <v>5722</v>
      </c>
      <c r="R5684" s="10">
        <v>0.590644574196484</v>
      </c>
      <c r="S5684" s="10">
        <v>0.027924193890349832</v>
      </c>
      <c r="T5684" s="10">
        <v>19.719264819557715</v>
      </c>
      <c r="U5684" s="11">
        <v>0.2384078722049369</v>
      </c>
      <c r="V5684" s="11">
        <v>0.244947795331274</v>
      </c>
      <c r="W5684" s="11">
        <v>0.08046191276621142</v>
      </c>
      <c r="X5684" s="11">
        <v>0.11757615504989857</v>
      </c>
      <c r="Y5684" s="11">
        <v>0.24652784182305565</v>
      </c>
      <c r="Z5684" s="11">
        <v>0.07207842282462358</v>
      </c>
    </row>
    <row r="5685" ht="22.5" customHeight="1">
      <c r="Q5685" s="9" t="s">
        <v>5723</v>
      </c>
      <c r="R5685" s="10">
        <v>0.41453997746404014</v>
      </c>
      <c r="S5685" s="10">
        <v>0.0189937885894972</v>
      </c>
      <c r="T5685" s="10">
        <v>19.719076881330864</v>
      </c>
      <c r="U5685" s="11">
        <v>0.21202716733599117</v>
      </c>
      <c r="V5685" s="11">
        <v>0.15977055663514317</v>
      </c>
      <c r="W5685" s="11">
        <v>0.034095900359863034</v>
      </c>
      <c r="X5685" s="11">
        <v>0.1519963146138043</v>
      </c>
      <c r="Y5685" s="11">
        <v>0.2863972501781493</v>
      </c>
      <c r="Z5685" s="11">
        <v>0.15571281087704902</v>
      </c>
    </row>
    <row r="5686" ht="22.5" customHeight="1">
      <c r="Q5686" s="9" t="s">
        <v>5724</v>
      </c>
      <c r="R5686" s="10">
        <v>0.7751267938219152</v>
      </c>
      <c r="S5686" s="10">
        <v>0.03728010647927245</v>
      </c>
      <c r="T5686" s="10">
        <v>19.71901003637535</v>
      </c>
      <c r="U5686" s="11">
        <v>0.1442785807472364</v>
      </c>
      <c r="V5686" s="11">
        <v>0.19993875931046834</v>
      </c>
      <c r="W5686" s="11">
        <v>0.28373355931106176</v>
      </c>
      <c r="X5686" s="11">
        <v>0.07508280272566803</v>
      </c>
      <c r="Y5686" s="11">
        <v>0.11849904838427973</v>
      </c>
      <c r="Z5686" s="11">
        <v>0.17846724952128573</v>
      </c>
    </row>
    <row r="5687" ht="22.5" customHeight="1">
      <c r="Q5687" s="9" t="s">
        <v>5725</v>
      </c>
      <c r="R5687" s="10">
        <v>0.6220156379901665</v>
      </c>
      <c r="S5687" s="10">
        <v>0.029515968785917703</v>
      </c>
      <c r="T5687" s="10">
        <v>19.71866965341997</v>
      </c>
      <c r="U5687" s="11">
        <v>0.0223621726639099</v>
      </c>
      <c r="V5687" s="11">
        <v>0.1470098458951425</v>
      </c>
      <c r="W5687" s="11">
        <v>0.22249432516492668</v>
      </c>
      <c r="X5687" s="11">
        <v>0.047187063356989495</v>
      </c>
      <c r="Y5687" s="11">
        <v>0.3151474467447575</v>
      </c>
      <c r="Z5687" s="11">
        <v>0.24579914617427395</v>
      </c>
    </row>
    <row r="5688" ht="22.5" customHeight="1">
      <c r="Q5688" s="9" t="s">
        <v>5726</v>
      </c>
      <c r="R5688" s="10">
        <v>0.44145478967018265</v>
      </c>
      <c r="S5688" s="10">
        <v>0.020359337227214606</v>
      </c>
      <c r="T5688" s="10">
        <v>19.718460635032486</v>
      </c>
      <c r="U5688" s="11">
        <v>0.23377621837597204</v>
      </c>
      <c r="V5688" s="11">
        <v>0.08796406702183664</v>
      </c>
      <c r="W5688" s="11">
        <v>0.15482343249307798</v>
      </c>
      <c r="X5688" s="11">
        <v>0.058152872676656926</v>
      </c>
      <c r="Y5688" s="11">
        <v>0.09285604258514862</v>
      </c>
      <c r="Z5688" s="11">
        <v>0.3724273668473078</v>
      </c>
    </row>
    <row r="5689" ht="22.5" customHeight="1">
      <c r="Q5689" s="9" t="s">
        <v>5727</v>
      </c>
      <c r="R5689" s="10">
        <v>0.5738626584977785</v>
      </c>
      <c r="S5689" s="10">
        <v>0.027074908997284975</v>
      </c>
      <c r="T5689" s="10">
        <v>19.71798533288933</v>
      </c>
      <c r="U5689" s="11">
        <v>0.2668661570865373</v>
      </c>
      <c r="V5689" s="11">
        <v>0.243085898378831</v>
      </c>
      <c r="W5689" s="11">
        <v>0.06651877762344223</v>
      </c>
      <c r="X5689" s="11">
        <v>0.22953590726593295</v>
      </c>
      <c r="Y5689" s="11">
        <v>0.06931610499740455</v>
      </c>
      <c r="Z5689" s="11">
        <v>0.12467715464785181</v>
      </c>
    </row>
    <row r="5690" ht="22.5" customHeight="1">
      <c r="Q5690" s="9" t="s">
        <v>5728</v>
      </c>
      <c r="R5690" s="10">
        <v>0.5473539573136338</v>
      </c>
      <c r="S5690" s="10">
        <v>0.02573133611693942</v>
      </c>
      <c r="T5690" s="10">
        <v>19.717357661020685</v>
      </c>
      <c r="U5690" s="11">
        <v>0.02984294398495158</v>
      </c>
      <c r="V5690" s="11">
        <v>0.2265330869758603</v>
      </c>
      <c r="W5690" s="11">
        <v>0.08971154158747383</v>
      </c>
      <c r="X5690" s="11">
        <v>0.111966999941839</v>
      </c>
      <c r="Y5690" s="11">
        <v>0.113836825878168</v>
      </c>
      <c r="Z5690" s="11">
        <v>0.42810860163170733</v>
      </c>
    </row>
    <row r="5691" ht="22.5" customHeight="1">
      <c r="Q5691" s="9" t="s">
        <v>5729</v>
      </c>
      <c r="R5691" s="10">
        <v>0.4869278656752619</v>
      </c>
      <c r="S5691" s="10">
        <v>0.022667495281078934</v>
      </c>
      <c r="T5691" s="10">
        <v>19.716685065258297</v>
      </c>
      <c r="U5691" s="11">
        <v>0.17370354534456497</v>
      </c>
      <c r="V5691" s="11">
        <v>0.07234057139215813</v>
      </c>
      <c r="W5691" s="11">
        <v>0.18469470209818575</v>
      </c>
      <c r="X5691" s="11">
        <v>0.19567518428773786</v>
      </c>
      <c r="Y5691" s="11">
        <v>0.15972540918694522</v>
      </c>
      <c r="Z5691" s="11">
        <v>0.213860587690408</v>
      </c>
    </row>
    <row r="5692" ht="22.5" customHeight="1">
      <c r="Q5692" s="9" t="s">
        <v>5730</v>
      </c>
      <c r="R5692" s="10">
        <v>0.6175817513714856</v>
      </c>
      <c r="S5692" s="10">
        <v>0.029294073449882035</v>
      </c>
      <c r="T5692" s="10">
        <v>19.716675878472323</v>
      </c>
      <c r="U5692" s="11">
        <v>0.010831576588661478</v>
      </c>
      <c r="V5692" s="11">
        <v>0.25862934061189263</v>
      </c>
      <c r="W5692" s="11">
        <v>0.10274152278802165</v>
      </c>
      <c r="X5692" s="11">
        <v>0.1239276422125108</v>
      </c>
      <c r="Y5692" s="11">
        <v>0.17435709668992053</v>
      </c>
      <c r="Z5692" s="11">
        <v>0.3295128211089929</v>
      </c>
    </row>
    <row r="5693" ht="22.5" customHeight="1">
      <c r="Q5693" s="9" t="s">
        <v>5731</v>
      </c>
      <c r="R5693" s="10">
        <v>0.6186378453155505</v>
      </c>
      <c r="S5693" s="10">
        <v>0.02934771399333158</v>
      </c>
      <c r="T5693" s="10">
        <v>19.716624110723895</v>
      </c>
      <c r="U5693" s="11">
        <v>6.86697045995902E-4</v>
      </c>
      <c r="V5693" s="11">
        <v>0.2640825394873737</v>
      </c>
      <c r="W5693" s="11">
        <v>0.07992716678845457</v>
      </c>
      <c r="X5693" s="11">
        <v>0.24927863844179068</v>
      </c>
      <c r="Y5693" s="11">
        <v>0.19705685355746744</v>
      </c>
      <c r="Z5693" s="11">
        <v>0.2089681046789176</v>
      </c>
    </row>
    <row r="5694" ht="22.5" customHeight="1">
      <c r="Q5694" s="9" t="s">
        <v>5732</v>
      </c>
      <c r="R5694" s="10">
        <v>0.6745736105184218</v>
      </c>
      <c r="S5694" s="10">
        <v>0.032186245144308324</v>
      </c>
      <c r="T5694" s="10">
        <v>19.715676919543906</v>
      </c>
      <c r="U5694" s="11">
        <v>0.07006288058372347</v>
      </c>
      <c r="V5694" s="11">
        <v>0.2837474093017231</v>
      </c>
      <c r="W5694" s="11">
        <v>0.11223386943912547</v>
      </c>
      <c r="X5694" s="11">
        <v>0.12528964169003368</v>
      </c>
      <c r="Y5694" s="11">
        <v>0.21138075974031048</v>
      </c>
      <c r="Z5694" s="11">
        <v>0.19728543924508374</v>
      </c>
    </row>
    <row r="5695" ht="22.5" customHeight="1">
      <c r="Q5695" s="9" t="s">
        <v>5733</v>
      </c>
      <c r="R5695" s="10">
        <v>0.8635311146434381</v>
      </c>
      <c r="S5695" s="10">
        <v>0.0417705114591399</v>
      </c>
      <c r="T5695" s="10">
        <v>19.715610029075652</v>
      </c>
      <c r="U5695" s="11">
        <v>0.09098290293798487</v>
      </c>
      <c r="V5695" s="11">
        <v>0.3635300362206068</v>
      </c>
      <c r="W5695" s="11">
        <v>0.1658114369026341</v>
      </c>
      <c r="X5695" s="11">
        <v>0.1725071881621513</v>
      </c>
      <c r="Y5695" s="11">
        <v>0.1346252933296735</v>
      </c>
      <c r="Z5695" s="11">
        <v>0.07254314244694947</v>
      </c>
    </row>
    <row r="5696" ht="22.5" customHeight="1">
      <c r="Q5696" s="9" t="s">
        <v>5734</v>
      </c>
      <c r="R5696" s="10">
        <v>0.538360269071525</v>
      </c>
      <c r="S5696" s="10">
        <v>0.025277576928690624</v>
      </c>
      <c r="T5696" s="10">
        <v>19.71550795700971</v>
      </c>
      <c r="U5696" s="11">
        <v>0.20165520020632202</v>
      </c>
      <c r="V5696" s="11">
        <v>0.22466384585012586</v>
      </c>
      <c r="W5696" s="11">
        <v>0.060991787312391896</v>
      </c>
      <c r="X5696" s="11">
        <v>0.16849004484496746</v>
      </c>
      <c r="Y5696" s="11">
        <v>0.21169176047509494</v>
      </c>
      <c r="Z5696" s="11">
        <v>0.1325073613110979</v>
      </c>
    </row>
    <row r="5697" ht="22.5" customHeight="1">
      <c r="Q5697" s="9" t="s">
        <v>5735</v>
      </c>
      <c r="R5697" s="10">
        <v>0.5158967299748125</v>
      </c>
      <c r="S5697" s="10">
        <v>0.024138577255341357</v>
      </c>
      <c r="T5697" s="10">
        <v>19.715193855077214</v>
      </c>
      <c r="U5697" s="11">
        <v>0.21545948489761968</v>
      </c>
      <c r="V5697" s="11">
        <v>0.20975630126567496</v>
      </c>
      <c r="W5697" s="11">
        <v>0.07250297297609247</v>
      </c>
      <c r="X5697" s="11">
        <v>0.06735330515183151</v>
      </c>
      <c r="Y5697" s="11">
        <v>0.2166668542084418</v>
      </c>
      <c r="Z5697" s="11">
        <v>0.2182610815003394</v>
      </c>
    </row>
    <row r="5698" ht="22.5" customHeight="1">
      <c r="Q5698" s="9" t="s">
        <v>5736</v>
      </c>
      <c r="R5698" s="10">
        <v>0.8937733889387408</v>
      </c>
      <c r="S5698" s="10">
        <v>0.043306000066473956</v>
      </c>
      <c r="T5698" s="10">
        <v>19.71489834268262</v>
      </c>
      <c r="U5698" s="11">
        <v>0.16137197071743914</v>
      </c>
      <c r="V5698" s="11">
        <v>0.2728281511850505</v>
      </c>
      <c r="W5698" s="11">
        <v>0.30545084011232415</v>
      </c>
      <c r="X5698" s="11">
        <v>0.04279517461634122</v>
      </c>
      <c r="Y5698" s="11">
        <v>0.01653049262261597</v>
      </c>
      <c r="Z5698" s="11">
        <v>0.201023370746229</v>
      </c>
    </row>
    <row r="5699" ht="22.5" customHeight="1">
      <c r="Q5699" s="9" t="s">
        <v>5737</v>
      </c>
      <c r="R5699" s="10">
        <v>0.3651049349896736</v>
      </c>
      <c r="S5699" s="10">
        <v>0.016491923277902804</v>
      </c>
      <c r="T5699" s="10">
        <v>19.71297886313085</v>
      </c>
      <c r="U5699" s="11">
        <v>0.15884369994079592</v>
      </c>
      <c r="V5699" s="11">
        <v>0.040943860856700154</v>
      </c>
      <c r="W5699" s="11">
        <v>0.12840406346406266</v>
      </c>
      <c r="X5699" s="11">
        <v>0.20135050149214803</v>
      </c>
      <c r="Y5699" s="11">
        <v>0.15402620163298142</v>
      </c>
      <c r="Z5699" s="11">
        <v>0.316431672613312</v>
      </c>
    </row>
    <row r="5700" ht="22.5" customHeight="1">
      <c r="Q5700" s="9" t="s">
        <v>5738</v>
      </c>
      <c r="R5700" s="10">
        <v>0.5941243840771318</v>
      </c>
      <c r="S5700" s="10">
        <v>0.028110656396097573</v>
      </c>
      <c r="T5700" s="10">
        <v>19.71225346961508</v>
      </c>
      <c r="U5700" s="11">
        <v>0.21242456797308182</v>
      </c>
      <c r="V5700" s="11">
        <v>0.24475158513745954</v>
      </c>
      <c r="W5700" s="11">
        <v>0.10241635963844818</v>
      </c>
      <c r="X5700" s="11">
        <v>0.059541997581509694</v>
      </c>
      <c r="Y5700" s="11">
        <v>0.10973603125697311</v>
      </c>
      <c r="Z5700" s="11">
        <v>0.2711294584125276</v>
      </c>
    </row>
    <row r="5701" ht="22.5" customHeight="1">
      <c r="Q5701" s="9" t="s">
        <v>5739</v>
      </c>
      <c r="R5701" s="10">
        <v>0.46892105781487947</v>
      </c>
      <c r="S5701" s="10">
        <v>0.021759172834095085</v>
      </c>
      <c r="T5701" s="10">
        <v>19.712194994048236</v>
      </c>
      <c r="U5701" s="11">
        <v>0.2847556418222468</v>
      </c>
      <c r="V5701" s="11">
        <v>0.19149194018819696</v>
      </c>
      <c r="W5701" s="11">
        <v>0.043833325806449476</v>
      </c>
      <c r="X5701" s="11">
        <v>0.1777782959012358</v>
      </c>
      <c r="Y5701" s="11">
        <v>0.14454020890615013</v>
      </c>
      <c r="Z5701" s="11">
        <v>0.15760058737572102</v>
      </c>
    </row>
    <row r="5702" ht="22.5" customHeight="1">
      <c r="Q5702" s="9" t="s">
        <v>5740</v>
      </c>
      <c r="R5702" s="10">
        <v>0.6403936181788503</v>
      </c>
      <c r="S5702" s="10">
        <v>0.03045980399115654</v>
      </c>
      <c r="T5702" s="10">
        <v>19.711013844776016</v>
      </c>
      <c r="U5702" s="11">
        <v>0.17582670809027062</v>
      </c>
      <c r="V5702" s="11">
        <v>0.26851366118994874</v>
      </c>
      <c r="W5702" s="11">
        <v>0.10605575713044843</v>
      </c>
      <c r="X5702" s="11">
        <v>0.10114678119018462</v>
      </c>
      <c r="Y5702" s="11">
        <v>0.1359472374150127</v>
      </c>
      <c r="Z5702" s="11">
        <v>0.21250985498413505</v>
      </c>
    </row>
    <row r="5703" ht="22.5" customHeight="1">
      <c r="Q5703" s="9" t="s">
        <v>5741</v>
      </c>
      <c r="R5703" s="10">
        <v>0.6758235837721984</v>
      </c>
      <c r="S5703" s="10">
        <v>0.03225810642134747</v>
      </c>
      <c r="T5703" s="10">
        <v>19.710505491773965</v>
      </c>
      <c r="U5703" s="11">
        <v>0.28856090184859723</v>
      </c>
      <c r="V5703" s="11">
        <v>0.15911047770271544</v>
      </c>
      <c r="W5703" s="11">
        <v>0.2482929211454296</v>
      </c>
      <c r="X5703" s="11">
        <v>0.043330582213124</v>
      </c>
      <c r="Y5703" s="11">
        <v>0.13995550821523323</v>
      </c>
      <c r="Z5703" s="11">
        <v>0.12074960887490063</v>
      </c>
    </row>
    <row r="5704" ht="22.5" customHeight="1">
      <c r="Q5704" s="9" t="s">
        <v>5742</v>
      </c>
      <c r="R5704" s="10">
        <v>0.46257091198763356</v>
      </c>
      <c r="S5704" s="10">
        <v>0.021439025118136477</v>
      </c>
      <c r="T5704" s="10">
        <v>19.71036041327071</v>
      </c>
      <c r="U5704" s="11">
        <v>0.20809121316070361</v>
      </c>
      <c r="V5704" s="11">
        <v>0.1912157332387378</v>
      </c>
      <c r="W5704" s="11">
        <v>0.03857751438044387</v>
      </c>
      <c r="X5704" s="11">
        <v>0.2712171489105233</v>
      </c>
      <c r="Y5704" s="11">
        <v>0.04271617063921352</v>
      </c>
      <c r="Z5704" s="11">
        <v>0.2481822196703779</v>
      </c>
    </row>
    <row r="5705" ht="22.5" customHeight="1">
      <c r="Q5705" s="9" t="s">
        <v>5743</v>
      </c>
      <c r="R5705" s="10">
        <v>0.7651751125710706</v>
      </c>
      <c r="S5705" s="10">
        <v>0.03679622614052805</v>
      </c>
      <c r="T5705" s="10">
        <v>19.707866502438662</v>
      </c>
      <c r="U5705" s="11">
        <v>0.09096073959305617</v>
      </c>
      <c r="V5705" s="11">
        <v>0.31745994325903043</v>
      </c>
      <c r="W5705" s="11">
        <v>0.15620181757055843</v>
      </c>
      <c r="X5705" s="11">
        <v>0.1367941527654871</v>
      </c>
      <c r="Y5705" s="11">
        <v>0.0023061814219552932</v>
      </c>
      <c r="Z5705" s="11">
        <v>0.2962771653899126</v>
      </c>
    </row>
    <row r="5706" ht="22.5" customHeight="1">
      <c r="Q5706" s="9" t="s">
        <v>5744</v>
      </c>
      <c r="R5706" s="10">
        <v>1.0152381124825167</v>
      </c>
      <c r="S5706" s="10">
        <v>0.049487322280650045</v>
      </c>
      <c r="T5706" s="10">
        <v>19.706827274908807</v>
      </c>
      <c r="U5706" s="11">
        <v>0.12326809782232512</v>
      </c>
      <c r="V5706" s="11">
        <v>0.34220400160921777</v>
      </c>
      <c r="W5706" s="11">
        <v>0.3242949760929426</v>
      </c>
      <c r="X5706" s="11">
        <v>0.035256457443183106</v>
      </c>
      <c r="Y5706" s="11">
        <v>0.028304871766405976</v>
      </c>
      <c r="Z5706" s="11">
        <v>0.1466715952659255</v>
      </c>
    </row>
    <row r="5707" ht="22.5" customHeight="1">
      <c r="Q5707" s="9" t="s">
        <v>5745</v>
      </c>
      <c r="R5707" s="10">
        <v>0.6329351393578722</v>
      </c>
      <c r="S5707" s="10">
        <v>0.030087813117879086</v>
      </c>
      <c r="T5707" s="10">
        <v>19.70682073286118</v>
      </c>
      <c r="U5707" s="11">
        <v>0.28920537664428475</v>
      </c>
      <c r="V5707" s="11">
        <v>0.11645428933911135</v>
      </c>
      <c r="W5707" s="11">
        <v>0.24299987559905709</v>
      </c>
      <c r="X5707" s="11">
        <v>0.16272371615180034</v>
      </c>
      <c r="Y5707" s="11">
        <v>0.17393708451127773</v>
      </c>
      <c r="Z5707" s="11">
        <v>0.014679657754468795</v>
      </c>
    </row>
    <row r="5708" ht="22.5" customHeight="1">
      <c r="Q5708" s="9" t="s">
        <v>5746</v>
      </c>
      <c r="R5708" s="10">
        <v>0.4639829271381033</v>
      </c>
      <c r="S5708" s="10">
        <v>0.021514921391024105</v>
      </c>
      <c r="T5708" s="10">
        <v>19.706459504657378</v>
      </c>
      <c r="U5708" s="11">
        <v>0.22002980366722544</v>
      </c>
      <c r="V5708" s="11">
        <v>0.07523083576001985</v>
      </c>
      <c r="W5708" s="11">
        <v>0.1661168952726827</v>
      </c>
      <c r="X5708" s="11">
        <v>0.09791012243805808</v>
      </c>
      <c r="Y5708" s="11">
        <v>0.28536072469364726</v>
      </c>
      <c r="Z5708" s="11">
        <v>0.15535161816836668</v>
      </c>
    </row>
    <row r="5709" ht="22.5" customHeight="1">
      <c r="Q5709" s="9" t="s">
        <v>5747</v>
      </c>
      <c r="R5709" s="10">
        <v>0.522331348251574</v>
      </c>
      <c r="S5709" s="10">
        <v>0.029216858126484724</v>
      </c>
      <c r="T5709" s="10">
        <v>19.706386344772383</v>
      </c>
      <c r="U5709" s="11">
        <v>0.04267050167116904</v>
      </c>
      <c r="V5709" s="11">
        <v>0.2623607936002879</v>
      </c>
      <c r="W5709" s="11">
        <v>0.08988105234599858</v>
      </c>
      <c r="X5709" s="11">
        <v>0.19146723334720747</v>
      </c>
      <c r="Y5709" s="11">
        <v>0.13122210393038625</v>
      </c>
      <c r="Z5709" s="11">
        <v>0.2823983151049507</v>
      </c>
    </row>
    <row r="5710" ht="22.5" customHeight="1">
      <c r="Q5710" s="9" t="s">
        <v>5748</v>
      </c>
      <c r="R5710" s="10">
        <v>0.3842520042083552</v>
      </c>
      <c r="S5710" s="10">
        <v>0.017469173729164497</v>
      </c>
      <c r="T5710" s="10">
        <v>19.706255690481353</v>
      </c>
      <c r="U5710" s="11">
        <v>0.11501892035397751</v>
      </c>
      <c r="V5710" s="11">
        <v>0.029857223835449254</v>
      </c>
      <c r="W5710" s="11">
        <v>0.13484088010775158</v>
      </c>
      <c r="X5710" s="11">
        <v>0.31936796773155296</v>
      </c>
      <c r="Y5710" s="11">
        <v>0.2346852618531677</v>
      </c>
      <c r="Z5710" s="11">
        <v>0.16622974611810112</v>
      </c>
    </row>
    <row r="5711" ht="22.5" customHeight="1">
      <c r="Q5711" s="9" t="s">
        <v>5749</v>
      </c>
      <c r="R5711" s="10">
        <v>0.992119129052816</v>
      </c>
      <c r="S5711" s="10">
        <v>0.04831911834315705</v>
      </c>
      <c r="T5711" s="10">
        <v>19.70481171222891</v>
      </c>
      <c r="U5711" s="11">
        <v>0.028075388401663546</v>
      </c>
      <c r="V5711" s="11">
        <v>0.2966262620530284</v>
      </c>
      <c r="W5711" s="11">
        <v>0.3482290884592596</v>
      </c>
      <c r="X5711" s="11">
        <v>0.13666378336165458</v>
      </c>
      <c r="Y5711" s="11">
        <v>0.007807724434675004</v>
      </c>
      <c r="Z5711" s="11">
        <v>0.18259775328971886</v>
      </c>
    </row>
    <row r="5712" ht="22.5" customHeight="1">
      <c r="Q5712" s="9" t="s">
        <v>5750</v>
      </c>
      <c r="R5712" s="10">
        <v>0.6091119406651122</v>
      </c>
      <c r="S5712" s="10">
        <v>0.02888290085312779</v>
      </c>
      <c r="T5712" s="10">
        <v>19.70411294762596</v>
      </c>
      <c r="U5712" s="11">
        <v>0.1720543406342768</v>
      </c>
      <c r="V5712" s="11">
        <v>0.13506074898198658</v>
      </c>
      <c r="W5712" s="11">
        <v>0.2270453423796252</v>
      </c>
      <c r="X5712" s="11">
        <v>0.08658623803494793</v>
      </c>
      <c r="Y5712" s="11">
        <v>0.11145683829413142</v>
      </c>
      <c r="Z5712" s="11">
        <v>0.2677964916750321</v>
      </c>
    </row>
    <row r="5713" ht="22.5" customHeight="1">
      <c r="Q5713" s="9" t="s">
        <v>5751</v>
      </c>
      <c r="R5713" s="10">
        <v>0.5840051941214748</v>
      </c>
      <c r="S5713" s="10">
        <v>0.027609373289318128</v>
      </c>
      <c r="T5713" s="10">
        <v>19.70364152857995</v>
      </c>
      <c r="U5713" s="11">
        <v>0.04948468648574695</v>
      </c>
      <c r="V5713" s="11">
        <v>0.12969286901123725</v>
      </c>
      <c r="W5713" s="11">
        <v>0.21225908236215812</v>
      </c>
      <c r="X5713" s="11">
        <v>0.06262905768293078</v>
      </c>
      <c r="Y5713" s="11">
        <v>0.27256469119015797</v>
      </c>
      <c r="Z5713" s="11">
        <v>0.27336961326776904</v>
      </c>
    </row>
    <row r="5714" ht="22.5" customHeight="1">
      <c r="Q5714" s="9" t="s">
        <v>5752</v>
      </c>
      <c r="R5714" s="10">
        <v>0.522331348251574</v>
      </c>
      <c r="S5714" s="10">
        <v>0.035830510574607684</v>
      </c>
      <c r="T5714" s="10">
        <v>19.703510116775046</v>
      </c>
      <c r="U5714" s="11">
        <v>0.020742971018466654</v>
      </c>
      <c r="V5714" s="11">
        <v>0.21360955187357958</v>
      </c>
      <c r="W5714" s="11">
        <v>0.25735813739875857</v>
      </c>
      <c r="X5714" s="11">
        <v>0.00535144641600272</v>
      </c>
      <c r="Y5714" s="11">
        <v>0.20867346941982112</v>
      </c>
      <c r="Z5714" s="11">
        <v>0.2942644238733713</v>
      </c>
    </row>
    <row r="5715" ht="22.5" customHeight="1">
      <c r="Q5715" s="9" t="s">
        <v>5753</v>
      </c>
      <c r="R5715" s="10">
        <v>0.47025972994997994</v>
      </c>
      <c r="S5715" s="10">
        <v>0.02183680939145136</v>
      </c>
      <c r="T5715" s="10">
        <v>19.70341556026117</v>
      </c>
      <c r="U5715" s="11">
        <v>0.2793334976981709</v>
      </c>
      <c r="V5715" s="11">
        <v>0.18415591120887234</v>
      </c>
      <c r="W5715" s="11">
        <v>0.05767959758875581</v>
      </c>
      <c r="X5715" s="11">
        <v>0.06886293606149307</v>
      </c>
      <c r="Y5715" s="11">
        <v>0.2769527257481251</v>
      </c>
      <c r="Z5715" s="11">
        <v>0.1330153316945829</v>
      </c>
    </row>
    <row r="5716" ht="22.5" customHeight="1">
      <c r="Q5716" s="9" t="s">
        <v>5754</v>
      </c>
      <c r="R5716" s="10">
        <v>0.5546323463906242</v>
      </c>
      <c r="S5716" s="10">
        <v>0.026119806900850865</v>
      </c>
      <c r="T5716" s="10">
        <v>19.7027622885627</v>
      </c>
      <c r="U5716" s="11">
        <v>0.20667646120243569</v>
      </c>
      <c r="V5716" s="11">
        <v>0.08222671992321275</v>
      </c>
      <c r="W5716" s="11">
        <v>0.21521033625155037</v>
      </c>
      <c r="X5716" s="11">
        <v>0.2490313857953917</v>
      </c>
      <c r="Y5716" s="11">
        <v>0.1602894942443734</v>
      </c>
      <c r="Z5716" s="11">
        <v>0.08656560258303617</v>
      </c>
    </row>
    <row r="5717" ht="22.5" customHeight="1">
      <c r="Q5717" s="9" t="s">
        <v>5755</v>
      </c>
      <c r="R5717" s="10">
        <v>0.522331348251574</v>
      </c>
      <c r="S5717" s="10">
        <v>0.03981989032125784</v>
      </c>
      <c r="T5717" s="10">
        <v>19.70215003627318</v>
      </c>
      <c r="U5717" s="11">
        <v>0.12268231271960235</v>
      </c>
      <c r="V5717" s="11">
        <v>0.3391735981019148</v>
      </c>
      <c r="W5717" s="11">
        <v>0.17665755109091946</v>
      </c>
      <c r="X5717" s="11">
        <v>0.09313641928469114</v>
      </c>
      <c r="Y5717" s="11">
        <v>0.06486115613599126</v>
      </c>
      <c r="Z5717" s="11">
        <v>0.20348896266688118</v>
      </c>
    </row>
    <row r="5718" ht="22.5" customHeight="1">
      <c r="Q5718" s="9" t="s">
        <v>5756</v>
      </c>
      <c r="R5718" s="10">
        <v>0.6748355738123479</v>
      </c>
      <c r="S5718" s="10">
        <v>0.03222295334503759</v>
      </c>
      <c r="T5718" s="10">
        <v>19.70134664612032</v>
      </c>
      <c r="U5718" s="11">
        <v>0.15061520694687747</v>
      </c>
      <c r="V5718" s="11">
        <v>0.16931717636153676</v>
      </c>
      <c r="W5718" s="11">
        <v>0.2418957107117306</v>
      </c>
      <c r="X5718" s="11">
        <v>0.010458071444472005</v>
      </c>
      <c r="Y5718" s="11">
        <v>0.23348147362168703</v>
      </c>
      <c r="Z5718" s="11">
        <v>0.19423236091369606</v>
      </c>
    </row>
    <row r="5719" ht="22.5" customHeight="1">
      <c r="Q5719" s="9" t="s">
        <v>5757</v>
      </c>
      <c r="R5719" s="10">
        <v>0.4370666916136107</v>
      </c>
      <c r="S5719" s="10">
        <v>0.020154454680548023</v>
      </c>
      <c r="T5719" s="10">
        <v>19.701187549214012</v>
      </c>
      <c r="U5719" s="11">
        <v>0.221861376787774</v>
      </c>
      <c r="V5719" s="11">
        <v>0.054244246272233336</v>
      </c>
      <c r="W5719" s="11">
        <v>0.15579920182850826</v>
      </c>
      <c r="X5719" s="11">
        <v>0.17927470695468584</v>
      </c>
      <c r="Y5719" s="11">
        <v>0.30650770999938576</v>
      </c>
      <c r="Z5719" s="11">
        <v>0.08231275815741296</v>
      </c>
    </row>
    <row r="5720" ht="22.5" customHeight="1">
      <c r="Q5720" s="9" t="s">
        <v>5758</v>
      </c>
      <c r="R5720" s="10">
        <v>0.5986398886667031</v>
      </c>
      <c r="S5720" s="10">
        <v>0.02835640346902498</v>
      </c>
      <c r="T5720" s="10">
        <v>19.700660885183535</v>
      </c>
      <c r="U5720" s="11">
        <v>0.23386127807283838</v>
      </c>
      <c r="V5720" s="11">
        <v>0.14161802745800692</v>
      </c>
      <c r="W5720" s="11">
        <v>0.2145826798307858</v>
      </c>
      <c r="X5720" s="11">
        <v>0.006854451292653152</v>
      </c>
      <c r="Y5720" s="11">
        <v>0.1820351542488907</v>
      </c>
      <c r="Z5720" s="11">
        <v>0.221048409096825</v>
      </c>
    </row>
    <row r="5721" ht="22.5" customHeight="1">
      <c r="Q5721" s="9" t="s">
        <v>5759</v>
      </c>
      <c r="R5721" s="10">
        <v>0.24564331581482418</v>
      </c>
      <c r="S5721" s="10">
        <v>0.0104385167824361</v>
      </c>
      <c r="T5721" s="10">
        <v>19.7004344679352</v>
      </c>
      <c r="U5721" s="11">
        <v>0.20034812875872646</v>
      </c>
      <c r="V5721" s="11">
        <v>0.016265363329731348</v>
      </c>
      <c r="W5721" s="11">
        <v>0.03363869381800678</v>
      </c>
      <c r="X5721" s="11">
        <v>0.44939110525904263</v>
      </c>
      <c r="Y5721" s="11">
        <v>0.11688780878535054</v>
      </c>
      <c r="Z5721" s="11">
        <v>0.1834689000491422</v>
      </c>
    </row>
    <row r="5722" ht="22.5" customHeight="1">
      <c r="Q5722" s="9" t="s">
        <v>5760</v>
      </c>
      <c r="R5722" s="10">
        <v>0.6291124908636223</v>
      </c>
      <c r="S5722" s="10">
        <v>0.029903778140701883</v>
      </c>
      <c r="T5722" s="10">
        <v>19.700269581046154</v>
      </c>
      <c r="U5722" s="11">
        <v>0.0657870565733961</v>
      </c>
      <c r="V5722" s="11">
        <v>0.13245238695213932</v>
      </c>
      <c r="W5722" s="11">
        <v>0.23907726720640138</v>
      </c>
      <c r="X5722" s="11">
        <v>0.14904291001441566</v>
      </c>
      <c r="Y5722" s="11">
        <v>0.15053122263447707</v>
      </c>
      <c r="Z5722" s="11">
        <v>0.26310915661917056</v>
      </c>
    </row>
    <row r="5723" ht="22.5" customHeight="1">
      <c r="Q5723" s="9" t="s">
        <v>5761</v>
      </c>
      <c r="R5723" s="10">
        <v>0.6898508248049724</v>
      </c>
      <c r="S5723" s="10">
        <v>0.03298690989239938</v>
      </c>
      <c r="T5723" s="10">
        <v>19.700263738699167</v>
      </c>
      <c r="U5723" s="11">
        <v>0.11711609438129328</v>
      </c>
      <c r="V5723" s="11">
        <v>0.28071170484035285</v>
      </c>
      <c r="W5723" s="11">
        <v>0.13728826537782407</v>
      </c>
      <c r="X5723" s="11">
        <v>0.022152607214694472</v>
      </c>
      <c r="Y5723" s="11">
        <v>0.21975311378686663</v>
      </c>
      <c r="Z5723" s="11">
        <v>0.22297821439896873</v>
      </c>
    </row>
    <row r="5724" ht="22.5" customHeight="1">
      <c r="Q5724" s="9" t="s">
        <v>5762</v>
      </c>
      <c r="R5724" s="10">
        <v>0.5549061451457078</v>
      </c>
      <c r="S5724" s="10">
        <v>0.02613701816702512</v>
      </c>
      <c r="T5724" s="10">
        <v>19.700263505778235</v>
      </c>
      <c r="U5724" s="11">
        <v>0.1967349823298234</v>
      </c>
      <c r="V5724" s="11">
        <v>0.09252851706726677</v>
      </c>
      <c r="W5724" s="11">
        <v>0.21299926497603464</v>
      </c>
      <c r="X5724" s="11">
        <v>0.18053551769837733</v>
      </c>
      <c r="Y5724" s="11">
        <v>0.177994558788347</v>
      </c>
      <c r="Z5724" s="11">
        <v>0.13920715914015097</v>
      </c>
    </row>
    <row r="5725" ht="22.5" customHeight="1">
      <c r="Q5725" s="9" t="s">
        <v>5763</v>
      </c>
      <c r="R5725" s="10">
        <v>0.32347052950349525</v>
      </c>
      <c r="S5725" s="10">
        <v>0.014390787320971045</v>
      </c>
      <c r="T5725" s="10">
        <v>19.69805565053459</v>
      </c>
      <c r="U5725" s="11">
        <v>0.14139016178259703</v>
      </c>
      <c r="V5725" s="11">
        <v>0.06418500427568556</v>
      </c>
      <c r="W5725" s="11">
        <v>0.05534552818926185</v>
      </c>
      <c r="X5725" s="11">
        <v>0.15907402905443044</v>
      </c>
      <c r="Y5725" s="11">
        <v>0.49005184991193995</v>
      </c>
      <c r="Z5725" s="11">
        <v>0.08995342678608523</v>
      </c>
    </row>
    <row r="5726" ht="22.5" customHeight="1">
      <c r="Q5726" s="9" t="s">
        <v>5764</v>
      </c>
      <c r="R5726" s="10">
        <v>0.4724479969275553</v>
      </c>
      <c r="S5726" s="10">
        <v>0.021954025564121026</v>
      </c>
      <c r="T5726" s="10">
        <v>19.697890742839228</v>
      </c>
      <c r="U5726" s="11">
        <v>0.23725970327338197</v>
      </c>
      <c r="V5726" s="11">
        <v>0.1935583556478319</v>
      </c>
      <c r="W5726" s="11">
        <v>0.03195036584694672</v>
      </c>
      <c r="X5726" s="11">
        <v>0.2806228016945713</v>
      </c>
      <c r="Y5726" s="11">
        <v>0.16016423300605667</v>
      </c>
      <c r="Z5726" s="11">
        <v>0.09644454053121142</v>
      </c>
    </row>
    <row r="5727" ht="22.5" customHeight="1">
      <c r="Q5727" s="9" t="s">
        <v>5765</v>
      </c>
      <c r="R5727" s="10">
        <v>0.7612869826452271</v>
      </c>
      <c r="S5727" s="10">
        <v>0.03661923135464435</v>
      </c>
      <c r="T5727" s="10">
        <v>19.696944910170746</v>
      </c>
      <c r="U5727" s="11">
        <v>0.250274266366768</v>
      </c>
      <c r="V5727" s="11">
        <v>0.168477913452006</v>
      </c>
      <c r="W5727" s="11">
        <v>0.2924551647557014</v>
      </c>
      <c r="X5727" s="11">
        <v>0.18818245041836285</v>
      </c>
      <c r="Y5727" s="11">
        <v>0.02602885410799501</v>
      </c>
      <c r="Z5727" s="11">
        <v>0.07458135089916693</v>
      </c>
    </row>
    <row r="5728" ht="22.5" customHeight="1">
      <c r="Q5728" s="9" t="s">
        <v>5766</v>
      </c>
      <c r="R5728" s="10">
        <v>0.522331348251574</v>
      </c>
      <c r="S5728" s="10">
        <v>0.025252920120596774</v>
      </c>
      <c r="T5728" s="10">
        <v>19.695041096817786</v>
      </c>
      <c r="U5728" s="11">
        <v>0.18160700012347833</v>
      </c>
      <c r="V5728" s="11">
        <v>0.22461275504751063</v>
      </c>
      <c r="W5728" s="11">
        <v>0.04823828249578822</v>
      </c>
      <c r="X5728" s="11">
        <v>0.25737606832862214</v>
      </c>
      <c r="Y5728" s="11">
        <v>0.2291127414224478</v>
      </c>
      <c r="Z5728" s="11">
        <v>0.059053152582152914</v>
      </c>
    </row>
    <row r="5729" ht="22.5" customHeight="1">
      <c r="Q5729" s="9" t="s">
        <v>5767</v>
      </c>
      <c r="R5729" s="10">
        <v>1.0477889557993292</v>
      </c>
      <c r="S5729" s="10">
        <v>0.0511710468040434</v>
      </c>
      <c r="T5729" s="10">
        <v>19.694515135846242</v>
      </c>
      <c r="U5729" s="11">
        <v>0.05243121412521233</v>
      </c>
      <c r="V5729" s="11">
        <v>0.3120594213226817</v>
      </c>
      <c r="W5729" s="11">
        <v>0.36980419401050246</v>
      </c>
      <c r="X5729" s="11">
        <v>0.14009232439895267</v>
      </c>
      <c r="Y5729" s="11">
        <v>0.02746941582959102</v>
      </c>
      <c r="Z5729" s="11">
        <v>0.09814343031305979</v>
      </c>
    </row>
    <row r="5730" ht="22.5" customHeight="1">
      <c r="Q5730" s="9" t="s">
        <v>5768</v>
      </c>
      <c r="R5730" s="10">
        <v>0.694153305105693</v>
      </c>
      <c r="S5730" s="10">
        <v>0.03321540663732414</v>
      </c>
      <c r="T5730" s="10">
        <v>19.694273571548603</v>
      </c>
      <c r="U5730" s="11">
        <v>0.10553237017079821</v>
      </c>
      <c r="V5730" s="11">
        <v>0.2899514026642221</v>
      </c>
      <c r="W5730" s="11">
        <v>0.12401785497815195</v>
      </c>
      <c r="X5730" s="11">
        <v>0.08607531905607171</v>
      </c>
      <c r="Y5730" s="11">
        <v>0.20369621201471513</v>
      </c>
      <c r="Z5730" s="11">
        <v>0.19072684111604096</v>
      </c>
    </row>
    <row r="5731" ht="22.5" customHeight="1">
      <c r="Q5731" s="9" t="s">
        <v>5769</v>
      </c>
      <c r="R5731" s="10">
        <v>0.7463647803281763</v>
      </c>
      <c r="S5731" s="10">
        <v>0.035868454073792376</v>
      </c>
      <c r="T5731" s="10">
        <v>19.693203918824267</v>
      </c>
      <c r="U5731" s="11">
        <v>0.027583624939212913</v>
      </c>
      <c r="V5731" s="11">
        <v>0.32149160670738725</v>
      </c>
      <c r="W5731" s="11">
        <v>0.1162428129254681</v>
      </c>
      <c r="X5731" s="11">
        <v>0.2748064176555425</v>
      </c>
      <c r="Y5731" s="11">
        <v>0.09612661137509128</v>
      </c>
      <c r="Z5731" s="11">
        <v>0.16374892639729802</v>
      </c>
    </row>
    <row r="5732" ht="22.5" customHeight="1">
      <c r="Q5732" s="9" t="s">
        <v>5770</v>
      </c>
      <c r="R5732" s="10">
        <v>0.9808075673579363</v>
      </c>
      <c r="S5732" s="10">
        <v>0.04777367301638833</v>
      </c>
      <c r="T5732" s="10">
        <v>19.69301307511358</v>
      </c>
      <c r="U5732" s="11">
        <v>0.04307173001353338</v>
      </c>
      <c r="V5732" s="11">
        <v>0.316622605112856</v>
      </c>
      <c r="W5732" s="11">
        <v>0.32519385146568736</v>
      </c>
      <c r="X5732" s="11">
        <v>0.04254117538835762</v>
      </c>
      <c r="Y5732" s="11">
        <v>0.08269783940384942</v>
      </c>
      <c r="Z5732" s="11">
        <v>0.1898727986157163</v>
      </c>
    </row>
    <row r="5733" ht="22.5" customHeight="1">
      <c r="Q5733" s="9" t="s">
        <v>5771</v>
      </c>
      <c r="R5733" s="10">
        <v>0.3557787736593912</v>
      </c>
      <c r="S5733" s="10">
        <v>0.016035080878749778</v>
      </c>
      <c r="T5733" s="10">
        <v>19.692995379765858</v>
      </c>
      <c r="U5733" s="11">
        <v>0.014901750584199814</v>
      </c>
      <c r="V5733" s="11">
        <v>0.046399613535723076</v>
      </c>
      <c r="W5733" s="11">
        <v>0.10921938236472813</v>
      </c>
      <c r="X5733" s="11">
        <v>0.17909604431983514</v>
      </c>
      <c r="Y5733" s="11">
        <v>0.39151354729571025</v>
      </c>
      <c r="Z5733" s="11">
        <v>0.25886966189980354</v>
      </c>
    </row>
    <row r="5734" ht="22.5" customHeight="1">
      <c r="Q5734" s="9" t="s">
        <v>5772</v>
      </c>
      <c r="R5734" s="10">
        <v>0.522331348251574</v>
      </c>
      <c r="S5734" s="10">
        <v>0.024401219863461925</v>
      </c>
      <c r="T5734" s="10">
        <v>19.691800969194787</v>
      </c>
      <c r="U5734" s="11">
        <v>0.2239619085942974</v>
      </c>
      <c r="V5734" s="11">
        <v>0.21788615203982797</v>
      </c>
      <c r="W5734" s="11">
        <v>0.04368634850380606</v>
      </c>
      <c r="X5734" s="11">
        <v>0.27339187799700404</v>
      </c>
      <c r="Y5734" s="11">
        <v>0.1575240543564795</v>
      </c>
      <c r="Z5734" s="11">
        <v>0.08354965850858513</v>
      </c>
    </row>
    <row r="5735" ht="22.5" customHeight="1">
      <c r="Q5735" s="9" t="s">
        <v>5773</v>
      </c>
      <c r="R5735" s="10">
        <v>0.8148761057577687</v>
      </c>
      <c r="S5735" s="10">
        <v>0.03935113808037511</v>
      </c>
      <c r="T5735" s="10">
        <v>19.691326440802705</v>
      </c>
      <c r="U5735" s="11">
        <v>0.040579744920134865</v>
      </c>
      <c r="V5735" s="11">
        <v>0.19719446699261922</v>
      </c>
      <c r="W5735" s="11">
        <v>0.30911604455238945</v>
      </c>
      <c r="X5735" s="11">
        <v>0.22960695547597235</v>
      </c>
      <c r="Y5735" s="11">
        <v>0.005805771215954379</v>
      </c>
      <c r="Z5735" s="11">
        <v>0.21769701684292977</v>
      </c>
    </row>
    <row r="5736" ht="22.5" customHeight="1">
      <c r="Q5736" s="9" t="s">
        <v>5774</v>
      </c>
      <c r="R5736" s="10">
        <v>0.5751436459882451</v>
      </c>
      <c r="S5736" s="10">
        <v>0.02717665508335473</v>
      </c>
      <c r="T5736" s="10">
        <v>19.69129918111269</v>
      </c>
      <c r="U5736" s="11">
        <v>0.17975347056199073</v>
      </c>
      <c r="V5736" s="11">
        <v>0.1030210048999086</v>
      </c>
      <c r="W5736" s="11">
        <v>0.2217883986123314</v>
      </c>
      <c r="X5736" s="11">
        <v>0.18015155150875253</v>
      </c>
      <c r="Y5736" s="11">
        <v>0.12438424398696117</v>
      </c>
      <c r="Z5736" s="11">
        <v>0.19090133043005547</v>
      </c>
    </row>
    <row r="5737" ht="22.5" customHeight="1">
      <c r="Q5737" s="9" t="s">
        <v>5775</v>
      </c>
      <c r="R5737" s="10">
        <v>0.7114692986481129</v>
      </c>
      <c r="S5737" s="10">
        <v>0.034100076563998036</v>
      </c>
      <c r="T5737" s="10">
        <v>19.691137566448532</v>
      </c>
      <c r="U5737" s="11">
        <v>0.30402563812821315</v>
      </c>
      <c r="V5737" s="11">
        <v>0.28551209085942386</v>
      </c>
      <c r="W5737" s="11">
        <v>0.15088240211041395</v>
      </c>
      <c r="X5737" s="11">
        <v>0.0011344587766363233</v>
      </c>
      <c r="Y5737" s="11">
        <v>0.08233675867416704</v>
      </c>
      <c r="Z5737" s="11">
        <v>0.17610865145114568</v>
      </c>
    </row>
    <row r="5738" ht="22.5" customHeight="1">
      <c r="Q5738" s="9" t="s">
        <v>5776</v>
      </c>
      <c r="R5738" s="10">
        <v>0.6555144615783017</v>
      </c>
      <c r="S5738" s="10">
        <v>0.03125874302455627</v>
      </c>
      <c r="T5738" s="10">
        <v>19.69095369877046</v>
      </c>
      <c r="U5738" s="11">
        <v>0.09826936640432986</v>
      </c>
      <c r="V5738" s="11">
        <v>0.140056163663554</v>
      </c>
      <c r="W5738" s="11">
        <v>0.24736474735385253</v>
      </c>
      <c r="X5738" s="11">
        <v>0.11592772014882263</v>
      </c>
      <c r="Y5738" s="11">
        <v>0.23023423306952076</v>
      </c>
      <c r="Z5738" s="11">
        <v>0.16814776935992032</v>
      </c>
    </row>
    <row r="5739" ht="22.5" customHeight="1">
      <c r="Q5739" s="9" t="s">
        <v>5777</v>
      </c>
      <c r="R5739" s="10">
        <v>0.9505003820996633</v>
      </c>
      <c r="S5739" s="10">
        <v>0.0462410912746307</v>
      </c>
      <c r="T5739" s="10">
        <v>19.69028751272555</v>
      </c>
      <c r="U5739" s="11">
        <v>0.14938300935504958</v>
      </c>
      <c r="V5739" s="11">
        <v>0.27315697846633125</v>
      </c>
      <c r="W5739" s="11">
        <v>0.3395874454445653</v>
      </c>
      <c r="X5739" s="11">
        <v>0.09913577985066173</v>
      </c>
      <c r="Y5739" s="11">
        <v>0.022170847169211742</v>
      </c>
      <c r="Z5739" s="11">
        <v>0.1165659397141804</v>
      </c>
    </row>
    <row r="5740" ht="22.5" customHeight="1">
      <c r="Q5740" s="9" t="s">
        <v>5778</v>
      </c>
      <c r="R5740" s="10">
        <v>0.6260745102085089</v>
      </c>
      <c r="S5740" s="10">
        <v>0.02976665198901454</v>
      </c>
      <c r="T5740" s="10">
        <v>19.68896301891127</v>
      </c>
      <c r="U5740" s="11">
        <v>0.13266177839685486</v>
      </c>
      <c r="V5740" s="11">
        <v>0.2662181621646675</v>
      </c>
      <c r="W5740" s="11">
        <v>0.09406346511947569</v>
      </c>
      <c r="X5740" s="11">
        <v>0.1540624616320111</v>
      </c>
      <c r="Y5740" s="11">
        <v>0.12405000726297598</v>
      </c>
      <c r="Z5740" s="11">
        <v>0.22894412542401482</v>
      </c>
    </row>
    <row r="5741" ht="22.5" customHeight="1">
      <c r="Q5741" s="9" t="s">
        <v>5779</v>
      </c>
      <c r="R5741" s="10">
        <v>0.48448547599894026</v>
      </c>
      <c r="S5741" s="10">
        <v>0.022575567976561257</v>
      </c>
      <c r="T5741" s="10">
        <v>19.688783753322202</v>
      </c>
      <c r="U5741" s="11">
        <v>0.1152081372050978</v>
      </c>
      <c r="V5741" s="11">
        <v>0.19437693702399642</v>
      </c>
      <c r="W5741" s="11">
        <v>0.0639291959080648</v>
      </c>
      <c r="X5741" s="11">
        <v>0.07708685135715106</v>
      </c>
      <c r="Y5741" s="11">
        <v>0.29496084614230045</v>
      </c>
      <c r="Z5741" s="11">
        <v>0.2544380323633894</v>
      </c>
    </row>
    <row r="5742" ht="22.5" customHeight="1">
      <c r="Q5742" s="9" t="s">
        <v>5780</v>
      </c>
      <c r="R5742" s="10">
        <v>0.5345292943618964</v>
      </c>
      <c r="S5742" s="10">
        <v>0.025117739398008092</v>
      </c>
      <c r="T5742" s="10">
        <v>19.688447536051516</v>
      </c>
      <c r="U5742" s="11">
        <v>0.2966220623062985</v>
      </c>
      <c r="V5742" s="11">
        <v>0.22247239131427893</v>
      </c>
      <c r="W5742" s="11">
        <v>0.05978784041432621</v>
      </c>
      <c r="X5742" s="11">
        <v>0.16329023995834793</v>
      </c>
      <c r="Y5742" s="11">
        <v>0.1600208593560885</v>
      </c>
      <c r="Z5742" s="11">
        <v>0.09780660665065997</v>
      </c>
    </row>
    <row r="5743" ht="22.5" customHeight="1">
      <c r="Q5743" s="9" t="s">
        <v>5781</v>
      </c>
      <c r="R5743" s="10">
        <v>0.563997990450086</v>
      </c>
      <c r="S5743" s="10">
        <v>0.02661459424266542</v>
      </c>
      <c r="T5743" s="10">
        <v>19.688370435874365</v>
      </c>
      <c r="U5743" s="11">
        <v>0.09932380755083084</v>
      </c>
      <c r="V5743" s="11">
        <v>0.2389148463812534</v>
      </c>
      <c r="W5743" s="11">
        <v>0.06890617789000096</v>
      </c>
      <c r="X5743" s="11">
        <v>0.18557888422709148</v>
      </c>
      <c r="Y5743" s="11">
        <v>0.20191331559179357</v>
      </c>
      <c r="Z5743" s="11">
        <v>0.2053629683590298</v>
      </c>
    </row>
    <row r="5744" ht="22.5" customHeight="1">
      <c r="Q5744" s="9" t="s">
        <v>5782</v>
      </c>
      <c r="R5744" s="10">
        <v>0.5276102642262027</v>
      </c>
      <c r="S5744" s="10">
        <v>0.024769159280272474</v>
      </c>
      <c r="T5744" s="10">
        <v>19.686185498211984</v>
      </c>
      <c r="U5744" s="11">
        <v>0.10950989552966482</v>
      </c>
      <c r="V5744" s="11">
        <v>0.224180966261982</v>
      </c>
      <c r="W5744" s="11">
        <v>0.05162028233720873</v>
      </c>
      <c r="X5744" s="11">
        <v>0.29035842929699573</v>
      </c>
      <c r="Y5744" s="11">
        <v>0.08437213073850432</v>
      </c>
      <c r="Z5744" s="11">
        <v>0.23995829583564438</v>
      </c>
    </row>
    <row r="5745" ht="22.5" customHeight="1">
      <c r="Q5745" s="9" t="s">
        <v>5783</v>
      </c>
      <c r="R5745" s="10">
        <v>0.6383819127793966</v>
      </c>
      <c r="S5745" s="10">
        <v>0.03039640022509762</v>
      </c>
      <c r="T5745" s="10">
        <v>19.685946636711478</v>
      </c>
      <c r="U5745" s="11">
        <v>0.03395999643071014</v>
      </c>
      <c r="V5745" s="11">
        <v>0.13292101574779838</v>
      </c>
      <c r="W5745" s="11">
        <v>0.24090421340765564</v>
      </c>
      <c r="X5745" s="11">
        <v>0.13605960633828446</v>
      </c>
      <c r="Y5745" s="11">
        <v>0.25942352214369074</v>
      </c>
      <c r="Z5745" s="11">
        <v>0.19673164593186063</v>
      </c>
    </row>
    <row r="5746" ht="22.5" customHeight="1">
      <c r="Q5746" s="9" t="s">
        <v>5784</v>
      </c>
      <c r="R5746" s="10">
        <v>0.522331348251574</v>
      </c>
      <c r="S5746" s="10">
        <v>0.019875827650100108</v>
      </c>
      <c r="T5746" s="10">
        <v>19.685773355802425</v>
      </c>
      <c r="U5746" s="11">
        <v>0.19541435409056326</v>
      </c>
      <c r="V5746" s="11">
        <v>0.1677734552102411</v>
      </c>
      <c r="W5746" s="11">
        <v>0.021706602108775418</v>
      </c>
      <c r="X5746" s="11">
        <v>0.28439330785613676</v>
      </c>
      <c r="Y5746" s="11">
        <v>0.2797537366443714</v>
      </c>
      <c r="Z5746" s="11">
        <v>0.050958544089912</v>
      </c>
    </row>
    <row r="5747" ht="22.5" customHeight="1">
      <c r="Q5747" s="9" t="s">
        <v>5785</v>
      </c>
      <c r="R5747" s="10">
        <v>0.6393505794113945</v>
      </c>
      <c r="S5747" s="10">
        <v>0.030445974585433272</v>
      </c>
      <c r="T5747" s="10">
        <v>19.685708458094517</v>
      </c>
      <c r="U5747" s="11">
        <v>0.14796285830889283</v>
      </c>
      <c r="V5747" s="11">
        <v>0.14172247703214608</v>
      </c>
      <c r="W5747" s="11">
        <v>0.2376235154704238</v>
      </c>
      <c r="X5747" s="11">
        <v>0.06877040474087658</v>
      </c>
      <c r="Y5747" s="11">
        <v>0.22602888068744317</v>
      </c>
      <c r="Z5747" s="11">
        <v>0.1778918637602175</v>
      </c>
    </row>
    <row r="5748" ht="22.5" customHeight="1">
      <c r="Q5748" s="9" t="s">
        <v>5786</v>
      </c>
      <c r="R5748" s="10">
        <v>0.38368441171941436</v>
      </c>
      <c r="S5748" s="10">
        <v>0.01745858013056474</v>
      </c>
      <c r="T5748" s="10">
        <v>19.685702339431714</v>
      </c>
      <c r="U5748" s="11">
        <v>0.2983144122851742</v>
      </c>
      <c r="V5748" s="11">
        <v>0.14272764075170488</v>
      </c>
      <c r="W5748" s="11">
        <v>0.03962549891468205</v>
      </c>
      <c r="X5748" s="11">
        <v>0.07862177309500473</v>
      </c>
      <c r="Y5748" s="11">
        <v>0.21478118469611351</v>
      </c>
      <c r="Z5748" s="11">
        <v>0.22592949025732065</v>
      </c>
    </row>
    <row r="5749" ht="22.5" customHeight="1">
      <c r="Q5749" s="9" t="s">
        <v>5787</v>
      </c>
      <c r="R5749" s="10">
        <v>0.5998883142388001</v>
      </c>
      <c r="S5749" s="10">
        <v>0.028443579364555372</v>
      </c>
      <c r="T5749" s="10">
        <v>19.684172201495084</v>
      </c>
      <c r="U5749" s="11">
        <v>0.024226438562103936</v>
      </c>
      <c r="V5749" s="11">
        <v>0.2548022703830072</v>
      </c>
      <c r="W5749" s="11">
        <v>0.07699247251313972</v>
      </c>
      <c r="X5749" s="11">
        <v>0.2066785942683951</v>
      </c>
      <c r="Y5749" s="11">
        <v>0.24190872598837157</v>
      </c>
      <c r="Z5749" s="11">
        <v>0.19539149828498253</v>
      </c>
    </row>
    <row r="5750" ht="22.5" customHeight="1">
      <c r="Q5750" s="9" t="s">
        <v>5788</v>
      </c>
      <c r="R5750" s="10">
        <v>0.38124220708805395</v>
      </c>
      <c r="S5750" s="10">
        <v>0.017335927335700645</v>
      </c>
      <c r="T5750" s="10">
        <v>19.684104604275696</v>
      </c>
      <c r="U5750" s="11">
        <v>0.039308615391933234</v>
      </c>
      <c r="V5750" s="11">
        <v>0.14615052337776435</v>
      </c>
      <c r="W5750" s="11">
        <v>0.020121443802617097</v>
      </c>
      <c r="X5750" s="11">
        <v>0.2620245713801446</v>
      </c>
      <c r="Y5750" s="11">
        <v>0.26492555662555695</v>
      </c>
      <c r="Z5750" s="11">
        <v>0.2674692894219837</v>
      </c>
    </row>
    <row r="5751" ht="22.5" customHeight="1">
      <c r="Q5751" s="9" t="s">
        <v>5789</v>
      </c>
      <c r="R5751" s="10">
        <v>0.5635113841928784</v>
      </c>
      <c r="S5751" s="10">
        <v>0.026598594839051193</v>
      </c>
      <c r="T5751" s="10">
        <v>19.681918814157655</v>
      </c>
      <c r="U5751" s="11">
        <v>0.2793292076883905</v>
      </c>
      <c r="V5751" s="11">
        <v>0.23391514697421198</v>
      </c>
      <c r="W5751" s="11">
        <v>0.08395150332439602</v>
      </c>
      <c r="X5751" s="11">
        <v>0.08880605870191158</v>
      </c>
      <c r="Y5751" s="11">
        <v>0.10628240223408823</v>
      </c>
      <c r="Z5751" s="11">
        <v>0.2077156810770017</v>
      </c>
    </row>
    <row r="5752" ht="22.5" customHeight="1">
      <c r="Q5752" s="9" t="s">
        <v>5790</v>
      </c>
      <c r="R5752" s="10">
        <v>0.6756653734303115</v>
      </c>
      <c r="S5752" s="10">
        <v>0.03229714928881738</v>
      </c>
      <c r="T5752" s="10">
        <v>19.68177958202662</v>
      </c>
      <c r="U5752" s="11">
        <v>0.2727206436029993</v>
      </c>
      <c r="V5752" s="11">
        <v>0.1681327859486446</v>
      </c>
      <c r="W5752" s="11">
        <v>0.24546545492474706</v>
      </c>
      <c r="X5752" s="11">
        <v>0.027755036208986412</v>
      </c>
      <c r="Y5752" s="11">
        <v>0.0878312709840771</v>
      </c>
      <c r="Z5752" s="11">
        <v>0.19809480833054546</v>
      </c>
    </row>
    <row r="5753" ht="22.5" customHeight="1">
      <c r="Q5753" s="9" t="s">
        <v>5791</v>
      </c>
      <c r="R5753" s="10">
        <v>0.4697742376491323</v>
      </c>
      <c r="S5753" s="10">
        <v>0.02183685985048364</v>
      </c>
      <c r="T5753" s="10">
        <v>19.68113733347122</v>
      </c>
      <c r="U5753" s="11">
        <v>0.3450111884092224</v>
      </c>
      <c r="V5753" s="11">
        <v>0.06521486744714403</v>
      </c>
      <c r="W5753" s="11">
        <v>0.17572984277131865</v>
      </c>
      <c r="X5753" s="11">
        <v>0.1809747073750449</v>
      </c>
      <c r="Y5753" s="11">
        <v>0.11147164069021713</v>
      </c>
      <c r="Z5753" s="11">
        <v>0.1215977533070529</v>
      </c>
    </row>
    <row r="5754" ht="22.5" customHeight="1">
      <c r="Q5754" s="9" t="s">
        <v>5792</v>
      </c>
      <c r="R5754" s="10">
        <v>0.6730413286730036</v>
      </c>
      <c r="S5754" s="10">
        <v>0.032165319621155146</v>
      </c>
      <c r="T5754" s="10">
        <v>19.680865482731033</v>
      </c>
      <c r="U5754" s="11">
        <v>0.047470959848954344</v>
      </c>
      <c r="V5754" s="11">
        <v>0.27602886783024194</v>
      </c>
      <c r="W5754" s="11">
        <v>0.1347277198745245</v>
      </c>
      <c r="X5754" s="11">
        <v>0.05097235277296091</v>
      </c>
      <c r="Y5754" s="11">
        <v>0.15186623624505763</v>
      </c>
      <c r="Z5754" s="11">
        <v>0.33893386342826076</v>
      </c>
    </row>
    <row r="5755" ht="22.5" customHeight="1">
      <c r="Q5755" s="9" t="s">
        <v>5793</v>
      </c>
      <c r="R5755" s="10">
        <v>0.7241078097326844</v>
      </c>
      <c r="S5755" s="10">
        <v>0.034760324404886855</v>
      </c>
      <c r="T5755" s="10">
        <v>19.680708435405386</v>
      </c>
      <c r="U5755" s="11">
        <v>0.26144294383737743</v>
      </c>
      <c r="V5755" s="11">
        <v>0.17351448171774908</v>
      </c>
      <c r="W5755" s="11">
        <v>0.26965405228106365</v>
      </c>
      <c r="X5755" s="11">
        <v>0.07286070192609567</v>
      </c>
      <c r="Y5755" s="11">
        <v>0.09356059849567526</v>
      </c>
      <c r="Z5755" s="11">
        <v>0.1289672217420389</v>
      </c>
    </row>
    <row r="5756" ht="22.5" customHeight="1">
      <c r="Q5756" s="9" t="s">
        <v>5794</v>
      </c>
      <c r="R5756" s="10">
        <v>0.5197127400585936</v>
      </c>
      <c r="S5756" s="10">
        <v>0.024376140954149257</v>
      </c>
      <c r="T5756" s="10">
        <v>19.679601498896726</v>
      </c>
      <c r="U5756" s="11">
        <v>0.1762952101404469</v>
      </c>
      <c r="V5756" s="11">
        <v>0.11444169578710836</v>
      </c>
      <c r="W5756" s="11">
        <v>0.18754288227442592</v>
      </c>
      <c r="X5756" s="11">
        <v>0.04400282954583158</v>
      </c>
      <c r="Y5756" s="11">
        <v>0.1220061689439668</v>
      </c>
      <c r="Z5756" s="11">
        <v>0.35571121330822036</v>
      </c>
    </row>
    <row r="5757" ht="22.5" customHeight="1">
      <c r="Q5757" s="9" t="s">
        <v>5795</v>
      </c>
      <c r="R5757" s="10">
        <v>0.6157360484896397</v>
      </c>
      <c r="S5757" s="10">
        <v>0.02925814913998413</v>
      </c>
      <c r="T5757" s="10">
        <v>19.677801413037432</v>
      </c>
      <c r="U5757" s="11">
        <v>0.29527974168593024</v>
      </c>
      <c r="V5757" s="11">
        <v>0.11995760161143196</v>
      </c>
      <c r="W5757" s="11">
        <v>0.23232030381373106</v>
      </c>
      <c r="X5757" s="11">
        <v>0.10038141540126587</v>
      </c>
      <c r="Y5757" s="11">
        <v>0.20590351649858915</v>
      </c>
      <c r="Z5757" s="11">
        <v>0.04615742098905167</v>
      </c>
    </row>
    <row r="5758" ht="22.5" customHeight="1">
      <c r="Q5758" s="9" t="s">
        <v>5796</v>
      </c>
      <c r="R5758" s="10">
        <v>0.8305175521617433</v>
      </c>
      <c r="S5758" s="10">
        <v>0.04017327576869526</v>
      </c>
      <c r="T5758" s="10">
        <v>19.677697101757094</v>
      </c>
      <c r="U5758" s="11">
        <v>0.014777239328773496</v>
      </c>
      <c r="V5758" s="11">
        <v>0.337909030189199</v>
      </c>
      <c r="W5758" s="11">
        <v>0.16896352211448262</v>
      </c>
      <c r="X5758" s="11">
        <v>0.06591468735514189</v>
      </c>
      <c r="Y5758" s="11">
        <v>0.3780247352449688</v>
      </c>
      <c r="Z5758" s="11">
        <v>0.034410785767434</v>
      </c>
    </row>
    <row r="5759" ht="22.5" customHeight="1">
      <c r="Q5759" s="9" t="s">
        <v>5797</v>
      </c>
      <c r="R5759" s="10">
        <v>0.5615190030384933</v>
      </c>
      <c r="S5759" s="10">
        <v>0.026503263193102096</v>
      </c>
      <c r="T5759" s="10">
        <v>19.677539299169283</v>
      </c>
      <c r="U5759" s="11">
        <v>0.0736350483567263</v>
      </c>
      <c r="V5759" s="11">
        <v>0.24018179451742983</v>
      </c>
      <c r="W5759" s="11">
        <v>0.06389557408706638</v>
      </c>
      <c r="X5759" s="11">
        <v>0.25257369846801453</v>
      </c>
      <c r="Y5759" s="11">
        <v>0.1239969648660366</v>
      </c>
      <c r="Z5759" s="11">
        <v>0.24571691970472645</v>
      </c>
    </row>
    <row r="5760" ht="22.5" customHeight="1">
      <c r="Q5760" s="9" t="s">
        <v>5798</v>
      </c>
      <c r="R5760" s="10">
        <v>0.4684137297310588</v>
      </c>
      <c r="S5760" s="10">
        <v>0.021772148192279503</v>
      </c>
      <c r="T5760" s="10">
        <v>19.67714558745178</v>
      </c>
      <c r="U5760" s="11">
        <v>0.1754751462176522</v>
      </c>
      <c r="V5760" s="11">
        <v>0.19123868751919368</v>
      </c>
      <c r="W5760" s="11">
        <v>0.058386012532704055</v>
      </c>
      <c r="X5760" s="11">
        <v>0.09632447589735245</v>
      </c>
      <c r="Y5760" s="11">
        <v>0.17414911832784322</v>
      </c>
      <c r="Z5760" s="11">
        <v>0.3044265595052544</v>
      </c>
    </row>
    <row r="5761" ht="22.5" customHeight="1">
      <c r="Q5761" s="9" t="s">
        <v>5799</v>
      </c>
      <c r="R5761" s="10">
        <v>0.6758808246394044</v>
      </c>
      <c r="S5761" s="10">
        <v>0.032316686712437356</v>
      </c>
      <c r="T5761" s="10">
        <v>19.676547608288075</v>
      </c>
      <c r="U5761" s="11">
        <v>0.136597432624459</v>
      </c>
      <c r="V5761" s="11">
        <v>0.29064965401828796</v>
      </c>
      <c r="W5761" s="11">
        <v>0.10063581291950979</v>
      </c>
      <c r="X5761" s="11">
        <v>0.2369983720092849</v>
      </c>
      <c r="Y5761" s="11">
        <v>0.03062940764086783</v>
      </c>
      <c r="Z5761" s="11">
        <v>0.20448932078759033</v>
      </c>
    </row>
    <row r="5762" ht="22.5" customHeight="1">
      <c r="Q5762" s="9" t="s">
        <v>5800</v>
      </c>
      <c r="R5762" s="10">
        <v>0.33741241314970966</v>
      </c>
      <c r="S5762" s="10">
        <v>0.015115277449610538</v>
      </c>
      <c r="T5762" s="10">
        <v>19.67627879416615</v>
      </c>
      <c r="U5762" s="11">
        <v>0.1963901261104048</v>
      </c>
      <c r="V5762" s="11">
        <v>0.11889267867387271</v>
      </c>
      <c r="W5762" s="11">
        <v>0.004510732041951834</v>
      </c>
      <c r="X5762" s="11">
        <v>0.3360380780821757</v>
      </c>
      <c r="Y5762" s="11">
        <v>0.1763343281011739</v>
      </c>
      <c r="Z5762" s="11">
        <v>0.1678340569904211</v>
      </c>
    </row>
    <row r="5763" ht="22.5" customHeight="1">
      <c r="Q5763" s="9" t="s">
        <v>5801</v>
      </c>
      <c r="R5763" s="10">
        <v>0.558136191243589</v>
      </c>
      <c r="S5763" s="10">
        <v>0.026333595429676483</v>
      </c>
      <c r="T5763" s="10">
        <v>19.675862060965613</v>
      </c>
      <c r="U5763" s="11">
        <v>0.24035501735052076</v>
      </c>
      <c r="V5763" s="11">
        <v>0.09612488715632578</v>
      </c>
      <c r="W5763" s="11">
        <v>0.21131560435009122</v>
      </c>
      <c r="X5763" s="11">
        <v>0.13586234416493156</v>
      </c>
      <c r="Y5763" s="11">
        <v>0.2311065366820487</v>
      </c>
      <c r="Z5763" s="11">
        <v>0.08523561029608184</v>
      </c>
    </row>
    <row r="5764" ht="22.5" customHeight="1">
      <c r="Q5764" s="9" t="s">
        <v>5802</v>
      </c>
      <c r="R5764" s="10">
        <v>0.4370183628202108</v>
      </c>
      <c r="S5764" s="10">
        <v>0.02017870353085604</v>
      </c>
      <c r="T5764" s="10">
        <v>19.67511749271278</v>
      </c>
      <c r="U5764" s="11">
        <v>0.11691318496396451</v>
      </c>
      <c r="V5764" s="11">
        <v>0.04859374306712242</v>
      </c>
      <c r="W5764" s="11">
        <v>0.16467023000333694</v>
      </c>
      <c r="X5764" s="11">
        <v>0.31010447548537523</v>
      </c>
      <c r="Y5764" s="11">
        <v>0.1048958338103584</v>
      </c>
      <c r="Z5764" s="11">
        <v>0.25482253266984234</v>
      </c>
    </row>
    <row r="5765" ht="22.5" customHeight="1">
      <c r="Q5765" s="9" t="s">
        <v>5803</v>
      </c>
      <c r="R5765" s="10">
        <v>1.0421458342767123</v>
      </c>
      <c r="S5765" s="10">
        <v>0.05093529950735965</v>
      </c>
      <c r="T5765" s="10">
        <v>19.67487860029</v>
      </c>
      <c r="U5765" s="11">
        <v>0.01273102373315424</v>
      </c>
      <c r="V5765" s="11">
        <v>0.3309665539843004</v>
      </c>
      <c r="W5765" s="11">
        <v>0.3469370752947233</v>
      </c>
      <c r="X5765" s="11">
        <v>0.016119077326607025</v>
      </c>
      <c r="Y5765" s="11">
        <v>0.26779637957595087</v>
      </c>
      <c r="Z5765" s="11">
        <v>0.02544989008526395</v>
      </c>
    </row>
    <row r="5766" ht="22.5" customHeight="1">
      <c r="Q5766" s="9" t="s">
        <v>5804</v>
      </c>
      <c r="R5766" s="10">
        <v>0.6676741668621369</v>
      </c>
      <c r="S5766" s="10">
        <v>0.03190279030363721</v>
      </c>
      <c r="T5766" s="10">
        <v>19.67458522869632</v>
      </c>
      <c r="U5766" s="11">
        <v>0.26553489187040014</v>
      </c>
      <c r="V5766" s="11">
        <v>0.2849181376234235</v>
      </c>
      <c r="W5766" s="11">
        <v>0.09923086243819375</v>
      </c>
      <c r="X5766" s="11">
        <v>0.18653618353051765</v>
      </c>
      <c r="Y5766" s="11">
        <v>0.04587083645007852</v>
      </c>
      <c r="Z5766" s="11">
        <v>0.11790908808738643</v>
      </c>
    </row>
    <row r="5767" ht="22.5" customHeight="1">
      <c r="Q5767" s="9" t="s">
        <v>5805</v>
      </c>
      <c r="R5767" s="10">
        <v>0.674510520514681</v>
      </c>
      <c r="S5767" s="10">
        <v>0.03225048122981887</v>
      </c>
      <c r="T5767" s="10">
        <v>19.674451242854975</v>
      </c>
      <c r="U5767" s="11">
        <v>0.22519947709283408</v>
      </c>
      <c r="V5767" s="11">
        <v>0.14289627190120374</v>
      </c>
      <c r="W5767" s="11">
        <v>0.25242306204079246</v>
      </c>
      <c r="X5767" s="11">
        <v>0.083353685040241</v>
      </c>
      <c r="Y5767" s="11">
        <v>0.2767493347008687</v>
      </c>
      <c r="Z5767" s="11">
        <v>0.01937816922405993</v>
      </c>
    </row>
    <row r="5768" ht="22.5" customHeight="1">
      <c r="Q5768" s="9" t="s">
        <v>5806</v>
      </c>
      <c r="R5768" s="10">
        <v>0.7680679337527055</v>
      </c>
      <c r="S5768" s="10">
        <v>0.03700670104473706</v>
      </c>
      <c r="T5768" s="10">
        <v>19.673948587650408</v>
      </c>
      <c r="U5768" s="11">
        <v>0.035056312378898495</v>
      </c>
      <c r="V5768" s="11">
        <v>0.1530824523276223</v>
      </c>
      <c r="W5768" s="11">
        <v>0.301413491558748</v>
      </c>
      <c r="X5768" s="11">
        <v>0.3091950911294973</v>
      </c>
      <c r="Y5768" s="11">
        <v>0.1313994821835709</v>
      </c>
      <c r="Z5768" s="11">
        <v>0.06985317042166303</v>
      </c>
    </row>
    <row r="5769" ht="22.5" customHeight="1">
      <c r="Q5769" s="9" t="s">
        <v>5807</v>
      </c>
      <c r="R5769" s="10">
        <v>0.7369463123699063</v>
      </c>
      <c r="S5769" s="10">
        <v>0.03542647131529874</v>
      </c>
      <c r="T5769" s="10">
        <v>19.67303788647258</v>
      </c>
      <c r="U5769" s="11">
        <v>0.25160320153662447</v>
      </c>
      <c r="V5769" s="11">
        <v>0.1788907938772064</v>
      </c>
      <c r="W5769" s="11">
        <v>0.2747587524583797</v>
      </c>
      <c r="X5769" s="11">
        <v>0.08254345878560583</v>
      </c>
      <c r="Y5769" s="11">
        <v>0.06551865117657799</v>
      </c>
      <c r="Z5769" s="11">
        <v>0.14668514216560555</v>
      </c>
    </row>
    <row r="5770" ht="22.5" customHeight="1">
      <c r="Q5770" s="9" t="s">
        <v>5808</v>
      </c>
      <c r="R5770" s="10">
        <v>0.877106821955894</v>
      </c>
      <c r="S5770" s="10">
        <v>0.04255121876641191</v>
      </c>
      <c r="T5770" s="10">
        <v>19.67292233275983</v>
      </c>
      <c r="U5770" s="11">
        <v>0.11172793255637234</v>
      </c>
      <c r="V5770" s="11">
        <v>0.24682982127771402</v>
      </c>
      <c r="W5770" s="11">
        <v>0.31572571853778864</v>
      </c>
      <c r="X5770" s="11">
        <v>0.09562952583408627</v>
      </c>
      <c r="Y5770" s="11">
        <v>0.02166824782113904</v>
      </c>
      <c r="Z5770" s="11">
        <v>0.20841875397289986</v>
      </c>
    </row>
    <row r="5771" ht="22.5" customHeight="1">
      <c r="Q5771" s="9" t="s">
        <v>5809</v>
      </c>
      <c r="R5771" s="10">
        <v>0.6498056794764957</v>
      </c>
      <c r="S5771" s="10">
        <v>0.03099993017522288</v>
      </c>
      <c r="T5771" s="10">
        <v>19.6711952584942</v>
      </c>
      <c r="U5771" s="11">
        <v>0.15517973924961553</v>
      </c>
      <c r="V5771" s="11">
        <v>0.26636873125814026</v>
      </c>
      <c r="W5771" s="11">
        <v>0.12452523945258695</v>
      </c>
      <c r="X5771" s="11">
        <v>0.026725193465650988</v>
      </c>
      <c r="Y5771" s="11">
        <v>0.16031756744574224</v>
      </c>
      <c r="Z5771" s="11">
        <v>0.26688352912826396</v>
      </c>
    </row>
    <row r="5772" ht="22.5" customHeight="1">
      <c r="Q5772" s="9" t="s">
        <v>5810</v>
      </c>
      <c r="R5772" s="10">
        <v>0.7374385267737403</v>
      </c>
      <c r="S5772" s="10">
        <v>0.035455297849268284</v>
      </c>
      <c r="T5772" s="10">
        <v>19.670925618472385</v>
      </c>
      <c r="U5772" s="11">
        <v>0.1967648243883569</v>
      </c>
      <c r="V5772" s="11">
        <v>0.19099746661067526</v>
      </c>
      <c r="W5772" s="11">
        <v>0.2654402509078511</v>
      </c>
      <c r="X5772" s="11">
        <v>0.005612500238848974</v>
      </c>
      <c r="Y5772" s="11">
        <v>0.20534676189546236</v>
      </c>
      <c r="Z5772" s="11">
        <v>0.13583819595880536</v>
      </c>
    </row>
    <row r="5773" ht="22.5" customHeight="1">
      <c r="Q5773" s="9" t="s">
        <v>5811</v>
      </c>
      <c r="R5773" s="10">
        <v>0.6759314506490627</v>
      </c>
      <c r="S5773" s="10">
        <v>0.03232970884917619</v>
      </c>
      <c r="T5773" s="10">
        <v>19.670187987643047</v>
      </c>
      <c r="U5773" s="11">
        <v>0.07265361531358182</v>
      </c>
      <c r="V5773" s="11">
        <v>0.15669476692161077</v>
      </c>
      <c r="W5773" s="11">
        <v>0.25399774670137865</v>
      </c>
      <c r="X5773" s="11">
        <v>0.11252125803824484</v>
      </c>
      <c r="Y5773" s="11">
        <v>0.13169239464456764</v>
      </c>
      <c r="Z5773" s="11">
        <v>0.2724402183806164</v>
      </c>
    </row>
    <row r="5774" ht="22.5" customHeight="1">
      <c r="Q5774" s="9" t="s">
        <v>5812</v>
      </c>
      <c r="R5774" s="10">
        <v>0.522331348251574</v>
      </c>
      <c r="S5774" s="10">
        <v>0.05167995855384967</v>
      </c>
      <c r="T5774" s="10">
        <v>19.670096735871155</v>
      </c>
      <c r="U5774" s="11">
        <v>0.16113075721783898</v>
      </c>
      <c r="V5774" s="11">
        <v>0.34831570898703446</v>
      </c>
      <c r="W5774" s="11">
        <v>0.3468016218425956</v>
      </c>
      <c r="X5774" s="11">
        <v>0.04210573421443199</v>
      </c>
      <c r="Y5774" s="11">
        <v>0.008192646087084232</v>
      </c>
      <c r="Z5774" s="11">
        <v>0.09345353165101475</v>
      </c>
    </row>
    <row r="5775" ht="22.5" customHeight="1">
      <c r="Q5775" s="9" t="s">
        <v>5813</v>
      </c>
      <c r="R5775" s="10">
        <v>1.0462741187331464</v>
      </c>
      <c r="S5775" s="10">
        <v>0.05116758013400064</v>
      </c>
      <c r="T5775" s="10">
        <v>19.66624405723032</v>
      </c>
      <c r="U5775" s="11">
        <v>0.12816701544294004</v>
      </c>
      <c r="V5775" s="11">
        <v>0.341684971901086</v>
      </c>
      <c r="W5775" s="11">
        <v>0.34663551653699143</v>
      </c>
      <c r="X5775" s="11">
        <v>0.0526799293326658</v>
      </c>
      <c r="Y5775" s="11">
        <v>0.007331077347282868</v>
      </c>
      <c r="Z5775" s="11">
        <v>0.12350148943903395</v>
      </c>
    </row>
    <row r="5776" ht="22.5" customHeight="1">
      <c r="Q5776" s="9" t="s">
        <v>5814</v>
      </c>
      <c r="R5776" s="10">
        <v>0.6385564909092811</v>
      </c>
      <c r="S5776" s="10">
        <v>0.030436024271456207</v>
      </c>
      <c r="T5776" s="10">
        <v>19.66605380422912</v>
      </c>
      <c r="U5776" s="11">
        <v>0.15272619368440457</v>
      </c>
      <c r="V5776" s="11">
        <v>0.13393127777453165</v>
      </c>
      <c r="W5776" s="11">
        <v>0.2449739685496992</v>
      </c>
      <c r="X5776" s="11">
        <v>0.16513222918259954</v>
      </c>
      <c r="Y5776" s="11">
        <v>0.04986857172532948</v>
      </c>
      <c r="Z5776" s="11">
        <v>0.2533677590834355</v>
      </c>
    </row>
    <row r="5777" ht="22.5" customHeight="1">
      <c r="Q5777" s="9" t="s">
        <v>5815</v>
      </c>
      <c r="R5777" s="10">
        <v>0.5470614340514527</v>
      </c>
      <c r="S5777" s="10">
        <v>0.025783796655415615</v>
      </c>
      <c r="T5777" s="10">
        <v>19.665894857456912</v>
      </c>
      <c r="U5777" s="11">
        <v>0.21081107470622365</v>
      </c>
      <c r="V5777" s="11">
        <v>0.2271078534307623</v>
      </c>
      <c r="W5777" s="11">
        <v>0.08068299070407332</v>
      </c>
      <c r="X5777" s="11">
        <v>0.07945416718358432</v>
      </c>
      <c r="Y5777" s="11">
        <v>0.15099762031573435</v>
      </c>
      <c r="Z5777" s="11">
        <v>0.2509462936596222</v>
      </c>
    </row>
    <row r="5778" ht="22.5" customHeight="1">
      <c r="Q5778" s="9" t="s">
        <v>5816</v>
      </c>
      <c r="R5778" s="10">
        <v>0.9295776696885164</v>
      </c>
      <c r="S5778" s="10">
        <v>0.045234645044842516</v>
      </c>
      <c r="T5778" s="10">
        <v>19.665848351559966</v>
      </c>
      <c r="U5778" s="11">
        <v>0.10255913179796992</v>
      </c>
      <c r="V5778" s="11">
        <v>0.2708737325927841</v>
      </c>
      <c r="W5778" s="11">
        <v>0.32625883239095727</v>
      </c>
      <c r="X5778" s="11">
        <v>0.023249809085861658</v>
      </c>
      <c r="Y5778" s="11">
        <v>0.19981911308827277</v>
      </c>
      <c r="Z5778" s="11">
        <v>0.07723938104415429</v>
      </c>
    </row>
    <row r="5779" ht="22.5" customHeight="1">
      <c r="Q5779" s="9" t="s">
        <v>5817</v>
      </c>
      <c r="R5779" s="10">
        <v>0.7043830246083311</v>
      </c>
      <c r="S5779" s="10">
        <v>0.03378498044806407</v>
      </c>
      <c r="T5779" s="10">
        <v>19.66504096782454</v>
      </c>
      <c r="U5779" s="11">
        <v>0.06192056810094871</v>
      </c>
      <c r="V5779" s="11">
        <v>0.1513707785039705</v>
      </c>
      <c r="W5779" s="11">
        <v>0.27227442384246414</v>
      </c>
      <c r="X5779" s="11">
        <v>0.2483288598553829</v>
      </c>
      <c r="Y5779" s="11">
        <v>0.00456581459676742</v>
      </c>
      <c r="Z5779" s="11">
        <v>0.2615395551004664</v>
      </c>
    </row>
    <row r="5780" ht="22.5" customHeight="1">
      <c r="Q5780" s="9" t="s">
        <v>5818</v>
      </c>
      <c r="R5780" s="10">
        <v>0.6407944804478534</v>
      </c>
      <c r="S5780" s="10">
        <v>0.0305516489898665</v>
      </c>
      <c r="T5780" s="10">
        <v>19.66487899383524</v>
      </c>
      <c r="U5780" s="11">
        <v>0.09926527999518674</v>
      </c>
      <c r="V5780" s="11">
        <v>0.12299221430226438</v>
      </c>
      <c r="W5780" s="11">
        <v>0.24875575497872457</v>
      </c>
      <c r="X5780" s="11">
        <v>0.19803122359949826</v>
      </c>
      <c r="Y5780" s="11">
        <v>0.15716878441915114</v>
      </c>
      <c r="Z5780" s="11">
        <v>0.1737867427051749</v>
      </c>
    </row>
    <row r="5781" ht="22.5" customHeight="1">
      <c r="Q5781" s="9" t="s">
        <v>5819</v>
      </c>
      <c r="R5781" s="10">
        <v>0.9679880623535907</v>
      </c>
      <c r="S5781" s="10">
        <v>0.04719122866600587</v>
      </c>
      <c r="T5781" s="10">
        <v>19.664418337598093</v>
      </c>
      <c r="U5781" s="11">
        <v>0.02853893077759288</v>
      </c>
      <c r="V5781" s="11">
        <v>0.27130919787585955</v>
      </c>
      <c r="W5781" s="11">
        <v>0.3518409828082217</v>
      </c>
      <c r="X5781" s="11">
        <v>0.1421756770382832</v>
      </c>
      <c r="Y5781" s="11">
        <v>0.06831241917767185</v>
      </c>
      <c r="Z5781" s="11">
        <v>0.13782279232237082</v>
      </c>
    </row>
    <row r="5782" ht="22.5" customHeight="1">
      <c r="Q5782" s="9" t="s">
        <v>5820</v>
      </c>
      <c r="R5782" s="10">
        <v>0.6438659748672888</v>
      </c>
      <c r="S5782" s="10">
        <v>0.030710081591342222</v>
      </c>
      <c r="T5782" s="10">
        <v>19.66344417129554</v>
      </c>
      <c r="U5782" s="11">
        <v>0.07508196224844789</v>
      </c>
      <c r="V5782" s="11">
        <v>0.2755937008936579</v>
      </c>
      <c r="W5782" s="11">
        <v>0.07224186986073743</v>
      </c>
      <c r="X5782" s="11">
        <v>0.29970489995261496</v>
      </c>
      <c r="Y5782" s="11">
        <v>0.24344541152261506</v>
      </c>
      <c r="Z5782" s="11">
        <v>0.033932155521926646</v>
      </c>
    </row>
    <row r="5783" ht="22.5" customHeight="1">
      <c r="Q5783" s="9" t="s">
        <v>5821</v>
      </c>
      <c r="R5783" s="10">
        <v>0.5430850598987743</v>
      </c>
      <c r="S5783" s="10">
        <v>0.025585728810625506</v>
      </c>
      <c r="T5783" s="10">
        <v>19.662721496909164</v>
      </c>
      <c r="U5783" s="11">
        <v>0.013687614754544605</v>
      </c>
      <c r="V5783" s="11">
        <v>0.09432350780781103</v>
      </c>
      <c r="W5783" s="11">
        <v>0.20918957330495594</v>
      </c>
      <c r="X5783" s="11">
        <v>0.2794125546406099</v>
      </c>
      <c r="Y5783" s="11">
        <v>0.04073762010768903</v>
      </c>
      <c r="Z5783" s="11">
        <v>0.3626491293843896</v>
      </c>
    </row>
    <row r="5784" ht="22.5" customHeight="1">
      <c r="Q5784" s="9" t="s">
        <v>5822</v>
      </c>
      <c r="R5784" s="10">
        <v>0.799156257922225</v>
      </c>
      <c r="S5784" s="10">
        <v>0.03860953980923001</v>
      </c>
      <c r="T5784" s="10">
        <v>19.6624010975842</v>
      </c>
      <c r="U5784" s="11">
        <v>0.19166525926495193</v>
      </c>
      <c r="V5784" s="11">
        <v>0.21278266384155306</v>
      </c>
      <c r="W5784" s="11">
        <v>0.2920664583687975</v>
      </c>
      <c r="X5784" s="11">
        <v>0.08000843068166602</v>
      </c>
      <c r="Y5784" s="11">
        <v>0.01807383925242583</v>
      </c>
      <c r="Z5784" s="11">
        <v>0.2054033485906057</v>
      </c>
    </row>
    <row r="5785" ht="22.5" customHeight="1">
      <c r="Q5785" s="9" t="s">
        <v>5823</v>
      </c>
      <c r="R5785" s="10">
        <v>0.5049098673103695</v>
      </c>
      <c r="S5785" s="10">
        <v>0.023644639508637492</v>
      </c>
      <c r="T5785" s="10">
        <v>19.662379168036622</v>
      </c>
      <c r="U5785" s="11">
        <v>0.1673985987810283</v>
      </c>
      <c r="V5785" s="11">
        <v>0.20702973411396255</v>
      </c>
      <c r="W5785" s="11">
        <v>0.06993851479040095</v>
      </c>
      <c r="X5785" s="11">
        <v>0.07296974975997537</v>
      </c>
      <c r="Y5785" s="11">
        <v>0.20569576395913636</v>
      </c>
      <c r="Z5785" s="11">
        <v>0.2769676385954966</v>
      </c>
    </row>
    <row r="5786" ht="22.5" customHeight="1">
      <c r="Q5786" s="9" t="s">
        <v>5824</v>
      </c>
      <c r="R5786" s="10">
        <v>0.5854848666167725</v>
      </c>
      <c r="S5786" s="10">
        <v>0.027742936562740326</v>
      </c>
      <c r="T5786" s="10">
        <v>19.662117071967664</v>
      </c>
      <c r="U5786" s="11">
        <v>0.2973023008768335</v>
      </c>
      <c r="V5786" s="11">
        <v>0.09901341348236331</v>
      </c>
      <c r="W5786" s="11">
        <v>0.22425298999995458</v>
      </c>
      <c r="X5786" s="11">
        <v>0.1600926704523607</v>
      </c>
      <c r="Y5786" s="11">
        <v>0.20155787727833785</v>
      </c>
      <c r="Z5786" s="11">
        <v>0.017780747910150003</v>
      </c>
    </row>
    <row r="5787" ht="22.5" customHeight="1">
      <c r="Q5787" s="9" t="s">
        <v>5825</v>
      </c>
      <c r="R5787" s="10">
        <v>0.8255253175658038</v>
      </c>
      <c r="S5787" s="10">
        <v>0.039951387511931835</v>
      </c>
      <c r="T5787" s="10">
        <v>19.662028442221178</v>
      </c>
      <c r="U5787" s="11">
        <v>0.2738318540335909</v>
      </c>
      <c r="V5787" s="11">
        <v>0.33842357841279846</v>
      </c>
      <c r="W5787" s="11">
        <v>0.1749674480764969</v>
      </c>
      <c r="X5787" s="11">
        <v>0.0451916207575194</v>
      </c>
      <c r="Y5787" s="11">
        <v>0.08397504683805829</v>
      </c>
      <c r="Z5787" s="11">
        <v>0.08361045188153593</v>
      </c>
    </row>
    <row r="5788" ht="22.5" customHeight="1">
      <c r="Q5788" s="9" t="s">
        <v>5826</v>
      </c>
      <c r="R5788" s="10">
        <v>0.9293048279699041</v>
      </c>
      <c r="S5788" s="10">
        <v>0.04523114349705797</v>
      </c>
      <c r="T5788" s="10">
        <v>19.66133860904375</v>
      </c>
      <c r="U5788" s="11">
        <v>0.10921070708816755</v>
      </c>
      <c r="V5788" s="11">
        <v>0.38843026021379556</v>
      </c>
      <c r="W5788" s="11">
        <v>0.19091849435113964</v>
      </c>
      <c r="X5788" s="11">
        <v>0.13372155378344258</v>
      </c>
      <c r="Y5788" s="11">
        <v>0.15357509279684378</v>
      </c>
      <c r="Z5788" s="11">
        <v>0.024143891766610893</v>
      </c>
    </row>
    <row r="5789" ht="22.5" customHeight="1">
      <c r="Q5789" s="9" t="s">
        <v>5827</v>
      </c>
      <c r="R5789" s="10">
        <v>0.7869558995080961</v>
      </c>
      <c r="S5789" s="10">
        <v>0.0379917131986506</v>
      </c>
      <c r="T5789" s="10">
        <v>19.661021749727954</v>
      </c>
      <c r="U5789" s="11">
        <v>0.13882463718720905</v>
      </c>
      <c r="V5789" s="11">
        <v>0.3192304001925913</v>
      </c>
      <c r="W5789" s="11">
        <v>0.16985952209273086</v>
      </c>
      <c r="X5789" s="11">
        <v>0.010936584160323795</v>
      </c>
      <c r="Y5789" s="11">
        <v>0.20372758303438068</v>
      </c>
      <c r="Z5789" s="11">
        <v>0.1574212733327643</v>
      </c>
    </row>
    <row r="5790" ht="22.5" customHeight="1">
      <c r="Q5790" s="9" t="s">
        <v>5828</v>
      </c>
      <c r="R5790" s="10">
        <v>0.6601402553952359</v>
      </c>
      <c r="S5790" s="10">
        <v>0.03154228308219136</v>
      </c>
      <c r="T5790" s="10">
        <v>19.6606014149104</v>
      </c>
      <c r="U5790" s="11">
        <v>0.10182312817956925</v>
      </c>
      <c r="V5790" s="11">
        <v>0.12920492140474285</v>
      </c>
      <c r="W5790" s="11">
        <v>0.2553004893273074</v>
      </c>
      <c r="X5790" s="11">
        <v>0.1817403964155961</v>
      </c>
      <c r="Y5790" s="11">
        <v>0.20113967810939834</v>
      </c>
      <c r="Z5790" s="11">
        <v>0.1307913865633859</v>
      </c>
    </row>
    <row r="5791" ht="22.5" customHeight="1">
      <c r="Q5791" s="9" t="s">
        <v>5829</v>
      </c>
      <c r="R5791" s="10">
        <v>0.5357384292114223</v>
      </c>
      <c r="S5791" s="10">
        <v>0.02521481780910145</v>
      </c>
      <c r="T5791" s="10">
        <v>19.6605992938201</v>
      </c>
      <c r="U5791" s="11">
        <v>0.2542894259470111</v>
      </c>
      <c r="V5791" s="11">
        <v>0.08329935984369705</v>
      </c>
      <c r="W5791" s="11">
        <v>0.2006894623442975</v>
      </c>
      <c r="X5791" s="11">
        <v>0.1557905881403169</v>
      </c>
      <c r="Y5791" s="11">
        <v>0.2881029713480874</v>
      </c>
      <c r="Z5791" s="11">
        <v>0.017828192376590026</v>
      </c>
    </row>
    <row r="5792" ht="22.5" customHeight="1">
      <c r="Q5792" s="9" t="s">
        <v>5830</v>
      </c>
      <c r="R5792" s="10">
        <v>0.3270618523603679</v>
      </c>
      <c r="S5792" s="10">
        <v>0.014601311784001304</v>
      </c>
      <c r="T5792" s="10">
        <v>19.660004293237705</v>
      </c>
      <c r="U5792" s="11">
        <v>0.2659321997577648</v>
      </c>
      <c r="V5792" s="11">
        <v>0.10405621497291832</v>
      </c>
      <c r="W5792" s="11">
        <v>0.03364447924067054</v>
      </c>
      <c r="X5792" s="11">
        <v>0.07733017122453271</v>
      </c>
      <c r="Y5792" s="11">
        <v>0.3077619441516464</v>
      </c>
      <c r="Z5792" s="11">
        <v>0.2112749906524673</v>
      </c>
    </row>
    <row r="5793" ht="22.5" customHeight="1">
      <c r="Q5793" s="9" t="s">
        <v>5831</v>
      </c>
      <c r="R5793" s="10">
        <v>0.7560559499171874</v>
      </c>
      <c r="S5793" s="10">
        <v>0.03642506561544852</v>
      </c>
      <c r="T5793" s="10">
        <v>19.658329719342916</v>
      </c>
      <c r="U5793" s="11">
        <v>0.11991331868405254</v>
      </c>
      <c r="V5793" s="11">
        <v>0.2262963860532298</v>
      </c>
      <c r="W5793" s="11">
        <v>0.25842205877578434</v>
      </c>
      <c r="X5793" s="11">
        <v>0.017757916498049472</v>
      </c>
      <c r="Y5793" s="11">
        <v>0.017268057669207738</v>
      </c>
      <c r="Z5793" s="11">
        <v>0.3603422623196761</v>
      </c>
    </row>
    <row r="5794" ht="22.5" customHeight="1">
      <c r="Q5794" s="9" t="s">
        <v>5832</v>
      </c>
      <c r="R5794" s="10">
        <v>0.9999306392084916</v>
      </c>
      <c r="S5794" s="10">
        <v>0.0488311307642147</v>
      </c>
      <c r="T5794" s="10">
        <v>19.658169372394813</v>
      </c>
      <c r="U5794" s="11">
        <v>0.06140114331290247</v>
      </c>
      <c r="V5794" s="11">
        <v>0.3584718387075518</v>
      </c>
      <c r="W5794" s="11">
        <v>0.2992735403734609</v>
      </c>
      <c r="X5794" s="11">
        <v>0.005899054389407699</v>
      </c>
      <c r="Y5794" s="11">
        <v>0.08238860826859941</v>
      </c>
      <c r="Z5794" s="11">
        <v>0.19256581494807765</v>
      </c>
    </row>
    <row r="5795" ht="22.5" customHeight="1">
      <c r="Q5795" s="9" t="s">
        <v>5833</v>
      </c>
      <c r="R5795" s="10">
        <v>0.4386299466366286</v>
      </c>
      <c r="S5795" s="10">
        <v>0.020278334610775755</v>
      </c>
      <c r="T5795" s="10">
        <v>19.65792331017162</v>
      </c>
      <c r="U5795" s="11">
        <v>0.2539473653100008</v>
      </c>
      <c r="V5795" s="11">
        <v>0.05408074825128317</v>
      </c>
      <c r="W5795" s="11">
        <v>0.16496156571635992</v>
      </c>
      <c r="X5795" s="11">
        <v>0.23895101501439397</v>
      </c>
      <c r="Y5795" s="11">
        <v>0.06665758543890514</v>
      </c>
      <c r="Z5795" s="11">
        <v>0.22140172026905697</v>
      </c>
    </row>
    <row r="5796" ht="22.5" customHeight="1">
      <c r="Q5796" s="9" t="s">
        <v>5834</v>
      </c>
      <c r="R5796" s="10">
        <v>0.522331348251574</v>
      </c>
      <c r="S5796" s="10">
        <v>0.014994014834133854</v>
      </c>
      <c r="T5796" s="10">
        <v>19.657571628461476</v>
      </c>
      <c r="U5796" s="11">
        <v>0.31652072676062254</v>
      </c>
      <c r="V5796" s="11">
        <v>0.11743027631994707</v>
      </c>
      <c r="W5796" s="11">
        <v>0.036818346513880884</v>
      </c>
      <c r="X5796" s="11">
        <v>0.08380451254205934</v>
      </c>
      <c r="Y5796" s="11">
        <v>0.10059098995184089</v>
      </c>
      <c r="Z5796" s="11">
        <v>0.3448351479116492</v>
      </c>
    </row>
    <row r="5797" ht="22.5" customHeight="1">
      <c r="Q5797" s="9" t="s">
        <v>5835</v>
      </c>
      <c r="R5797" s="10">
        <v>0.8161450627151777</v>
      </c>
      <c r="S5797" s="10">
        <v>0.03948354728123946</v>
      </c>
      <c r="T5797" s="10">
        <v>19.65742989571663</v>
      </c>
      <c r="U5797" s="11">
        <v>4.8278344736228337E-4</v>
      </c>
      <c r="V5797" s="11">
        <v>0.20977010980627567</v>
      </c>
      <c r="W5797" s="11">
        <v>0.30418713394200037</v>
      </c>
      <c r="X5797" s="11">
        <v>0.1618055045699428</v>
      </c>
      <c r="Y5797" s="11">
        <v>0.05915824209575727</v>
      </c>
      <c r="Z5797" s="11">
        <v>0.2645962261386615</v>
      </c>
    </row>
    <row r="5798" ht="22.5" customHeight="1">
      <c r="Q5798" s="9" t="s">
        <v>5836</v>
      </c>
      <c r="R5798" s="10">
        <v>0.8610701661973215</v>
      </c>
      <c r="S5798" s="10">
        <v>0.041769527356925795</v>
      </c>
      <c r="T5798" s="10">
        <v>19.657157218495076</v>
      </c>
      <c r="U5798" s="11">
        <v>0.0028019272425914756</v>
      </c>
      <c r="V5798" s="11">
        <v>0.2623479870201334</v>
      </c>
      <c r="W5798" s="11">
        <v>0.29420978246803736</v>
      </c>
      <c r="X5798" s="11">
        <v>0.017920198315904277</v>
      </c>
      <c r="Y5798" s="11">
        <v>0.15450275967234725</v>
      </c>
      <c r="Z5798" s="11">
        <v>0.2682173452809863</v>
      </c>
    </row>
    <row r="5799" ht="22.5" customHeight="1">
      <c r="Q5799" s="9" t="s">
        <v>5837</v>
      </c>
      <c r="R5799" s="10">
        <v>0.7753493590981652</v>
      </c>
      <c r="S5799" s="10">
        <v>0.03740983655225621</v>
      </c>
      <c r="T5799" s="10">
        <v>19.65657770439566</v>
      </c>
      <c r="U5799" s="11">
        <v>0.10449490661143877</v>
      </c>
      <c r="V5799" s="11">
        <v>0.32134559966774623</v>
      </c>
      <c r="W5799" s="11">
        <v>0.14888227076593716</v>
      </c>
      <c r="X5799" s="11">
        <v>0.06310744773881133</v>
      </c>
      <c r="Y5799" s="11">
        <v>0.2733982425980843</v>
      </c>
      <c r="Z5799" s="11">
        <v>0.08877153261798222</v>
      </c>
    </row>
    <row r="5800" ht="22.5" customHeight="1">
      <c r="Q5800" s="9" t="s">
        <v>5838</v>
      </c>
      <c r="R5800" s="10">
        <v>0.8073404635330614</v>
      </c>
      <c r="S5800" s="10">
        <v>0.03903788209375983</v>
      </c>
      <c r="T5800" s="10">
        <v>19.65630363066546</v>
      </c>
      <c r="U5800" s="11">
        <v>0.10905666903768814</v>
      </c>
      <c r="V5800" s="11">
        <v>0.3258709983436222</v>
      </c>
      <c r="W5800" s="11">
        <v>0.1784556263657603</v>
      </c>
      <c r="X5800" s="11">
        <v>0.006578248176352418</v>
      </c>
      <c r="Y5800" s="11">
        <v>0.22620308525044183</v>
      </c>
      <c r="Z5800" s="11">
        <v>0.1538353728261351</v>
      </c>
    </row>
    <row r="5801" ht="22.5" customHeight="1">
      <c r="Q5801" s="9" t="s">
        <v>5839</v>
      </c>
      <c r="R5801" s="10">
        <v>0.7568657333504155</v>
      </c>
      <c r="S5801" s="10">
        <v>0.03647077358761398</v>
      </c>
      <c r="T5801" s="10">
        <v>19.655896018445677</v>
      </c>
      <c r="U5801" s="11">
        <v>0.16873446463787864</v>
      </c>
      <c r="V5801" s="11">
        <v>0.1914105022261081</v>
      </c>
      <c r="W5801" s="11">
        <v>0.2770404720561701</v>
      </c>
      <c r="X5801" s="11">
        <v>0.03361140819141396</v>
      </c>
      <c r="Y5801" s="11">
        <v>0.2060742308855338</v>
      </c>
      <c r="Z5801" s="11">
        <v>0.12312892200289542</v>
      </c>
    </row>
    <row r="5802" ht="22.5" customHeight="1">
      <c r="Q5802" s="9" t="s">
        <v>5840</v>
      </c>
      <c r="R5802" s="10">
        <v>0.6874605576587856</v>
      </c>
      <c r="S5802" s="10">
        <v>0.032940739071548666</v>
      </c>
      <c r="T5802" s="10">
        <v>19.655313630106296</v>
      </c>
      <c r="U5802" s="11">
        <v>0.26791863071915767</v>
      </c>
      <c r="V5802" s="11">
        <v>0.1494657916292606</v>
      </c>
      <c r="W5802" s="11">
        <v>0.2630161994144999</v>
      </c>
      <c r="X5802" s="11">
        <v>0.14388995862207418</v>
      </c>
      <c r="Y5802" s="11">
        <v>0.025896139911247142</v>
      </c>
      <c r="Z5802" s="11">
        <v>0.14981327970376065</v>
      </c>
    </row>
    <row r="5803" ht="22.5" customHeight="1">
      <c r="Q5803" s="9" t="s">
        <v>5841</v>
      </c>
      <c r="R5803" s="10">
        <v>0.5558343680164024</v>
      </c>
      <c r="S5803" s="10">
        <v>0.026244043526220336</v>
      </c>
      <c r="T5803" s="10">
        <v>19.655293114456008</v>
      </c>
      <c r="U5803" s="11">
        <v>0.10961701569966686</v>
      </c>
      <c r="V5803" s="11">
        <v>0.11043077141779088</v>
      </c>
      <c r="W5803" s="11">
        <v>0.2094635455244247</v>
      </c>
      <c r="X5803" s="11">
        <v>0.11086268387984237</v>
      </c>
      <c r="Y5803" s="11">
        <v>0.17084781573537144</v>
      </c>
      <c r="Z5803" s="11">
        <v>0.2887781677429037</v>
      </c>
    </row>
    <row r="5804" ht="22.5" customHeight="1">
      <c r="Q5804" s="9" t="s">
        <v>5842</v>
      </c>
      <c r="R5804" s="10">
        <v>0.617558928780799</v>
      </c>
      <c r="S5804" s="10">
        <v>0.029384926739465782</v>
      </c>
      <c r="T5804" s="10">
        <v>19.654938530273803</v>
      </c>
      <c r="U5804" s="11">
        <v>0.18359576371442118</v>
      </c>
      <c r="V5804" s="11">
        <v>0.2605019379686271</v>
      </c>
      <c r="W5804" s="11">
        <v>0.09998164372395486</v>
      </c>
      <c r="X5804" s="11">
        <v>0.11021112088272172</v>
      </c>
      <c r="Y5804" s="11">
        <v>0.08177716869648634</v>
      </c>
      <c r="Z5804" s="11">
        <v>0.2639323650137887</v>
      </c>
    </row>
    <row r="5805" ht="22.5" customHeight="1">
      <c r="Q5805" s="9" t="s">
        <v>5843</v>
      </c>
      <c r="R5805" s="10">
        <v>0.8633671167423871</v>
      </c>
      <c r="S5805" s="10">
        <v>0.04189119783599885</v>
      </c>
      <c r="T5805" s="10">
        <v>19.654895521627537</v>
      </c>
      <c r="U5805" s="11">
        <v>0.20855669118397854</v>
      </c>
      <c r="V5805" s="11">
        <v>0.23800717462408078</v>
      </c>
      <c r="W5805" s="11">
        <v>0.31011936439874516</v>
      </c>
      <c r="X5805" s="11">
        <v>0.0229781301198055</v>
      </c>
      <c r="Y5805" s="11">
        <v>0.14730506722641462</v>
      </c>
      <c r="Z5805" s="11">
        <v>0.07303357244697531</v>
      </c>
    </row>
    <row r="5806" ht="22.5" customHeight="1">
      <c r="Q5806" s="9" t="s">
        <v>5844</v>
      </c>
      <c r="R5806" s="10">
        <v>0.5892749672432109</v>
      </c>
      <c r="S5806" s="10">
        <v>0.027945990650948042</v>
      </c>
      <c r="T5806" s="10">
        <v>19.654875509828358</v>
      </c>
      <c r="U5806" s="11">
        <v>0.25525333821319873</v>
      </c>
      <c r="V5806" s="11">
        <v>0.09765834690050133</v>
      </c>
      <c r="W5806" s="11">
        <v>0.2307922124976342</v>
      </c>
      <c r="X5806" s="11">
        <v>0.24840762674937397</v>
      </c>
      <c r="Y5806" s="11">
        <v>0.039755603841224015</v>
      </c>
      <c r="Z5806" s="11">
        <v>0.1281328717980677</v>
      </c>
    </row>
    <row r="5807" ht="22.5" customHeight="1">
      <c r="Q5807" s="9" t="s">
        <v>5845</v>
      </c>
      <c r="R5807" s="10">
        <v>0.5941086231351909</v>
      </c>
      <c r="S5807" s="10">
        <v>0.028192481936077877</v>
      </c>
      <c r="T5807" s="10">
        <v>19.65448180091228</v>
      </c>
      <c r="U5807" s="11">
        <v>0.2640345049844628</v>
      </c>
      <c r="V5807" s="11">
        <v>0.24438978704146236</v>
      </c>
      <c r="W5807" s="11">
        <v>0.10564142451977243</v>
      </c>
      <c r="X5807" s="11">
        <v>0.060915266828682785</v>
      </c>
      <c r="Y5807" s="11">
        <v>0.029898936231573546</v>
      </c>
      <c r="Z5807" s="11">
        <v>0.29512008039404597</v>
      </c>
    </row>
    <row r="5808" ht="22.5" customHeight="1">
      <c r="Q5808" s="9" t="s">
        <v>5846</v>
      </c>
      <c r="R5808" s="10">
        <v>0.9740382979118334</v>
      </c>
      <c r="S5808" s="10">
        <v>0.04752435974542604</v>
      </c>
      <c r="T5808" s="10">
        <v>19.653884932173746</v>
      </c>
      <c r="U5808" s="11">
        <v>0.023245200917977316</v>
      </c>
      <c r="V5808" s="11">
        <v>0.39837414919495556</v>
      </c>
      <c r="W5808" s="11">
        <v>0.22552458489771085</v>
      </c>
      <c r="X5808" s="11">
        <v>0.13568279515363055</v>
      </c>
      <c r="Y5808" s="11">
        <v>0.04852791408102</v>
      </c>
      <c r="Z5808" s="11">
        <v>0.1686453557547058</v>
      </c>
    </row>
    <row r="5809" ht="22.5" customHeight="1">
      <c r="Q5809" s="9" t="s">
        <v>5847</v>
      </c>
      <c r="R5809" s="10">
        <v>0.5901332671624245</v>
      </c>
      <c r="S5809" s="10">
        <v>0.027993018503813926</v>
      </c>
      <c r="T5809" s="10">
        <v>19.652516826203335</v>
      </c>
      <c r="U5809" s="11">
        <v>0.05181030970423342</v>
      </c>
      <c r="V5809" s="11">
        <v>0.11883615526018564</v>
      </c>
      <c r="W5809" s="11">
        <v>0.22490222573379673</v>
      </c>
      <c r="X5809" s="11">
        <v>0.14850780630240304</v>
      </c>
      <c r="Y5809" s="11">
        <v>0.15863874047814677</v>
      </c>
      <c r="Z5809" s="11">
        <v>0.29730476252123444</v>
      </c>
    </row>
    <row r="5810" ht="22.5" customHeight="1">
      <c r="Q5810" s="9" t="s">
        <v>5848</v>
      </c>
      <c r="R5810" s="10">
        <v>0.5676129697896635</v>
      </c>
      <c r="S5810" s="10">
        <v>0.026847632230585904</v>
      </c>
      <c r="T5810" s="10">
        <v>19.652122960347523</v>
      </c>
      <c r="U5810" s="11">
        <v>0.1459766562590078</v>
      </c>
      <c r="V5810" s="11">
        <v>0.12255054936903886</v>
      </c>
      <c r="W5810" s="11">
        <v>0.20697780420207962</v>
      </c>
      <c r="X5810" s="11">
        <v>0.03852844584955763</v>
      </c>
      <c r="Y5810" s="11">
        <v>0.2545959336127752</v>
      </c>
      <c r="Z5810" s="11">
        <v>0.23137061070754095</v>
      </c>
    </row>
    <row r="5811" ht="22.5" customHeight="1">
      <c r="Q5811" s="9" t="s">
        <v>5849</v>
      </c>
      <c r="R5811" s="10">
        <v>0.522331348251574</v>
      </c>
      <c r="S5811" s="10">
        <v>0.014431782535927027</v>
      </c>
      <c r="T5811" s="10">
        <v>19.651794500699783</v>
      </c>
      <c r="U5811" s="11">
        <v>0.28358127841970343</v>
      </c>
      <c r="V5811" s="11">
        <v>0.023862098628215728</v>
      </c>
      <c r="W5811" s="11">
        <v>0.10539296848896641</v>
      </c>
      <c r="X5811" s="11">
        <v>0.23571842244810587</v>
      </c>
      <c r="Y5811" s="11">
        <v>0.14050550932243674</v>
      </c>
      <c r="Z5811" s="11">
        <v>0.21093972269257172</v>
      </c>
    </row>
    <row r="5812" ht="22.5" customHeight="1">
      <c r="Q5812" s="9" t="s">
        <v>5850</v>
      </c>
      <c r="R5812" s="10">
        <v>0.3994515820715392</v>
      </c>
      <c r="S5812" s="10">
        <v>0.018291340367632396</v>
      </c>
      <c r="T5812" s="10">
        <v>19.651462104308656</v>
      </c>
      <c r="U5812" s="11">
        <v>0.0906068110115275</v>
      </c>
      <c r="V5812" s="11">
        <v>0.10627428619025481</v>
      </c>
      <c r="W5812" s="11">
        <v>0.08856278188086407</v>
      </c>
      <c r="X5812" s="11">
        <v>0.013377312479213407</v>
      </c>
      <c r="Y5812" s="11">
        <v>0.5009002477583703</v>
      </c>
      <c r="Z5812" s="11">
        <v>0.20027856067976996</v>
      </c>
    </row>
    <row r="5813" ht="22.5" customHeight="1">
      <c r="Q5813" s="9" t="s">
        <v>5851</v>
      </c>
      <c r="R5813" s="10">
        <v>0.5844752600133893</v>
      </c>
      <c r="S5813" s="10">
        <v>0.027707206847396443</v>
      </c>
      <c r="T5813" s="10">
        <v>19.651033863218583</v>
      </c>
      <c r="U5813" s="11">
        <v>0.12277542443621839</v>
      </c>
      <c r="V5813" s="11">
        <v>0.1019975127758393</v>
      </c>
      <c r="W5813" s="11">
        <v>0.22758776806248013</v>
      </c>
      <c r="X5813" s="11">
        <v>0.21162901785394037</v>
      </c>
      <c r="Y5813" s="11">
        <v>0.13852899467986346</v>
      </c>
      <c r="Z5813" s="11">
        <v>0.19748128219165853</v>
      </c>
    </row>
    <row r="5814" ht="22.5" customHeight="1">
      <c r="Q5814" s="9" t="s">
        <v>5852</v>
      </c>
      <c r="R5814" s="10">
        <v>0.6613914326710862</v>
      </c>
      <c r="S5814" s="10">
        <v>0.031621641808181514</v>
      </c>
      <c r="T5814" s="10">
        <v>19.65082763382364</v>
      </c>
      <c r="U5814" s="11">
        <v>0.00293273961752391</v>
      </c>
      <c r="V5814" s="11">
        <v>0.26042748084629397</v>
      </c>
      <c r="W5814" s="11">
        <v>0.1143855028881162</v>
      </c>
      <c r="X5814" s="11">
        <v>0.07668547722338961</v>
      </c>
      <c r="Y5814" s="11">
        <v>0.5223053569228308</v>
      </c>
      <c r="Z5814" s="11">
        <v>0.02326344250184553</v>
      </c>
    </row>
    <row r="5815" ht="22.5" customHeight="1">
      <c r="Q5815" s="9" t="s">
        <v>5853</v>
      </c>
      <c r="R5815" s="10">
        <v>0.7008174528463836</v>
      </c>
      <c r="S5815" s="10">
        <v>0.03362875875549995</v>
      </c>
      <c r="T5815" s="10">
        <v>19.650367045982854</v>
      </c>
      <c r="U5815" s="11">
        <v>0.30742737900560285</v>
      </c>
      <c r="V5815" s="11">
        <v>0.29112699453745666</v>
      </c>
      <c r="W5815" s="11">
        <v>0.1242343689699888</v>
      </c>
      <c r="X5815" s="11">
        <v>0.054260977023854996</v>
      </c>
      <c r="Y5815" s="11">
        <v>0.15913528746992897</v>
      </c>
      <c r="Z5815" s="11">
        <v>0.06381499299316769</v>
      </c>
    </row>
    <row r="5816" ht="22.5" customHeight="1">
      <c r="Q5816" s="9" t="s">
        <v>5854</v>
      </c>
      <c r="R5816" s="10">
        <v>0.7163272183150882</v>
      </c>
      <c r="S5816" s="10">
        <v>0.03441896830002273</v>
      </c>
      <c r="T5816" s="10">
        <v>19.649839949288705</v>
      </c>
      <c r="U5816" s="11">
        <v>0.21627728509965163</v>
      </c>
      <c r="V5816" s="11">
        <v>0.17782852854905734</v>
      </c>
      <c r="W5816" s="11">
        <v>0.2644439655919639</v>
      </c>
      <c r="X5816" s="11">
        <v>0.05064919057313608</v>
      </c>
      <c r="Y5816" s="11">
        <v>0.09869599214966522</v>
      </c>
      <c r="Z5816" s="11">
        <v>0.19210503803652584</v>
      </c>
    </row>
    <row r="5817" ht="22.5" customHeight="1">
      <c r="Q5817" s="9" t="s">
        <v>5855</v>
      </c>
      <c r="R5817" s="10">
        <v>0.5142637157560246</v>
      </c>
      <c r="S5817" s="10">
        <v>0.024136171396471746</v>
      </c>
      <c r="T5817" s="10">
        <v>19.649500658805938</v>
      </c>
      <c r="U5817" s="11">
        <v>0.20827219867937458</v>
      </c>
      <c r="V5817" s="11">
        <v>0.2175017612354096</v>
      </c>
      <c r="W5817" s="11">
        <v>0.05340419470764181</v>
      </c>
      <c r="X5817" s="11">
        <v>0.2465566716699284</v>
      </c>
      <c r="Y5817" s="11">
        <v>0.02818721108030449</v>
      </c>
      <c r="Z5817" s="11">
        <v>0.2460779626273411</v>
      </c>
    </row>
    <row r="5818" ht="22.5" customHeight="1">
      <c r="Q5818" s="9" t="s">
        <v>5856</v>
      </c>
      <c r="R5818" s="10">
        <v>0.5626458558828223</v>
      </c>
      <c r="S5818" s="10">
        <v>0.026598796435478043</v>
      </c>
      <c r="T5818" s="10">
        <v>19.649229511216006</v>
      </c>
      <c r="U5818" s="11">
        <v>0.14706306058671778</v>
      </c>
      <c r="V5818" s="11">
        <v>0.08952562139380744</v>
      </c>
      <c r="W5818" s="11">
        <v>0.2181487023087333</v>
      </c>
      <c r="X5818" s="11">
        <v>0.21458346541373566</v>
      </c>
      <c r="Y5818" s="11">
        <v>0.20326550440781724</v>
      </c>
      <c r="Z5818" s="11">
        <v>0.12741364588918863</v>
      </c>
    </row>
    <row r="5819" ht="22.5" customHeight="1">
      <c r="Q5819" s="9" t="s">
        <v>5857</v>
      </c>
      <c r="R5819" s="10">
        <v>0.522331348251574</v>
      </c>
      <c r="S5819" s="10">
        <v>0.016560459588936694</v>
      </c>
      <c r="T5819" s="10">
        <v>19.649140634152538</v>
      </c>
      <c r="U5819" s="11">
        <v>0.22296757655334087</v>
      </c>
      <c r="V5819" s="11">
        <v>0.14006011510344354</v>
      </c>
      <c r="W5819" s="11">
        <v>0.015334058327966976</v>
      </c>
      <c r="X5819" s="11">
        <v>0.2638559756642821</v>
      </c>
      <c r="Y5819" s="11">
        <v>0.11859843984379098</v>
      </c>
      <c r="Z5819" s="11">
        <v>0.23918383450717542</v>
      </c>
    </row>
    <row r="5820" ht="22.5" customHeight="1">
      <c r="Q5820" s="9" t="s">
        <v>5858</v>
      </c>
      <c r="R5820" s="10">
        <v>0.6998073051190509</v>
      </c>
      <c r="S5820" s="10">
        <v>0.03358023588618346</v>
      </c>
      <c r="T5820" s="10">
        <v>19.648679876919136</v>
      </c>
      <c r="U5820" s="11">
        <v>0.20232045676289417</v>
      </c>
      <c r="V5820" s="11">
        <v>0.30155995567813765</v>
      </c>
      <c r="W5820" s="11">
        <v>0.09941463519105821</v>
      </c>
      <c r="X5820" s="11">
        <v>0.22002674018510318</v>
      </c>
      <c r="Y5820" s="11">
        <v>0.11374916371356572</v>
      </c>
      <c r="Z5820" s="11">
        <v>0.06292904846924094</v>
      </c>
    </row>
    <row r="5821" ht="22.5" customHeight="1">
      <c r="Q5821" s="9" t="s">
        <v>5859</v>
      </c>
      <c r="R5821" s="10">
        <v>0.522331348251574</v>
      </c>
      <c r="S5821" s="10">
        <v>0.029369824714060924</v>
      </c>
      <c r="T5821" s="10">
        <v>19.648442103614833</v>
      </c>
      <c r="U5821" s="11">
        <v>0.09641500727839362</v>
      </c>
      <c r="V5821" s="11">
        <v>0.2595262835078247</v>
      </c>
      <c r="W5821" s="11">
        <v>0.09517821436177994</v>
      </c>
      <c r="X5821" s="11">
        <v>0.10277317747736664</v>
      </c>
      <c r="Y5821" s="11">
        <v>0.2347601754047854</v>
      </c>
      <c r="Z5821" s="11">
        <v>0.21134714196984977</v>
      </c>
    </row>
    <row r="5822" ht="22.5" customHeight="1">
      <c r="Q5822" s="9" t="s">
        <v>5860</v>
      </c>
      <c r="R5822" s="10">
        <v>0.531003221513495</v>
      </c>
      <c r="S5822" s="10">
        <v>0.024989641633309218</v>
      </c>
      <c r="T5822" s="10">
        <v>19.648269819885154</v>
      </c>
      <c r="U5822" s="11">
        <v>0.38024088835903286</v>
      </c>
      <c r="V5822" s="11">
        <v>0.2171973067050708</v>
      </c>
      <c r="W5822" s="11">
        <v>0.060572709196563275</v>
      </c>
      <c r="X5822" s="11">
        <v>0.1317640225104883</v>
      </c>
      <c r="Y5822" s="11">
        <v>0.1849534031684979</v>
      </c>
      <c r="Z5822" s="11">
        <v>0.025271670060347085</v>
      </c>
    </row>
    <row r="5823" ht="22.5" customHeight="1">
      <c r="Q5823" s="9" t="s">
        <v>5861</v>
      </c>
      <c r="R5823" s="10">
        <v>0.6494277348495341</v>
      </c>
      <c r="S5823" s="10">
        <v>0.031018199600944322</v>
      </c>
      <c r="T5823" s="10">
        <v>19.64742450206493</v>
      </c>
      <c r="U5823" s="11">
        <v>0.31121727715743003</v>
      </c>
      <c r="V5823" s="11">
        <v>0.26556664802425195</v>
      </c>
      <c r="W5823" s="11">
        <v>0.11235290368674464</v>
      </c>
      <c r="X5823" s="11">
        <v>0.02338579788111513</v>
      </c>
      <c r="Y5823" s="11">
        <v>0.22453566910798997</v>
      </c>
      <c r="Z5823" s="11">
        <v>0.0629417041424683</v>
      </c>
    </row>
    <row r="5824" ht="22.5" customHeight="1">
      <c r="Q5824" s="9" t="s">
        <v>5862</v>
      </c>
      <c r="R5824" s="10">
        <v>0.6608016553583286</v>
      </c>
      <c r="S5824" s="10">
        <v>0.03159743493467233</v>
      </c>
      <c r="T5824" s="10">
        <v>19.647216827626526</v>
      </c>
      <c r="U5824" s="11">
        <v>0.20432739401304842</v>
      </c>
      <c r="V5824" s="11">
        <v>0.1577483768907818</v>
      </c>
      <c r="W5824" s="11">
        <v>0.24519352610310768</v>
      </c>
      <c r="X5824" s="11">
        <v>0.06416529877415413</v>
      </c>
      <c r="Y5824" s="11">
        <v>0.07520874614136733</v>
      </c>
      <c r="Z5824" s="11">
        <v>0.25335665807754054</v>
      </c>
    </row>
    <row r="5825" ht="22.5" customHeight="1">
      <c r="Q5825" s="9" t="s">
        <v>5863</v>
      </c>
      <c r="R5825" s="10">
        <v>0.7021053311611517</v>
      </c>
      <c r="S5825" s="10">
        <v>0.03369999190250295</v>
      </c>
      <c r="T5825" s="10">
        <v>19.647047188518048</v>
      </c>
      <c r="U5825" s="11">
        <v>0.20777506335446086</v>
      </c>
      <c r="V5825" s="11">
        <v>0.2943154011819597</v>
      </c>
      <c r="W5825" s="11">
        <v>0.11179944902235077</v>
      </c>
      <c r="X5825" s="11">
        <v>0.1031459660501174</v>
      </c>
      <c r="Y5825" s="11">
        <v>0.2809299873921105</v>
      </c>
      <c r="Z5825" s="11">
        <v>0.0020341329990007768</v>
      </c>
    </row>
    <row r="5826" ht="22.5" customHeight="1">
      <c r="Q5826" s="9" t="s">
        <v>5864</v>
      </c>
      <c r="R5826" s="10">
        <v>0.8261596070477004</v>
      </c>
      <c r="S5826" s="10">
        <v>0.04001457470131032</v>
      </c>
      <c r="T5826" s="10">
        <v>19.646831508669184</v>
      </c>
      <c r="U5826" s="11">
        <v>0.061367772351278924</v>
      </c>
      <c r="V5826" s="11">
        <v>0.22644440968235824</v>
      </c>
      <c r="W5826" s="11">
        <v>0.2964480950682329</v>
      </c>
      <c r="X5826" s="11">
        <v>0.03218429006739264</v>
      </c>
      <c r="Y5826" s="11">
        <v>0.2180100401601337</v>
      </c>
      <c r="Z5826" s="11">
        <v>0.1655453926706036</v>
      </c>
    </row>
    <row r="5827" ht="22.5" customHeight="1">
      <c r="Q5827" s="9" t="s">
        <v>5865</v>
      </c>
      <c r="R5827" s="10">
        <v>0.5287457197907045</v>
      </c>
      <c r="S5827" s="10">
        <v>0.024876963592877003</v>
      </c>
      <c r="T5827" s="10">
        <v>19.64651827245696</v>
      </c>
      <c r="U5827" s="11">
        <v>0.19125871924850646</v>
      </c>
      <c r="V5827" s="11">
        <v>0.2242362990599575</v>
      </c>
      <c r="W5827" s="11">
        <v>0.04670341508388128</v>
      </c>
      <c r="X5827" s="11">
        <v>0.284327343352988</v>
      </c>
      <c r="Y5827" s="11">
        <v>0.11248369340669953</v>
      </c>
      <c r="Z5827" s="11">
        <v>0.14099052984796723</v>
      </c>
    </row>
    <row r="5828" ht="22.5" customHeight="1">
      <c r="Q5828" s="9" t="s">
        <v>5866</v>
      </c>
      <c r="R5828" s="10">
        <v>0.7387823861002051</v>
      </c>
      <c r="S5828" s="10">
        <v>0.035568422565877514</v>
      </c>
      <c r="T5828" s="10">
        <v>19.64614497047109</v>
      </c>
      <c r="U5828" s="11">
        <v>0.13855697036134001</v>
      </c>
      <c r="V5828" s="11">
        <v>0.31731222792004726</v>
      </c>
      <c r="W5828" s="11">
        <v>0.11017467280369839</v>
      </c>
      <c r="X5828" s="11">
        <v>0.20637629822590167</v>
      </c>
      <c r="Y5828" s="11">
        <v>0.20522636289499196</v>
      </c>
      <c r="Z5828" s="11">
        <v>0.022353467794020733</v>
      </c>
    </row>
    <row r="5829" ht="22.5" customHeight="1">
      <c r="Q5829" s="9" t="s">
        <v>5867</v>
      </c>
      <c r="R5829" s="10">
        <v>0.7580780117354716</v>
      </c>
      <c r="S5829" s="10">
        <v>0.03655279942708109</v>
      </c>
      <c r="T5829" s="10">
        <v>19.6449525888697</v>
      </c>
      <c r="U5829" s="11">
        <v>0.23583766746142706</v>
      </c>
      <c r="V5829" s="11">
        <v>0.18471526693849388</v>
      </c>
      <c r="W5829" s="11">
        <v>0.28463984839537115</v>
      </c>
      <c r="X5829" s="11">
        <v>0.10369663582452229</v>
      </c>
      <c r="Y5829" s="11">
        <v>0.03268442463581231</v>
      </c>
      <c r="Z5829" s="11">
        <v>0.15842615674437333</v>
      </c>
    </row>
    <row r="5830" ht="22.5" customHeight="1">
      <c r="Q5830" s="9" t="s">
        <v>5868</v>
      </c>
      <c r="R5830" s="10">
        <v>0.9348452153344644</v>
      </c>
      <c r="S5830" s="10">
        <v>0.045552781482649116</v>
      </c>
      <c r="T5830" s="10">
        <v>19.644139967068917</v>
      </c>
      <c r="U5830" s="11">
        <v>0.06193177775151246</v>
      </c>
      <c r="V5830" s="11">
        <v>0.28736115271092016</v>
      </c>
      <c r="W5830" s="11">
        <v>0.32011630316462447</v>
      </c>
      <c r="X5830" s="11">
        <v>0.013599463456191398</v>
      </c>
      <c r="Y5830" s="11">
        <v>0.14810268765135662</v>
      </c>
      <c r="Z5830" s="11">
        <v>0.1688886152653949</v>
      </c>
    </row>
    <row r="5831" ht="22.5" customHeight="1">
      <c r="Q5831" s="9" t="s">
        <v>5869</v>
      </c>
      <c r="R5831" s="10">
        <v>0.522331348251574</v>
      </c>
      <c r="S5831" s="10">
        <v>0.03212980810941201</v>
      </c>
      <c r="T5831" s="10">
        <v>19.643776069813118</v>
      </c>
      <c r="U5831" s="11">
        <v>0.08291864046078283</v>
      </c>
      <c r="V5831" s="11">
        <v>0.16384068114672415</v>
      </c>
      <c r="W5831" s="11">
        <v>0.2455694777925753</v>
      </c>
      <c r="X5831" s="11">
        <v>0.03938832740717821</v>
      </c>
      <c r="Y5831" s="11">
        <v>0.22218498563221942</v>
      </c>
      <c r="Z5831" s="11">
        <v>0.24609788756051998</v>
      </c>
    </row>
    <row r="5832" ht="22.5" customHeight="1">
      <c r="Q5832" s="9" t="s">
        <v>5870</v>
      </c>
      <c r="R5832" s="10">
        <v>0.9603543415456215</v>
      </c>
      <c r="S5832" s="10">
        <v>0.04685272265185711</v>
      </c>
      <c r="T5832" s="10">
        <v>19.64356155744433</v>
      </c>
      <c r="U5832" s="11">
        <v>0.05799095474218847</v>
      </c>
      <c r="V5832" s="11">
        <v>0.33507462206247907</v>
      </c>
      <c r="W5832" s="11">
        <v>0.2976477029923739</v>
      </c>
      <c r="X5832" s="11">
        <v>0.024158293713324265</v>
      </c>
      <c r="Y5832" s="11">
        <v>0.011158320943461595</v>
      </c>
      <c r="Z5832" s="11">
        <v>0.2739701055461727</v>
      </c>
    </row>
    <row r="5833" ht="22.5" customHeight="1">
      <c r="Q5833" s="9" t="s">
        <v>5871</v>
      </c>
      <c r="R5833" s="10">
        <v>0.6566260101660938</v>
      </c>
      <c r="S5833" s="10">
        <v>0.03139126049768095</v>
      </c>
      <c r="T5833" s="10">
        <v>19.64323828957577</v>
      </c>
      <c r="U5833" s="11">
        <v>0.06368292040469709</v>
      </c>
      <c r="V5833" s="11">
        <v>0.27671888324695876</v>
      </c>
      <c r="W5833" s="11">
        <v>0.11331999150947614</v>
      </c>
      <c r="X5833" s="11">
        <v>0.0995011360459165</v>
      </c>
      <c r="Y5833" s="11">
        <v>0.16861420954706238</v>
      </c>
      <c r="Z5833" s="11">
        <v>0.27816285924588924</v>
      </c>
    </row>
    <row r="5834" ht="22.5" customHeight="1">
      <c r="Q5834" s="9" t="s">
        <v>5872</v>
      </c>
      <c r="R5834" s="10">
        <v>0.6950161679291216</v>
      </c>
      <c r="S5834" s="10">
        <v>0.03334602760969476</v>
      </c>
      <c r="T5834" s="10">
        <v>19.643004426071048</v>
      </c>
      <c r="U5834" s="11">
        <v>0.0577414478908194</v>
      </c>
      <c r="V5834" s="11">
        <v>0.12325231964027311</v>
      </c>
      <c r="W5834" s="11">
        <v>0.27236569194640114</v>
      </c>
      <c r="X5834" s="11">
        <v>0.28268061490164864</v>
      </c>
      <c r="Y5834" s="11">
        <v>0.25260530336303444</v>
      </c>
      <c r="Z5834" s="11">
        <v>0.011354622257823192</v>
      </c>
    </row>
    <row r="5835" ht="22.5" customHeight="1">
      <c r="Q5835" s="9" t="s">
        <v>5873</v>
      </c>
      <c r="R5835" s="10">
        <v>0.6234918017898332</v>
      </c>
      <c r="S5835" s="10">
        <v>0.029705050351807764</v>
      </c>
      <c r="T5835" s="10">
        <v>19.64284843416613</v>
      </c>
      <c r="U5835" s="11">
        <v>0.07078154711758093</v>
      </c>
      <c r="V5835" s="11">
        <v>0.25711354639999884</v>
      </c>
      <c r="W5835" s="11">
        <v>0.10438628536345615</v>
      </c>
      <c r="X5835" s="11">
        <v>0.05880527476023896</v>
      </c>
      <c r="Y5835" s="11">
        <v>0.30747061797850656</v>
      </c>
      <c r="Z5835" s="11">
        <v>0.2014427283802186</v>
      </c>
    </row>
    <row r="5836" ht="22.5" customHeight="1">
      <c r="Q5836" s="9" t="s">
        <v>5874</v>
      </c>
      <c r="R5836" s="10">
        <v>0.6936576126518748</v>
      </c>
      <c r="S5836" s="10">
        <v>0.0332777375830248</v>
      </c>
      <c r="T5836" s="10">
        <v>19.642489547886512</v>
      </c>
      <c r="U5836" s="11">
        <v>0.12347204334391233</v>
      </c>
      <c r="V5836" s="11">
        <v>0.13508913443527706</v>
      </c>
      <c r="W5836" s="11">
        <v>0.2664595550544545</v>
      </c>
      <c r="X5836" s="11">
        <v>0.17379782331654292</v>
      </c>
      <c r="Y5836" s="11">
        <v>0.29992193126592337</v>
      </c>
      <c r="Z5836" s="11">
        <v>0.00125951258388987</v>
      </c>
    </row>
    <row r="5837" ht="22.5" customHeight="1">
      <c r="Q5837" s="9" t="s">
        <v>5875</v>
      </c>
      <c r="R5837" s="10">
        <v>0.664730105521411</v>
      </c>
      <c r="S5837" s="10">
        <v>0.03180505037999802</v>
      </c>
      <c r="T5837" s="10">
        <v>19.64248124298836</v>
      </c>
      <c r="U5837" s="11">
        <v>0.11640334767318523</v>
      </c>
      <c r="V5837" s="11">
        <v>0.13169844517386325</v>
      </c>
      <c r="W5837" s="11">
        <v>0.2576994404073731</v>
      </c>
      <c r="X5837" s="11">
        <v>0.17699366444661993</v>
      </c>
      <c r="Y5837" s="11">
        <v>0.17663550865462535</v>
      </c>
      <c r="Z5837" s="11">
        <v>0.1405695936443331</v>
      </c>
    </row>
    <row r="5838" ht="22.5" customHeight="1">
      <c r="Q5838" s="9" t="s">
        <v>5876</v>
      </c>
      <c r="R5838" s="10">
        <v>0.8359898129287209</v>
      </c>
      <c r="S5838" s="10">
        <v>0.040523996399639724</v>
      </c>
      <c r="T5838" s="10">
        <v>19.64243124194428</v>
      </c>
      <c r="U5838" s="11">
        <v>0.009409872455506294</v>
      </c>
      <c r="V5838" s="11">
        <v>0.3531412844737267</v>
      </c>
      <c r="W5838" s="11">
        <v>0.16371277851171118</v>
      </c>
      <c r="X5838" s="11">
        <v>0.1581035981353177</v>
      </c>
      <c r="Y5838" s="11">
        <v>0.12206474321536463</v>
      </c>
      <c r="Z5838" s="11">
        <v>0.19356772320837354</v>
      </c>
    </row>
    <row r="5839" ht="22.5" customHeight="1">
      <c r="Q5839" s="9" t="s">
        <v>5877</v>
      </c>
      <c r="R5839" s="10">
        <v>0.2959906551298794</v>
      </c>
      <c r="S5839" s="10">
        <v>0.013032740458211319</v>
      </c>
      <c r="T5839" s="10">
        <v>19.642120239461356</v>
      </c>
      <c r="U5839" s="11">
        <v>0.22878072433959803</v>
      </c>
      <c r="V5839" s="11">
        <v>0.01843792147574609</v>
      </c>
      <c r="W5839" s="11">
        <v>0.08370570599481506</v>
      </c>
      <c r="X5839" s="11">
        <v>0.24343696506778825</v>
      </c>
      <c r="Y5839" s="11">
        <v>0.26325806724742296</v>
      </c>
      <c r="Z5839" s="11">
        <v>0.16238061587462974</v>
      </c>
    </row>
    <row r="5840" ht="22.5" customHeight="1">
      <c r="Q5840" s="9" t="s">
        <v>5878</v>
      </c>
      <c r="R5840" s="10">
        <v>0.8670659391245362</v>
      </c>
      <c r="S5840" s="10">
        <v>0.04210681274344151</v>
      </c>
      <c r="T5840" s="10">
        <v>19.642093172995114</v>
      </c>
      <c r="U5840" s="11">
        <v>0.05315231058519463</v>
      </c>
      <c r="V5840" s="11">
        <v>0.24562330320442063</v>
      </c>
      <c r="W5840" s="11">
        <v>0.31020679834607606</v>
      </c>
      <c r="X5840" s="11">
        <v>0.05337455744755775</v>
      </c>
      <c r="Y5840" s="11">
        <v>0.13398324804865444</v>
      </c>
      <c r="Z5840" s="11">
        <v>0.2036597823680965</v>
      </c>
    </row>
    <row r="5841" ht="22.5" customHeight="1">
      <c r="Q5841" s="9" t="s">
        <v>5879</v>
      </c>
      <c r="R5841" s="10">
        <v>0.802203632595417</v>
      </c>
      <c r="S5841" s="10">
        <v>0.03880626250880974</v>
      </c>
      <c r="T5841" s="10">
        <v>19.641253326634658</v>
      </c>
      <c r="U5841" s="11">
        <v>0.0783934010428339</v>
      </c>
      <c r="V5841" s="11">
        <v>0.20280694272044425</v>
      </c>
      <c r="W5841" s="11">
        <v>0.29568436670346093</v>
      </c>
      <c r="X5841" s="11">
        <v>0.06487360602030846</v>
      </c>
      <c r="Y5841" s="11">
        <v>0.2540427162415389</v>
      </c>
      <c r="Z5841" s="11">
        <v>0.10419896727141363</v>
      </c>
    </row>
    <row r="5842" ht="22.5" customHeight="1">
      <c r="Q5842" s="9" t="s">
        <v>5880</v>
      </c>
      <c r="R5842" s="10">
        <v>0.6453356475824673</v>
      </c>
      <c r="S5842" s="10">
        <v>0.030819613170256336</v>
      </c>
      <c r="T5842" s="10">
        <v>19.64124741729951</v>
      </c>
      <c r="U5842" s="11">
        <v>0.19135822753987122</v>
      </c>
      <c r="V5842" s="11">
        <v>0.11300865702654946</v>
      </c>
      <c r="W5842" s="11">
        <v>0.25266916297173664</v>
      </c>
      <c r="X5842" s="11">
        <v>0.21967568892808303</v>
      </c>
      <c r="Y5842" s="11">
        <v>0.18464272442506857</v>
      </c>
      <c r="Z5842" s="11">
        <v>0.0386455391086911</v>
      </c>
    </row>
    <row r="5843" ht="22.5" customHeight="1">
      <c r="Q5843" s="9" t="s">
        <v>5881</v>
      </c>
      <c r="R5843" s="10">
        <v>0.9239568955281622</v>
      </c>
      <c r="S5843" s="10">
        <v>0.045005597189466784</v>
      </c>
      <c r="T5843" s="10">
        <v>19.64104357524325</v>
      </c>
      <c r="U5843" s="11">
        <v>0.11519027762115792</v>
      </c>
      <c r="V5843" s="11">
        <v>0.3883078886301142</v>
      </c>
      <c r="W5843" s="11">
        <v>0.1858147666940112</v>
      </c>
      <c r="X5843" s="11">
        <v>0.13893265111764638</v>
      </c>
      <c r="Y5843" s="11">
        <v>0.15729312003752993</v>
      </c>
      <c r="Z5843" s="11">
        <v>0.014461295899540426</v>
      </c>
    </row>
    <row r="5844" ht="22.5" customHeight="1">
      <c r="Q5844" s="9" t="s">
        <v>5882</v>
      </c>
      <c r="R5844" s="10">
        <v>0.39865078740997395</v>
      </c>
      <c r="S5844" s="10">
        <v>0.018260559589953998</v>
      </c>
      <c r="T5844" s="10">
        <v>19.640733661157068</v>
      </c>
      <c r="U5844" s="11">
        <v>0.18413455853336058</v>
      </c>
      <c r="V5844" s="11">
        <v>0.05810350286614877</v>
      </c>
      <c r="W5844" s="11">
        <v>0.13990817237123343</v>
      </c>
      <c r="X5844" s="11">
        <v>0.10781135445313426</v>
      </c>
      <c r="Y5844" s="11">
        <v>0.2403168285241861</v>
      </c>
      <c r="Z5844" s="11">
        <v>0.26972558325193685</v>
      </c>
    </row>
    <row r="5845" ht="22.5" customHeight="1">
      <c r="Q5845" s="9" t="s">
        <v>5883</v>
      </c>
      <c r="R5845" s="10">
        <v>0.6336773705221729</v>
      </c>
      <c r="S5845" s="10">
        <v>0.030226949613276828</v>
      </c>
      <c r="T5845" s="10">
        <v>19.640664311737467</v>
      </c>
      <c r="U5845" s="11">
        <v>0.17108769546236624</v>
      </c>
      <c r="V5845" s="11">
        <v>0.269982184698119</v>
      </c>
      <c r="W5845" s="11">
        <v>0.09828718142516886</v>
      </c>
      <c r="X5845" s="11">
        <v>0.14187658207710965</v>
      </c>
      <c r="Y5845" s="11">
        <v>0.08259593481437721</v>
      </c>
      <c r="Z5845" s="11">
        <v>0.2361704215228592</v>
      </c>
    </row>
    <row r="5846" ht="22.5" customHeight="1">
      <c r="Q5846" s="9" t="s">
        <v>5884</v>
      </c>
      <c r="R5846" s="10">
        <v>0.5869562063515272</v>
      </c>
      <c r="S5846" s="10">
        <v>0.027848316325248253</v>
      </c>
      <c r="T5846" s="10">
        <v>19.64054846129558</v>
      </c>
      <c r="U5846" s="11">
        <v>0.22106222235442172</v>
      </c>
      <c r="V5846" s="11">
        <v>0.2420457579486531</v>
      </c>
      <c r="W5846" s="11">
        <v>0.10294892329547499</v>
      </c>
      <c r="X5846" s="11">
        <v>0.04687863674700001</v>
      </c>
      <c r="Y5846" s="11">
        <v>0.08586588618414794</v>
      </c>
      <c r="Z5846" s="11">
        <v>0.30119857347030227</v>
      </c>
    </row>
    <row r="5847" ht="22.5" customHeight="1">
      <c r="Q5847" s="9" t="s">
        <v>5885</v>
      </c>
      <c r="R5847" s="10">
        <v>0.8924934070715423</v>
      </c>
      <c r="S5847" s="10">
        <v>0.043406977271839536</v>
      </c>
      <c r="T5847" s="10">
        <v>19.639547848096786</v>
      </c>
      <c r="U5847" s="11">
        <v>0.02938602173958725</v>
      </c>
      <c r="V5847" s="11">
        <v>0.2486685987440789</v>
      </c>
      <c r="W5847" s="11">
        <v>0.3212857109122477</v>
      </c>
      <c r="X5847" s="11">
        <v>0.05966104323827785</v>
      </c>
      <c r="Y5847" s="11">
        <v>0.20092307833601109</v>
      </c>
      <c r="Z5847" s="11">
        <v>0.14007554702979716</v>
      </c>
    </row>
    <row r="5848" ht="22.5" customHeight="1">
      <c r="Q5848" s="9" t="s">
        <v>5886</v>
      </c>
      <c r="R5848" s="10">
        <v>0.522331348251574</v>
      </c>
      <c r="S5848" s="10">
        <v>0.033333524424351856</v>
      </c>
      <c r="T5848" s="10">
        <v>19.639447283915654</v>
      </c>
      <c r="U5848" s="11">
        <v>0.04050039493445394</v>
      </c>
      <c r="V5848" s="11">
        <v>0.30146182563959834</v>
      </c>
      <c r="W5848" s="11">
        <v>0.09318002160817024</v>
      </c>
      <c r="X5848" s="11">
        <v>0.29843573082272457</v>
      </c>
      <c r="Y5848" s="11">
        <v>0.12541176302483312</v>
      </c>
      <c r="Z5848" s="11">
        <v>0.14101026397021985</v>
      </c>
    </row>
    <row r="5849" ht="22.5" customHeight="1">
      <c r="Q5849" s="9" t="s">
        <v>5887</v>
      </c>
      <c r="R5849" s="10">
        <v>0.6882969800081968</v>
      </c>
      <c r="S5849" s="10">
        <v>0.03301083139436094</v>
      </c>
      <c r="T5849" s="10">
        <v>19.638917065231563</v>
      </c>
      <c r="U5849" s="11">
        <v>0.2562097173291483</v>
      </c>
      <c r="V5849" s="11">
        <v>0.29253978807280684</v>
      </c>
      <c r="W5849" s="11">
        <v>0.11375331460197237</v>
      </c>
      <c r="X5849" s="11">
        <v>0.14368363972068598</v>
      </c>
      <c r="Y5849" s="11">
        <v>0.030845862876553925</v>
      </c>
      <c r="Z5849" s="11">
        <v>0.1629676773988326</v>
      </c>
    </row>
    <row r="5850" ht="22.5" customHeight="1">
      <c r="Q5850" s="9" t="s">
        <v>5888</v>
      </c>
      <c r="R5850" s="10">
        <v>0.4977760560900223</v>
      </c>
      <c r="S5850" s="10">
        <v>0.023309695159907922</v>
      </c>
      <c r="T5850" s="10">
        <v>19.63886927519264</v>
      </c>
      <c r="U5850" s="11">
        <v>0.1651320015479421</v>
      </c>
      <c r="V5850" s="11">
        <v>0.07107404238514552</v>
      </c>
      <c r="W5850" s="11">
        <v>0.19196459723587198</v>
      </c>
      <c r="X5850" s="11">
        <v>0.2271522488917913</v>
      </c>
      <c r="Y5850" s="11">
        <v>0.1365923490928148</v>
      </c>
      <c r="Z5850" s="11">
        <v>0.20808476084643437</v>
      </c>
    </row>
    <row r="5851" ht="22.5" customHeight="1">
      <c r="Q5851" s="9" t="s">
        <v>5889</v>
      </c>
      <c r="R5851" s="10">
        <v>0.6328818407105511</v>
      </c>
      <c r="S5851" s="10">
        <v>0.030189206911198026</v>
      </c>
      <c r="T5851" s="10">
        <v>19.63886770707562</v>
      </c>
      <c r="U5851" s="11">
        <v>0.2500844133121373</v>
      </c>
      <c r="V5851" s="11">
        <v>0.2697776846612295</v>
      </c>
      <c r="W5851" s="11">
        <v>0.08762027642858837</v>
      </c>
      <c r="X5851" s="11">
        <v>0.15789176517094022</v>
      </c>
      <c r="Y5851" s="11">
        <v>0.13533433595141084</v>
      </c>
      <c r="Z5851" s="11">
        <v>0.09929152447569387</v>
      </c>
    </row>
    <row r="5852" ht="22.5" customHeight="1">
      <c r="Q5852" s="9" t="s">
        <v>5890</v>
      </c>
      <c r="R5852" s="10">
        <v>0.5241569517511245</v>
      </c>
      <c r="S5852" s="10">
        <v>0.024653010547975595</v>
      </c>
      <c r="T5852" s="10">
        <v>19.638857120875308</v>
      </c>
      <c r="U5852" s="11">
        <v>0.0028823665283898175</v>
      </c>
      <c r="V5852" s="11">
        <v>0.2195548017327116</v>
      </c>
      <c r="W5852" s="11">
        <v>0.06016791371050377</v>
      </c>
      <c r="X5852" s="11">
        <v>0.18653861946079378</v>
      </c>
      <c r="Y5852" s="11">
        <v>0.2679268766892648</v>
      </c>
      <c r="Z5852" s="11">
        <v>0.26292942187833623</v>
      </c>
    </row>
    <row r="5853" ht="22.5" customHeight="1">
      <c r="Q5853" s="9" t="s">
        <v>5891</v>
      </c>
      <c r="R5853" s="10">
        <v>0.6646227976449541</v>
      </c>
      <c r="S5853" s="10">
        <v>0.03180578978440376</v>
      </c>
      <c r="T5853" s="10">
        <v>19.638650757581352</v>
      </c>
      <c r="U5853" s="11">
        <v>0.09959530536182207</v>
      </c>
      <c r="V5853" s="11">
        <v>0.14394726589551496</v>
      </c>
      <c r="W5853" s="11">
        <v>0.25528759478138296</v>
      </c>
      <c r="X5853" s="11">
        <v>0.1724223034347479</v>
      </c>
      <c r="Y5853" s="11">
        <v>0.05371646700122769</v>
      </c>
      <c r="Z5853" s="11">
        <v>0.27503106352530426</v>
      </c>
    </row>
    <row r="5854" ht="22.5" customHeight="1">
      <c r="Q5854" s="9" t="s">
        <v>5892</v>
      </c>
      <c r="R5854" s="10">
        <v>0.5647829136478023</v>
      </c>
      <c r="S5854" s="10">
        <v>0.026721992922470017</v>
      </c>
      <c r="T5854" s="10">
        <v>19.63861434925096</v>
      </c>
      <c r="U5854" s="11">
        <v>0.12933299635856182</v>
      </c>
      <c r="V5854" s="11">
        <v>0.23592798260372583</v>
      </c>
      <c r="W5854" s="11">
        <v>0.08375994549334058</v>
      </c>
      <c r="X5854" s="11">
        <v>0.08503449093431449</v>
      </c>
      <c r="Y5854" s="11">
        <v>0.2110595651429607</v>
      </c>
      <c r="Z5854" s="11">
        <v>0.25488501946709635</v>
      </c>
    </row>
    <row r="5855" ht="22.5" customHeight="1">
      <c r="Q5855" s="9" t="s">
        <v>5893</v>
      </c>
      <c r="R5855" s="10">
        <v>0.7287921974594654</v>
      </c>
      <c r="S5855" s="10">
        <v>0.03507369161764679</v>
      </c>
      <c r="T5855" s="10">
        <v>19.638428853406186</v>
      </c>
      <c r="U5855" s="11">
        <v>0.10728850494654169</v>
      </c>
      <c r="V5855" s="11">
        <v>0.17099943982444926</v>
      </c>
      <c r="W5855" s="11">
        <v>0.27649128416494495</v>
      </c>
      <c r="X5855" s="11">
        <v>0.12850210755268582</v>
      </c>
      <c r="Y5855" s="11">
        <v>0.09618584263460292</v>
      </c>
      <c r="Z5855" s="11">
        <v>0.22053282087677542</v>
      </c>
    </row>
    <row r="5856" ht="22.5" customHeight="1">
      <c r="Q5856" s="9" t="s">
        <v>5894</v>
      </c>
      <c r="R5856" s="10">
        <v>0.666894015690637</v>
      </c>
      <c r="S5856" s="10">
        <v>0.031921950324903234</v>
      </c>
      <c r="T5856" s="10">
        <v>19.638336922088964</v>
      </c>
      <c r="U5856" s="11">
        <v>0.1744593659730023</v>
      </c>
      <c r="V5856" s="11">
        <v>0.2874263555830139</v>
      </c>
      <c r="W5856" s="11">
        <v>0.09657748541328745</v>
      </c>
      <c r="X5856" s="11">
        <v>0.21347846296102346</v>
      </c>
      <c r="Y5856" s="11">
        <v>0.056717797813999785</v>
      </c>
      <c r="Z5856" s="11">
        <v>0.17134053225567333</v>
      </c>
    </row>
    <row r="5857" ht="22.5" customHeight="1">
      <c r="Q5857" s="9" t="s">
        <v>5895</v>
      </c>
      <c r="R5857" s="10">
        <v>0.7527240418212187</v>
      </c>
      <c r="S5857" s="10">
        <v>0.03629443567825716</v>
      </c>
      <c r="T5857" s="10">
        <v>19.637281266455645</v>
      </c>
      <c r="U5857" s="11">
        <v>0.12419328709526715</v>
      </c>
      <c r="V5857" s="11">
        <v>0.16855676254241964</v>
      </c>
      <c r="W5857" s="11">
        <v>0.289991181446588</v>
      </c>
      <c r="X5857" s="11">
        <v>0.17225378430539978</v>
      </c>
      <c r="Y5857" s="11">
        <v>0.0950984139300182</v>
      </c>
      <c r="Z5857" s="11">
        <v>0.1499065706803074</v>
      </c>
    </row>
    <row r="5858" ht="22.5" customHeight="1">
      <c r="Q5858" s="9" t="s">
        <v>5896</v>
      </c>
      <c r="R5858" s="10">
        <v>0.5813615066629876</v>
      </c>
      <c r="S5858" s="10">
        <v>0.02756997213916314</v>
      </c>
      <c r="T5858" s="10">
        <v>19.63591054537134</v>
      </c>
      <c r="U5858" s="11">
        <v>0.0761614839393532</v>
      </c>
      <c r="V5858" s="11">
        <v>0.24698495230143663</v>
      </c>
      <c r="W5858" s="11">
        <v>0.06419584646396338</v>
      </c>
      <c r="X5858" s="11">
        <v>0.23050873056169383</v>
      </c>
      <c r="Y5858" s="11">
        <v>0.2603520690415778</v>
      </c>
      <c r="Z5858" s="11">
        <v>0.12179691769197522</v>
      </c>
    </row>
    <row r="5859" ht="22.5" customHeight="1">
      <c r="Q5859" s="9" t="s">
        <v>5897</v>
      </c>
      <c r="R5859" s="10">
        <v>0.48720905191297464</v>
      </c>
      <c r="S5859" s="10">
        <v>0.022776370077646206</v>
      </c>
      <c r="T5859" s="10">
        <v>19.634781591114315</v>
      </c>
      <c r="U5859" s="11">
        <v>0.2617688661766274</v>
      </c>
      <c r="V5859" s="11">
        <v>0.07100546354613481</v>
      </c>
      <c r="W5859" s="11">
        <v>0.18280894048067295</v>
      </c>
      <c r="X5859" s="11">
        <v>0.15461494289731417</v>
      </c>
      <c r="Y5859" s="11">
        <v>0.21704910288062834</v>
      </c>
      <c r="Z5859" s="11">
        <v>0.11275268401862241</v>
      </c>
    </row>
    <row r="5860" ht="22.5" customHeight="1">
      <c r="Q5860" s="9" t="s">
        <v>5898</v>
      </c>
      <c r="R5860" s="10">
        <v>0.539403070527585</v>
      </c>
      <c r="S5860" s="10">
        <v>0.025435806146486342</v>
      </c>
      <c r="T5860" s="10">
        <v>19.633860537051294</v>
      </c>
      <c r="U5860" s="11">
        <v>0.13772215572780783</v>
      </c>
      <c r="V5860" s="11">
        <v>0.08379166374326234</v>
      </c>
      <c r="W5860" s="11">
        <v>0.20945827845731843</v>
      </c>
      <c r="X5860" s="11">
        <v>0.22057249061260137</v>
      </c>
      <c r="Y5860" s="11">
        <v>0.1663852393718473</v>
      </c>
      <c r="Z5860" s="11">
        <v>0.18207017208716272</v>
      </c>
    </row>
    <row r="5861" ht="22.5" customHeight="1">
      <c r="Q5861" s="9" t="s">
        <v>5899</v>
      </c>
      <c r="R5861" s="10">
        <v>0.5883388723060884</v>
      </c>
      <c r="S5861" s="10">
        <v>0.027932513532731306</v>
      </c>
      <c r="T5861" s="10">
        <v>19.630846026926474</v>
      </c>
      <c r="U5861" s="11">
        <v>0.17980640570295287</v>
      </c>
      <c r="V5861" s="11">
        <v>0.10578100294266883</v>
      </c>
      <c r="W5861" s="11">
        <v>0.22959010676950822</v>
      </c>
      <c r="X5861" s="11">
        <v>0.230113992131</v>
      </c>
      <c r="Y5861" s="11">
        <v>0.01971482262676749</v>
      </c>
      <c r="Z5861" s="11">
        <v>0.23499366982710254</v>
      </c>
    </row>
    <row r="5862" ht="22.5" customHeight="1">
      <c r="Q5862" s="9" t="s">
        <v>5900</v>
      </c>
      <c r="R5862" s="10">
        <v>0.7886755749758904</v>
      </c>
      <c r="S5862" s="10">
        <v>0.038139362322496484</v>
      </c>
      <c r="T5862" s="10">
        <v>19.62999718362581</v>
      </c>
      <c r="U5862" s="11">
        <v>0.20701317383306642</v>
      </c>
      <c r="V5862" s="11">
        <v>0.3256823191465738</v>
      </c>
      <c r="W5862" s="11">
        <v>0.16597220381524053</v>
      </c>
      <c r="X5862" s="11">
        <v>0.06177225086196985</v>
      </c>
      <c r="Y5862" s="11">
        <v>0.038185037197246426</v>
      </c>
      <c r="Z5862" s="11">
        <v>0.20137501514590309</v>
      </c>
    </row>
    <row r="5863" ht="22.5" customHeight="1">
      <c r="Q5863" s="9" t="s">
        <v>5901</v>
      </c>
      <c r="R5863" s="10">
        <v>0.41131683071323405</v>
      </c>
      <c r="S5863" s="10">
        <v>0.018916140238982457</v>
      </c>
      <c r="T5863" s="10">
        <v>19.629629830509653</v>
      </c>
      <c r="U5863" s="11">
        <v>0.042852748676243564</v>
      </c>
      <c r="V5863" s="11">
        <v>0.10132992706460585</v>
      </c>
      <c r="W5863" s="11">
        <v>0.1296918974615898</v>
      </c>
      <c r="X5863" s="11">
        <v>0.005522105592415824</v>
      </c>
      <c r="Y5863" s="11">
        <v>0.17917405177691303</v>
      </c>
      <c r="Z5863" s="11">
        <v>0.5414292694282319</v>
      </c>
    </row>
    <row r="5864" ht="22.5" customHeight="1">
      <c r="Q5864" s="9" t="s">
        <v>5902</v>
      </c>
      <c r="R5864" s="10">
        <v>0.6097796408403858</v>
      </c>
      <c r="S5864" s="10">
        <v>0.02902750768074591</v>
      </c>
      <c r="T5864" s="10">
        <v>19.628954959103275</v>
      </c>
      <c r="U5864" s="11">
        <v>0.1988919011488718</v>
      </c>
      <c r="V5864" s="11">
        <v>0.0937763601711977</v>
      </c>
      <c r="W5864" s="11">
        <v>0.2417919794400405</v>
      </c>
      <c r="X5864" s="11">
        <v>0.3242936733786285</v>
      </c>
      <c r="Y5864" s="11">
        <v>0.05469170667394526</v>
      </c>
      <c r="Z5864" s="11">
        <v>0.08655437918731615</v>
      </c>
    </row>
    <row r="5865" ht="22.5" customHeight="1">
      <c r="Q5865" s="9" t="s">
        <v>5903</v>
      </c>
      <c r="R5865" s="10">
        <v>0.7907969610445474</v>
      </c>
      <c r="S5865" s="10">
        <v>0.03825088130680194</v>
      </c>
      <c r="T5865" s="10">
        <v>19.62822647202739</v>
      </c>
      <c r="U5865" s="11">
        <v>0.09192922160341645</v>
      </c>
      <c r="V5865" s="11">
        <v>0.3199808112791526</v>
      </c>
      <c r="W5865" s="11">
        <v>0.18160010404697707</v>
      </c>
      <c r="X5865" s="11">
        <v>0.04600344736465558</v>
      </c>
      <c r="Y5865" s="11">
        <v>0.0420334294790166</v>
      </c>
      <c r="Z5865" s="11">
        <v>0.3184529862267817</v>
      </c>
    </row>
    <row r="5866" ht="22.5" customHeight="1">
      <c r="Q5866" s="9" t="s">
        <v>5904</v>
      </c>
      <c r="R5866" s="10">
        <v>1.0582983411588038</v>
      </c>
      <c r="S5866" s="10">
        <v>0.05188122214956484</v>
      </c>
      <c r="T5866" s="10">
        <v>19.627493319706712</v>
      </c>
      <c r="U5866" s="11">
        <v>0.007161735074082309</v>
      </c>
      <c r="V5866" s="11">
        <v>0.4223130547808883</v>
      </c>
      <c r="W5866" s="11">
        <v>0.2673819836778895</v>
      </c>
      <c r="X5866" s="11">
        <v>0.11959841870411504</v>
      </c>
      <c r="Y5866" s="11">
        <v>0.02243971498172091</v>
      </c>
      <c r="Z5866" s="11">
        <v>0.16110509278130405</v>
      </c>
    </row>
    <row r="5867" ht="22.5" customHeight="1">
      <c r="Q5867" s="9" t="s">
        <v>5905</v>
      </c>
      <c r="R5867" s="10">
        <v>0.808284650865429</v>
      </c>
      <c r="S5867" s="10">
        <v>0.03914437766149533</v>
      </c>
      <c r="T5867" s="10">
        <v>19.62694764262808</v>
      </c>
      <c r="U5867" s="11">
        <v>0.041565144351257965</v>
      </c>
      <c r="V5867" s="11">
        <v>0.2153040773839174</v>
      </c>
      <c r="W5867" s="11">
        <v>0.29757335684653724</v>
      </c>
      <c r="X5867" s="11">
        <v>0.11169726490259428</v>
      </c>
      <c r="Y5867" s="11">
        <v>0.05208657789083919</v>
      </c>
      <c r="Z5867" s="11">
        <v>0.281773578624854</v>
      </c>
    </row>
    <row r="5868" ht="22.5" customHeight="1">
      <c r="Q5868" s="9" t="s">
        <v>5906</v>
      </c>
      <c r="R5868" s="10">
        <v>0.43331783464947465</v>
      </c>
      <c r="S5868" s="10">
        <v>0.020039820260213677</v>
      </c>
      <c r="T5868" s="10">
        <v>19.626814489466927</v>
      </c>
      <c r="U5868" s="11">
        <v>0.2755583179286438</v>
      </c>
      <c r="V5868" s="11">
        <v>0.17425826668860492</v>
      </c>
      <c r="W5868" s="11">
        <v>0.03288296036978789</v>
      </c>
      <c r="X5868" s="11">
        <v>0.18427235784094365</v>
      </c>
      <c r="Y5868" s="11">
        <v>0.17804014567640222</v>
      </c>
      <c r="Z5868" s="11">
        <v>0.1549879514956176</v>
      </c>
    </row>
    <row r="5869" ht="22.5" customHeight="1">
      <c r="Q5869" s="9" t="s">
        <v>5907</v>
      </c>
      <c r="R5869" s="10">
        <v>0.3515895582474946</v>
      </c>
      <c r="S5869" s="10">
        <v>0.01587573681983847</v>
      </c>
      <c r="T5869" s="10">
        <v>19.626777754222367</v>
      </c>
      <c r="U5869" s="11">
        <v>0.08594922026714892</v>
      </c>
      <c r="V5869" s="11">
        <v>0.03289985099704323</v>
      </c>
      <c r="W5869" s="11">
        <v>0.1201101507225426</v>
      </c>
      <c r="X5869" s="11">
        <v>0.2341659617441696</v>
      </c>
      <c r="Y5869" s="11">
        <v>0.24088170649324825</v>
      </c>
      <c r="Z5869" s="11">
        <v>0.28599310977584746</v>
      </c>
    </row>
    <row r="5870" ht="22.5" customHeight="1">
      <c r="Q5870" s="9" t="s">
        <v>5908</v>
      </c>
      <c r="R5870" s="10">
        <v>0.6007337343628022</v>
      </c>
      <c r="S5870" s="10">
        <v>0.028570529474761658</v>
      </c>
      <c r="T5870" s="10">
        <v>19.626298310576896</v>
      </c>
      <c r="U5870" s="11">
        <v>0.26562922269803346</v>
      </c>
      <c r="V5870" s="11">
        <v>0.2530222864044003</v>
      </c>
      <c r="W5870" s="11">
        <v>0.09157390199576353</v>
      </c>
      <c r="X5870" s="11">
        <v>0.10252933133496106</v>
      </c>
      <c r="Y5870" s="11">
        <v>0.08774517310099546</v>
      </c>
      <c r="Z5870" s="11">
        <v>0.199500084465846</v>
      </c>
    </row>
    <row r="5871" ht="22.5" customHeight="1">
      <c r="Q5871" s="9" t="s">
        <v>5909</v>
      </c>
      <c r="R5871" s="10">
        <v>0.9200300843799539</v>
      </c>
      <c r="S5871" s="10">
        <v>0.0448407276926314</v>
      </c>
      <c r="T5871" s="10">
        <v>19.62568695165417</v>
      </c>
      <c r="U5871" s="11">
        <v>0.2056451114254244</v>
      </c>
      <c r="V5871" s="11">
        <v>0.2750428816325675</v>
      </c>
      <c r="W5871" s="11">
        <v>0.32141332304953935</v>
      </c>
      <c r="X5871" s="11">
        <v>0.022946752469778606</v>
      </c>
      <c r="Y5871" s="11">
        <v>0.034231008972996066</v>
      </c>
      <c r="Z5871" s="11">
        <v>0.140720922449694</v>
      </c>
    </row>
    <row r="5872" ht="22.5" customHeight="1">
      <c r="Q5872" s="9" t="s">
        <v>5910</v>
      </c>
      <c r="R5872" s="10">
        <v>0.39701619925785003</v>
      </c>
      <c r="S5872" s="10">
        <v>0.01819172088788295</v>
      </c>
      <c r="T5872" s="10">
        <v>19.625202115740993</v>
      </c>
      <c r="U5872" s="11">
        <v>0.02233060055744484</v>
      </c>
      <c r="V5872" s="11">
        <v>0.15216682929467373</v>
      </c>
      <c r="W5872" s="11">
        <v>0.03336773642095125</v>
      </c>
      <c r="X5872" s="11">
        <v>0.1709017650276437</v>
      </c>
      <c r="Y5872" s="11">
        <v>0.3353907191394532</v>
      </c>
      <c r="Z5872" s="11">
        <v>0.2858423495598333</v>
      </c>
    </row>
    <row r="5873" ht="22.5" customHeight="1">
      <c r="Q5873" s="9" t="s">
        <v>5911</v>
      </c>
      <c r="R5873" s="10">
        <v>1.1653753400927223</v>
      </c>
      <c r="S5873" s="10">
        <v>0.05734596614621799</v>
      </c>
      <c r="T5873" s="10">
        <v>19.624315635790218</v>
      </c>
      <c r="U5873" s="11">
        <v>0.06772493790059665</v>
      </c>
      <c r="V5873" s="11">
        <v>0.4211505705662154</v>
      </c>
      <c r="W5873" s="11">
        <v>0.35100524695033997</v>
      </c>
      <c r="X5873" s="11">
        <v>0.03388887446242542</v>
      </c>
      <c r="Y5873" s="11">
        <v>0.08550099828079494</v>
      </c>
      <c r="Z5873" s="11">
        <v>0.040729371839627666</v>
      </c>
    </row>
    <row r="5874" ht="22.5" customHeight="1">
      <c r="Q5874" s="9" t="s">
        <v>5912</v>
      </c>
      <c r="R5874" s="10">
        <v>0.9191136503836506</v>
      </c>
      <c r="S5874" s="10">
        <v>0.044798551992217404</v>
      </c>
      <c r="T5874" s="10">
        <v>19.62370682285387</v>
      </c>
      <c r="U5874" s="11">
        <v>0.08179045881068826</v>
      </c>
      <c r="V5874" s="11">
        <v>0.2473616819660518</v>
      </c>
      <c r="W5874" s="11">
        <v>0.3391153657486552</v>
      </c>
      <c r="X5874" s="11">
        <v>0.10604291282136351</v>
      </c>
      <c r="Y5874" s="11">
        <v>0.12030333862622405</v>
      </c>
      <c r="Z5874" s="11">
        <v>0.10538624202701735</v>
      </c>
    </row>
    <row r="5875" ht="22.5" customHeight="1">
      <c r="Q5875" s="9" t="s">
        <v>5913</v>
      </c>
      <c r="R5875" s="10">
        <v>0.6603073246682362</v>
      </c>
      <c r="S5875" s="10">
        <v>0.03161087881644856</v>
      </c>
      <c r="T5875" s="10">
        <v>19.623223013510856</v>
      </c>
      <c r="U5875" s="11">
        <v>0.24806002849152764</v>
      </c>
      <c r="V5875" s="11">
        <v>0.13387840628846936</v>
      </c>
      <c r="W5875" s="11">
        <v>0.25001132025032946</v>
      </c>
      <c r="X5875" s="11">
        <v>0.09381470831226509</v>
      </c>
      <c r="Y5875" s="11">
        <v>0.26004646732042896</v>
      </c>
      <c r="Z5875" s="11">
        <v>0.01418906933697946</v>
      </c>
    </row>
    <row r="5876" ht="22.5" customHeight="1">
      <c r="Q5876" s="9" t="s">
        <v>5914</v>
      </c>
      <c r="R5876" s="10">
        <v>0.7055827609706171</v>
      </c>
      <c r="S5876" s="10">
        <v>0.033919127592498766</v>
      </c>
      <c r="T5876" s="10">
        <v>19.622637968961534</v>
      </c>
      <c r="U5876" s="11">
        <v>0.09761627505375775</v>
      </c>
      <c r="V5876" s="11">
        <v>0.28979973908292267</v>
      </c>
      <c r="W5876" s="11">
        <v>0.14381250198386125</v>
      </c>
      <c r="X5876" s="11">
        <v>0.02321576479939277</v>
      </c>
      <c r="Y5876" s="11">
        <v>0.17112149843219465</v>
      </c>
      <c r="Z5876" s="11">
        <v>0.2744342206478709</v>
      </c>
    </row>
    <row r="5877" ht="22.5" customHeight="1">
      <c r="Q5877" s="9" t="s">
        <v>5915</v>
      </c>
      <c r="R5877" s="10">
        <v>0.5372004533845592</v>
      </c>
      <c r="S5877" s="10">
        <v>0.02533848912961727</v>
      </c>
      <c r="T5877" s="10">
        <v>19.622340181419858</v>
      </c>
      <c r="U5877" s="11">
        <v>0.15599860694781859</v>
      </c>
      <c r="V5877" s="11">
        <v>0.08858308987418784</v>
      </c>
      <c r="W5877" s="11">
        <v>0.20474088759384193</v>
      </c>
      <c r="X5877" s="11">
        <v>0.15575534906673533</v>
      </c>
      <c r="Y5877" s="11">
        <v>0.24474962791097024</v>
      </c>
      <c r="Z5877" s="11">
        <v>0.15017243860644622</v>
      </c>
    </row>
    <row r="5878" ht="22.5" customHeight="1">
      <c r="Q5878" s="9" t="s">
        <v>5916</v>
      </c>
      <c r="R5878" s="10">
        <v>0.7105725000617761</v>
      </c>
      <c r="S5878" s="10">
        <v>0.03417483676631782</v>
      </c>
      <c r="T5878" s="10">
        <v>19.621820131784265</v>
      </c>
      <c r="U5878" s="11">
        <v>0.11720409142159727</v>
      </c>
      <c r="V5878" s="11">
        <v>0.29266482414888</v>
      </c>
      <c r="W5878" s="11">
        <v>0.13700270970157533</v>
      </c>
      <c r="X5878" s="11">
        <v>0.024208097113115862</v>
      </c>
      <c r="Y5878" s="11">
        <v>0.2568899190176481</v>
      </c>
      <c r="Z5878" s="11">
        <v>0.17203035859718344</v>
      </c>
    </row>
    <row r="5879" ht="22.5" customHeight="1">
      <c r="Q5879" s="9" t="s">
        <v>5917</v>
      </c>
      <c r="R5879" s="10">
        <v>0.4515514674573755</v>
      </c>
      <c r="S5879" s="10">
        <v>0.02097485915023772</v>
      </c>
      <c r="T5879" s="10">
        <v>19.621179074888385</v>
      </c>
      <c r="U5879" s="11">
        <v>0.22484010230446252</v>
      </c>
      <c r="V5879" s="11">
        <v>0.18282059374113824</v>
      </c>
      <c r="W5879" s="11">
        <v>0.034760302855952115</v>
      </c>
      <c r="X5879" s="11">
        <v>0.19248997333922138</v>
      </c>
      <c r="Y5879" s="11">
        <v>0.23568526895679093</v>
      </c>
      <c r="Z5879" s="11">
        <v>0.12940375880243485</v>
      </c>
    </row>
    <row r="5880" ht="22.5" customHeight="1">
      <c r="Q5880" s="9" t="s">
        <v>5918</v>
      </c>
      <c r="R5880" s="10">
        <v>0.5038857250021074</v>
      </c>
      <c r="S5880" s="10">
        <v>0.02364245773891918</v>
      </c>
      <c r="T5880" s="10">
        <v>19.620875719637176</v>
      </c>
      <c r="U5880" s="11">
        <v>0.14646462715574526</v>
      </c>
      <c r="V5880" s="11">
        <v>0.21016096103595022</v>
      </c>
      <c r="W5880" s="11">
        <v>0.06243607321248135</v>
      </c>
      <c r="X5880" s="11">
        <v>0.11554619794602461</v>
      </c>
      <c r="Y5880" s="11">
        <v>0.19077373542145995</v>
      </c>
      <c r="Z5880" s="11">
        <v>0.2746184052283385</v>
      </c>
    </row>
    <row r="5881" ht="22.5" customHeight="1">
      <c r="Q5881" s="9" t="s">
        <v>5919</v>
      </c>
      <c r="R5881" s="10">
        <v>0.6089978364978337</v>
      </c>
      <c r="S5881" s="10">
        <v>0.028999763658344842</v>
      </c>
      <c r="T5881" s="10">
        <v>19.62077495531938</v>
      </c>
      <c r="U5881" s="11">
        <v>0.10474587352635141</v>
      </c>
      <c r="V5881" s="11">
        <v>0.26006825610425827</v>
      </c>
      <c r="W5881" s="11">
        <v>0.06149370946903763</v>
      </c>
      <c r="X5881" s="11">
        <v>0.2956064078336951</v>
      </c>
      <c r="Y5881" s="11">
        <v>0.24758105079016673</v>
      </c>
      <c r="Z5881" s="11">
        <v>0.030504702276490867</v>
      </c>
    </row>
    <row r="5882" ht="22.5" customHeight="1">
      <c r="Q5882" s="9" t="s">
        <v>5920</v>
      </c>
      <c r="R5882" s="10">
        <v>0.7590836732301409</v>
      </c>
      <c r="S5882" s="10">
        <v>0.03664957061758506</v>
      </c>
      <c r="T5882" s="10">
        <v>19.62052108968264</v>
      </c>
      <c r="U5882" s="11">
        <v>0.25411273159420605</v>
      </c>
      <c r="V5882" s="11">
        <v>0.3254092973290388</v>
      </c>
      <c r="W5882" s="11">
        <v>0.12401212119799156</v>
      </c>
      <c r="X5882" s="11">
        <v>0.17178986191924098</v>
      </c>
      <c r="Y5882" s="11">
        <v>0.08171559144174075</v>
      </c>
      <c r="Z5882" s="11">
        <v>0.04296039651778174</v>
      </c>
    </row>
    <row r="5883" ht="22.5" customHeight="1">
      <c r="Q5883" s="9" t="s">
        <v>5921</v>
      </c>
      <c r="R5883" s="10">
        <v>0.4460015685113579</v>
      </c>
      <c r="S5883" s="10">
        <v>0.020693552350819943</v>
      </c>
      <c r="T5883" s="10">
        <v>19.61971350439843</v>
      </c>
      <c r="U5883" s="11">
        <v>0.25477443388585147</v>
      </c>
      <c r="V5883" s="11">
        <v>0.17654964937560308</v>
      </c>
      <c r="W5883" s="11">
        <v>0.054910737570792824</v>
      </c>
      <c r="X5883" s="11">
        <v>0.05748290423614664</v>
      </c>
      <c r="Y5883" s="11">
        <v>0.21883484964202068</v>
      </c>
      <c r="Z5883" s="11">
        <v>0.23744742528958523</v>
      </c>
    </row>
    <row r="5884" ht="22.5" customHeight="1">
      <c r="Q5884" s="9" t="s">
        <v>5922</v>
      </c>
      <c r="R5884" s="10">
        <v>0.522331348251574</v>
      </c>
      <c r="S5884" s="10">
        <v>0.04611865386736827</v>
      </c>
      <c r="T5884" s="10">
        <v>19.619240733951404</v>
      </c>
      <c r="U5884" s="11">
        <v>0.01698226946626191</v>
      </c>
      <c r="V5884" s="11">
        <v>0.3236100393573778</v>
      </c>
      <c r="W5884" s="11">
        <v>0.2987536695333151</v>
      </c>
      <c r="X5884" s="11">
        <v>0.010919051481756526</v>
      </c>
      <c r="Y5884" s="11">
        <v>0.05871162034123833</v>
      </c>
      <c r="Z5884" s="11">
        <v>0.2910233498200503</v>
      </c>
    </row>
    <row r="5885" ht="22.5" customHeight="1">
      <c r="Q5885" s="9" t="s">
        <v>5923</v>
      </c>
      <c r="R5885" s="10">
        <v>0.47631849475990257</v>
      </c>
      <c r="S5885" s="10">
        <v>0.022239599797164923</v>
      </c>
      <c r="T5885" s="10">
        <v>19.618990392782333</v>
      </c>
      <c r="U5885" s="11">
        <v>0.02213786985674874</v>
      </c>
      <c r="V5885" s="11">
        <v>0.09496283972462106</v>
      </c>
      <c r="W5885" s="11">
        <v>0.1646570244664539</v>
      </c>
      <c r="X5885" s="11">
        <v>0.057283519186254794</v>
      </c>
      <c r="Y5885" s="11">
        <v>0.36755904820162894</v>
      </c>
      <c r="Z5885" s="11">
        <v>0.2933996985642925</v>
      </c>
    </row>
    <row r="5886" ht="22.5" customHeight="1">
      <c r="Q5886" s="9" t="s">
        <v>5924</v>
      </c>
      <c r="R5886" s="10">
        <v>0.6878848615364126</v>
      </c>
      <c r="S5886" s="10">
        <v>0.03302362572750195</v>
      </c>
      <c r="T5886" s="10">
        <v>19.618828861570357</v>
      </c>
      <c r="U5886" s="11">
        <v>0.1478534752194275</v>
      </c>
      <c r="V5886" s="11">
        <v>0.29408726299883836</v>
      </c>
      <c r="W5886" s="11">
        <v>0.11489886398529364</v>
      </c>
      <c r="X5886" s="11">
        <v>0.15464775519155122</v>
      </c>
      <c r="Y5886" s="11">
        <v>0.04928359454155717</v>
      </c>
      <c r="Z5886" s="11">
        <v>0.23922904806333217</v>
      </c>
    </row>
    <row r="5887" ht="22.5" customHeight="1">
      <c r="Q5887" s="9" t="s">
        <v>5925</v>
      </c>
      <c r="R5887" s="10">
        <v>0.6499993207790622</v>
      </c>
      <c r="S5887" s="10">
        <v>0.03109478893388527</v>
      </c>
      <c r="T5887" s="10">
        <v>19.617413132343884</v>
      </c>
      <c r="U5887" s="11">
        <v>0.3440114179668083</v>
      </c>
      <c r="V5887" s="11">
        <v>0.11256948691202778</v>
      </c>
      <c r="W5887" s="11">
        <v>0.2558453013079747</v>
      </c>
      <c r="X5887" s="11">
        <v>0.24843081536016723</v>
      </c>
      <c r="Y5887" s="11">
        <v>0.028649389811413396</v>
      </c>
      <c r="Z5887" s="11">
        <v>0.010493588641608608</v>
      </c>
    </row>
    <row r="5888" ht="22.5" customHeight="1">
      <c r="Q5888" s="9" t="s">
        <v>5926</v>
      </c>
      <c r="R5888" s="10">
        <v>0.4878508977445298</v>
      </c>
      <c r="S5888" s="10">
        <v>0.02283000079289294</v>
      </c>
      <c r="T5888" s="10">
        <v>19.616771011411764</v>
      </c>
      <c r="U5888" s="11">
        <v>0.16500463791520176</v>
      </c>
      <c r="V5888" s="11">
        <v>0.19855070862200722</v>
      </c>
      <c r="W5888" s="11">
        <v>0.04648491261910456</v>
      </c>
      <c r="X5888" s="11">
        <v>0.1649036190515962</v>
      </c>
      <c r="Y5888" s="11">
        <v>0.3099233135581946</v>
      </c>
      <c r="Z5888" s="11">
        <v>0.1151328082338956</v>
      </c>
    </row>
    <row r="5889" ht="22.5" customHeight="1">
      <c r="Q5889" s="9" t="s">
        <v>5927</v>
      </c>
      <c r="R5889" s="10">
        <v>0.580745402652426</v>
      </c>
      <c r="S5889" s="10">
        <v>0.02756630603279944</v>
      </c>
      <c r="T5889" s="10">
        <v>19.616172076484478</v>
      </c>
      <c r="U5889" s="11">
        <v>0.22279975395816606</v>
      </c>
      <c r="V5889" s="11">
        <v>0.11020556107997918</v>
      </c>
      <c r="W5889" s="11">
        <v>0.22381068333056373</v>
      </c>
      <c r="X5889" s="11">
        <v>0.14875876258904244</v>
      </c>
      <c r="Y5889" s="11">
        <v>0.07547132417602663</v>
      </c>
      <c r="Z5889" s="11">
        <v>0.21895391486622187</v>
      </c>
    </row>
    <row r="5890" ht="22.5" customHeight="1">
      <c r="Q5890" s="9" t="s">
        <v>5928</v>
      </c>
      <c r="R5890" s="10">
        <v>0.6486371003521525</v>
      </c>
      <c r="S5890" s="10">
        <v>0.031028033254752316</v>
      </c>
      <c r="T5890" s="10">
        <v>19.61571638637239</v>
      </c>
      <c r="U5890" s="11">
        <v>0.09171047699453919</v>
      </c>
      <c r="V5890" s="11">
        <v>0.27987841557564136</v>
      </c>
      <c r="W5890" s="11">
        <v>0.06840253219846726</v>
      </c>
      <c r="X5890" s="11">
        <v>0.3410639045883728</v>
      </c>
      <c r="Y5890" s="11">
        <v>0.19458513390875856</v>
      </c>
      <c r="Z5890" s="11">
        <v>0.02435953673422088</v>
      </c>
    </row>
    <row r="5891" ht="22.5" customHeight="1">
      <c r="Q5891" s="9" t="s">
        <v>5929</v>
      </c>
      <c r="R5891" s="10">
        <v>0.5170310592158721</v>
      </c>
      <c r="S5891" s="10">
        <v>0.024319795761743188</v>
      </c>
      <c r="T5891" s="10">
        <v>19.6149286733023</v>
      </c>
      <c r="U5891" s="11">
        <v>0.22406575196575537</v>
      </c>
      <c r="V5891" s="11">
        <v>0.20913203796481514</v>
      </c>
      <c r="W5891" s="11">
        <v>0.0510928716274713</v>
      </c>
      <c r="X5891" s="11">
        <v>0.16649000605421152</v>
      </c>
      <c r="Y5891" s="11">
        <v>0.3420476128291996</v>
      </c>
      <c r="Z5891" s="11">
        <v>0.007171719558547212</v>
      </c>
    </row>
    <row r="5892" ht="22.5" customHeight="1">
      <c r="Q5892" s="9" t="s">
        <v>5930</v>
      </c>
      <c r="R5892" s="10">
        <v>0.7584366472850874</v>
      </c>
      <c r="S5892" s="10">
        <v>0.03662816343094966</v>
      </c>
      <c r="T5892" s="10">
        <v>19.614323514731037</v>
      </c>
      <c r="U5892" s="11">
        <v>0.13518145914677313</v>
      </c>
      <c r="V5892" s="11">
        <v>0.187751548400934</v>
      </c>
      <c r="W5892" s="11">
        <v>0.27903038617284365</v>
      </c>
      <c r="X5892" s="11">
        <v>0.03469889836333539</v>
      </c>
      <c r="Y5892" s="11">
        <v>0.2700733296043274</v>
      </c>
      <c r="Z5892" s="11">
        <v>0.09326437831178638</v>
      </c>
    </row>
    <row r="5893" ht="22.5" customHeight="1">
      <c r="Q5893" s="9" t="s">
        <v>5931</v>
      </c>
      <c r="R5893" s="10">
        <v>0.47274390738591665</v>
      </c>
      <c r="S5893" s="10">
        <v>0.022062793564322673</v>
      </c>
      <c r="T5893" s="10">
        <v>19.614193738625133</v>
      </c>
      <c r="U5893" s="11">
        <v>0.17792942601708756</v>
      </c>
      <c r="V5893" s="11">
        <v>0.19572358286552932</v>
      </c>
      <c r="W5893" s="11">
        <v>0.04570396554285629</v>
      </c>
      <c r="X5893" s="11">
        <v>0.1611932689091069</v>
      </c>
      <c r="Y5893" s="11">
        <v>0.20635385828397063</v>
      </c>
      <c r="Z5893" s="11">
        <v>0.21309589838144924</v>
      </c>
    </row>
    <row r="5894" ht="22.5" customHeight="1">
      <c r="Q5894" s="9" t="s">
        <v>5932</v>
      </c>
      <c r="R5894" s="10">
        <v>0.503365985439159</v>
      </c>
      <c r="S5894" s="10">
        <v>0.02362415179442856</v>
      </c>
      <c r="T5894" s="10">
        <v>19.614079247003385</v>
      </c>
      <c r="U5894" s="11">
        <v>0.3119514254745498</v>
      </c>
      <c r="V5894" s="11">
        <v>0.1937201263095899</v>
      </c>
      <c r="W5894" s="11">
        <v>0.06703142447308935</v>
      </c>
      <c r="X5894" s="11">
        <v>0.04589477702343561</v>
      </c>
      <c r="Y5894" s="11">
        <v>0.3628176335834573</v>
      </c>
      <c r="Z5894" s="11">
        <v>0.01858461313587816</v>
      </c>
    </row>
    <row r="5895" ht="22.5" customHeight="1">
      <c r="Q5895" s="9" t="s">
        <v>5933</v>
      </c>
      <c r="R5895" s="10">
        <v>1.0314868666188315</v>
      </c>
      <c r="S5895" s="10">
        <v>0.05055191474010323</v>
      </c>
      <c r="T5895" s="10">
        <v>19.613240600603348</v>
      </c>
      <c r="U5895" s="11">
        <v>0.16682946499412665</v>
      </c>
      <c r="V5895" s="11">
        <v>0.4017070088302296</v>
      </c>
      <c r="W5895" s="11">
        <v>0.2721545629146177</v>
      </c>
      <c r="X5895" s="11">
        <v>0.026568100946294654</v>
      </c>
      <c r="Y5895" s="11">
        <v>0.03433941286660303</v>
      </c>
      <c r="Z5895" s="11">
        <v>0.09840144944812833</v>
      </c>
    </row>
    <row r="5896" ht="22.5" customHeight="1">
      <c r="Q5896" s="9" t="s">
        <v>5934</v>
      </c>
      <c r="R5896" s="10">
        <v>0.2938111569431289</v>
      </c>
      <c r="S5896" s="10">
        <v>0.012941029522660751</v>
      </c>
      <c r="T5896" s="10">
        <v>19.61290301507201</v>
      </c>
      <c r="U5896" s="11">
        <v>0.13940701380511047</v>
      </c>
      <c r="V5896" s="11">
        <v>0.024568104302192452</v>
      </c>
      <c r="W5896" s="11">
        <v>0.08372781009035372</v>
      </c>
      <c r="X5896" s="11">
        <v>0.20631073769245617</v>
      </c>
      <c r="Y5896" s="11">
        <v>0.2872791078182732</v>
      </c>
      <c r="Z5896" s="11">
        <v>0.25870722629161397</v>
      </c>
    </row>
    <row r="5897" ht="22.5" customHeight="1">
      <c r="Q5897" s="9" t="s">
        <v>5935</v>
      </c>
      <c r="R5897" s="10">
        <v>0.6306728756651092</v>
      </c>
      <c r="S5897" s="10">
        <v>0.03011710683894569</v>
      </c>
      <c r="T5897" s="10">
        <v>19.61253711466353</v>
      </c>
      <c r="U5897" s="11">
        <v>0.24566665360160084</v>
      </c>
      <c r="V5897" s="11">
        <v>0.25753572221976784</v>
      </c>
      <c r="W5897" s="11">
        <v>0.09830630667190518</v>
      </c>
      <c r="X5897" s="11">
        <v>0.05084977799926185</v>
      </c>
      <c r="Y5897" s="11">
        <v>0.34139452876424314</v>
      </c>
      <c r="Z5897" s="11">
        <v>0.006247010743221189</v>
      </c>
    </row>
    <row r="5898" ht="22.5" customHeight="1">
      <c r="Q5898" s="9" t="s">
        <v>5936</v>
      </c>
      <c r="R5898" s="10">
        <v>0.5728635656296817</v>
      </c>
      <c r="S5898" s="10">
        <v>0.027169997294677933</v>
      </c>
      <c r="T5898" s="10">
        <v>19.612205325248933</v>
      </c>
      <c r="U5898" s="11">
        <v>0.15170559065672654</v>
      </c>
      <c r="V5898" s="11">
        <v>0.24048200605303022</v>
      </c>
      <c r="W5898" s="11">
        <v>0.07532264962016003</v>
      </c>
      <c r="X5898" s="11">
        <v>0.11961745326145357</v>
      </c>
      <c r="Y5898" s="11">
        <v>0.2625329928218275</v>
      </c>
      <c r="Z5898" s="11">
        <v>0.15033930758680217</v>
      </c>
    </row>
    <row r="5899" ht="22.5" customHeight="1">
      <c r="Q5899" s="9" t="s">
        <v>5937</v>
      </c>
      <c r="R5899" s="10">
        <v>0.5632194520660718</v>
      </c>
      <c r="S5899" s="10">
        <v>0.02667882753251855</v>
      </c>
      <c r="T5899" s="10">
        <v>19.611785841350223</v>
      </c>
      <c r="U5899" s="11">
        <v>0.20027363170202725</v>
      </c>
      <c r="V5899" s="11">
        <v>0.08867389879142065</v>
      </c>
      <c r="W5899" s="11">
        <v>0.22142020688643524</v>
      </c>
      <c r="X5899" s="11">
        <v>0.2663376184192791</v>
      </c>
      <c r="Y5899" s="11">
        <v>0.04256937324567329</v>
      </c>
      <c r="Z5899" s="11">
        <v>0.18072527095516458</v>
      </c>
    </row>
    <row r="5900" ht="22.5" customHeight="1">
      <c r="Q5900" s="9" t="s">
        <v>5938</v>
      </c>
      <c r="R5900" s="10">
        <v>1.0460835684082248</v>
      </c>
      <c r="S5900" s="10">
        <v>0.051300727505739656</v>
      </c>
      <c r="T5900" s="10">
        <v>19.61148734773131</v>
      </c>
      <c r="U5900" s="11">
        <v>0.09617550780780271</v>
      </c>
      <c r="V5900" s="11">
        <v>0.3454510774457659</v>
      </c>
      <c r="W5900" s="11">
        <v>0.3437494564606745</v>
      </c>
      <c r="X5900" s="11">
        <v>6.575157077346261E-4</v>
      </c>
      <c r="Y5900" s="11">
        <v>0.10957261929248618</v>
      </c>
      <c r="Z5900" s="11">
        <v>0.10439382328553612</v>
      </c>
    </row>
    <row r="5901" ht="22.5" customHeight="1">
      <c r="Q5901" s="9" t="s">
        <v>5939</v>
      </c>
      <c r="R5901" s="10">
        <v>0.295670902988761</v>
      </c>
      <c r="S5901" s="10">
        <v>0.013037056443190016</v>
      </c>
      <c r="T5901" s="10">
        <v>19.611091207809583</v>
      </c>
      <c r="U5901" s="11">
        <v>0.09859395180626769</v>
      </c>
      <c r="V5901" s="11">
        <v>0.07501192363541832</v>
      </c>
      <c r="W5901" s="11">
        <v>0.06672629182600948</v>
      </c>
      <c r="X5901" s="11">
        <v>0.05053483832751255</v>
      </c>
      <c r="Y5901" s="11">
        <v>0.12972833606187525</v>
      </c>
      <c r="Z5901" s="11">
        <v>0.5794046583429167</v>
      </c>
    </row>
    <row r="5902" ht="22.5" customHeight="1">
      <c r="Q5902" s="9" t="s">
        <v>5940</v>
      </c>
      <c r="R5902" s="10">
        <v>0.7055951699843092</v>
      </c>
      <c r="S5902" s="10">
        <v>0.0339421331109824</v>
      </c>
      <c r="T5902" s="10">
        <v>19.609703603718042</v>
      </c>
      <c r="U5902" s="11">
        <v>0.16008731962135006</v>
      </c>
      <c r="V5902" s="11">
        <v>0.286669765373533</v>
      </c>
      <c r="W5902" s="11">
        <v>0.151755418773162</v>
      </c>
      <c r="X5902" s="11">
        <v>0.00821221051547561</v>
      </c>
      <c r="Y5902" s="11">
        <v>0.08865640452271743</v>
      </c>
      <c r="Z5902" s="11">
        <v>0.3046188811937619</v>
      </c>
    </row>
    <row r="5903" ht="22.5" customHeight="1">
      <c r="Q5903" s="9" t="s">
        <v>5941</v>
      </c>
      <c r="R5903" s="10">
        <v>0.5885680044571686</v>
      </c>
      <c r="S5903" s="10">
        <v>0.0279763043349316</v>
      </c>
      <c r="T5903" s="10">
        <v>19.60830844166286</v>
      </c>
      <c r="U5903" s="11">
        <v>0.18634684240920327</v>
      </c>
      <c r="V5903" s="11">
        <v>0.13023598212567802</v>
      </c>
      <c r="W5903" s="11">
        <v>0.21805429724518452</v>
      </c>
      <c r="X5903" s="11">
        <v>0.042046619984338555</v>
      </c>
      <c r="Y5903" s="11">
        <v>0.16750796566945142</v>
      </c>
      <c r="Z5903" s="11">
        <v>0.25580829256614435</v>
      </c>
    </row>
    <row r="5904" ht="22.5" customHeight="1">
      <c r="Q5904" s="9" t="s">
        <v>5942</v>
      </c>
      <c r="R5904" s="10">
        <v>0.7315221316190056</v>
      </c>
      <c r="S5904" s="10">
        <v>0.03526734526093958</v>
      </c>
      <c r="T5904" s="10">
        <v>19.608000729924584</v>
      </c>
      <c r="U5904" s="11">
        <v>0.29977687452906593</v>
      </c>
      <c r="V5904" s="11">
        <v>0.3122394065959187</v>
      </c>
      <c r="W5904" s="11">
        <v>0.11775016906129027</v>
      </c>
      <c r="X5904" s="11">
        <v>0.14376218616376485</v>
      </c>
      <c r="Y5904" s="11">
        <v>0.09611272927074631</v>
      </c>
      <c r="Z5904" s="11">
        <v>0.030358634379213923</v>
      </c>
    </row>
    <row r="5905" ht="22.5" customHeight="1">
      <c r="Q5905" s="9" t="s">
        <v>5943</v>
      </c>
      <c r="R5905" s="10">
        <v>0.4934827679829123</v>
      </c>
      <c r="S5905" s="10">
        <v>0.023127492594143453</v>
      </c>
      <c r="T5905" s="10">
        <v>19.607952143404738</v>
      </c>
      <c r="U5905" s="11">
        <v>0.36713191104053433</v>
      </c>
      <c r="V5905" s="11">
        <v>0.2002398931055216</v>
      </c>
      <c r="W5905" s="11">
        <v>0.061503159283685285</v>
      </c>
      <c r="X5905" s="11">
        <v>0.08598028949505698</v>
      </c>
      <c r="Y5905" s="11">
        <v>0.13129603582763744</v>
      </c>
      <c r="Z5905" s="11">
        <v>0.15384871124756427</v>
      </c>
    </row>
    <row r="5906" ht="22.5" customHeight="1">
      <c r="Q5906" s="9" t="s">
        <v>5944</v>
      </c>
      <c r="R5906" s="10">
        <v>0.5983618548173467</v>
      </c>
      <c r="S5906" s="10">
        <v>0.028476536579433255</v>
      </c>
      <c r="T5906" s="10">
        <v>19.607786686412386</v>
      </c>
      <c r="U5906" s="11">
        <v>0.11507364922396968</v>
      </c>
      <c r="V5906" s="11">
        <v>0.1089105322517681</v>
      </c>
      <c r="W5906" s="11">
        <v>0.22930925418302103</v>
      </c>
      <c r="X5906" s="11">
        <v>0.15156025671616238</v>
      </c>
      <c r="Y5906" s="11">
        <v>0.27097505043721154</v>
      </c>
      <c r="Z5906" s="11">
        <v>0.12417125718786733</v>
      </c>
    </row>
    <row r="5907" ht="22.5" customHeight="1">
      <c r="Q5907" s="9" t="s">
        <v>5945</v>
      </c>
      <c r="R5907" s="10">
        <v>0.6220188094956896</v>
      </c>
      <c r="S5907" s="10">
        <v>0.029684088173874107</v>
      </c>
      <c r="T5907" s="10">
        <v>19.607097448522687</v>
      </c>
      <c r="U5907" s="11">
        <v>0.18825946148541448</v>
      </c>
      <c r="V5907" s="11">
        <v>0.1498100447822948</v>
      </c>
      <c r="W5907" s="11">
        <v>0.22644453494441594</v>
      </c>
      <c r="X5907" s="11">
        <v>0.009362616699470479</v>
      </c>
      <c r="Y5907" s="11">
        <v>0.1669988527278383</v>
      </c>
      <c r="Z5907" s="11">
        <v>0.25912448936056603</v>
      </c>
    </row>
    <row r="5908" ht="22.5" customHeight="1">
      <c r="Q5908" s="9" t="s">
        <v>5946</v>
      </c>
      <c r="R5908" s="10">
        <v>0.6299079580557115</v>
      </c>
      <c r="S5908" s="10">
        <v>0.030088396520653177</v>
      </c>
      <c r="T5908" s="10">
        <v>19.605829032822964</v>
      </c>
      <c r="U5908" s="11">
        <v>0.025176603560061878</v>
      </c>
      <c r="V5908" s="11">
        <v>0.14422771784421157</v>
      </c>
      <c r="W5908" s="11">
        <v>0.23108804288117163</v>
      </c>
      <c r="X5908" s="11">
        <v>0.05458992109131941</v>
      </c>
      <c r="Y5908" s="11">
        <v>0.30143570668391984</v>
      </c>
      <c r="Z5908" s="11">
        <v>0.24348200793931557</v>
      </c>
    </row>
    <row r="5909" ht="22.5" customHeight="1">
      <c r="Q5909" s="9" t="s">
        <v>5947</v>
      </c>
      <c r="R5909" s="10">
        <v>0.6799259014832651</v>
      </c>
      <c r="S5909" s="10">
        <v>0.03264187565937748</v>
      </c>
      <c r="T5909" s="10">
        <v>19.60444639153035</v>
      </c>
      <c r="U5909" s="11">
        <v>0.08902731096306422</v>
      </c>
      <c r="V5909" s="11">
        <v>0.1720330071482905</v>
      </c>
      <c r="W5909" s="11">
        <v>0.2462578971424642</v>
      </c>
      <c r="X5909" s="11">
        <v>0.011389774364904267</v>
      </c>
      <c r="Y5909" s="11">
        <v>0.23018177300154785</v>
      </c>
      <c r="Z5909" s="11">
        <v>0.25111023737972904</v>
      </c>
    </row>
    <row r="5910" ht="22.5" customHeight="1">
      <c r="Q5910" s="9" t="s">
        <v>5948</v>
      </c>
      <c r="R5910" s="10">
        <v>0.3926089780086143</v>
      </c>
      <c r="S5910" s="10">
        <v>0.01798682068493863</v>
      </c>
      <c r="T5910" s="10">
        <v>19.603741216137962</v>
      </c>
      <c r="U5910" s="11">
        <v>0.11265817339623707</v>
      </c>
      <c r="V5910" s="11">
        <v>0.04033049192824067</v>
      </c>
      <c r="W5910" s="11">
        <v>0.14061302356858105</v>
      </c>
      <c r="X5910" s="11">
        <v>0.22956149896362224</v>
      </c>
      <c r="Y5910" s="11">
        <v>0.2554810579066512</v>
      </c>
      <c r="Z5910" s="11">
        <v>0.22135575423666792</v>
      </c>
    </row>
    <row r="5911" ht="22.5" customHeight="1">
      <c r="Q5911" s="9" t="s">
        <v>5949</v>
      </c>
      <c r="R5911" s="10">
        <v>0.522331348251574</v>
      </c>
      <c r="S5911" s="10">
        <v>0.03219434917262404</v>
      </c>
      <c r="T5911" s="10">
        <v>19.603689997528782</v>
      </c>
      <c r="U5911" s="11">
        <v>0.2686826354200108</v>
      </c>
      <c r="V5911" s="11">
        <v>0.2875734219610358</v>
      </c>
      <c r="W5911" s="11">
        <v>0.10258117401686893</v>
      </c>
      <c r="X5911" s="11">
        <v>0.1756317123114894</v>
      </c>
      <c r="Y5911" s="11">
        <v>0.014357659472148968</v>
      </c>
      <c r="Z5911" s="11">
        <v>0.15117339681844616</v>
      </c>
    </row>
    <row r="5912" ht="22.5" customHeight="1">
      <c r="Q5912" s="9" t="s">
        <v>5950</v>
      </c>
      <c r="R5912" s="10">
        <v>0.5686585053437259</v>
      </c>
      <c r="S5912" s="10">
        <v>0.02696748267709099</v>
      </c>
      <c r="T5912" s="10">
        <v>19.60355409045368</v>
      </c>
      <c r="U5912" s="11">
        <v>0.069075082112936</v>
      </c>
      <c r="V5912" s="11">
        <v>0.09288353375900925</v>
      </c>
      <c r="W5912" s="11">
        <v>0.22295606670749382</v>
      </c>
      <c r="X5912" s="11">
        <v>0.2536642971891428</v>
      </c>
      <c r="Y5912" s="11">
        <v>0.13647621611509939</v>
      </c>
      <c r="Z5912" s="11">
        <v>0.2249448041163187</v>
      </c>
    </row>
    <row r="5913" ht="22.5" customHeight="1">
      <c r="Q5913" s="9" t="s">
        <v>5951</v>
      </c>
      <c r="R5913" s="10">
        <v>0.6108399649456341</v>
      </c>
      <c r="S5913" s="10">
        <v>0.02912003525337994</v>
      </c>
      <c r="T5913" s="10">
        <v>19.602997042367146</v>
      </c>
      <c r="U5913" s="11">
        <v>0.0589104392177444</v>
      </c>
      <c r="V5913" s="11">
        <v>0.26047805130128265</v>
      </c>
      <c r="W5913" s="11">
        <v>0.07539778459268147</v>
      </c>
      <c r="X5913" s="11">
        <v>0.2013569996665625</v>
      </c>
      <c r="Y5913" s="11">
        <v>0.2764415400463181</v>
      </c>
      <c r="Z5913" s="11">
        <v>0.12741518517541095</v>
      </c>
    </row>
    <row r="5914" ht="22.5" customHeight="1">
      <c r="Q5914" s="9" t="s">
        <v>5952</v>
      </c>
      <c r="R5914" s="10">
        <v>0.5915779174079501</v>
      </c>
      <c r="S5914" s="10">
        <v>0.028138344324970414</v>
      </c>
      <c r="T5914" s="10">
        <v>19.60235865471555</v>
      </c>
      <c r="U5914" s="11">
        <v>0.0017156827342600391</v>
      </c>
      <c r="V5914" s="11">
        <v>0.2503973243439205</v>
      </c>
      <c r="W5914" s="11">
        <v>0.06951852747879328</v>
      </c>
      <c r="X5914" s="11">
        <v>0.2202173802486074</v>
      </c>
      <c r="Y5914" s="11">
        <v>0.31554253382013303</v>
      </c>
      <c r="Z5914" s="11">
        <v>0.1426085513742858</v>
      </c>
    </row>
    <row r="5915" ht="22.5" customHeight="1">
      <c r="Q5915" s="9" t="s">
        <v>5953</v>
      </c>
      <c r="R5915" s="10">
        <v>0.6718307935958194</v>
      </c>
      <c r="S5915" s="10">
        <v>0.03223348497798113</v>
      </c>
      <c r="T5915" s="10">
        <v>19.601690416888722</v>
      </c>
      <c r="U5915" s="11">
        <v>0.0017574430907367335</v>
      </c>
      <c r="V5915" s="11">
        <v>0.12678757786640316</v>
      </c>
      <c r="W5915" s="11">
        <v>0.2567403964097576</v>
      </c>
      <c r="X5915" s="11">
        <v>0.20381623304558258</v>
      </c>
      <c r="Y5915" s="11">
        <v>0.36768501684804855</v>
      </c>
      <c r="Z5915" s="11">
        <v>0.04321333273947131</v>
      </c>
    </row>
    <row r="5916" ht="22.5" customHeight="1">
      <c r="Q5916" s="9" t="s">
        <v>5954</v>
      </c>
      <c r="R5916" s="10">
        <v>0.46727640541257026</v>
      </c>
      <c r="S5916" s="10">
        <v>0.021798475315056718</v>
      </c>
      <c r="T5916" s="10">
        <v>19.601206012671927</v>
      </c>
      <c r="U5916" s="11">
        <v>0.08725540153175103</v>
      </c>
      <c r="V5916" s="11">
        <v>0.19509038917978136</v>
      </c>
      <c r="W5916" s="11">
        <v>0.03714910652482183</v>
      </c>
      <c r="X5916" s="11">
        <v>0.24542638858471175</v>
      </c>
      <c r="Y5916" s="11">
        <v>0.19079150864064165</v>
      </c>
      <c r="Z5916" s="11">
        <v>0.2442872055382923</v>
      </c>
    </row>
    <row r="5917" ht="22.5" customHeight="1">
      <c r="Q5917" s="9" t="s">
        <v>5955</v>
      </c>
      <c r="R5917" s="10">
        <v>0.976669161285204</v>
      </c>
      <c r="S5917" s="10">
        <v>0.04778718513965288</v>
      </c>
      <c r="T5917" s="10">
        <v>19.60084400342664</v>
      </c>
      <c r="U5917" s="11">
        <v>0.009930889302743988</v>
      </c>
      <c r="V5917" s="11">
        <v>0.3820675355474867</v>
      </c>
      <c r="W5917" s="11">
        <v>0.2539119020107529</v>
      </c>
      <c r="X5917" s="11">
        <v>0.018569134727069864</v>
      </c>
      <c r="Y5917" s="11">
        <v>0.1447686852108231</v>
      </c>
      <c r="Z5917" s="11">
        <v>0.19075185320112342</v>
      </c>
    </row>
    <row r="5918" ht="22.5" customHeight="1">
      <c r="Q5918" s="9" t="s">
        <v>5956</v>
      </c>
      <c r="R5918" s="10">
        <v>0.5848214305232298</v>
      </c>
      <c r="S5918" s="10">
        <v>0.027796673142918348</v>
      </c>
      <c r="T5918" s="10">
        <v>19.60023876677601</v>
      </c>
      <c r="U5918" s="11">
        <v>0.051964798238885376</v>
      </c>
      <c r="V5918" s="11">
        <v>0.10578388250857677</v>
      </c>
      <c r="W5918" s="11">
        <v>0.22646834851834638</v>
      </c>
      <c r="X5918" s="11">
        <v>0.18696745471452708</v>
      </c>
      <c r="Y5918" s="11">
        <v>0.2006081012378724</v>
      </c>
      <c r="Z5918" s="11">
        <v>0.2282074147817921</v>
      </c>
    </row>
    <row r="5919" ht="22.5" customHeight="1">
      <c r="Q5919" s="9" t="s">
        <v>5957</v>
      </c>
      <c r="R5919" s="10">
        <v>0.7019267184227151</v>
      </c>
      <c r="S5919" s="10">
        <v>0.03377150798650124</v>
      </c>
      <c r="T5919" s="10">
        <v>19.60015284740299</v>
      </c>
      <c r="U5919" s="11">
        <v>0.179883056411416</v>
      </c>
      <c r="V5919" s="11">
        <v>0.3054020021183916</v>
      </c>
      <c r="W5919" s="11">
        <v>0.09406345086879513</v>
      </c>
      <c r="X5919" s="11">
        <v>0.3095195646997852</v>
      </c>
      <c r="Y5919" s="11">
        <v>0.006326217540615393</v>
      </c>
      <c r="Z5919" s="11">
        <v>0.10480570836099681</v>
      </c>
    </row>
    <row r="5920" ht="22.5" customHeight="1">
      <c r="Q5920" s="9" t="s">
        <v>5958</v>
      </c>
      <c r="R5920" s="10">
        <v>0.7023349676261444</v>
      </c>
      <c r="S5920" s="10">
        <v>0.033793157155832594</v>
      </c>
      <c r="T5920" s="10">
        <v>19.599677075801942</v>
      </c>
      <c r="U5920" s="11">
        <v>0.1584499315436172</v>
      </c>
      <c r="V5920" s="11">
        <v>0.29764305139001546</v>
      </c>
      <c r="W5920" s="11">
        <v>0.12135888010640149</v>
      </c>
      <c r="X5920" s="11">
        <v>0.09021069031638945</v>
      </c>
      <c r="Y5920" s="11">
        <v>0.1652022714118889</v>
      </c>
      <c r="Z5920" s="11">
        <v>0.16713517523168747</v>
      </c>
    </row>
    <row r="5921" ht="22.5" customHeight="1">
      <c r="Q5921" s="9" t="s">
        <v>5959</v>
      </c>
      <c r="R5921" s="10">
        <v>0.5149392943261799</v>
      </c>
      <c r="S5921" s="10">
        <v>0.02423261838984325</v>
      </c>
      <c r="T5921" s="10">
        <v>19.59917358849029</v>
      </c>
      <c r="U5921" s="11">
        <v>0.16055884997622813</v>
      </c>
      <c r="V5921" s="11">
        <v>0.2137546542754066</v>
      </c>
      <c r="W5921" s="11">
        <v>0.07336472336289682</v>
      </c>
      <c r="X5921" s="11">
        <v>0.07378617013093658</v>
      </c>
      <c r="Y5921" s="11">
        <v>0.16695240244761755</v>
      </c>
      <c r="Z5921" s="11">
        <v>0.31158319980691435</v>
      </c>
    </row>
    <row r="5922" ht="22.5" customHeight="1">
      <c r="Q5922" s="9" t="s">
        <v>5960</v>
      </c>
      <c r="R5922" s="10">
        <v>1.1879658687508279</v>
      </c>
      <c r="S5922" s="10">
        <v>0.05857254395926666</v>
      </c>
      <c r="T5922" s="10">
        <v>19.599044042703053</v>
      </c>
      <c r="U5922" s="11">
        <v>0.0717014536230977</v>
      </c>
      <c r="V5922" s="11">
        <v>0.3954802869750085</v>
      </c>
      <c r="W5922" s="11">
        <v>0.3923180720469652</v>
      </c>
      <c r="X5922" s="11">
        <v>0.049467339660514885</v>
      </c>
      <c r="Y5922" s="11">
        <v>0.08509023632781303</v>
      </c>
      <c r="Z5922" s="11">
        <v>0.005942611366600696</v>
      </c>
    </row>
    <row r="5923" ht="22.5" customHeight="1">
      <c r="Q5923" s="9" t="s">
        <v>5961</v>
      </c>
      <c r="R5923" s="10">
        <v>0.7232849555348715</v>
      </c>
      <c r="S5923" s="10">
        <v>0.03486628827873637</v>
      </c>
      <c r="T5923" s="10">
        <v>19.597295532934062</v>
      </c>
      <c r="U5923" s="11">
        <v>0.270054454885861</v>
      </c>
      <c r="V5923" s="11">
        <v>0.15118669630330533</v>
      </c>
      <c r="W5923" s="11">
        <v>0.28192085357611496</v>
      </c>
      <c r="X5923" s="11">
        <v>0.18232516193878995</v>
      </c>
      <c r="Y5923" s="11">
        <v>0.03158573073348863</v>
      </c>
      <c r="Z5923" s="11">
        <v>0.08292710256244</v>
      </c>
    </row>
    <row r="5924" ht="22.5" customHeight="1">
      <c r="Q5924" s="9" t="s">
        <v>5962</v>
      </c>
      <c r="R5924" s="10">
        <v>0.522331348251574</v>
      </c>
      <c r="S5924" s="10">
        <v>0.02869397570107209</v>
      </c>
      <c r="T5924" s="10">
        <v>19.59586359740879</v>
      </c>
      <c r="U5924" s="11">
        <v>0.1494915507966229</v>
      </c>
      <c r="V5924" s="11">
        <v>0.26021900188874647</v>
      </c>
      <c r="W5924" s="11">
        <v>0.07056369232153628</v>
      </c>
      <c r="X5924" s="11">
        <v>0.23772830925821548</v>
      </c>
      <c r="Y5924" s="11">
        <v>0.12646832003498604</v>
      </c>
      <c r="Z5924" s="11">
        <v>0.15552912569989277</v>
      </c>
    </row>
    <row r="5925" ht="22.5" customHeight="1">
      <c r="Q5925" s="9" t="s">
        <v>5963</v>
      </c>
      <c r="R5925" s="10">
        <v>0.6683056732803316</v>
      </c>
      <c r="S5925" s="10">
        <v>0.0320638465670137</v>
      </c>
      <c r="T5925" s="10">
        <v>19.595455335253295</v>
      </c>
      <c r="U5925" s="11">
        <v>0.045966030456246865</v>
      </c>
      <c r="V5925" s="11">
        <v>0.28969654010332946</v>
      </c>
      <c r="W5925" s="11">
        <v>0.09533988636313522</v>
      </c>
      <c r="X5925" s="11">
        <v>0.2247184133109416</v>
      </c>
      <c r="Y5925" s="11">
        <v>0.13013133253951123</v>
      </c>
      <c r="Z5925" s="11">
        <v>0.2141477972268356</v>
      </c>
    </row>
    <row r="5926" ht="22.5" customHeight="1">
      <c r="Q5926" s="9" t="s">
        <v>5964</v>
      </c>
      <c r="R5926" s="10">
        <v>1.0321722053133644</v>
      </c>
      <c r="S5926" s="10">
        <v>0.05063497178622791</v>
      </c>
      <c r="T5926" s="10">
        <v>19.59460369608072</v>
      </c>
      <c r="U5926" s="11">
        <v>0.10280078991236868</v>
      </c>
      <c r="V5926" s="11">
        <v>0.3334528145969041</v>
      </c>
      <c r="W5926" s="11">
        <v>0.34639139333576663</v>
      </c>
      <c r="X5926" s="11">
        <v>0.01151420637302663</v>
      </c>
      <c r="Y5926" s="11">
        <v>0.08083898012836611</v>
      </c>
      <c r="Z5926" s="11">
        <v>0.12500181565356783</v>
      </c>
    </row>
    <row r="5927" ht="22.5" customHeight="1">
      <c r="Q5927" s="9" t="s">
        <v>5965</v>
      </c>
      <c r="R5927" s="10">
        <v>0.6263487615326846</v>
      </c>
      <c r="S5927" s="10">
        <v>0.02992448811196858</v>
      </c>
      <c r="T5927" s="10">
        <v>19.59427875052502</v>
      </c>
      <c r="U5927" s="11">
        <v>0.28528537585460323</v>
      </c>
      <c r="V5927" s="11">
        <v>0.26640136070008347</v>
      </c>
      <c r="W5927" s="11">
        <v>0.08945127337579616</v>
      </c>
      <c r="X5927" s="11">
        <v>0.1286693610775283</v>
      </c>
      <c r="Y5927" s="11">
        <v>0.12024698168602699</v>
      </c>
      <c r="Z5927" s="11">
        <v>0.10994564730596186</v>
      </c>
    </row>
    <row r="5928" ht="22.5" customHeight="1">
      <c r="Q5928" s="9" t="s">
        <v>5966</v>
      </c>
      <c r="R5928" s="10">
        <v>0.5436076980602808</v>
      </c>
      <c r="S5928" s="10">
        <v>0.02570177829088223</v>
      </c>
      <c r="T5928" s="10">
        <v>19.59427446461698</v>
      </c>
      <c r="U5928" s="11">
        <v>0.002963261355213515</v>
      </c>
      <c r="V5928" s="11">
        <v>0.22419043876588182</v>
      </c>
      <c r="W5928" s="11">
        <v>0.07722521142541047</v>
      </c>
      <c r="X5928" s="11">
        <v>0.0988640138452144</v>
      </c>
      <c r="Y5928" s="11">
        <v>0.3241573397709046</v>
      </c>
      <c r="Z5928" s="11">
        <v>0.2725997348373752</v>
      </c>
    </row>
    <row r="5929" ht="22.5" customHeight="1">
      <c r="Q5929" s="9" t="s">
        <v>5967</v>
      </c>
      <c r="R5929" s="10">
        <v>0.6685628029590589</v>
      </c>
      <c r="S5929" s="10">
        <v>0.032078947695344966</v>
      </c>
      <c r="T5929" s="10">
        <v>19.594246324054787</v>
      </c>
      <c r="U5929" s="11">
        <v>0.14397893036527623</v>
      </c>
      <c r="V5929" s="11">
        <v>0.2845803472363781</v>
      </c>
      <c r="W5929" s="11">
        <v>0.11525150175515542</v>
      </c>
      <c r="X5929" s="11">
        <v>0.14019259980769427</v>
      </c>
      <c r="Y5929" s="11">
        <v>0.015688983210150942</v>
      </c>
      <c r="Z5929" s="11">
        <v>0.30030763762534496</v>
      </c>
    </row>
    <row r="5930" ht="22.5" customHeight="1">
      <c r="Q5930" s="9" t="s">
        <v>5968</v>
      </c>
      <c r="R5930" s="10">
        <v>0.9773330471985847</v>
      </c>
      <c r="S5930" s="10">
        <v>0.047837706749468356</v>
      </c>
      <c r="T5930" s="10">
        <v>19.594021346121526</v>
      </c>
      <c r="U5930" s="11">
        <v>0.29313562289717326</v>
      </c>
      <c r="V5930" s="11">
        <v>0.28581196143972243</v>
      </c>
      <c r="W5930" s="11">
        <v>0.34679762539876846</v>
      </c>
      <c r="X5930" s="11">
        <v>0.02138016847138823</v>
      </c>
      <c r="Y5930" s="11">
        <v>0.04741438805564166</v>
      </c>
      <c r="Z5930" s="11">
        <v>0.005460233737306146</v>
      </c>
    </row>
    <row r="5931" ht="22.5" customHeight="1">
      <c r="Q5931" s="9" t="s">
        <v>5969</v>
      </c>
      <c r="R5931" s="10">
        <v>0.5714262057124683</v>
      </c>
      <c r="S5931" s="10">
        <v>0.02712216983723176</v>
      </c>
      <c r="T5931" s="10">
        <v>19.59379389266108</v>
      </c>
      <c r="U5931" s="11">
        <v>0.33626079731588276</v>
      </c>
      <c r="V5931" s="11">
        <v>0.12371465706354687</v>
      </c>
      <c r="W5931" s="11">
        <v>0.21187461207714714</v>
      </c>
      <c r="X5931" s="11">
        <v>0.07235496340819361</v>
      </c>
      <c r="Y5931" s="11">
        <v>0.006369597400179337</v>
      </c>
      <c r="Z5931" s="11">
        <v>0.24942537273505033</v>
      </c>
    </row>
    <row r="5932" ht="22.5" customHeight="1">
      <c r="Q5932" s="9" t="s">
        <v>5970</v>
      </c>
      <c r="R5932" s="10">
        <v>0.4044106091185935</v>
      </c>
      <c r="S5932" s="10">
        <v>0.018598507408212412</v>
      </c>
      <c r="T5932" s="10">
        <v>19.593540552489888</v>
      </c>
      <c r="U5932" s="11">
        <v>0.2647171670467099</v>
      </c>
      <c r="V5932" s="11">
        <v>0.06261993910592609</v>
      </c>
      <c r="W5932" s="11">
        <v>0.13836533099122078</v>
      </c>
      <c r="X5932" s="11">
        <v>0.06834257974265061</v>
      </c>
      <c r="Y5932" s="11">
        <v>0.2668198744804239</v>
      </c>
      <c r="Z5932" s="11">
        <v>0.1991351086330687</v>
      </c>
    </row>
    <row r="5933" ht="22.5" customHeight="1">
      <c r="Q5933" s="9" t="s">
        <v>5971</v>
      </c>
      <c r="R5933" s="10">
        <v>0.5666980234233385</v>
      </c>
      <c r="S5933" s="10">
        <v>0.026881433455390704</v>
      </c>
      <c r="T5933" s="10">
        <v>19.59337563963563</v>
      </c>
      <c r="U5933" s="11">
        <v>0.025349822111435924</v>
      </c>
      <c r="V5933" s="11">
        <v>0.08888787204790291</v>
      </c>
      <c r="W5933" s="11">
        <v>0.21898130320456957</v>
      </c>
      <c r="X5933" s="11">
        <v>0.24394648697609936</v>
      </c>
      <c r="Y5933" s="11">
        <v>0.27852896054528153</v>
      </c>
      <c r="Z5933" s="11">
        <v>0.14430555511471077</v>
      </c>
    </row>
    <row r="5934" ht="22.5" customHeight="1">
      <c r="Q5934" s="9" t="s">
        <v>5972</v>
      </c>
      <c r="R5934" s="10">
        <v>0.45268618223621876</v>
      </c>
      <c r="S5934" s="10">
        <v>0.02106296815069976</v>
      </c>
      <c r="T5934" s="10">
        <v>19.59297375771365</v>
      </c>
      <c r="U5934" s="11">
        <v>0.010215358297666259</v>
      </c>
      <c r="V5934" s="11">
        <v>0.18749689613889112</v>
      </c>
      <c r="W5934" s="11">
        <v>0.03368094530928121</v>
      </c>
      <c r="X5934" s="11">
        <v>0.3525731309298592</v>
      </c>
      <c r="Y5934" s="11">
        <v>0.061826327310259846</v>
      </c>
      <c r="Z5934" s="11">
        <v>0.3542073420140424</v>
      </c>
    </row>
    <row r="5935" ht="22.5" customHeight="1">
      <c r="Q5935" s="9" t="s">
        <v>5973</v>
      </c>
      <c r="R5935" s="10">
        <v>0.5623736455208791</v>
      </c>
      <c r="S5935" s="10">
        <v>0.02666165574327942</v>
      </c>
      <c r="T5935" s="10">
        <v>19.59269336273511</v>
      </c>
      <c r="U5935" s="11">
        <v>0.20634247328373306</v>
      </c>
      <c r="V5935" s="11">
        <v>0.2353511967285023</v>
      </c>
      <c r="W5935" s="11">
        <v>0.07551492011129046</v>
      </c>
      <c r="X5935" s="11">
        <v>0.09519087824640189</v>
      </c>
      <c r="Y5935" s="11">
        <v>0.23199850115258322</v>
      </c>
      <c r="Z5935" s="11">
        <v>0.15560203047748908</v>
      </c>
    </row>
    <row r="5936" ht="22.5" customHeight="1">
      <c r="Q5936" s="9" t="s">
        <v>5974</v>
      </c>
      <c r="R5936" s="10">
        <v>0.532427463218903</v>
      </c>
      <c r="S5936" s="10">
        <v>0.025133421779338094</v>
      </c>
      <c r="T5936" s="10">
        <v>19.592535689816902</v>
      </c>
      <c r="U5936" s="11">
        <v>0.21448860528619548</v>
      </c>
      <c r="V5936" s="11">
        <v>0.22489045696545143</v>
      </c>
      <c r="W5936" s="11">
        <v>0.03810984058090792</v>
      </c>
      <c r="X5936" s="11">
        <v>0.3627735143910041</v>
      </c>
      <c r="Y5936" s="11">
        <v>0.09703295815672211</v>
      </c>
      <c r="Z5936" s="11">
        <v>0.06270462461971904</v>
      </c>
    </row>
    <row r="5937" ht="22.5" customHeight="1">
      <c r="Q5937" s="9" t="s">
        <v>5975</v>
      </c>
      <c r="R5937" s="10">
        <v>0.6234180179160361</v>
      </c>
      <c r="S5937" s="10">
        <v>0.029779154243004268</v>
      </c>
      <c r="T5937" s="10">
        <v>19.591490515654684</v>
      </c>
      <c r="U5937" s="11">
        <v>0.28053087523811543</v>
      </c>
      <c r="V5937" s="11">
        <v>0.25359548295830575</v>
      </c>
      <c r="W5937" s="11">
        <v>0.12296436379143771</v>
      </c>
      <c r="X5937" s="11">
        <v>0.022433553667927854</v>
      </c>
      <c r="Y5937" s="11">
        <v>0.014137624148347032</v>
      </c>
      <c r="Z5937" s="11">
        <v>0.30633810019586616</v>
      </c>
    </row>
    <row r="5938" ht="22.5" customHeight="1">
      <c r="Q5938" s="9" t="s">
        <v>5976</v>
      </c>
      <c r="R5938" s="10">
        <v>0.8498092589582892</v>
      </c>
      <c r="S5938" s="10">
        <v>0.041336288580856896</v>
      </c>
      <c r="T5938" s="10">
        <v>19.59075879234395</v>
      </c>
      <c r="U5938" s="11">
        <v>0.13986165984084964</v>
      </c>
      <c r="V5938" s="11">
        <v>0.36718287103602865</v>
      </c>
      <c r="W5938" s="11">
        <v>0.14709829424762966</v>
      </c>
      <c r="X5938" s="11">
        <v>0.2320022983668958</v>
      </c>
      <c r="Y5938" s="11">
        <v>0.05491390838668791</v>
      </c>
      <c r="Z5938" s="11">
        <v>0.058940968121908334</v>
      </c>
    </row>
    <row r="5939" ht="22.5" customHeight="1">
      <c r="Q5939" s="9" t="s">
        <v>5977</v>
      </c>
      <c r="R5939" s="10">
        <v>0.7559672670624021</v>
      </c>
      <c r="S5939" s="10">
        <v>0.03654630042956982</v>
      </c>
      <c r="T5939" s="10">
        <v>19.590690675850432</v>
      </c>
      <c r="U5939" s="11">
        <v>0.2500098693636362</v>
      </c>
      <c r="V5939" s="11">
        <v>0.1720604277783789</v>
      </c>
      <c r="W5939" s="11">
        <v>0.2899102667391204</v>
      </c>
      <c r="X5939" s="11">
        <v>0.11890237962473847</v>
      </c>
      <c r="Y5939" s="11">
        <v>0.0826123328271118</v>
      </c>
      <c r="Z5939" s="11">
        <v>0.08650472366701407</v>
      </c>
    </row>
    <row r="5940" ht="22.5" customHeight="1">
      <c r="Q5940" s="9" t="s">
        <v>5978</v>
      </c>
      <c r="R5940" s="10">
        <v>0.7626481022181403</v>
      </c>
      <c r="S5940" s="10">
        <v>0.03688764091502846</v>
      </c>
      <c r="T5940" s="10">
        <v>19.590520952065678</v>
      </c>
      <c r="U5940" s="11">
        <v>0.2434943814290591</v>
      </c>
      <c r="V5940" s="11">
        <v>0.1606372424588694</v>
      </c>
      <c r="W5940" s="11">
        <v>0.2971713653795566</v>
      </c>
      <c r="X5940" s="11">
        <v>0.16790736143949792</v>
      </c>
      <c r="Y5940" s="11">
        <v>0.12976420016918172</v>
      </c>
      <c r="Z5940" s="11">
        <v>0.0010254491238353366</v>
      </c>
    </row>
    <row r="5941" ht="22.5" customHeight="1">
      <c r="Q5941" s="9" t="s">
        <v>5979</v>
      </c>
      <c r="R5941" s="10">
        <v>0.9392121663024761</v>
      </c>
      <c r="S5941" s="10">
        <v>0.045901985164433</v>
      </c>
      <c r="T5941" s="10">
        <v>19.58983174869804</v>
      </c>
      <c r="U5941" s="11">
        <v>0.042756200720884485</v>
      </c>
      <c r="V5941" s="11">
        <v>0.2496981912913115</v>
      </c>
      <c r="W5941" s="11">
        <v>0.34789615164086574</v>
      </c>
      <c r="X5941" s="11">
        <v>0.10010376225114051</v>
      </c>
      <c r="Y5941" s="11">
        <v>0.20884922267717343</v>
      </c>
      <c r="Z5941" s="11">
        <v>0.050696471418624336</v>
      </c>
    </row>
    <row r="5942" ht="22.5" customHeight="1">
      <c r="Q5942" s="9" t="s">
        <v>5980</v>
      </c>
      <c r="R5942" s="10">
        <v>0.6025891996286871</v>
      </c>
      <c r="S5942" s="10">
        <v>0.028718510485294352</v>
      </c>
      <c r="T5942" s="10">
        <v>19.58977642370301</v>
      </c>
      <c r="U5942" s="11">
        <v>0.285148640282292</v>
      </c>
      <c r="V5942" s="11">
        <v>0.25216893773256516</v>
      </c>
      <c r="W5942" s="11">
        <v>0.08942793298588576</v>
      </c>
      <c r="X5942" s="11">
        <v>0.07380320777259386</v>
      </c>
      <c r="Y5942" s="11">
        <v>0.18591162042823817</v>
      </c>
      <c r="Z5942" s="11">
        <v>0.11353966079842501</v>
      </c>
    </row>
    <row r="5943" ht="22.5" customHeight="1">
      <c r="Q5943" s="9" t="s">
        <v>5981</v>
      </c>
      <c r="R5943" s="10">
        <v>0.6263901234290922</v>
      </c>
      <c r="S5943" s="10">
        <v>0.029933511275193805</v>
      </c>
      <c r="T5943" s="10">
        <v>19.58975403981555</v>
      </c>
      <c r="U5943" s="11">
        <v>0.17874591214733865</v>
      </c>
      <c r="V5943" s="11">
        <v>0.10229441645516191</v>
      </c>
      <c r="W5943" s="11">
        <v>0.24644226059886354</v>
      </c>
      <c r="X5943" s="11">
        <v>0.2374943567896682</v>
      </c>
      <c r="Y5943" s="11">
        <v>0.20956623328216642</v>
      </c>
      <c r="Z5943" s="11">
        <v>0.025456820726801235</v>
      </c>
    </row>
    <row r="5944" ht="22.5" customHeight="1">
      <c r="Q5944" s="9" t="s">
        <v>5982</v>
      </c>
      <c r="R5944" s="10">
        <v>0.6406642510708386</v>
      </c>
      <c r="S5944" s="10">
        <v>0.03066336154691485</v>
      </c>
      <c r="T5944" s="10">
        <v>19.588988968212895</v>
      </c>
      <c r="U5944" s="11">
        <v>0.1324478824980508</v>
      </c>
      <c r="V5944" s="11">
        <v>0.2759252075810406</v>
      </c>
      <c r="W5944" s="11">
        <v>0.07978079815872179</v>
      </c>
      <c r="X5944" s="11">
        <v>0.21416823301229612</v>
      </c>
      <c r="Y5944" s="11">
        <v>0.2171176213235323</v>
      </c>
      <c r="Z5944" s="11">
        <v>0.08056025742635844</v>
      </c>
    </row>
    <row r="5945" ht="22.5" customHeight="1">
      <c r="Q5945" s="9" t="s">
        <v>5983</v>
      </c>
      <c r="R5945" s="10">
        <v>1.1759371420113658</v>
      </c>
      <c r="S5945" s="10">
        <v>0.05799726910064167</v>
      </c>
      <c r="T5945" s="10">
        <v>19.586045336724276</v>
      </c>
      <c r="U5945" s="11">
        <v>0.05787844564429681</v>
      </c>
      <c r="V5945" s="11">
        <v>0.3903720289345326</v>
      </c>
      <c r="W5945" s="11">
        <v>0.38952466838485356</v>
      </c>
      <c r="X5945" s="11">
        <v>0.0418744758489945</v>
      </c>
      <c r="Y5945" s="11">
        <v>0.09961532277600418</v>
      </c>
      <c r="Z5945" s="11">
        <v>0.02073505841131843</v>
      </c>
    </row>
    <row r="5946" ht="22.5" customHeight="1">
      <c r="Q5946" s="9" t="s">
        <v>5984</v>
      </c>
      <c r="R5946" s="10">
        <v>0.3588918624845567</v>
      </c>
      <c r="S5946" s="10">
        <v>0.01628281011759541</v>
      </c>
      <c r="T5946" s="10">
        <v>19.584571715907817</v>
      </c>
      <c r="U5946" s="11">
        <v>0.256647027751712</v>
      </c>
      <c r="V5946" s="11">
        <v>0.12167009055487035</v>
      </c>
      <c r="W5946" s="11">
        <v>0.01275093199487522</v>
      </c>
      <c r="X5946" s="11">
        <v>0.2584321897864638</v>
      </c>
      <c r="Y5946" s="11">
        <v>0.33698125047432836</v>
      </c>
      <c r="Z5946" s="11">
        <v>0.013518509437750159</v>
      </c>
    </row>
    <row r="5947" ht="22.5" customHeight="1">
      <c r="Q5947" s="9" t="s">
        <v>5985</v>
      </c>
      <c r="R5947" s="10">
        <v>0.7326721465248947</v>
      </c>
      <c r="S5947" s="10">
        <v>0.035370246212657844</v>
      </c>
      <c r="T5947" s="10">
        <v>19.58346974347637</v>
      </c>
      <c r="U5947" s="11">
        <v>0.2066461826432784</v>
      </c>
      <c r="V5947" s="11">
        <v>0.31917388351687787</v>
      </c>
      <c r="W5947" s="11">
        <v>0.100409985731581</v>
      </c>
      <c r="X5947" s="11">
        <v>0.27985420112809006</v>
      </c>
      <c r="Y5947" s="11">
        <v>0.06574346892934642</v>
      </c>
      <c r="Z5947" s="11">
        <v>0.02817227805082636</v>
      </c>
    </row>
    <row r="5948" ht="22.5" customHeight="1">
      <c r="Q5948" s="9" t="s">
        <v>5986</v>
      </c>
      <c r="R5948" s="10">
        <v>0.522331348251574</v>
      </c>
      <c r="S5948" s="10">
        <v>0.045887284090548874</v>
      </c>
      <c r="T5948" s="10">
        <v>19.582903058767965</v>
      </c>
      <c r="U5948" s="11">
        <v>0.11179514436870798</v>
      </c>
      <c r="V5948" s="11">
        <v>0.4021523743536225</v>
      </c>
      <c r="W5948" s="11">
        <v>0.18006511706763048</v>
      </c>
      <c r="X5948" s="11">
        <v>0.23112202213895863</v>
      </c>
      <c r="Y5948" s="11">
        <v>0.0188815441228336</v>
      </c>
      <c r="Z5948" s="11">
        <v>0.055983797948246684</v>
      </c>
    </row>
    <row r="5949" ht="22.5" customHeight="1">
      <c r="Q5949" s="9" t="s">
        <v>5987</v>
      </c>
      <c r="R5949" s="10">
        <v>0.6577460815237994</v>
      </c>
      <c r="S5949" s="10">
        <v>0.03154522013529765</v>
      </c>
      <c r="T5949" s="10">
        <v>19.582874326895883</v>
      </c>
      <c r="U5949" s="11">
        <v>0.15106540963897802</v>
      </c>
      <c r="V5949" s="11">
        <v>0.17626932708030618</v>
      </c>
      <c r="W5949" s="11">
        <v>0.23428019696584088</v>
      </c>
      <c r="X5949" s="11">
        <v>7.864759601344891E-4</v>
      </c>
      <c r="Y5949" s="11">
        <v>0.08326314923104752</v>
      </c>
      <c r="Z5949" s="11">
        <v>0.354335441123693</v>
      </c>
    </row>
    <row r="5950" ht="22.5" customHeight="1">
      <c r="Q5950" s="9" t="s">
        <v>5988</v>
      </c>
      <c r="R5950" s="10">
        <v>0.5169724370979004</v>
      </c>
      <c r="S5950" s="10">
        <v>0.024356782712868896</v>
      </c>
      <c r="T5950" s="10">
        <v>19.58273564783629</v>
      </c>
      <c r="U5950" s="11">
        <v>0.2172263361339014</v>
      </c>
      <c r="V5950" s="11">
        <v>0.09946398706026881</v>
      </c>
      <c r="W5950" s="11">
        <v>0.1904670159303611</v>
      </c>
      <c r="X5950" s="11">
        <v>0.0519301715657391</v>
      </c>
      <c r="Y5950" s="11">
        <v>0.2243752756185622</v>
      </c>
      <c r="Z5950" s="11">
        <v>0.2165372136911674</v>
      </c>
    </row>
    <row r="5951" ht="22.5" customHeight="1">
      <c r="Q5951" s="9" t="s">
        <v>5989</v>
      </c>
      <c r="R5951" s="10">
        <v>1.020820966388041</v>
      </c>
      <c r="S5951" s="10">
        <v>0.05008757357442915</v>
      </c>
      <c r="T5951" s="10">
        <v>19.58212179974261</v>
      </c>
      <c r="U5951" s="11">
        <v>0.012088476448222129</v>
      </c>
      <c r="V5951" s="11">
        <v>0.3131089557385104</v>
      </c>
      <c r="W5951" s="11">
        <v>0.35684838893162196</v>
      </c>
      <c r="X5951" s="11">
        <v>0.06875043765165696</v>
      </c>
      <c r="Y5951" s="11">
        <v>0.0783342711017977</v>
      </c>
      <c r="Z5951" s="11">
        <v>0.17086947012819076</v>
      </c>
    </row>
    <row r="5952" ht="22.5" customHeight="1">
      <c r="Q5952" s="9" t="s">
        <v>5990</v>
      </c>
      <c r="R5952" s="10">
        <v>0.659430850047177</v>
      </c>
      <c r="S5952" s="10">
        <v>0.031633677627573215</v>
      </c>
      <c r="T5952" s="10">
        <v>19.581373286400808</v>
      </c>
      <c r="U5952" s="11">
        <v>0.1496313870492704</v>
      </c>
      <c r="V5952" s="11">
        <v>0.14316602225824857</v>
      </c>
      <c r="W5952" s="11">
        <v>0.2488194004212362</v>
      </c>
      <c r="X5952" s="11">
        <v>0.0706980256727507</v>
      </c>
      <c r="Y5952" s="11">
        <v>0.2496304106127635</v>
      </c>
      <c r="Z5952" s="11">
        <v>0.13805475398573072</v>
      </c>
    </row>
    <row r="5953" ht="22.5" customHeight="1">
      <c r="Q5953" s="9" t="s">
        <v>5991</v>
      </c>
      <c r="R5953" s="10">
        <v>0.7504280730350831</v>
      </c>
      <c r="S5953" s="10">
        <v>0.03628161213422188</v>
      </c>
      <c r="T5953" s="10">
        <v>19.58094007528917</v>
      </c>
      <c r="U5953" s="11">
        <v>0.2779299806765832</v>
      </c>
      <c r="V5953" s="11">
        <v>0.16911661006874532</v>
      </c>
      <c r="W5953" s="11">
        <v>0.28902434809427746</v>
      </c>
      <c r="X5953" s="11">
        <v>0.14308474368817908</v>
      </c>
      <c r="Y5953" s="11">
        <v>0.016323880072450198</v>
      </c>
      <c r="Z5953" s="11">
        <v>0.1045204373997648</v>
      </c>
    </row>
    <row r="5954" ht="22.5" customHeight="1">
      <c r="Q5954" s="9" t="s">
        <v>5992</v>
      </c>
      <c r="R5954" s="10">
        <v>0.3762024362050831</v>
      </c>
      <c r="S5954" s="10">
        <v>0.01716991376024581</v>
      </c>
      <c r="T5954" s="10">
        <v>19.58090418505806</v>
      </c>
      <c r="U5954" s="11">
        <v>0.2503019232168161</v>
      </c>
      <c r="V5954" s="11">
        <v>0.049158185958934834</v>
      </c>
      <c r="W5954" s="11">
        <v>0.1287956735954198</v>
      </c>
      <c r="X5954" s="11">
        <v>0.11050972915137446</v>
      </c>
      <c r="Y5954" s="11">
        <v>0.24050553781301107</v>
      </c>
      <c r="Z5954" s="11">
        <v>0.2207289502644438</v>
      </c>
    </row>
    <row r="5955" ht="22.5" customHeight="1">
      <c r="Q5955" s="9" t="s">
        <v>5993</v>
      </c>
      <c r="R5955" s="10">
        <v>0.5691135354755512</v>
      </c>
      <c r="S5955" s="10">
        <v>0.027021975670500017</v>
      </c>
      <c r="T5955" s="10">
        <v>19.580860479168674</v>
      </c>
      <c r="U5955" s="11">
        <v>0.16756060980994092</v>
      </c>
      <c r="V5955" s="11">
        <v>0.11096483887562877</v>
      </c>
      <c r="W5955" s="11">
        <v>0.2137493351329991</v>
      </c>
      <c r="X5955" s="11">
        <v>0.07781032895289244</v>
      </c>
      <c r="Y5955" s="11">
        <v>0.2555556530111753</v>
      </c>
      <c r="Z5955" s="11">
        <v>0.17435923421736346</v>
      </c>
    </row>
    <row r="5956" ht="22.5" customHeight="1">
      <c r="Q5956" s="9" t="s">
        <v>5994</v>
      </c>
      <c r="R5956" s="10">
        <v>0.8387486504859072</v>
      </c>
      <c r="S5956" s="10">
        <v>0.04079285501391099</v>
      </c>
      <c r="T5956" s="10">
        <v>19.580601804250318</v>
      </c>
      <c r="U5956" s="11">
        <v>0.06406452073732817</v>
      </c>
      <c r="V5956" s="11">
        <v>0.20575316947085884</v>
      </c>
      <c r="W5956" s="11">
        <v>0.3180750390955207</v>
      </c>
      <c r="X5956" s="11">
        <v>0.12357849289080698</v>
      </c>
      <c r="Y5956" s="11">
        <v>0.17701380436917974</v>
      </c>
      <c r="Z5956" s="11">
        <v>0.11151497343630556</v>
      </c>
    </row>
    <row r="5957" ht="22.5" customHeight="1">
      <c r="Q5957" s="9" t="s">
        <v>5995</v>
      </c>
      <c r="R5957" s="10">
        <v>0.3848272452592174</v>
      </c>
      <c r="S5957" s="10">
        <v>0.017611130675259407</v>
      </c>
      <c r="T5957" s="10">
        <v>19.580074193852873</v>
      </c>
      <c r="U5957" s="11">
        <v>0.13565749619960338</v>
      </c>
      <c r="V5957" s="11">
        <v>0.033532845906081896</v>
      </c>
      <c r="W5957" s="11">
        <v>0.13940931985531455</v>
      </c>
      <c r="X5957" s="11">
        <v>0.27785591761167294</v>
      </c>
      <c r="Y5957" s="11">
        <v>0.18585497779592774</v>
      </c>
      <c r="Z5957" s="11">
        <v>0.22768944263139945</v>
      </c>
    </row>
    <row r="5958" ht="22.5" customHeight="1">
      <c r="Q5958" s="9" t="s">
        <v>5996</v>
      </c>
      <c r="R5958" s="10">
        <v>0.38713284830832045</v>
      </c>
      <c r="S5958" s="10">
        <v>0.017729218130614552</v>
      </c>
      <c r="T5958" s="10">
        <v>19.5797042910142</v>
      </c>
      <c r="U5958" s="11">
        <v>0.240815230570581</v>
      </c>
      <c r="V5958" s="11">
        <v>0.1535708357449567</v>
      </c>
      <c r="W5958" s="11">
        <v>0.023197035552733673</v>
      </c>
      <c r="X5958" s="11">
        <v>0.22723336139572337</v>
      </c>
      <c r="Y5958" s="11">
        <v>0.08973213802618636</v>
      </c>
      <c r="Z5958" s="11">
        <v>0.26545139870981893</v>
      </c>
    </row>
    <row r="5959" ht="22.5" customHeight="1">
      <c r="Q5959" s="9" t="s">
        <v>5997</v>
      </c>
      <c r="R5959" s="10">
        <v>0.5062452448355298</v>
      </c>
      <c r="S5959" s="10">
        <v>0.023812893890966927</v>
      </c>
      <c r="T5959" s="10">
        <v>19.579528929593607</v>
      </c>
      <c r="U5959" s="11">
        <v>0.12743048961680548</v>
      </c>
      <c r="V5959" s="11">
        <v>0.2150220291494813</v>
      </c>
      <c r="W5959" s="11">
        <v>0.05787497204411889</v>
      </c>
      <c r="X5959" s="11">
        <v>0.17766216626542322</v>
      </c>
      <c r="Y5959" s="11">
        <v>0.10782562727960804</v>
      </c>
      <c r="Z5959" s="11">
        <v>0.31418471564456313</v>
      </c>
    </row>
    <row r="5960" ht="22.5" customHeight="1">
      <c r="Q5960" s="9" t="s">
        <v>5998</v>
      </c>
      <c r="R5960" s="10">
        <v>1.0005149930138462</v>
      </c>
      <c r="S5960" s="10">
        <v>0.04905800730544878</v>
      </c>
      <c r="T5960" s="10">
        <v>19.57916853477992</v>
      </c>
      <c r="U5960" s="11">
        <v>0.26006353520296793</v>
      </c>
      <c r="V5960" s="11">
        <v>0.395394946903711</v>
      </c>
      <c r="W5960" s="11">
        <v>0.2538329486957417</v>
      </c>
      <c r="X5960" s="11">
        <v>0.005750212959986403</v>
      </c>
      <c r="Y5960" s="11">
        <v>0.03235452915434943</v>
      </c>
      <c r="Z5960" s="11">
        <v>0.052603827083243605</v>
      </c>
    </row>
    <row r="5961" ht="22.5" customHeight="1">
      <c r="Q5961" s="9" t="s">
        <v>5999</v>
      </c>
      <c r="R5961" s="10">
        <v>0.8079486559535353</v>
      </c>
      <c r="S5961" s="10">
        <v>0.039223140042135986</v>
      </c>
      <c r="T5961" s="10">
        <v>19.57896933107742</v>
      </c>
      <c r="U5961" s="11">
        <v>0.09212376863104998</v>
      </c>
      <c r="V5961" s="11">
        <v>0.34974346150096036</v>
      </c>
      <c r="W5961" s="11">
        <v>0.1324372079910441</v>
      </c>
      <c r="X5961" s="11">
        <v>0.2123595956870948</v>
      </c>
      <c r="Y5961" s="11">
        <v>0.15543797637987963</v>
      </c>
      <c r="Z5961" s="11">
        <v>0.05789798980997093</v>
      </c>
    </row>
    <row r="5962" ht="22.5" customHeight="1">
      <c r="Q5962" s="9" t="s">
        <v>6000</v>
      </c>
      <c r="R5962" s="10">
        <v>0.7918335264090979</v>
      </c>
      <c r="S5962" s="10">
        <v>0.03840030277929922</v>
      </c>
      <c r="T5962" s="10">
        <v>19.578843706784394</v>
      </c>
      <c r="U5962" s="11">
        <v>0.10611300179504547</v>
      </c>
      <c r="V5962" s="11">
        <v>0.3373890531840609</v>
      </c>
      <c r="W5962" s="11">
        <v>0.14624930354815677</v>
      </c>
      <c r="X5962" s="11">
        <v>0.12025393129622987</v>
      </c>
      <c r="Y5962" s="11">
        <v>0.1396103535980563</v>
      </c>
      <c r="Z5962" s="11">
        <v>0.15038435657845067</v>
      </c>
    </row>
    <row r="5963" ht="22.5" customHeight="1">
      <c r="Q5963" s="9" t="s">
        <v>6001</v>
      </c>
      <c r="R5963" s="10">
        <v>0.34982125693535104</v>
      </c>
      <c r="S5963" s="10">
        <v>0.015824320760497366</v>
      </c>
      <c r="T5963" s="10">
        <v>19.578802883518726</v>
      </c>
      <c r="U5963" s="11">
        <v>0.056442800877633315</v>
      </c>
      <c r="V5963" s="11">
        <v>0.02088761270521189</v>
      </c>
      <c r="W5963" s="11">
        <v>0.11327249119741885</v>
      </c>
      <c r="X5963" s="11">
        <v>0.3536154371577899</v>
      </c>
      <c r="Y5963" s="11">
        <v>0.2925024696607632</v>
      </c>
      <c r="Z5963" s="11">
        <v>0.16327918840118272</v>
      </c>
    </row>
    <row r="5964" ht="22.5" customHeight="1">
      <c r="Q5964" s="9" t="s">
        <v>6002</v>
      </c>
      <c r="R5964" s="10">
        <v>0.5639333140171792</v>
      </c>
      <c r="S5964" s="10">
        <v>0.02676158392979872</v>
      </c>
      <c r="T5964" s="10">
        <v>19.57781405583342</v>
      </c>
      <c r="U5964" s="11">
        <v>0.18827666707866603</v>
      </c>
      <c r="V5964" s="11">
        <v>0.2393071332254355</v>
      </c>
      <c r="W5964" s="11">
        <v>0.059450565943276995</v>
      </c>
      <c r="X5964" s="11">
        <v>0.19889717264831278</v>
      </c>
      <c r="Y5964" s="11">
        <v>0.23443673203866328</v>
      </c>
      <c r="Z5964" s="11">
        <v>0.07963172906564539</v>
      </c>
    </row>
    <row r="5965" ht="22.5" customHeight="1">
      <c r="Q5965" s="9" t="s">
        <v>6003</v>
      </c>
      <c r="R5965" s="10">
        <v>0.5698394740470658</v>
      </c>
      <c r="S5965" s="10">
        <v>0.027065127225732302</v>
      </c>
      <c r="T5965" s="10">
        <v>19.576463455280503</v>
      </c>
      <c r="U5965" s="11">
        <v>0.08741183131694527</v>
      </c>
      <c r="V5965" s="11">
        <v>0.24071058822047955</v>
      </c>
      <c r="W5965" s="11">
        <v>0.0654469852676143</v>
      </c>
      <c r="X5965" s="11">
        <v>0.18116654381800848</v>
      </c>
      <c r="Y5965" s="11">
        <v>0.299067067688736</v>
      </c>
      <c r="Z5965" s="11">
        <v>0.1261969836882163</v>
      </c>
    </row>
    <row r="5966" ht="22.5" customHeight="1">
      <c r="Q5966" s="9" t="s">
        <v>6004</v>
      </c>
      <c r="R5966" s="10">
        <v>0.9415144357041564</v>
      </c>
      <c r="S5966" s="10">
        <v>0.04605208260776116</v>
      </c>
      <c r="T5966" s="10">
        <v>19.575975388184162</v>
      </c>
      <c r="U5966" s="11">
        <v>0.052883531179746986</v>
      </c>
      <c r="V5966" s="11">
        <v>0.37209618379199244</v>
      </c>
      <c r="W5966" s="11">
        <v>0.23940840777726616</v>
      </c>
      <c r="X5966" s="11">
        <v>0.008648874395182006</v>
      </c>
      <c r="Y5966" s="11">
        <v>0.11845198943270957</v>
      </c>
      <c r="Z5966" s="11">
        <v>0.20851101342310277</v>
      </c>
    </row>
    <row r="5967" ht="22.5" customHeight="1">
      <c r="Q5967" s="9" t="s">
        <v>6005</v>
      </c>
      <c r="R5967" s="10">
        <v>0.5280761491817787</v>
      </c>
      <c r="S5967" s="10">
        <v>0.024932526973558924</v>
      </c>
      <c r="T5967" s="10">
        <v>19.575879721272777</v>
      </c>
      <c r="U5967" s="11">
        <v>0.17742615000717182</v>
      </c>
      <c r="V5967" s="11">
        <v>0.09367493459150868</v>
      </c>
      <c r="W5967" s="11">
        <v>0.20210318688284626</v>
      </c>
      <c r="X5967" s="11">
        <v>0.13001973032817854</v>
      </c>
      <c r="Y5967" s="11">
        <v>0.14708772119843427</v>
      </c>
      <c r="Z5967" s="11">
        <v>0.24968827699186055</v>
      </c>
    </row>
    <row r="5968" ht="22.5" customHeight="1">
      <c r="Q5968" s="9" t="s">
        <v>6006</v>
      </c>
      <c r="R5968" s="10">
        <v>1.0624468136542822</v>
      </c>
      <c r="S5968" s="10">
        <v>0.05223068889201706</v>
      </c>
      <c r="T5968" s="10">
        <v>19.575595025524407</v>
      </c>
      <c r="U5968" s="11">
        <v>0.034753773838310985</v>
      </c>
      <c r="V5968" s="11">
        <v>0.45090093703488315</v>
      </c>
      <c r="W5968" s="11">
        <v>0.2202405372988131</v>
      </c>
      <c r="X5968" s="11">
        <v>0.2447287041434585</v>
      </c>
      <c r="Y5968" s="11">
        <v>0.04922533902595176</v>
      </c>
      <c r="Z5968" s="11">
        <v>1.507086585826761E-4</v>
      </c>
    </row>
    <row r="5969" ht="22.5" customHeight="1">
      <c r="Q5969" s="9" t="s">
        <v>6007</v>
      </c>
      <c r="R5969" s="10">
        <v>0.9035333708238905</v>
      </c>
      <c r="S5969" s="10">
        <v>0.04411317789345951</v>
      </c>
      <c r="T5969" s="10">
        <v>19.575406081816727</v>
      </c>
      <c r="U5969" s="11">
        <v>0.024889620565265204</v>
      </c>
      <c r="V5969" s="11">
        <v>0.3875593188309331</v>
      </c>
      <c r="W5969" s="11">
        <v>0.16384260838021078</v>
      </c>
      <c r="X5969" s="11">
        <v>0.20185313117994327</v>
      </c>
      <c r="Y5969" s="11">
        <v>0.21484667487269057</v>
      </c>
      <c r="Z5969" s="11">
        <v>0.007008646170957031</v>
      </c>
    </row>
    <row r="5970" ht="22.5" customHeight="1">
      <c r="Q5970" s="9" t="s">
        <v>6008</v>
      </c>
      <c r="R5970" s="10">
        <v>0.5252049031047562</v>
      </c>
      <c r="S5970" s="10">
        <v>0.02478799863017816</v>
      </c>
      <c r="T5970" s="10">
        <v>19.57418629651057</v>
      </c>
      <c r="U5970" s="11">
        <v>0.07088807516593384</v>
      </c>
      <c r="V5970" s="11">
        <v>0.08625879166154331</v>
      </c>
      <c r="W5970" s="11">
        <v>0.19807909580876545</v>
      </c>
      <c r="X5970" s="11">
        <v>0.15749656085012398</v>
      </c>
      <c r="Y5970" s="11">
        <v>0.3084050393050923</v>
      </c>
      <c r="Z5970" s="11">
        <v>0.1788724372085411</v>
      </c>
    </row>
    <row r="5971" ht="22.5" customHeight="1">
      <c r="Q5971" s="9" t="s">
        <v>6009</v>
      </c>
      <c r="R5971" s="10">
        <v>0.9005391201025701</v>
      </c>
      <c r="S5971" s="10">
        <v>0.04396306360162352</v>
      </c>
      <c r="T5971" s="10">
        <v>19.574139052283677</v>
      </c>
      <c r="U5971" s="11">
        <v>0.14651254445532302</v>
      </c>
      <c r="V5971" s="11">
        <v>0.3782517350972128</v>
      </c>
      <c r="W5971" s="11">
        <v>0.1823869803255926</v>
      </c>
      <c r="X5971" s="11">
        <v>0.08611609307380283</v>
      </c>
      <c r="Y5971" s="11">
        <v>0.18592647987906138</v>
      </c>
      <c r="Z5971" s="11">
        <v>0.020806167169007437</v>
      </c>
    </row>
    <row r="5972" ht="22.5" customHeight="1">
      <c r="Q5972" s="9" t="s">
        <v>6010</v>
      </c>
      <c r="R5972" s="10">
        <v>0.4505169343622742</v>
      </c>
      <c r="S5972" s="10">
        <v>0.020972572848517283</v>
      </c>
      <c r="T5972" s="10">
        <v>19.573990150249827</v>
      </c>
      <c r="U5972" s="11">
        <v>0.2979858648810701</v>
      </c>
      <c r="V5972" s="11">
        <v>0.1801575614191537</v>
      </c>
      <c r="W5972" s="11">
        <v>0.046127977903331084</v>
      </c>
      <c r="X5972" s="11">
        <v>0.100956177625405</v>
      </c>
      <c r="Y5972" s="11">
        <v>0.22102952950670351</v>
      </c>
      <c r="Z5972" s="11">
        <v>0.15374288866433658</v>
      </c>
    </row>
    <row r="5973" ht="22.5" customHeight="1">
      <c r="Q5973" s="9" t="s">
        <v>6011</v>
      </c>
      <c r="R5973" s="10">
        <v>0.8491369097340005</v>
      </c>
      <c r="S5973" s="10">
        <v>0.04133793556687686</v>
      </c>
      <c r="T5973" s="10">
        <v>19.573713554828398</v>
      </c>
      <c r="U5973" s="11">
        <v>0.060449338604352816</v>
      </c>
      <c r="V5973" s="11">
        <v>0.19877315013026775</v>
      </c>
      <c r="W5973" s="11">
        <v>0.3269017123698254</v>
      </c>
      <c r="X5973" s="11">
        <v>0.1701015225749228</v>
      </c>
      <c r="Y5973" s="11">
        <v>0.1787522740388149</v>
      </c>
      <c r="Z5973" s="11">
        <v>0.06502200228181647</v>
      </c>
    </row>
    <row r="5974" ht="22.5" customHeight="1">
      <c r="Q5974" s="9" t="s">
        <v>6012</v>
      </c>
      <c r="R5974" s="10">
        <v>0.8499259138547799</v>
      </c>
      <c r="S5974" s="10">
        <v>0.0413788253709173</v>
      </c>
      <c r="T5974" s="10">
        <v>19.57343898949892</v>
      </c>
      <c r="U5974" s="11">
        <v>0.0011462520120688038</v>
      </c>
      <c r="V5974" s="11">
        <v>0.24906551071415858</v>
      </c>
      <c r="W5974" s="11">
        <v>0.29957958683646935</v>
      </c>
      <c r="X5974" s="11">
        <v>0.02071057982850961</v>
      </c>
      <c r="Y5974" s="11">
        <v>0.1556294745426778</v>
      </c>
      <c r="Z5974" s="11">
        <v>0.2738685960661158</v>
      </c>
    </row>
    <row r="5975" ht="22.5" customHeight="1">
      <c r="Q5975" s="9" t="s">
        <v>6013</v>
      </c>
      <c r="R5975" s="10">
        <v>0.48068603713134694</v>
      </c>
      <c r="S5975" s="10">
        <v>0.022514523538909904</v>
      </c>
      <c r="T5975" s="10">
        <v>19.573411641145654</v>
      </c>
      <c r="U5975" s="11">
        <v>0.21623650885358792</v>
      </c>
      <c r="V5975" s="11">
        <v>0.0731665912036946</v>
      </c>
      <c r="W5975" s="11">
        <v>0.18201335369113172</v>
      </c>
      <c r="X5975" s="11">
        <v>0.14389696261206167</v>
      </c>
      <c r="Y5975" s="11">
        <v>0.18469175915124372</v>
      </c>
      <c r="Z5975" s="11">
        <v>0.19999482448828046</v>
      </c>
    </row>
    <row r="5976" ht="22.5" customHeight="1">
      <c r="Q5976" s="9" t="s">
        <v>6014</v>
      </c>
      <c r="R5976" s="10">
        <v>0.38751401009191294</v>
      </c>
      <c r="S5976" s="10">
        <v>0.017755178428914414</v>
      </c>
      <c r="T5976" s="10">
        <v>19.572543947290573</v>
      </c>
      <c r="U5976" s="11">
        <v>0.18366904246813157</v>
      </c>
      <c r="V5976" s="11">
        <v>0.02940532856250288</v>
      </c>
      <c r="W5976" s="11">
        <v>0.1410928598338123</v>
      </c>
      <c r="X5976" s="11">
        <v>0.33192666870543697</v>
      </c>
      <c r="Y5976" s="11">
        <v>0.11469423744042379</v>
      </c>
      <c r="Z5976" s="11">
        <v>0.1992118629896925</v>
      </c>
    </row>
    <row r="5977" ht="22.5" customHeight="1">
      <c r="Q5977" s="9" t="s">
        <v>6015</v>
      </c>
      <c r="R5977" s="10">
        <v>0.7964706986666321</v>
      </c>
      <c r="S5977" s="10">
        <v>0.03865001489858954</v>
      </c>
      <c r="T5977" s="10">
        <v>19.572326185422455</v>
      </c>
      <c r="U5977" s="11">
        <v>0.124960075863152</v>
      </c>
      <c r="V5977" s="11">
        <v>0.3436244949911278</v>
      </c>
      <c r="W5977" s="11">
        <v>0.12766921687108154</v>
      </c>
      <c r="X5977" s="11">
        <v>0.18904030343018488</v>
      </c>
      <c r="Y5977" s="11">
        <v>0.2110405453969668</v>
      </c>
      <c r="Z5977" s="11">
        <v>0.0036653634474870483</v>
      </c>
    </row>
    <row r="5978" ht="22.5" customHeight="1">
      <c r="Q5978" s="9" t="s">
        <v>6016</v>
      </c>
      <c r="R5978" s="10">
        <v>0.8103534089181403</v>
      </c>
      <c r="S5978" s="10">
        <v>0.03936007695762065</v>
      </c>
      <c r="T5978" s="10">
        <v>19.57194874765074</v>
      </c>
      <c r="U5978" s="11">
        <v>0.15461854846575898</v>
      </c>
      <c r="V5978" s="11">
        <v>0.18548135290327797</v>
      </c>
      <c r="W5978" s="11">
        <v>0.31339001826652496</v>
      </c>
      <c r="X5978" s="11">
        <v>0.15715864642789457</v>
      </c>
      <c r="Y5978" s="11">
        <v>0.11749515595698623</v>
      </c>
      <c r="Z5978" s="11">
        <v>0.07185627797955729</v>
      </c>
    </row>
    <row r="5979" ht="22.5" customHeight="1">
      <c r="Q5979" s="9" t="s">
        <v>6017</v>
      </c>
      <c r="R5979" s="10">
        <v>0.4177607315191824</v>
      </c>
      <c r="S5979" s="10">
        <v>0.0193012296343259</v>
      </c>
      <c r="T5979" s="10">
        <v>19.57184794316737</v>
      </c>
      <c r="U5979" s="11">
        <v>0.13117619082148355</v>
      </c>
      <c r="V5979" s="11">
        <v>0.04532292069695345</v>
      </c>
      <c r="W5979" s="11">
        <v>0.15583618693026216</v>
      </c>
      <c r="X5979" s="11">
        <v>0.24510523250448238</v>
      </c>
      <c r="Y5979" s="11">
        <v>0.186840565537807</v>
      </c>
      <c r="Z5979" s="11">
        <v>0.23571890350901148</v>
      </c>
    </row>
    <row r="5980" ht="22.5" customHeight="1">
      <c r="Q5980" s="9" t="s">
        <v>6018</v>
      </c>
      <c r="R5980" s="10">
        <v>0.4611675396355609</v>
      </c>
      <c r="S5980" s="10">
        <v>0.021520411603281043</v>
      </c>
      <c r="T5980" s="10">
        <v>19.570608006928126</v>
      </c>
      <c r="U5980" s="11">
        <v>0.05341119713621717</v>
      </c>
      <c r="V5980" s="11">
        <v>0.09015839555222002</v>
      </c>
      <c r="W5980" s="11">
        <v>0.15784380432297107</v>
      </c>
      <c r="X5980" s="11">
        <v>0.04576350437654076</v>
      </c>
      <c r="Y5980" s="11">
        <v>0.37492309485424213</v>
      </c>
      <c r="Z5980" s="11">
        <v>0.2779000037578088</v>
      </c>
    </row>
    <row r="5981" ht="22.5" customHeight="1">
      <c r="Q5981" s="9" t="s">
        <v>6019</v>
      </c>
      <c r="R5981" s="10">
        <v>0.640413661039106</v>
      </c>
      <c r="S5981" s="10">
        <v>0.03068015761635504</v>
      </c>
      <c r="T5981" s="10">
        <v>19.570097016680133</v>
      </c>
      <c r="U5981" s="11">
        <v>0.2036382049599717</v>
      </c>
      <c r="V5981" s="11">
        <v>0.1183228382319404</v>
      </c>
      <c r="W5981" s="11">
        <v>0.2525554804681667</v>
      </c>
      <c r="X5981" s="11">
        <v>0.21471340239878353</v>
      </c>
      <c r="Y5981" s="11">
        <v>0.06044853457515327</v>
      </c>
      <c r="Z5981" s="11">
        <v>0.15032153936598444</v>
      </c>
    </row>
    <row r="5982" ht="22.5" customHeight="1">
      <c r="Q5982" s="9" t="s">
        <v>6020</v>
      </c>
      <c r="R5982" s="10">
        <v>0.5476527503461392</v>
      </c>
      <c r="S5982" s="10">
        <v>0.025941500206099262</v>
      </c>
      <c r="T5982" s="10">
        <v>19.569136183834964</v>
      </c>
      <c r="U5982" s="11">
        <v>0.005094752532242944</v>
      </c>
      <c r="V5982" s="11">
        <v>0.07848545022830135</v>
      </c>
      <c r="W5982" s="11">
        <v>0.21483343718283796</v>
      </c>
      <c r="X5982" s="11">
        <v>0.3276411405353347</v>
      </c>
      <c r="Y5982" s="11">
        <v>0.1549765858805481</v>
      </c>
      <c r="Z5982" s="11">
        <v>0.21896863364073488</v>
      </c>
    </row>
    <row r="5983" ht="22.5" customHeight="1">
      <c r="Q5983" s="9" t="s">
        <v>6021</v>
      </c>
      <c r="R5983" s="10">
        <v>0.522331348251574</v>
      </c>
      <c r="S5983" s="10">
        <v>0.016434213125981246</v>
      </c>
      <c r="T5983" s="10">
        <v>19.565534232023044</v>
      </c>
      <c r="U5983" s="11">
        <v>0.4150892374156489</v>
      </c>
      <c r="V5983" s="11">
        <v>0.06965287171981321</v>
      </c>
      <c r="W5983" s="11">
        <v>0.0959875382939286</v>
      </c>
      <c r="X5983" s="11">
        <v>0.010480001146893816</v>
      </c>
      <c r="Y5983" s="11">
        <v>0.3076638307541776</v>
      </c>
      <c r="Z5983" s="11">
        <v>0.10112652066953796</v>
      </c>
    </row>
    <row r="5984" ht="22.5" customHeight="1">
      <c r="Q5984" s="9" t="s">
        <v>6022</v>
      </c>
      <c r="R5984" s="10">
        <v>0.5858172264838648</v>
      </c>
      <c r="S5984" s="10">
        <v>0.027896980711598417</v>
      </c>
      <c r="T5984" s="10">
        <v>19.56545879020293</v>
      </c>
      <c r="U5984" s="11">
        <v>0.11912672809459594</v>
      </c>
      <c r="V5984" s="11">
        <v>0.2391246631739636</v>
      </c>
      <c r="W5984" s="11">
        <v>0.102187252510776</v>
      </c>
      <c r="X5984" s="11">
        <v>0.006707831122340927</v>
      </c>
      <c r="Y5984" s="11">
        <v>0.2757036529497651</v>
      </c>
      <c r="Z5984" s="11">
        <v>0.2571498721485585</v>
      </c>
    </row>
    <row r="5985" ht="22.5" customHeight="1">
      <c r="Q5985" s="9" t="s">
        <v>6023</v>
      </c>
      <c r="R5985" s="10">
        <v>0.6485818377310927</v>
      </c>
      <c r="S5985" s="10">
        <v>0.03110509424751233</v>
      </c>
      <c r="T5985" s="10">
        <v>19.565342991357912</v>
      </c>
      <c r="U5985" s="11">
        <v>0.27042897987349696</v>
      </c>
      <c r="V5985" s="11">
        <v>0.2682866410896276</v>
      </c>
      <c r="W5985" s="11">
        <v>0.107076452497295</v>
      </c>
      <c r="X5985" s="11">
        <v>0.03041845322848001</v>
      </c>
      <c r="Y5985" s="11">
        <v>0.2665350982403515</v>
      </c>
      <c r="Z5985" s="11">
        <v>0.05725437507074905</v>
      </c>
    </row>
    <row r="5986" ht="22.5" customHeight="1">
      <c r="Q5986" s="9" t="s">
        <v>6024</v>
      </c>
      <c r="R5986" s="10">
        <v>0.522331348251574</v>
      </c>
      <c r="S5986" s="10">
        <v>0.033484918256682206</v>
      </c>
      <c r="T5986" s="10">
        <v>19.565218045398144</v>
      </c>
      <c r="U5986" s="11">
        <v>0.11668588624935278</v>
      </c>
      <c r="V5986" s="11">
        <v>0.29806077947689597</v>
      </c>
      <c r="W5986" s="11">
        <v>0.1186071277847112</v>
      </c>
      <c r="X5986" s="11">
        <v>0.13888021494893862</v>
      </c>
      <c r="Y5986" s="11">
        <v>0.06656491258729715</v>
      </c>
      <c r="Z5986" s="11">
        <v>0.2612010789528043</v>
      </c>
    </row>
    <row r="5987" ht="22.5" customHeight="1">
      <c r="Q5987" s="9" t="s">
        <v>6025</v>
      </c>
      <c r="R5987" s="10">
        <v>0.5267490950444447</v>
      </c>
      <c r="S5987" s="10">
        <v>0.024879161344806434</v>
      </c>
      <c r="T5987" s="10">
        <v>19.564529860893174</v>
      </c>
      <c r="U5987" s="11">
        <v>0.2216037043215992</v>
      </c>
      <c r="V5987" s="11">
        <v>0.08530551860158833</v>
      </c>
      <c r="W5987" s="11">
        <v>0.20258981756605238</v>
      </c>
      <c r="X5987" s="11">
        <v>0.14965465307818687</v>
      </c>
      <c r="Y5987" s="11">
        <v>0.1784375178320615</v>
      </c>
      <c r="Z5987" s="11">
        <v>0.16240878860051158</v>
      </c>
    </row>
    <row r="5988" ht="22.5" customHeight="1">
      <c r="Q5988" s="9" t="s">
        <v>6026</v>
      </c>
      <c r="R5988" s="10">
        <v>0.5241636063374756</v>
      </c>
      <c r="S5988" s="10">
        <v>0.024747445374684006</v>
      </c>
      <c r="T5988" s="10">
        <v>19.564185272745867</v>
      </c>
      <c r="U5988" s="11">
        <v>0.1807436533326995</v>
      </c>
      <c r="V5988" s="11">
        <v>0.12338157324291663</v>
      </c>
      <c r="W5988" s="11">
        <v>0.18823169933363582</v>
      </c>
      <c r="X5988" s="11">
        <v>0.05067502192744826</v>
      </c>
      <c r="Y5988" s="11">
        <v>0.013715144007962185</v>
      </c>
      <c r="Z5988" s="11">
        <v>0.44325290815533763</v>
      </c>
    </row>
    <row r="5989" ht="22.5" customHeight="1">
      <c r="Q5989" s="9" t="s">
        <v>6027</v>
      </c>
      <c r="R5989" s="10">
        <v>0.6117883166794822</v>
      </c>
      <c r="S5989" s="10">
        <v>0.02922683391514486</v>
      </c>
      <c r="T5989" s="10">
        <v>19.563813115699507</v>
      </c>
      <c r="U5989" s="11">
        <v>0.3084957744140668</v>
      </c>
      <c r="V5989" s="11">
        <v>0.25660775177997397</v>
      </c>
      <c r="W5989" s="11">
        <v>0.10106601570799005</v>
      </c>
      <c r="X5989" s="11">
        <v>0.0836672712844683</v>
      </c>
      <c r="Y5989" s="11">
        <v>0.02050616442095154</v>
      </c>
      <c r="Z5989" s="11">
        <v>0.22965702239254931</v>
      </c>
    </row>
    <row r="5990" ht="22.5" customHeight="1">
      <c r="Q5990" s="9" t="s">
        <v>6028</v>
      </c>
      <c r="R5990" s="10">
        <v>0.6025262798684441</v>
      </c>
      <c r="S5990" s="10">
        <v>0.028754399872140332</v>
      </c>
      <c r="T5990" s="10">
        <v>19.56313755007165</v>
      </c>
      <c r="U5990" s="11">
        <v>0.14892396632401547</v>
      </c>
      <c r="V5990" s="11">
        <v>0.10799114488045657</v>
      </c>
      <c r="W5990" s="11">
        <v>0.23658466769511016</v>
      </c>
      <c r="X5990" s="11">
        <v>0.19491946663513615</v>
      </c>
      <c r="Y5990" s="11">
        <v>0.12237935214450085</v>
      </c>
      <c r="Z5990" s="11">
        <v>0.18920140232078084</v>
      </c>
    </row>
    <row r="5991" ht="22.5" customHeight="1">
      <c r="Q5991" s="9" t="s">
        <v>6029</v>
      </c>
      <c r="R5991" s="10">
        <v>0.6822226737898798</v>
      </c>
      <c r="S5991" s="10">
        <v>0.0328298801173048</v>
      </c>
      <c r="T5991" s="10">
        <v>19.562138865422202</v>
      </c>
      <c r="U5991" s="11">
        <v>0.06860732085060618</v>
      </c>
      <c r="V5991" s="11">
        <v>0.12079942227618307</v>
      </c>
      <c r="W5991" s="11">
        <v>0.270996745833934</v>
      </c>
      <c r="X5991" s="11">
        <v>0.28001019784649767</v>
      </c>
      <c r="Y5991" s="11">
        <v>0.17460049942621456</v>
      </c>
      <c r="Z5991" s="11">
        <v>0.08498581376656462</v>
      </c>
    </row>
    <row r="5992" ht="22.5" customHeight="1">
      <c r="Q5992" s="9" t="s">
        <v>6030</v>
      </c>
      <c r="R5992" s="10">
        <v>0.8512153883169392</v>
      </c>
      <c r="S5992" s="10">
        <v>0.04146899057199588</v>
      </c>
      <c r="T5992" s="10">
        <v>19.56197575893625</v>
      </c>
      <c r="U5992" s="11">
        <v>0.08919952340994299</v>
      </c>
      <c r="V5992" s="11">
        <v>0.358090187638659</v>
      </c>
      <c r="W5992" s="11">
        <v>0.17720906348799798</v>
      </c>
      <c r="X5992" s="11">
        <v>0.11339103749751624</v>
      </c>
      <c r="Y5992" s="11">
        <v>0.042333199121858844</v>
      </c>
      <c r="Z5992" s="11">
        <v>0.2197769888440248</v>
      </c>
    </row>
    <row r="5993" ht="22.5" customHeight="1">
      <c r="Q5993" s="9" t="s">
        <v>6031</v>
      </c>
      <c r="R5993" s="10">
        <v>0.23688056775105815</v>
      </c>
      <c r="S5993" s="10">
        <v>0.010066115672376674</v>
      </c>
      <c r="T5993" s="10">
        <v>19.558742831789196</v>
      </c>
      <c r="U5993" s="11">
        <v>0.31278279859608693</v>
      </c>
      <c r="V5993" s="11">
        <v>0.0314478596025498</v>
      </c>
      <c r="W5993" s="11">
        <v>0.029557587072327644</v>
      </c>
      <c r="X5993" s="11">
        <v>0.213905503100794</v>
      </c>
      <c r="Y5993" s="11">
        <v>0.21333116462755372</v>
      </c>
      <c r="Z5993" s="11">
        <v>0.19897508700068783</v>
      </c>
    </row>
    <row r="5994" ht="22.5" customHeight="1">
      <c r="Q5994" s="9" t="s">
        <v>6032</v>
      </c>
      <c r="R5994" s="10">
        <v>1.0340933505449499</v>
      </c>
      <c r="S5994" s="10">
        <v>0.050827497474279226</v>
      </c>
      <c r="T5994" s="10">
        <v>19.558180117917498</v>
      </c>
      <c r="U5994" s="11">
        <v>0.11249093780320521</v>
      </c>
      <c r="V5994" s="11">
        <v>0.3158802076848599</v>
      </c>
      <c r="W5994" s="11">
        <v>0.3637590609303768</v>
      </c>
      <c r="X5994" s="11">
        <v>0.06284952120635104</v>
      </c>
      <c r="Y5994" s="11">
        <v>0.013958216630252096</v>
      </c>
      <c r="Z5994" s="11">
        <v>0.13106205574495478</v>
      </c>
    </row>
    <row r="5995" ht="22.5" customHeight="1">
      <c r="Q5995" s="9" t="s">
        <v>6033</v>
      </c>
      <c r="R5995" s="10">
        <v>0.7158692806396963</v>
      </c>
      <c r="S5995" s="10">
        <v>0.03455817594098872</v>
      </c>
      <c r="T5995" s="10">
        <v>19.557435027641667</v>
      </c>
      <c r="U5995" s="11">
        <v>0.07606199061882218</v>
      </c>
      <c r="V5995" s="11">
        <v>0.16218825117523647</v>
      </c>
      <c r="W5995" s="11">
        <v>0.2762165108624707</v>
      </c>
      <c r="X5995" s="11">
        <v>0.16804843514469117</v>
      </c>
      <c r="Y5995" s="11">
        <v>0.04725365586064034</v>
      </c>
      <c r="Z5995" s="11">
        <v>0.2702311563381391</v>
      </c>
    </row>
    <row r="5996" ht="22.5" customHeight="1">
      <c r="Q5996" s="9" t="s">
        <v>6034</v>
      </c>
      <c r="R5996" s="10">
        <v>0.522331348251574</v>
      </c>
      <c r="S5996" s="10">
        <v>0.01862625896226855</v>
      </c>
      <c r="T5996" s="10">
        <v>19.556762415737634</v>
      </c>
      <c r="U5996" s="11">
        <v>0.29198543808446464</v>
      </c>
      <c r="V5996" s="11">
        <v>0.04792767011920402</v>
      </c>
      <c r="W5996" s="11">
        <v>0.14245183006365117</v>
      </c>
      <c r="X5996" s="11">
        <v>0.1457281450453086</v>
      </c>
      <c r="Y5996" s="11">
        <v>0.258683580267857</v>
      </c>
      <c r="Z5996" s="11">
        <v>0.11322333641951465</v>
      </c>
    </row>
    <row r="5997" ht="22.5" customHeight="1">
      <c r="Q5997" s="9" t="s">
        <v>6035</v>
      </c>
      <c r="R5997" s="10">
        <v>0.7741551749139625</v>
      </c>
      <c r="S5997" s="10">
        <v>0.03754030118525041</v>
      </c>
      <c r="T5997" s="10">
        <v>19.556454043645555</v>
      </c>
      <c r="U5997" s="11">
        <v>0.14699751767933078</v>
      </c>
      <c r="V5997" s="11">
        <v>0.33926552552442013</v>
      </c>
      <c r="W5997" s="11">
        <v>0.10589088153578206</v>
      </c>
      <c r="X5997" s="11">
        <v>0.3391385169106891</v>
      </c>
      <c r="Y5997" s="11">
        <v>0.05611472832074156</v>
      </c>
      <c r="Z5997" s="11">
        <v>0.012592830029036248</v>
      </c>
    </row>
    <row r="5998" ht="22.5" customHeight="1">
      <c r="Q5998" s="9" t="s">
        <v>6036</v>
      </c>
      <c r="R5998" s="10">
        <v>0.522331348251574</v>
      </c>
      <c r="S5998" s="10">
        <v>0.026771618692580046</v>
      </c>
      <c r="T5998" s="10">
        <v>19.556359579232883</v>
      </c>
      <c r="U5998" s="11">
        <v>0.28990638701592236</v>
      </c>
      <c r="V5998" s="11">
        <v>0.2282694530159721</v>
      </c>
      <c r="W5998" s="11">
        <v>0.10412158934305678</v>
      </c>
      <c r="X5998" s="11">
        <v>0.008560723149565429</v>
      </c>
      <c r="Y5998" s="11">
        <v>0.05084553811782301</v>
      </c>
      <c r="Z5998" s="11">
        <v>0.31829630935766046</v>
      </c>
    </row>
    <row r="5999" ht="22.5" customHeight="1">
      <c r="Q5999" s="9" t="s">
        <v>6037</v>
      </c>
      <c r="R5999" s="10">
        <v>1.0507374424269489</v>
      </c>
      <c r="S5999" s="10">
        <v>0.05168333648341449</v>
      </c>
      <c r="T5999" s="10">
        <v>19.55635048351224</v>
      </c>
      <c r="U5999" s="11">
        <v>0.09531779057377979</v>
      </c>
      <c r="V5999" s="11">
        <v>0.31719904869768184</v>
      </c>
      <c r="W5999" s="11">
        <v>0.3708984327926339</v>
      </c>
      <c r="X5999" s="11">
        <v>0.038475056710981</v>
      </c>
      <c r="Y5999" s="11">
        <v>0.12220016331349298</v>
      </c>
      <c r="Z5999" s="11">
        <v>0.05590950791143067</v>
      </c>
    </row>
    <row r="6000" ht="22.5" customHeight="1">
      <c r="Q6000" s="9" t="s">
        <v>6038</v>
      </c>
      <c r="R6000" s="10">
        <v>0.577667064454607</v>
      </c>
      <c r="S6000" s="10">
        <v>0.02749347164013073</v>
      </c>
      <c r="T6000" s="10">
        <v>19.55617215214842</v>
      </c>
      <c r="U6000" s="11">
        <v>0.37503556436995206</v>
      </c>
      <c r="V6000" s="11">
        <v>0.11472824791321007</v>
      </c>
      <c r="W6000" s="11">
        <v>0.21752161999270936</v>
      </c>
      <c r="X6000" s="11">
        <v>0.07084694748716927</v>
      </c>
      <c r="Y6000" s="11">
        <v>0.09481723528336866</v>
      </c>
      <c r="Z6000" s="11">
        <v>0.1270503849535905</v>
      </c>
    </row>
    <row r="6001" ht="22.5" customHeight="1">
      <c r="Q6001" s="9" t="s">
        <v>6039</v>
      </c>
      <c r="R6001" s="10">
        <v>0.2827134738425733</v>
      </c>
      <c r="S6001" s="10">
        <v>0.01241172583977516</v>
      </c>
      <c r="T6001" s="10">
        <v>19.555175241203205</v>
      </c>
      <c r="U6001" s="11">
        <v>0.03451000374366707</v>
      </c>
      <c r="V6001" s="11">
        <v>0.028830756597757058</v>
      </c>
      <c r="W6001" s="11">
        <v>0.0835334737565692</v>
      </c>
      <c r="X6001" s="11">
        <v>0.2390425477620751</v>
      </c>
      <c r="Y6001" s="11">
        <v>0.1353027243587309</v>
      </c>
      <c r="Z6001" s="11">
        <v>0.47878049378120063</v>
      </c>
    </row>
    <row r="6002" ht="22.5" customHeight="1">
      <c r="Q6002" s="9" t="s">
        <v>6040</v>
      </c>
      <c r="R6002" s="10">
        <v>0.6384402578821996</v>
      </c>
      <c r="S6002" s="10">
        <v>0.03060365732738948</v>
      </c>
      <c r="T6002" s="10">
        <v>19.55453400488219</v>
      </c>
      <c r="U6002" s="11">
        <v>0.23627991756579075</v>
      </c>
      <c r="V6002" s="11">
        <v>0.27331903093071835</v>
      </c>
      <c r="W6002" s="11">
        <v>0.08080170101184764</v>
      </c>
      <c r="X6002" s="11">
        <v>0.1712766094212949</v>
      </c>
      <c r="Y6002" s="11">
        <v>0.21940756318940652</v>
      </c>
      <c r="Z6002" s="11">
        <v>0.018915177880941804</v>
      </c>
    </row>
    <row r="6003" ht="22.5" customHeight="1">
      <c r="Q6003" s="9" t="s">
        <v>6041</v>
      </c>
      <c r="R6003" s="10">
        <v>0.3870716443600311</v>
      </c>
      <c r="S6003" s="10">
        <v>0.017749312860048633</v>
      </c>
      <c r="T6003" s="10">
        <v>19.554089056666736</v>
      </c>
      <c r="U6003" s="11">
        <v>0.04339444721015706</v>
      </c>
      <c r="V6003" s="11">
        <v>0.15347377753832975</v>
      </c>
      <c r="W6003" s="11">
        <v>0.022256484680108563</v>
      </c>
      <c r="X6003" s="11">
        <v>0.34002950250113834</v>
      </c>
      <c r="Y6003" s="11">
        <v>0.04395026723624537</v>
      </c>
      <c r="Z6003" s="11">
        <v>0.39689552083402097</v>
      </c>
    </row>
    <row r="6004" ht="22.5" customHeight="1">
      <c r="Q6004" s="9" t="s">
        <v>6042</v>
      </c>
      <c r="R6004" s="10">
        <v>0.5854338289284216</v>
      </c>
      <c r="S6004" s="10">
        <v>0.027896605508031944</v>
      </c>
      <c r="T6004" s="10">
        <v>19.551978421581833</v>
      </c>
      <c r="U6004" s="11">
        <v>0.22101681639900891</v>
      </c>
      <c r="V6004" s="11">
        <v>0.12080409215768974</v>
      </c>
      <c r="W6004" s="11">
        <v>0.22273301091901096</v>
      </c>
      <c r="X6004" s="11">
        <v>0.08529331434817936</v>
      </c>
      <c r="Y6004" s="11">
        <v>0.1026039755318035</v>
      </c>
      <c r="Z6004" s="11">
        <v>0.24754879064430743</v>
      </c>
    </row>
    <row r="6005" ht="22.5" customHeight="1">
      <c r="Q6005" s="9" t="s">
        <v>6043</v>
      </c>
      <c r="R6005" s="10">
        <v>0.4903848266341546</v>
      </c>
      <c r="S6005" s="10">
        <v>0.023035504126174798</v>
      </c>
      <c r="T6005" s="10">
        <v>19.551767748047286</v>
      </c>
      <c r="U6005" s="11">
        <v>0.17824243700522963</v>
      </c>
      <c r="V6005" s="11">
        <v>0.09038052670199755</v>
      </c>
      <c r="W6005" s="11">
        <v>0.18010863808444277</v>
      </c>
      <c r="X6005" s="11">
        <v>0.06045753289223094</v>
      </c>
      <c r="Y6005" s="11">
        <v>0.24202270914795057</v>
      </c>
      <c r="Z6005" s="11">
        <v>0.24878815616814856</v>
      </c>
    </row>
    <row r="6006" ht="22.5" customHeight="1">
      <c r="Q6006" s="9" t="s">
        <v>6044</v>
      </c>
      <c r="R6006" s="10">
        <v>0.944241602007944</v>
      </c>
      <c r="S6006" s="10">
        <v>0.04624954174171999</v>
      </c>
      <c r="T6006" s="10">
        <v>19.55136349366812</v>
      </c>
      <c r="U6006" s="11">
        <v>0.12684331980550106</v>
      </c>
      <c r="V6006" s="11">
        <v>0.390411027243103</v>
      </c>
      <c r="W6006" s="11">
        <v>0.21306153515082735</v>
      </c>
      <c r="X6006" s="11">
        <v>0.06591998649244604</v>
      </c>
      <c r="Y6006" s="11">
        <v>0.08368997507332415</v>
      </c>
      <c r="Z6006" s="11">
        <v>0.12007415623479849</v>
      </c>
    </row>
    <row r="6007" ht="22.5" customHeight="1">
      <c r="Q6007" s="9" t="s">
        <v>6045</v>
      </c>
      <c r="R6007" s="10">
        <v>0.3650028402158816</v>
      </c>
      <c r="S6007" s="10">
        <v>0.016623703007992385</v>
      </c>
      <c r="T6007" s="10">
        <v>19.550568249422284</v>
      </c>
      <c r="U6007" s="11">
        <v>0.17961786756447262</v>
      </c>
      <c r="V6007" s="11">
        <v>0.030123161526059553</v>
      </c>
      <c r="W6007" s="11">
        <v>0.12488357419578501</v>
      </c>
      <c r="X6007" s="11">
        <v>0.23508898842150333</v>
      </c>
      <c r="Y6007" s="11">
        <v>0.27918989072797235</v>
      </c>
      <c r="Z6007" s="11">
        <v>0.15109651756420717</v>
      </c>
    </row>
    <row r="6008" ht="22.5" customHeight="1">
      <c r="Q6008" s="9" t="s">
        <v>6046</v>
      </c>
      <c r="R6008" s="10">
        <v>0.5169889153211099</v>
      </c>
      <c r="S6008" s="10">
        <v>0.024397794106353638</v>
      </c>
      <c r="T6008" s="10">
        <v>19.550493509447772</v>
      </c>
      <c r="U6008" s="11">
        <v>0.07049475332090217</v>
      </c>
      <c r="V6008" s="11">
        <v>0.07771818083127624</v>
      </c>
      <c r="W6008" s="11">
        <v>0.19803931226334648</v>
      </c>
      <c r="X6008" s="11">
        <v>0.20050960608407062</v>
      </c>
      <c r="Y6008" s="11">
        <v>0.2705095867402915</v>
      </c>
      <c r="Z6008" s="11">
        <v>0.1827285607601129</v>
      </c>
    </row>
    <row r="6009" ht="22.5" customHeight="1">
      <c r="Q6009" s="9" t="s">
        <v>6047</v>
      </c>
      <c r="R6009" s="10">
        <v>0.7236262185225099</v>
      </c>
      <c r="S6009" s="10">
        <v>0.034967470981721274</v>
      </c>
      <c r="T6009" s="10">
        <v>19.55034777550442</v>
      </c>
      <c r="U6009" s="11">
        <v>0.02992677476116864</v>
      </c>
      <c r="V6009" s="11">
        <v>0.31663166114106145</v>
      </c>
      <c r="W6009" s="11">
        <v>0.10363205953346141</v>
      </c>
      <c r="X6009" s="11">
        <v>0.3107014635282465</v>
      </c>
      <c r="Y6009" s="11">
        <v>0.042054480135949146</v>
      </c>
      <c r="Z6009" s="11">
        <v>0.19705356090011278</v>
      </c>
    </row>
    <row r="6010" ht="22.5" customHeight="1">
      <c r="Q6010" s="9" t="s">
        <v>6048</v>
      </c>
      <c r="R6010" s="10">
        <v>0.6437397434782227</v>
      </c>
      <c r="S6010" s="10">
        <v>0.03088228371561296</v>
      </c>
      <c r="T6010" s="10">
        <v>19.549711706488655</v>
      </c>
      <c r="U6010" s="11">
        <v>0.13062444150616673</v>
      </c>
      <c r="V6010" s="11">
        <v>0.11883218923141588</v>
      </c>
      <c r="W6010" s="11">
        <v>0.2523943121601845</v>
      </c>
      <c r="X6010" s="11">
        <v>0.1825485396686531</v>
      </c>
      <c r="Y6010" s="11">
        <v>0.20172792585897079</v>
      </c>
      <c r="Z6010" s="11">
        <v>0.11387259157460906</v>
      </c>
    </row>
    <row r="6011" ht="22.5" customHeight="1">
      <c r="Q6011" s="9" t="s">
        <v>6049</v>
      </c>
      <c r="R6011" s="10">
        <v>0.5676836179459214</v>
      </c>
      <c r="S6011" s="10">
        <v>0.026992851609499026</v>
      </c>
      <c r="T6011" s="10">
        <v>19.54901340472767</v>
      </c>
      <c r="U6011" s="11">
        <v>0.22851924096748802</v>
      </c>
      <c r="V6011" s="11">
        <v>0.07743140187918077</v>
      </c>
      <c r="W6011" s="11">
        <v>0.2253885225204858</v>
      </c>
      <c r="X6011" s="11">
        <v>0.3125626682369191</v>
      </c>
      <c r="Y6011" s="11">
        <v>0.08908090051829305</v>
      </c>
      <c r="Z6011" s="11">
        <v>0.0670172658776332</v>
      </c>
    </row>
    <row r="6012" ht="22.5" customHeight="1">
      <c r="Q6012" s="9" t="s">
        <v>6050</v>
      </c>
      <c r="R6012" s="10">
        <v>0.6482298745989328</v>
      </c>
      <c r="S6012" s="10">
        <v>0.03111327854035787</v>
      </c>
      <c r="T6012" s="10">
        <v>19.548884049939687</v>
      </c>
      <c r="U6012" s="11">
        <v>0.042018028631009875</v>
      </c>
      <c r="V6012" s="11">
        <v>0.13720629438304455</v>
      </c>
      <c r="W6012" s="11">
        <v>0.2512204523804614</v>
      </c>
      <c r="X6012" s="11">
        <v>0.17967721507831008</v>
      </c>
      <c r="Y6012" s="11">
        <v>0.07051914287700485</v>
      </c>
      <c r="Z6012" s="11">
        <v>0.3193588666501691</v>
      </c>
    </row>
    <row r="6013" ht="22.5" customHeight="1">
      <c r="Q6013" s="9" t="s">
        <v>6051</v>
      </c>
      <c r="R6013" s="10">
        <v>0.6567439954709199</v>
      </c>
      <c r="S6013" s="10">
        <v>0.031549099525262934</v>
      </c>
      <c r="T6013" s="10">
        <v>19.548703600147515</v>
      </c>
      <c r="U6013" s="11">
        <v>0.24106509225709236</v>
      </c>
      <c r="V6013" s="11">
        <v>0.14327075267269931</v>
      </c>
      <c r="W6013" s="11">
        <v>0.24847839235478758</v>
      </c>
      <c r="X6013" s="11">
        <v>0.05366188551396197</v>
      </c>
      <c r="Y6013" s="11">
        <v>0.1889961561307916</v>
      </c>
      <c r="Z6013" s="11">
        <v>0.12452772107066709</v>
      </c>
    </row>
    <row r="6014" ht="22.5" customHeight="1">
      <c r="Q6014" s="9" t="s">
        <v>6052</v>
      </c>
      <c r="R6014" s="10">
        <v>0.6996918384041778</v>
      </c>
      <c r="S6014" s="10">
        <v>0.0337462825325933</v>
      </c>
      <c r="T6014" s="10">
        <v>19.548578062399173</v>
      </c>
      <c r="U6014" s="11">
        <v>0.1075182761328527</v>
      </c>
      <c r="V6014" s="11">
        <v>0.15758515530838743</v>
      </c>
      <c r="W6014" s="11">
        <v>0.2691441482651665</v>
      </c>
      <c r="X6014" s="11">
        <v>0.12667911846914828</v>
      </c>
      <c r="Y6014" s="11">
        <v>0.09931066585479008</v>
      </c>
      <c r="Z6014" s="11">
        <v>0.23976263596965483</v>
      </c>
    </row>
    <row r="6015" ht="22.5" customHeight="1">
      <c r="Q6015" s="9" t="s">
        <v>6053</v>
      </c>
      <c r="R6015" s="10">
        <v>0.9331718105546827</v>
      </c>
      <c r="S6015" s="10">
        <v>0.04569047891742216</v>
      </c>
      <c r="T6015" s="10">
        <v>19.548313603123752</v>
      </c>
      <c r="U6015" s="11">
        <v>0.054652435656611015</v>
      </c>
      <c r="V6015" s="11">
        <v>0.367779398687216</v>
      </c>
      <c r="W6015" s="11">
        <v>0.2409321835091663</v>
      </c>
      <c r="X6015" s="11">
        <v>0.008419425877121767</v>
      </c>
      <c r="Y6015" s="11">
        <v>0.07472269982342608</v>
      </c>
      <c r="Z6015" s="11">
        <v>0.2534938564464588</v>
      </c>
    </row>
    <row r="6016" ht="22.5" customHeight="1">
      <c r="Q6016" s="9" t="s">
        <v>6054</v>
      </c>
      <c r="R6016" s="10">
        <v>0.8733051276371562</v>
      </c>
      <c r="S6016" s="10">
        <v>0.042628915785231244</v>
      </c>
      <c r="T6016" s="10">
        <v>19.547884629189983</v>
      </c>
      <c r="U6016" s="11">
        <v>0.0938318888370843</v>
      </c>
      <c r="V6016" s="11">
        <v>0.2694772388678854</v>
      </c>
      <c r="W6016" s="11">
        <v>0.30097446473563116</v>
      </c>
      <c r="X6016" s="11">
        <v>0.006429422152524309</v>
      </c>
      <c r="Y6016" s="11">
        <v>0.036371621849818264</v>
      </c>
      <c r="Z6016" s="11">
        <v>0.29291536355705666</v>
      </c>
    </row>
    <row r="6017" ht="22.5" customHeight="1">
      <c r="Q6017" s="9" t="s">
        <v>6055</v>
      </c>
      <c r="R6017" s="10">
        <v>1.0807363825671852</v>
      </c>
      <c r="S6017" s="10">
        <v>0.053241739263445026</v>
      </c>
      <c r="T6017" s="10">
        <v>19.547377620733347</v>
      </c>
      <c r="U6017" s="11">
        <v>0.15451986203796444</v>
      </c>
      <c r="V6017" s="11">
        <v>0.35850137702081913</v>
      </c>
      <c r="W6017" s="11">
        <v>0.35821326613825716</v>
      </c>
      <c r="X6017" s="11">
        <v>0.005457023058394409</v>
      </c>
      <c r="Y6017" s="11">
        <v>0.021398996734015213</v>
      </c>
      <c r="Z6017" s="11">
        <v>0.10190947501054966</v>
      </c>
    </row>
    <row r="6018" ht="22.5" customHeight="1">
      <c r="Q6018" s="9" t="s">
        <v>6056</v>
      </c>
      <c r="R6018" s="10">
        <v>0.3708306625700567</v>
      </c>
      <c r="S6018" s="10">
        <v>0.016924709570650107</v>
      </c>
      <c r="T6018" s="10">
        <v>19.547198797654108</v>
      </c>
      <c r="U6018" s="11">
        <v>0.16377695201507494</v>
      </c>
      <c r="V6018" s="11">
        <v>0.03306923570452956</v>
      </c>
      <c r="W6018" s="11">
        <v>0.13364644706884368</v>
      </c>
      <c r="X6018" s="11">
        <v>0.2545288061352154</v>
      </c>
      <c r="Y6018" s="11">
        <v>0.15215132138359158</v>
      </c>
      <c r="Z6018" s="11">
        <v>0.26282723769274485</v>
      </c>
    </row>
    <row r="6019" ht="22.5" customHeight="1">
      <c r="Q6019" s="9" t="s">
        <v>6057</v>
      </c>
      <c r="R6019" s="10">
        <v>0.43651427280317256</v>
      </c>
      <c r="S6019" s="10">
        <v>0.020285443112558966</v>
      </c>
      <c r="T6019" s="10">
        <v>19.546739531545445</v>
      </c>
      <c r="U6019" s="11">
        <v>0.2507030772541242</v>
      </c>
      <c r="V6019" s="11">
        <v>0.17486797765041331</v>
      </c>
      <c r="W6019" s="11">
        <v>0.04214905803059998</v>
      </c>
      <c r="X6019" s="11">
        <v>0.10855991167026337</v>
      </c>
      <c r="Y6019" s="11">
        <v>0.23158246247866923</v>
      </c>
      <c r="Z6019" s="11">
        <v>0.19213751291592995</v>
      </c>
    </row>
    <row r="6020" ht="22.5" customHeight="1">
      <c r="Q6020" s="9" t="s">
        <v>6058</v>
      </c>
      <c r="R6020" s="10">
        <v>1.0912740916410066</v>
      </c>
      <c r="S6020" s="10">
        <v>0.05378322996855711</v>
      </c>
      <c r="T6020" s="10">
        <v>19.546503478047065</v>
      </c>
      <c r="U6020" s="11">
        <v>0.1452798778393967</v>
      </c>
      <c r="V6020" s="11">
        <v>0.33189942128197925</v>
      </c>
      <c r="W6020" s="11">
        <v>0.385947605691188</v>
      </c>
      <c r="X6020" s="11">
        <v>0.06328171022959296</v>
      </c>
      <c r="Y6020" s="11">
        <v>0.031247492675985734</v>
      </c>
      <c r="Z6020" s="11">
        <v>0.04234389228185732</v>
      </c>
    </row>
    <row r="6021" ht="22.5" customHeight="1">
      <c r="Q6021" s="9" t="s">
        <v>6059</v>
      </c>
      <c r="R6021" s="10">
        <v>0.522331348251574</v>
      </c>
      <c r="S6021" s="10">
        <v>0.034843684054274286</v>
      </c>
      <c r="T6021" s="10">
        <v>19.546281670876393</v>
      </c>
      <c r="U6021" s="11">
        <v>0.0841959896249301</v>
      </c>
      <c r="V6021" s="11">
        <v>0.13453448336256085</v>
      </c>
      <c r="W6021" s="11">
        <v>0.28701721230055716</v>
      </c>
      <c r="X6021" s="11">
        <v>0.2736270777718179</v>
      </c>
      <c r="Y6021" s="11">
        <v>0.14963736419301954</v>
      </c>
      <c r="Z6021" s="11">
        <v>0.07098787274711446</v>
      </c>
    </row>
    <row r="6022" ht="22.5" customHeight="1">
      <c r="Q6022" s="9" t="s">
        <v>6060</v>
      </c>
      <c r="R6022" s="10">
        <v>0.8289805944953865</v>
      </c>
      <c r="S6022" s="10">
        <v>0.04036534093391543</v>
      </c>
      <c r="T6022" s="10">
        <v>19.545991096348594</v>
      </c>
      <c r="U6022" s="11">
        <v>0.037953417556705615</v>
      </c>
      <c r="V6022" s="11">
        <v>0.21987273931421444</v>
      </c>
      <c r="W6022" s="11">
        <v>0.3073728725422382</v>
      </c>
      <c r="X6022" s="11">
        <v>0.07540041381818884</v>
      </c>
      <c r="Y6022" s="11">
        <v>0.12986113750558728</v>
      </c>
      <c r="Z6022" s="11">
        <v>0.2295394192630657</v>
      </c>
    </row>
    <row r="6023" ht="22.5" customHeight="1">
      <c r="Q6023" s="9" t="s">
        <v>6061</v>
      </c>
      <c r="R6023" s="10">
        <v>0.522331348251574</v>
      </c>
      <c r="S6023" s="10">
        <v>0.02252205033683024</v>
      </c>
      <c r="T6023" s="10">
        <v>19.544834685863727</v>
      </c>
      <c r="U6023" s="11">
        <v>0.209493072356872</v>
      </c>
      <c r="V6023" s="11">
        <v>0.2026056954834406</v>
      </c>
      <c r="W6023" s="11">
        <v>0.04492309297926055</v>
      </c>
      <c r="X6023" s="11">
        <v>0.20308382835161903</v>
      </c>
      <c r="Y6023" s="11">
        <v>0.09332923534628094</v>
      </c>
      <c r="Z6023" s="11">
        <v>0.2465650754825267</v>
      </c>
    </row>
    <row r="6024" ht="22.5" customHeight="1">
      <c r="Q6024" s="9" t="s">
        <v>6062</v>
      </c>
      <c r="R6024" s="10">
        <v>0.3670748996718315</v>
      </c>
      <c r="S6024" s="10">
        <v>0.016735243788216232</v>
      </c>
      <c r="T6024" s="10">
        <v>19.544077386081128</v>
      </c>
      <c r="U6024" s="11">
        <v>0.3993690717199017</v>
      </c>
      <c r="V6024" s="11">
        <v>0.1351832049511293</v>
      </c>
      <c r="W6024" s="11">
        <v>0.014104695711512466</v>
      </c>
      <c r="X6024" s="11">
        <v>0.27491769857032633</v>
      </c>
      <c r="Y6024" s="11">
        <v>0.07102476534037</v>
      </c>
      <c r="Z6024" s="11">
        <v>0.10540056370676015</v>
      </c>
    </row>
    <row r="6025" ht="22.5" customHeight="1">
      <c r="Q6025" s="9" t="s">
        <v>6063</v>
      </c>
      <c r="R6025" s="10">
        <v>0.9207996041341387</v>
      </c>
      <c r="S6025" s="10">
        <v>0.04507039146778413</v>
      </c>
      <c r="T6025" s="10">
        <v>19.542754687713895</v>
      </c>
      <c r="U6025" s="11">
        <v>0.05310325144151347</v>
      </c>
      <c r="V6025" s="11">
        <v>0.307187713934752</v>
      </c>
      <c r="W6025" s="11">
        <v>0.3008216942817868</v>
      </c>
      <c r="X6025" s="11">
        <v>0.001770397907616597</v>
      </c>
      <c r="Y6025" s="11">
        <v>0.014267272648190945</v>
      </c>
      <c r="Z6025" s="11">
        <v>0.3228496697861401</v>
      </c>
    </row>
    <row r="6026" ht="22.5" customHeight="1">
      <c r="Q6026" s="9" t="s">
        <v>6064</v>
      </c>
      <c r="R6026" s="10">
        <v>0.7778885966310156</v>
      </c>
      <c r="S6026" s="10">
        <v>0.03775770126510841</v>
      </c>
      <c r="T6026" s="10">
        <v>19.542730937195387</v>
      </c>
      <c r="U6026" s="11">
        <v>0.14133413268237052</v>
      </c>
      <c r="V6026" s="11">
        <v>0.2000562442118635</v>
      </c>
      <c r="W6026" s="11">
        <v>0.29063399018332836</v>
      </c>
      <c r="X6026" s="11">
        <v>0.07313864778016861</v>
      </c>
      <c r="Y6026" s="11">
        <v>0.05608230865801139</v>
      </c>
      <c r="Z6026" s="11">
        <v>0.23875467648425752</v>
      </c>
    </row>
    <row r="6027" ht="22.5" customHeight="1">
      <c r="Q6027" s="9" t="s">
        <v>6065</v>
      </c>
      <c r="R6027" s="10">
        <v>0.8376817434301507</v>
      </c>
      <c r="S6027" s="10">
        <v>0.040817829009735414</v>
      </c>
      <c r="T6027" s="10">
        <v>19.542483340794448</v>
      </c>
      <c r="U6027" s="11">
        <v>0.1028356056705607</v>
      </c>
      <c r="V6027" s="11">
        <v>0.3413653476203894</v>
      </c>
      <c r="W6027" s="11">
        <v>0.19137659571212265</v>
      </c>
      <c r="X6027" s="11">
        <v>0.0010030351861177883</v>
      </c>
      <c r="Y6027" s="11">
        <v>0.14756673316938207</v>
      </c>
      <c r="Z6027" s="11">
        <v>0.21585268264142748</v>
      </c>
    </row>
    <row r="6028" ht="22.5" customHeight="1">
      <c r="Q6028" s="9" t="s">
        <v>6066</v>
      </c>
      <c r="R6028" s="10">
        <v>0.4748702373616629</v>
      </c>
      <c r="S6028" s="10">
        <v>0.022255952438203854</v>
      </c>
      <c r="T6028" s="10">
        <v>19.53950245756181</v>
      </c>
      <c r="U6028" s="11">
        <v>0.21299302620233831</v>
      </c>
      <c r="V6028" s="11">
        <v>0.0628139280879713</v>
      </c>
      <c r="W6028" s="11">
        <v>0.18342713013681125</v>
      </c>
      <c r="X6028" s="11">
        <v>0.222235255164302</v>
      </c>
      <c r="Y6028" s="11">
        <v>0.11468001388669251</v>
      </c>
      <c r="Z6028" s="11">
        <v>0.20385064652188462</v>
      </c>
    </row>
    <row r="6029" ht="22.5" customHeight="1">
      <c r="Q6029" s="9" t="s">
        <v>6067</v>
      </c>
      <c r="R6029" s="10">
        <v>0.5918927544830225</v>
      </c>
      <c r="S6029" s="10">
        <v>0.02824568802739555</v>
      </c>
      <c r="T6029" s="10">
        <v>19.53900906742794</v>
      </c>
      <c r="U6029" s="11">
        <v>0.0702336479914633</v>
      </c>
      <c r="V6029" s="11">
        <v>0.25616266900298457</v>
      </c>
      <c r="W6029" s="11">
        <v>0.07505090092329217</v>
      </c>
      <c r="X6029" s="11">
        <v>0.19704318766509984</v>
      </c>
      <c r="Y6029" s="11">
        <v>0.15194542478554057</v>
      </c>
      <c r="Z6029" s="11">
        <v>0.24956416963161956</v>
      </c>
    </row>
    <row r="6030" ht="22.5" customHeight="1">
      <c r="Q6030" s="9" t="s">
        <v>6068</v>
      </c>
      <c r="R6030" s="10">
        <v>0.6310679593840433</v>
      </c>
      <c r="S6030" s="10">
        <v>0.030251436671969275</v>
      </c>
      <c r="T6030" s="10">
        <v>19.538508725825963</v>
      </c>
      <c r="U6030" s="11">
        <v>0.09236179886484006</v>
      </c>
      <c r="V6030" s="11">
        <v>0.12156777824665148</v>
      </c>
      <c r="W6030" s="11">
        <v>0.24649871389911907</v>
      </c>
      <c r="X6030" s="11">
        <v>0.1664185209482487</v>
      </c>
      <c r="Y6030" s="11">
        <v>0.17343153872156689</v>
      </c>
      <c r="Z6030" s="11">
        <v>0.19972164931957376</v>
      </c>
    </row>
    <row r="6031" ht="22.5" customHeight="1">
      <c r="Q6031" s="9" t="s">
        <v>6069</v>
      </c>
      <c r="R6031" s="10">
        <v>0.817987778685765</v>
      </c>
      <c r="S6031" s="10">
        <v>0.039819953295502405</v>
      </c>
      <c r="T6031" s="10">
        <v>19.537636644431657</v>
      </c>
      <c r="U6031" s="11">
        <v>0.3331721541320174</v>
      </c>
      <c r="V6031" s="11">
        <v>0.33628411196713576</v>
      </c>
      <c r="W6031" s="11">
        <v>0.17448578302589035</v>
      </c>
      <c r="X6031" s="11">
        <v>0.0035901926966017644</v>
      </c>
      <c r="Y6031" s="11">
        <v>0.07732272763168432</v>
      </c>
      <c r="Z6031" s="11">
        <v>0.07514503054667017</v>
      </c>
    </row>
    <row r="6032" ht="22.5" customHeight="1">
      <c r="Q6032" s="9" t="s">
        <v>6070</v>
      </c>
      <c r="R6032" s="10">
        <v>0.6569581818517548</v>
      </c>
      <c r="S6032" s="10">
        <v>0.031578062046427796</v>
      </c>
      <c r="T6032" s="10">
        <v>19.53755683121621</v>
      </c>
      <c r="U6032" s="11">
        <v>0.20867963145732027</v>
      </c>
      <c r="V6032" s="11">
        <v>0.13970599226024952</v>
      </c>
      <c r="W6032" s="11">
        <v>0.25206122762553546</v>
      </c>
      <c r="X6032" s="11">
        <v>0.08695239159048844</v>
      </c>
      <c r="Y6032" s="11">
        <v>0.15657799302149447</v>
      </c>
      <c r="Z6032" s="11">
        <v>0.15602276404491183</v>
      </c>
    </row>
    <row r="6033" ht="22.5" customHeight="1">
      <c r="Q6033" s="9" t="s">
        <v>6071</v>
      </c>
      <c r="R6033" s="10">
        <v>0.32754487913368846</v>
      </c>
      <c r="S6033" s="10">
        <v>0.014717549179226864</v>
      </c>
      <c r="T6033" s="10">
        <v>19.53755177795123</v>
      </c>
      <c r="U6033" s="11">
        <v>0.49748415153876635</v>
      </c>
      <c r="V6033" s="11">
        <v>0.02658190252459286</v>
      </c>
      <c r="W6033" s="11">
        <v>0.0991290646429493</v>
      </c>
      <c r="X6033" s="11">
        <v>0.2666561273433939</v>
      </c>
      <c r="Y6033" s="11">
        <v>0.011370857915479793</v>
      </c>
      <c r="Z6033" s="11">
        <v>0.09877789603481793</v>
      </c>
    </row>
    <row r="6034" ht="22.5" customHeight="1">
      <c r="Q6034" s="9" t="s">
        <v>6072</v>
      </c>
      <c r="R6034" s="10">
        <v>0.6986769108965214</v>
      </c>
      <c r="S6034" s="10">
        <v>0.03371418443338864</v>
      </c>
      <c r="T6034" s="10">
        <v>19.537085709367023</v>
      </c>
      <c r="U6034" s="11">
        <v>0.05072194363198596</v>
      </c>
      <c r="V6034" s="11">
        <v>0.15226754866963396</v>
      </c>
      <c r="W6034" s="11">
        <v>0.2719145117556297</v>
      </c>
      <c r="X6034" s="11">
        <v>0.21508780862616841</v>
      </c>
      <c r="Y6034" s="11">
        <v>0.008238695334731429</v>
      </c>
      <c r="Z6034" s="11">
        <v>0.30176949198185066</v>
      </c>
    </row>
    <row r="6035" ht="22.5" customHeight="1">
      <c r="Q6035" s="9" t="s">
        <v>6073</v>
      </c>
      <c r="R6035" s="10">
        <v>0.8520699626135178</v>
      </c>
      <c r="S6035" s="10">
        <v>0.041568272897983156</v>
      </c>
      <c r="T6035" s="10">
        <v>19.535811954624613</v>
      </c>
      <c r="U6035" s="11">
        <v>0.05372257571279404</v>
      </c>
      <c r="V6035" s="11">
        <v>0.35114662313227635</v>
      </c>
      <c r="W6035" s="11">
        <v>0.1910124892313086</v>
      </c>
      <c r="X6035" s="11">
        <v>0.03640993494896065</v>
      </c>
      <c r="Y6035" s="11">
        <v>0.1288376874325888</v>
      </c>
      <c r="Z6035" s="11">
        <v>0.23887068954207152</v>
      </c>
    </row>
    <row r="6036" ht="22.5" customHeight="1">
      <c r="Q6036" s="9" t="s">
        <v>6074</v>
      </c>
      <c r="R6036" s="10">
        <v>0.7168215086841799</v>
      </c>
      <c r="S6036" s="10">
        <v>0.03464551571788441</v>
      </c>
      <c r="T6036" s="10">
        <v>19.535616505047344</v>
      </c>
      <c r="U6036" s="11">
        <v>0.23607731901413545</v>
      </c>
      <c r="V6036" s="11">
        <v>0.30696604445490433</v>
      </c>
      <c r="W6036" s="11">
        <v>0.12378689890458187</v>
      </c>
      <c r="X6036" s="11">
        <v>0.1286785047240456</v>
      </c>
      <c r="Y6036" s="11">
        <v>0.016229141843286485</v>
      </c>
      <c r="Z6036" s="11">
        <v>0.18826209105904632</v>
      </c>
    </row>
    <row r="6037" ht="22.5" customHeight="1">
      <c r="Q6037" s="9" t="s">
        <v>6075</v>
      </c>
      <c r="R6037" s="10">
        <v>0.6652432223452122</v>
      </c>
      <c r="S6037" s="10">
        <v>0.032005559330245265</v>
      </c>
      <c r="T6037" s="10">
        <v>19.535456821539032</v>
      </c>
      <c r="U6037" s="11">
        <v>0.1742483700479667</v>
      </c>
      <c r="V6037" s="11">
        <v>0.1417079828302665</v>
      </c>
      <c r="W6037" s="11">
        <v>0.2526146566971209</v>
      </c>
      <c r="X6037" s="11">
        <v>0.06985890088130878</v>
      </c>
      <c r="Y6037" s="11">
        <v>0.2604178600787094</v>
      </c>
      <c r="Z6037" s="11">
        <v>0.10115222946462771</v>
      </c>
    </row>
    <row r="6038" ht="22.5" customHeight="1">
      <c r="Q6038" s="9" t="s">
        <v>6076</v>
      </c>
      <c r="R6038" s="10">
        <v>0.6124170707342633</v>
      </c>
      <c r="S6038" s="10">
        <v>0.029302622769932177</v>
      </c>
      <c r="T6038" s="10">
        <v>19.534670163437667</v>
      </c>
      <c r="U6038" s="11">
        <v>0.25547713296039143</v>
      </c>
      <c r="V6038" s="11">
        <v>0.10225721849904142</v>
      </c>
      <c r="W6038" s="11">
        <v>0.24325910900865394</v>
      </c>
      <c r="X6038" s="11">
        <v>0.2547947914257053</v>
      </c>
      <c r="Y6038" s="11">
        <v>0.02448764211387176</v>
      </c>
      <c r="Z6038" s="11">
        <v>0.11972410599233592</v>
      </c>
    </row>
    <row r="6039" ht="22.5" customHeight="1">
      <c r="Q6039" s="9" t="s">
        <v>6077</v>
      </c>
      <c r="R6039" s="10">
        <v>0.9357147927179511</v>
      </c>
      <c r="S6039" s="10">
        <v>0.04585491158530321</v>
      </c>
      <c r="T6039" s="10">
        <v>19.53367178675432</v>
      </c>
      <c r="U6039" s="11">
        <v>0.02354576053865308</v>
      </c>
      <c r="V6039" s="11">
        <v>0.2586986711039503</v>
      </c>
      <c r="W6039" s="11">
        <v>0.3463351383996649</v>
      </c>
      <c r="X6039" s="11">
        <v>0.13612267398746478</v>
      </c>
      <c r="Y6039" s="11">
        <v>0.014452929354641965</v>
      </c>
      <c r="Z6039" s="11">
        <v>0.220844826615625</v>
      </c>
    </row>
    <row r="6040" ht="22.5" customHeight="1">
      <c r="Q6040" s="9" t="s">
        <v>6078</v>
      </c>
      <c r="R6040" s="10">
        <v>0.769135658515717</v>
      </c>
      <c r="S6040" s="10">
        <v>0.03732795029203751</v>
      </c>
      <c r="T6040" s="10">
        <v>19.53323589458514</v>
      </c>
      <c r="U6040" s="11">
        <v>0.11398386758030891</v>
      </c>
      <c r="V6040" s="11">
        <v>0.19147745613873068</v>
      </c>
      <c r="W6040" s="11">
        <v>0.28899415027931086</v>
      </c>
      <c r="X6040" s="11">
        <v>0.06015594405981279</v>
      </c>
      <c r="Y6040" s="11">
        <v>0.15743732641663857</v>
      </c>
      <c r="Z6040" s="11">
        <v>0.18795125552519817</v>
      </c>
    </row>
    <row r="6041" ht="22.5" customHeight="1">
      <c r="Q6041" s="9" t="s">
        <v>6079</v>
      </c>
      <c r="R6041" s="10">
        <v>0.7468388711309999</v>
      </c>
      <c r="S6041" s="10">
        <v>0.03618715139265887</v>
      </c>
      <c r="T6041" s="10">
        <v>19.53286854389962</v>
      </c>
      <c r="U6041" s="11">
        <v>0.053818756234107534</v>
      </c>
      <c r="V6041" s="11">
        <v>0.18801881323324104</v>
      </c>
      <c r="W6041" s="11">
        <v>0.27976871567825773</v>
      </c>
      <c r="X6041" s="11">
        <v>0.07378797103402127</v>
      </c>
      <c r="Y6041" s="11">
        <v>0.12853113809062802</v>
      </c>
      <c r="Z6041" s="11">
        <v>0.27607460572974435</v>
      </c>
    </row>
    <row r="6042" ht="22.5" customHeight="1">
      <c r="Q6042" s="9" t="s">
        <v>6080</v>
      </c>
      <c r="R6042" s="10">
        <v>0.6678822250944526</v>
      </c>
      <c r="S6042" s="10">
        <v>0.03214556916179149</v>
      </c>
      <c r="T6042" s="10">
        <v>19.53246563886506</v>
      </c>
      <c r="U6042" s="11">
        <v>0.0828510128479306</v>
      </c>
      <c r="V6042" s="11">
        <v>0.14668098817578246</v>
      </c>
      <c r="W6042" s="11">
        <v>0.25758780907814655</v>
      </c>
      <c r="X6042" s="11">
        <v>0.13423532187839982</v>
      </c>
      <c r="Y6042" s="11">
        <v>0.0980450175091127</v>
      </c>
      <c r="Z6042" s="11">
        <v>0.280599850510628</v>
      </c>
    </row>
    <row r="6043" ht="22.5" customHeight="1">
      <c r="Q6043" s="9" t="s">
        <v>6081</v>
      </c>
      <c r="R6043" s="10">
        <v>0.7231431975582884</v>
      </c>
      <c r="S6043" s="10">
        <v>0.034975866748625524</v>
      </c>
      <c r="T6043" s="10">
        <v>19.531844699320693</v>
      </c>
      <c r="U6043" s="11">
        <v>0.03760583528060151</v>
      </c>
      <c r="V6043" s="11">
        <v>0.17256801462655272</v>
      </c>
      <c r="W6043" s="11">
        <v>0.27099946130341873</v>
      </c>
      <c r="X6043" s="11">
        <v>0.0621815790309538</v>
      </c>
      <c r="Y6043" s="11">
        <v>0.264704671061579</v>
      </c>
      <c r="Z6043" s="11">
        <v>0.19194043869689426</v>
      </c>
    </row>
    <row r="6044" ht="22.5" customHeight="1">
      <c r="Q6044" s="9" t="s">
        <v>6082</v>
      </c>
      <c r="R6044" s="10">
        <v>0.48907146195148293</v>
      </c>
      <c r="S6044" s="10">
        <v>0.022992543699372422</v>
      </c>
      <c r="T6044" s="10">
        <v>19.531177925465474</v>
      </c>
      <c r="U6044" s="11">
        <v>0.1612315400584112</v>
      </c>
      <c r="V6044" s="11">
        <v>0.20603817967803076</v>
      </c>
      <c r="W6044" s="11">
        <v>0.047077936549679525</v>
      </c>
      <c r="X6044" s="11">
        <v>0.17452427419159172</v>
      </c>
      <c r="Y6044" s="11">
        <v>0.19199174822882312</v>
      </c>
      <c r="Z6044" s="11">
        <v>0.21913632129346367</v>
      </c>
    </row>
    <row r="6045" ht="22.5" customHeight="1">
      <c r="Q6045" s="9" t="s">
        <v>6083</v>
      </c>
      <c r="R6045" s="10">
        <v>0.5942510994141749</v>
      </c>
      <c r="S6045" s="10">
        <v>0.028377981516319515</v>
      </c>
      <c r="T6045" s="10">
        <v>19.531026161795122</v>
      </c>
      <c r="U6045" s="11">
        <v>0.16236764585042046</v>
      </c>
      <c r="V6045" s="11">
        <v>0.09027006755206117</v>
      </c>
      <c r="W6045" s="11">
        <v>0.23181208337653655</v>
      </c>
      <c r="X6045" s="11">
        <v>0.22905871805401198</v>
      </c>
      <c r="Y6045" s="11">
        <v>0.28607510994868546</v>
      </c>
      <c r="Z6045" s="11">
        <v>4.163752182842796E-4</v>
      </c>
    </row>
    <row r="6046" ht="22.5" customHeight="1">
      <c r="Q6046" s="9" t="s">
        <v>6084</v>
      </c>
      <c r="R6046" s="10">
        <v>0.3590048693182293</v>
      </c>
      <c r="S6046" s="10">
        <v>0.016333471489717907</v>
      </c>
      <c r="T6046" s="10">
        <v>19.53074516455649</v>
      </c>
      <c r="U6046" s="11">
        <v>0.3013253740448617</v>
      </c>
      <c r="V6046" s="11">
        <v>0.13346922739312742</v>
      </c>
      <c r="W6046" s="11">
        <v>0.02512338287456311</v>
      </c>
      <c r="X6046" s="11">
        <v>0.13164080403915326</v>
      </c>
      <c r="Y6046" s="11">
        <v>0.19831541056397547</v>
      </c>
      <c r="Z6046" s="11">
        <v>0.21012580108431908</v>
      </c>
    </row>
    <row r="6047" ht="22.5" customHeight="1">
      <c r="Q6047" s="9" t="s">
        <v>6085</v>
      </c>
      <c r="R6047" s="10">
        <v>0.6879602189467968</v>
      </c>
      <c r="S6047" s="10">
        <v>0.03317899096959883</v>
      </c>
      <c r="T6047" s="10">
        <v>19.529232204213454</v>
      </c>
      <c r="U6047" s="11">
        <v>0.20266206245826662</v>
      </c>
      <c r="V6047" s="11">
        <v>0.2996936102506188</v>
      </c>
      <c r="W6047" s="11">
        <v>0.0971578272503103</v>
      </c>
      <c r="X6047" s="11">
        <v>0.21138631848029504</v>
      </c>
      <c r="Y6047" s="11">
        <v>0.06769329623792046</v>
      </c>
      <c r="Z6047" s="11">
        <v>0.1214068853225888</v>
      </c>
    </row>
    <row r="6048" ht="22.5" customHeight="1">
      <c r="Q6048" s="9" t="s">
        <v>6086</v>
      </c>
      <c r="R6048" s="10">
        <v>0.3996219750981528</v>
      </c>
      <c r="S6048" s="10">
        <v>0.018414798657857473</v>
      </c>
      <c r="T6048" s="10">
        <v>19.528965902904645</v>
      </c>
      <c r="U6048" s="11">
        <v>0.2336706763533807</v>
      </c>
      <c r="V6048" s="11">
        <v>0.16018315690207477</v>
      </c>
      <c r="W6048" s="11">
        <v>0.02373752966710939</v>
      </c>
      <c r="X6048" s="11">
        <v>0.21253409124961073</v>
      </c>
      <c r="Y6048" s="11">
        <v>0.14531162035650522</v>
      </c>
      <c r="Z6048" s="11">
        <v>0.2245629254713193</v>
      </c>
    </row>
    <row r="6049" ht="22.5" customHeight="1">
      <c r="Q6049" s="9" t="s">
        <v>6087</v>
      </c>
      <c r="R6049" s="10">
        <v>0.796181205885397</v>
      </c>
      <c r="S6049" s="10">
        <v>0.03872674345099924</v>
      </c>
      <c r="T6049" s="10">
        <v>19.526072643887275</v>
      </c>
      <c r="U6049" s="11">
        <v>0.1858744666637663</v>
      </c>
      <c r="V6049" s="11">
        <v>0.19086589240752322</v>
      </c>
      <c r="W6049" s="11">
        <v>0.30578587925205697</v>
      </c>
      <c r="X6049" s="11">
        <v>0.13460156058993783</v>
      </c>
      <c r="Y6049" s="11">
        <v>0.019597569959301005</v>
      </c>
      <c r="Z6049" s="11">
        <v>0.16327463112741455</v>
      </c>
    </row>
    <row r="6050" ht="22.5" customHeight="1">
      <c r="Q6050" s="9" t="s">
        <v>6088</v>
      </c>
      <c r="R6050" s="10">
        <v>0.962593057499575</v>
      </c>
      <c r="S6050" s="10">
        <v>0.04725134205661793</v>
      </c>
      <c r="T6050" s="10">
        <v>19.525224413607074</v>
      </c>
      <c r="U6050" s="11">
        <v>0.14331787859378675</v>
      </c>
      <c r="V6050" s="11">
        <v>0.41268363337405944</v>
      </c>
      <c r="W6050" s="11">
        <v>0.18881009168695076</v>
      </c>
      <c r="X6050" s="11">
        <v>0.18796445983505256</v>
      </c>
      <c r="Y6050" s="11">
        <v>0.04512302323541824</v>
      </c>
      <c r="Z6050" s="11">
        <v>0.02210091327473218</v>
      </c>
    </row>
    <row r="6051" ht="22.5" customHeight="1">
      <c r="Q6051" s="9" t="s">
        <v>6089</v>
      </c>
      <c r="R6051" s="10">
        <v>0.6376334130262695</v>
      </c>
      <c r="S6051" s="10">
        <v>0.030608769033101384</v>
      </c>
      <c r="T6051" s="10">
        <v>19.524908446333402</v>
      </c>
      <c r="U6051" s="11">
        <v>0.2262678649496071</v>
      </c>
      <c r="V6051" s="11">
        <v>0.26488879693233125</v>
      </c>
      <c r="W6051" s="11">
        <v>0.12051661077496034</v>
      </c>
      <c r="X6051" s="11">
        <v>0.02610493566042079</v>
      </c>
      <c r="Y6051" s="11">
        <v>0.062218855759899286</v>
      </c>
      <c r="Z6051" s="11">
        <v>0.3000029359227812</v>
      </c>
    </row>
    <row r="6052" ht="22.5" customHeight="1">
      <c r="Q6052" s="9" t="s">
        <v>6090</v>
      </c>
      <c r="R6052" s="10">
        <v>0.7462134463422022</v>
      </c>
      <c r="S6052" s="10">
        <v>0.036170322781496886</v>
      </c>
      <c r="T6052" s="10">
        <v>19.524665306649386</v>
      </c>
      <c r="U6052" s="11">
        <v>0.16804848393006291</v>
      </c>
      <c r="V6052" s="11">
        <v>0.18005581438097693</v>
      </c>
      <c r="W6052" s="11">
        <v>0.28230236083607013</v>
      </c>
      <c r="X6052" s="11">
        <v>0.06007355845754888</v>
      </c>
      <c r="Y6052" s="11">
        <v>0.1420445184183054</v>
      </c>
      <c r="Z6052" s="11">
        <v>0.16747526397703566</v>
      </c>
    </row>
    <row r="6053" ht="22.5" customHeight="1">
      <c r="Q6053" s="9" t="s">
        <v>6091</v>
      </c>
      <c r="R6053" s="10">
        <v>0.38647155064770156</v>
      </c>
      <c r="S6053" s="10">
        <v>0.017745868045424662</v>
      </c>
      <c r="T6053" s="10">
        <v>19.524068913440995</v>
      </c>
      <c r="U6053" s="11">
        <v>0.27305354776622875</v>
      </c>
      <c r="V6053" s="11">
        <v>0.06313284650723965</v>
      </c>
      <c r="W6053" s="11">
        <v>0.13361138998928532</v>
      </c>
      <c r="X6053" s="11">
        <v>0.06277709188060909</v>
      </c>
      <c r="Y6053" s="11">
        <v>0.14793767082895246</v>
      </c>
      <c r="Z6053" s="11">
        <v>0.31948745302768466</v>
      </c>
    </row>
    <row r="6054" ht="22.5" customHeight="1">
      <c r="Q6054" s="9" t="s">
        <v>6092</v>
      </c>
      <c r="R6054" s="10">
        <v>0.7014633409892777</v>
      </c>
      <c r="S6054" s="10">
        <v>0.03387967135109204</v>
      </c>
      <c r="T6054" s="10">
        <v>19.523900752595605</v>
      </c>
      <c r="U6054" s="11">
        <v>0.032155507618925494</v>
      </c>
      <c r="V6054" s="11">
        <v>0.15629100279188068</v>
      </c>
      <c r="W6054" s="11">
        <v>0.2695585771025976</v>
      </c>
      <c r="X6054" s="11">
        <v>0.12189581974652516</v>
      </c>
      <c r="Y6054" s="11">
        <v>0.19469716484321392</v>
      </c>
      <c r="Z6054" s="11">
        <v>0.22540192789685704</v>
      </c>
    </row>
    <row r="6055" ht="22.5" customHeight="1">
      <c r="Q6055" s="9" t="s">
        <v>6093</v>
      </c>
      <c r="R6055" s="10">
        <v>0.5416303470925687</v>
      </c>
      <c r="S6055" s="10">
        <v>0.025693460151963995</v>
      </c>
      <c r="T6055" s="10">
        <v>19.523658710258392</v>
      </c>
      <c r="U6055" s="11">
        <v>0.2609778767203239</v>
      </c>
      <c r="V6055" s="11">
        <v>0.22761285392099576</v>
      </c>
      <c r="W6055" s="11">
        <v>0.052066727621641745</v>
      </c>
      <c r="X6055" s="11">
        <v>0.19005610275552676</v>
      </c>
      <c r="Y6055" s="11">
        <v>0.2407911152566874</v>
      </c>
      <c r="Z6055" s="11">
        <v>0.02849532372482457</v>
      </c>
    </row>
    <row r="6056" ht="22.5" customHeight="1">
      <c r="Q6056" s="9" t="s">
        <v>6094</v>
      </c>
      <c r="R6056" s="10">
        <v>0.517956695663772</v>
      </c>
      <c r="S6056" s="10">
        <v>0.024481314828702944</v>
      </c>
      <c r="T6056" s="10">
        <v>19.52332621871253</v>
      </c>
      <c r="U6056" s="11">
        <v>0.23414075687581742</v>
      </c>
      <c r="V6056" s="11">
        <v>0.22024436634013791</v>
      </c>
      <c r="W6056" s="11">
        <v>0.0599918172558324</v>
      </c>
      <c r="X6056" s="11">
        <v>0.1608790509895386</v>
      </c>
      <c r="Y6056" s="11">
        <v>0.07327106687286568</v>
      </c>
      <c r="Z6056" s="11">
        <v>0.2514729416658079</v>
      </c>
    </row>
    <row r="6057" ht="22.5" customHeight="1">
      <c r="Q6057" s="9" t="s">
        <v>6095</v>
      </c>
      <c r="R6057" s="10">
        <v>0.6622288337529968</v>
      </c>
      <c r="S6057" s="10">
        <v>0.03187123394107614</v>
      </c>
      <c r="T6057" s="10">
        <v>19.52321127269122</v>
      </c>
      <c r="U6057" s="11">
        <v>0.3045946196870154</v>
      </c>
      <c r="V6057" s="11">
        <v>0.2873758907535519</v>
      </c>
      <c r="W6057" s="11">
        <v>0.0852328334653717</v>
      </c>
      <c r="X6057" s="11">
        <v>0.24032025913891913</v>
      </c>
      <c r="Y6057" s="11">
        <v>0.019855424327444943</v>
      </c>
      <c r="Z6057" s="11">
        <v>0.06262097262769677</v>
      </c>
    </row>
    <row r="6058" ht="22.5" customHeight="1">
      <c r="Q6058" s="9" t="s">
        <v>6096</v>
      </c>
      <c r="R6058" s="10">
        <v>0.3824458807802512</v>
      </c>
      <c r="S6058" s="10">
        <v>0.017541057261747796</v>
      </c>
      <c r="T6058" s="10">
        <v>19.522533657479766</v>
      </c>
      <c r="U6058" s="11">
        <v>0.11927176992593498</v>
      </c>
      <c r="V6058" s="11">
        <v>0.11115409874061921</v>
      </c>
      <c r="W6058" s="11">
        <v>0.04742942847176469</v>
      </c>
      <c r="X6058" s="11">
        <v>0.14903116777883427</v>
      </c>
      <c r="Y6058" s="11">
        <v>0.5527348746195926</v>
      </c>
      <c r="Z6058" s="11">
        <v>0.02037866046325415</v>
      </c>
    </row>
    <row r="6059" ht="22.5" customHeight="1">
      <c r="Q6059" s="9" t="s">
        <v>6097</v>
      </c>
      <c r="R6059" s="10">
        <v>0.7215078854389092</v>
      </c>
      <c r="S6059" s="10">
        <v>0.03490881527127854</v>
      </c>
      <c r="T6059" s="10">
        <v>19.52251544897384</v>
      </c>
      <c r="U6059" s="11">
        <v>0.14592643192851226</v>
      </c>
      <c r="V6059" s="11">
        <v>0.1398853603839695</v>
      </c>
      <c r="W6059" s="11">
        <v>0.28729952878974274</v>
      </c>
      <c r="X6059" s="11">
        <v>0.24764814802599616</v>
      </c>
      <c r="Y6059" s="11">
        <v>0.07514033728006093</v>
      </c>
      <c r="Z6059" s="11">
        <v>0.10410019359171843</v>
      </c>
    </row>
    <row r="6060" ht="22.5" customHeight="1">
      <c r="Q6060" s="9" t="s">
        <v>6098</v>
      </c>
      <c r="R6060" s="10">
        <v>0.8700422059187679</v>
      </c>
      <c r="S6060" s="10">
        <v>0.04251791026877685</v>
      </c>
      <c r="T6060" s="10">
        <v>19.522177846268985</v>
      </c>
      <c r="U6060" s="11">
        <v>0.0924827588441291</v>
      </c>
      <c r="V6060" s="11">
        <v>0.20116921555254927</v>
      </c>
      <c r="W6060" s="11">
        <v>0.33704874757113334</v>
      </c>
      <c r="X6060" s="11">
        <v>0.16207958695971778</v>
      </c>
      <c r="Y6060" s="11">
        <v>0.20694802293937892</v>
      </c>
      <c r="Z6060" s="11">
        <v>2.716681330915943E-4</v>
      </c>
    </row>
    <row r="6061" ht="22.5" customHeight="1">
      <c r="Q6061" s="9" t="s">
        <v>6099</v>
      </c>
      <c r="R6061" s="10">
        <v>0.9368915880791351</v>
      </c>
      <c r="S6061" s="10">
        <v>0.04594265088971914</v>
      </c>
      <c r="T6061" s="10">
        <v>19.521981659962023</v>
      </c>
      <c r="U6061" s="11">
        <v>0.03298073951037015</v>
      </c>
      <c r="V6061" s="11">
        <v>0.2780716840127733</v>
      </c>
      <c r="W6061" s="11">
        <v>0.33238765557718697</v>
      </c>
      <c r="X6061" s="11">
        <v>0.017578239792138572</v>
      </c>
      <c r="Y6061" s="11">
        <v>0.14848613365332936</v>
      </c>
      <c r="Z6061" s="11">
        <v>0.19049554745420166</v>
      </c>
    </row>
    <row r="6062" ht="22.5" customHeight="1">
      <c r="Q6062" s="9" t="s">
        <v>6100</v>
      </c>
      <c r="R6062" s="10">
        <v>0.6972484538224643</v>
      </c>
      <c r="S6062" s="10">
        <v>0.033667583778354264</v>
      </c>
      <c r="T6062" s="10">
        <v>19.52169951218851</v>
      </c>
      <c r="U6062" s="11">
        <v>0.0917129434592491</v>
      </c>
      <c r="V6062" s="11">
        <v>0.3020039417795589</v>
      </c>
      <c r="W6062" s="11">
        <v>0.0896457482482922</v>
      </c>
      <c r="X6062" s="11">
        <v>0.23361042135691612</v>
      </c>
      <c r="Y6062" s="11">
        <v>0.2723727281959526</v>
      </c>
      <c r="Z6062" s="11">
        <v>0.010654216960031023</v>
      </c>
    </row>
    <row r="6063" ht="22.5" customHeight="1">
      <c r="Q6063" s="9" t="s">
        <v>6101</v>
      </c>
      <c r="R6063" s="10">
        <v>0.8860454597374947</v>
      </c>
      <c r="S6063" s="10">
        <v>0.04334021624433683</v>
      </c>
      <c r="T6063" s="10">
        <v>19.521025344400435</v>
      </c>
      <c r="U6063" s="11">
        <v>0.10288893692036745</v>
      </c>
      <c r="V6063" s="11">
        <v>0.22914987255374358</v>
      </c>
      <c r="W6063" s="11">
        <v>0.33278011159026843</v>
      </c>
      <c r="X6063" s="11">
        <v>0.07672391716273515</v>
      </c>
      <c r="Y6063" s="11">
        <v>0.1731912935285403</v>
      </c>
      <c r="Z6063" s="11">
        <v>0.08526586824434514</v>
      </c>
    </row>
    <row r="6064" ht="22.5" customHeight="1">
      <c r="Q6064" s="9" t="s">
        <v>6102</v>
      </c>
      <c r="R6064" s="10">
        <v>0.7463593142337601</v>
      </c>
      <c r="S6064" s="10">
        <v>0.03618471345331931</v>
      </c>
      <c r="T6064" s="10">
        <v>19.52093154323332</v>
      </c>
      <c r="U6064" s="11">
        <v>0.04836144952836492</v>
      </c>
      <c r="V6064" s="11">
        <v>0.1729096237795415</v>
      </c>
      <c r="W6064" s="11">
        <v>0.28734510104011757</v>
      </c>
      <c r="X6064" s="11">
        <v>0.13410775829447072</v>
      </c>
      <c r="Y6064" s="11">
        <v>0.13075655985897985</v>
      </c>
      <c r="Z6064" s="11">
        <v>0.22651950749852548</v>
      </c>
    </row>
    <row r="6065" ht="22.5" customHeight="1">
      <c r="Q6065" s="9" t="s">
        <v>6103</v>
      </c>
      <c r="R6065" s="10">
        <v>0.8816569953809543</v>
      </c>
      <c r="S6065" s="10">
        <v>0.04311584809385988</v>
      </c>
      <c r="T6065" s="10">
        <v>19.520826623860714</v>
      </c>
      <c r="U6065" s="11">
        <v>0.11459547778660767</v>
      </c>
      <c r="V6065" s="11">
        <v>0.2368468781977829</v>
      </c>
      <c r="W6065" s="11">
        <v>0.3213325605010631</v>
      </c>
      <c r="X6065" s="11">
        <v>0.00619899714215106</v>
      </c>
      <c r="Y6065" s="11">
        <v>0.29513381589536525</v>
      </c>
      <c r="Z6065" s="11">
        <v>0.025892270477030063</v>
      </c>
    </row>
    <row r="6066" ht="22.5" customHeight="1">
      <c r="Q6066" s="9" t="s">
        <v>6104</v>
      </c>
      <c r="R6066" s="10">
        <v>0.29481822737444546</v>
      </c>
      <c r="S6066" s="10">
        <v>0.01305367327740295</v>
      </c>
      <c r="T6066" s="10">
        <v>19.520806286423465</v>
      </c>
      <c r="U6066" s="11">
        <v>0.1986152381841725</v>
      </c>
      <c r="V6066" s="11">
        <v>0.07919819170685943</v>
      </c>
      <c r="W6066" s="11">
        <v>0.05894126214799029</v>
      </c>
      <c r="X6066" s="11">
        <v>0.018891936508235146</v>
      </c>
      <c r="Y6066" s="11">
        <v>0.15099361736326114</v>
      </c>
      <c r="Z6066" s="11">
        <v>0.4933597540894816</v>
      </c>
    </row>
    <row r="6067" ht="22.5" customHeight="1">
      <c r="Q6067" s="9" t="s">
        <v>6105</v>
      </c>
      <c r="R6067" s="10">
        <v>0.6895726129593005</v>
      </c>
      <c r="S6067" s="10">
        <v>0.033276609305538205</v>
      </c>
      <c r="T6067" s="10">
        <v>19.520396654450984</v>
      </c>
      <c r="U6067" s="11">
        <v>0.10385681435065348</v>
      </c>
      <c r="V6067" s="11">
        <v>0.14594750376033402</v>
      </c>
      <c r="W6067" s="11">
        <v>0.2674103013711224</v>
      </c>
      <c r="X6067" s="11">
        <v>0.12763870916226883</v>
      </c>
      <c r="Y6067" s="11">
        <v>0.18901973134171443</v>
      </c>
      <c r="Z6067" s="11">
        <v>0.16612694001390682</v>
      </c>
    </row>
    <row r="6068" ht="22.5" customHeight="1">
      <c r="Q6068" s="9" t="s">
        <v>6106</v>
      </c>
      <c r="R6068" s="10">
        <v>0.46132250072805875</v>
      </c>
      <c r="S6068" s="10">
        <v>0.021584866542006722</v>
      </c>
      <c r="T6068" s="10">
        <v>19.519347034558447</v>
      </c>
      <c r="U6068" s="11">
        <v>0.24795281084462925</v>
      </c>
      <c r="V6068" s="11">
        <v>0.19026210804479157</v>
      </c>
      <c r="W6068" s="11">
        <v>0.031020202603455584</v>
      </c>
      <c r="X6068" s="11">
        <v>0.23261165711591358</v>
      </c>
      <c r="Y6068" s="11">
        <v>0.18794775272831388</v>
      </c>
      <c r="Z6068" s="11">
        <v>0.11020546866289617</v>
      </c>
    </row>
    <row r="6069" ht="22.5" customHeight="1">
      <c r="Q6069" s="9" t="s">
        <v>6107</v>
      </c>
      <c r="R6069" s="10">
        <v>0.9012299998211328</v>
      </c>
      <c r="S6069" s="10">
        <v>0.04412293204954706</v>
      </c>
      <c r="T6069" s="10">
        <v>19.51887510227176</v>
      </c>
      <c r="U6069" s="11">
        <v>0.11044684260983431</v>
      </c>
      <c r="V6069" s="11">
        <v>0.2786393016107496</v>
      </c>
      <c r="W6069" s="11">
        <v>0.3120408645102318</v>
      </c>
      <c r="X6069" s="11">
        <v>0.004969167368649646</v>
      </c>
      <c r="Y6069" s="11">
        <v>0.025078358135727487</v>
      </c>
      <c r="Z6069" s="11">
        <v>0.26882546576480715</v>
      </c>
    </row>
    <row r="6070" ht="22.5" customHeight="1">
      <c r="Q6070" s="9" t="s">
        <v>6108</v>
      </c>
      <c r="R6070" s="10">
        <v>0.6398668614271293</v>
      </c>
      <c r="S6070" s="10">
        <v>0.030732701198726273</v>
      </c>
      <c r="T6070" s="10">
        <v>19.518845985851417</v>
      </c>
      <c r="U6070" s="11">
        <v>0.18240647664658918</v>
      </c>
      <c r="V6070" s="11">
        <v>0.1124438623376188</v>
      </c>
      <c r="W6070" s="11">
        <v>0.2534536041267001</v>
      </c>
      <c r="X6070" s="11">
        <v>0.20534820606415988</v>
      </c>
      <c r="Y6070" s="11">
        <v>0.15982536934006103</v>
      </c>
      <c r="Z6070" s="11">
        <v>0.08652248148487096</v>
      </c>
    </row>
    <row r="6071" ht="22.5" customHeight="1">
      <c r="Q6071" s="9" t="s">
        <v>6109</v>
      </c>
      <c r="R6071" s="10">
        <v>0.39686452628734026</v>
      </c>
      <c r="S6071" s="10">
        <v>0.018283143207888042</v>
      </c>
      <c r="T6071" s="10">
        <v>19.51877323442806</v>
      </c>
      <c r="U6071" s="11">
        <v>0.17354319118815956</v>
      </c>
      <c r="V6071" s="11">
        <v>0.0525914220572084</v>
      </c>
      <c r="W6071" s="11">
        <v>0.13921494775985682</v>
      </c>
      <c r="X6071" s="11">
        <v>0.1223956878649747</v>
      </c>
      <c r="Y6071" s="11">
        <v>0.2920751030041021</v>
      </c>
      <c r="Z6071" s="11">
        <v>0.22017964812569848</v>
      </c>
    </row>
    <row r="6072" ht="22.5" customHeight="1">
      <c r="Q6072" s="9" t="s">
        <v>6110</v>
      </c>
      <c r="R6072" s="10">
        <v>1.0110349957260378</v>
      </c>
      <c r="S6072" s="10">
        <v>0.04974904491668072</v>
      </c>
      <c r="T6072" s="10">
        <v>19.518666083988528</v>
      </c>
      <c r="U6072" s="11">
        <v>0.06824398791768652</v>
      </c>
      <c r="V6072" s="11">
        <v>0.4113292983665801</v>
      </c>
      <c r="W6072" s="11">
        <v>0.24169837931864174</v>
      </c>
      <c r="X6072" s="11">
        <v>0.0248585058271524</v>
      </c>
      <c r="Y6072" s="11">
        <v>0.1829569375995795</v>
      </c>
      <c r="Z6072" s="11">
        <v>0.07091289097035963</v>
      </c>
    </row>
    <row r="6073" ht="22.5" customHeight="1">
      <c r="Q6073" s="9" t="s">
        <v>6111</v>
      </c>
      <c r="R6073" s="10">
        <v>0.8475483506842323</v>
      </c>
      <c r="S6073" s="10">
        <v>0.04137422588259993</v>
      </c>
      <c r="T6073" s="10">
        <v>19.518150091210515</v>
      </c>
      <c r="U6073" s="11">
        <v>0.017081724444385177</v>
      </c>
      <c r="V6073" s="11">
        <v>0.23781679413538423</v>
      </c>
      <c r="W6073" s="11">
        <v>0.3081442376407264</v>
      </c>
      <c r="X6073" s="11">
        <v>0.04810430374992935</v>
      </c>
      <c r="Y6073" s="11">
        <v>0.11415993472675726</v>
      </c>
      <c r="Z6073" s="11">
        <v>0.27469300530281754</v>
      </c>
    </row>
    <row r="6074" ht="22.5" customHeight="1">
      <c r="Q6074" s="9" t="s">
        <v>6112</v>
      </c>
      <c r="R6074" s="10">
        <v>0.5686970590438494</v>
      </c>
      <c r="S6074" s="10">
        <v>0.027087854789424215</v>
      </c>
      <c r="T6074" s="10">
        <v>19.517863749412378</v>
      </c>
      <c r="U6074" s="11">
        <v>0.03456306477698727</v>
      </c>
      <c r="V6074" s="11">
        <v>0.24402750951391067</v>
      </c>
      <c r="W6074" s="11">
        <v>0.06994368012528877</v>
      </c>
      <c r="X6074" s="11">
        <v>0.1744248885011083</v>
      </c>
      <c r="Y6074" s="11">
        <v>0.23014688075258247</v>
      </c>
      <c r="Z6074" s="11">
        <v>0.24689397633012253</v>
      </c>
    </row>
    <row r="6075" ht="22.5" customHeight="1">
      <c r="Q6075" s="9" t="s">
        <v>6113</v>
      </c>
      <c r="R6075" s="10">
        <v>0.7255402688418457</v>
      </c>
      <c r="S6075" s="10">
        <v>0.03512530809836684</v>
      </c>
      <c r="T6075" s="10">
        <v>19.516989485815216</v>
      </c>
      <c r="U6075" s="11">
        <v>3.070391773183444E-4</v>
      </c>
      <c r="V6075" s="11">
        <v>0.3042134594700018</v>
      </c>
      <c r="W6075" s="11">
        <v>0.13268386228830004</v>
      </c>
      <c r="X6075" s="11">
        <v>0.060660834335392814</v>
      </c>
      <c r="Y6075" s="11">
        <v>0.3210729084079612</v>
      </c>
      <c r="Z6075" s="11">
        <v>0.18106189632102587</v>
      </c>
    </row>
    <row r="6076" ht="22.5" customHeight="1">
      <c r="Q6076" s="9" t="s">
        <v>6114</v>
      </c>
      <c r="R6076" s="10">
        <v>0.6538731675941172</v>
      </c>
      <c r="S6076" s="10">
        <v>0.03145347611308905</v>
      </c>
      <c r="T6076" s="10">
        <v>19.516862472909946</v>
      </c>
      <c r="U6076" s="11">
        <v>0.008460790059980515</v>
      </c>
      <c r="V6076" s="11">
        <v>0.16399044187042067</v>
      </c>
      <c r="W6076" s="11">
        <v>0.23594142712184332</v>
      </c>
      <c r="X6076" s="11">
        <v>0.005061459259547235</v>
      </c>
      <c r="Y6076" s="11">
        <v>0.29570505062093794</v>
      </c>
      <c r="Z6076" s="11">
        <v>0.29084083106727027</v>
      </c>
    </row>
    <row r="6077" ht="22.5" customHeight="1">
      <c r="Q6077" s="9" t="s">
        <v>6115</v>
      </c>
      <c r="R6077" s="10">
        <v>0.6072848462696568</v>
      </c>
      <c r="S6077" s="10">
        <v>0.029068977325546336</v>
      </c>
      <c r="T6077" s="10">
        <v>19.515129132909564</v>
      </c>
      <c r="U6077" s="11">
        <v>0.19246174573927263</v>
      </c>
      <c r="V6077" s="11">
        <v>0.09766642265380128</v>
      </c>
      <c r="W6077" s="11">
        <v>0.24159830740820684</v>
      </c>
      <c r="X6077" s="11">
        <v>0.2407397158886886</v>
      </c>
      <c r="Y6077" s="11">
        <v>0.13380505927684144</v>
      </c>
      <c r="Z6077" s="11">
        <v>0.09372874903318912</v>
      </c>
    </row>
    <row r="6078" ht="22.5" customHeight="1">
      <c r="Q6078" s="9" t="s">
        <v>6116</v>
      </c>
      <c r="R6078" s="10">
        <v>0.6095064692854463</v>
      </c>
      <c r="S6078" s="10">
        <v>0.02918319456655019</v>
      </c>
      <c r="T6078" s="10">
        <v>19.5148775774608</v>
      </c>
      <c r="U6078" s="11">
        <v>0.3724483795776474</v>
      </c>
      <c r="V6078" s="11">
        <v>0.12821041443720926</v>
      </c>
      <c r="W6078" s="11">
        <v>0.22963695974586354</v>
      </c>
      <c r="X6078" s="11">
        <v>0.04954908526109545</v>
      </c>
      <c r="Y6078" s="11">
        <v>0.09710970616679293</v>
      </c>
      <c r="Z6078" s="11">
        <v>0.12304545481139154</v>
      </c>
    </row>
    <row r="6079" ht="22.5" customHeight="1">
      <c r="Q6079" s="9" t="s">
        <v>6117</v>
      </c>
      <c r="R6079" s="10">
        <v>0.630657505861755</v>
      </c>
      <c r="S6079" s="10">
        <v>0.030267330784117474</v>
      </c>
      <c r="T6079" s="10">
        <v>19.514687637130443</v>
      </c>
      <c r="U6079" s="11">
        <v>0.18251562198734464</v>
      </c>
      <c r="V6079" s="11">
        <v>0.26187706252615117</v>
      </c>
      <c r="W6079" s="11">
        <v>0.11107931580537042</v>
      </c>
      <c r="X6079" s="11">
        <v>0.008040541599640303</v>
      </c>
      <c r="Y6079" s="11">
        <v>0.22958722287105365</v>
      </c>
      <c r="Z6079" s="11">
        <v>0.2069002352104398</v>
      </c>
    </row>
    <row r="6080" ht="22.5" customHeight="1">
      <c r="Q6080" s="9" t="s">
        <v>6118</v>
      </c>
      <c r="R6080" s="10">
        <v>0.32963752584151235</v>
      </c>
      <c r="S6080" s="10">
        <v>0.014842123766877574</v>
      </c>
      <c r="T6080" s="10">
        <v>19.5145607455371</v>
      </c>
      <c r="U6080" s="11">
        <v>0.11186670544215734</v>
      </c>
      <c r="V6080" s="11">
        <v>0.1198636030098954</v>
      </c>
      <c r="W6080" s="11">
        <v>0.015143214677212143</v>
      </c>
      <c r="X6080" s="11">
        <v>0.19871609588877986</v>
      </c>
      <c r="Y6080" s="11">
        <v>0.25246758563669414</v>
      </c>
      <c r="Z6080" s="11">
        <v>0.30194279534526114</v>
      </c>
    </row>
    <row r="6081" ht="22.5" customHeight="1">
      <c r="Q6081" s="9" t="s">
        <v>6119</v>
      </c>
      <c r="R6081" s="10">
        <v>0.46029629940495903</v>
      </c>
      <c r="S6081" s="10">
        <v>0.02153833935348093</v>
      </c>
      <c r="T6081" s="10">
        <v>19.51386745780067</v>
      </c>
      <c r="U6081" s="11">
        <v>0.28238198573141593</v>
      </c>
      <c r="V6081" s="11">
        <v>0.18721192366770478</v>
      </c>
      <c r="W6081" s="11">
        <v>0.035906921495793505</v>
      </c>
      <c r="X6081" s="11">
        <v>0.17639049004619958</v>
      </c>
      <c r="Y6081" s="11">
        <v>0.23170681304915566</v>
      </c>
      <c r="Z6081" s="11">
        <v>0.08640186600973043</v>
      </c>
    </row>
    <row r="6082" ht="22.5" customHeight="1">
      <c r="Q6082" s="9" t="s">
        <v>6120</v>
      </c>
      <c r="R6082" s="10">
        <v>0.48736566909780843</v>
      </c>
      <c r="S6082" s="10">
        <v>0.022925607954477553</v>
      </c>
      <c r="T6082" s="10">
        <v>19.513797408824413</v>
      </c>
      <c r="U6082" s="11">
        <v>0.17283205239370553</v>
      </c>
      <c r="V6082" s="11">
        <v>0.06893708072117953</v>
      </c>
      <c r="W6082" s="11">
        <v>0.18725820772465868</v>
      </c>
      <c r="X6082" s="11">
        <v>0.1815027616070852</v>
      </c>
      <c r="Y6082" s="11">
        <v>0.2044339546703136</v>
      </c>
      <c r="Z6082" s="11">
        <v>0.1850359428830574</v>
      </c>
    </row>
    <row r="6083" ht="22.5" customHeight="1">
      <c r="Q6083" s="9" t="s">
        <v>6121</v>
      </c>
      <c r="R6083" s="10">
        <v>0.8293946158809465</v>
      </c>
      <c r="S6083" s="10">
        <v>0.04045412064972586</v>
      </c>
      <c r="T6083" s="10">
        <v>19.513330241830282</v>
      </c>
      <c r="U6083" s="11">
        <v>0.07654187153736315</v>
      </c>
      <c r="V6083" s="11">
        <v>0.18652933335558092</v>
      </c>
      <c r="W6083" s="11">
        <v>0.3229611496511845</v>
      </c>
      <c r="X6083" s="11">
        <v>0.16906998474341517</v>
      </c>
      <c r="Y6083" s="11">
        <v>0.19947369305753113</v>
      </c>
      <c r="Z6083" s="11">
        <v>0.045423967654925276</v>
      </c>
    </row>
    <row r="6084" ht="22.5" customHeight="1">
      <c r="Q6084" s="9" t="s">
        <v>6122</v>
      </c>
      <c r="R6084" s="10">
        <v>0.6059443481947023</v>
      </c>
      <c r="S6084" s="10">
        <v>0.029003477624050304</v>
      </c>
      <c r="T6084" s="10">
        <v>19.512982392339364</v>
      </c>
      <c r="U6084" s="11">
        <v>0.09418892438498527</v>
      </c>
      <c r="V6084" s="11">
        <v>0.2524138282618315</v>
      </c>
      <c r="W6084" s="11">
        <v>0.10376776943990815</v>
      </c>
      <c r="X6084" s="11">
        <v>0.027221270484325353</v>
      </c>
      <c r="Y6084" s="11">
        <v>0.24709459986530738</v>
      </c>
      <c r="Z6084" s="11">
        <v>0.27531360756364237</v>
      </c>
    </row>
    <row r="6085" ht="22.5" customHeight="1">
      <c r="Q6085" s="9" t="s">
        <v>6123</v>
      </c>
      <c r="R6085" s="10">
        <v>0.450994544132528</v>
      </c>
      <c r="S6085" s="10">
        <v>0.021063794874691004</v>
      </c>
      <c r="T6085" s="10">
        <v>19.511894536456698</v>
      </c>
      <c r="U6085" s="11">
        <v>0.13469468412044974</v>
      </c>
      <c r="V6085" s="11">
        <v>0.18154397326774185</v>
      </c>
      <c r="W6085" s="11">
        <v>0.052367914606724394</v>
      </c>
      <c r="X6085" s="11">
        <v>0.0761287653626237</v>
      </c>
      <c r="Y6085" s="11">
        <v>0.2872743701655846</v>
      </c>
      <c r="Z6085" s="11">
        <v>0.2679902924768757</v>
      </c>
    </row>
    <row r="6086" ht="22.5" customHeight="1">
      <c r="Q6086" s="9" t="s">
        <v>6124</v>
      </c>
      <c r="R6086" s="10">
        <v>0.4212648165439457</v>
      </c>
      <c r="S6086" s="10">
        <v>0.019540282923496678</v>
      </c>
      <c r="T6086" s="10">
        <v>19.511734709095986</v>
      </c>
      <c r="U6086" s="11">
        <v>0.034926327479160774</v>
      </c>
      <c r="V6086" s="11">
        <v>0.16487671384205085</v>
      </c>
      <c r="W6086" s="11">
        <v>0.05153945330041692</v>
      </c>
      <c r="X6086" s="11">
        <v>0.07370039481243332</v>
      </c>
      <c r="Y6086" s="11">
        <v>0.31700673914021804</v>
      </c>
      <c r="Z6086" s="11">
        <v>0.3579503714257201</v>
      </c>
    </row>
    <row r="6087" ht="22.5" customHeight="1">
      <c r="Q6087" s="9" t="s">
        <v>6125</v>
      </c>
      <c r="R6087" s="10">
        <v>0.8373019482580599</v>
      </c>
      <c r="S6087" s="10">
        <v>0.04086322924556297</v>
      </c>
      <c r="T6087" s="10">
        <v>19.511476772106377</v>
      </c>
      <c r="U6087" s="11">
        <v>0.09158847408495513</v>
      </c>
      <c r="V6087" s="11">
        <v>0.2086703018867992</v>
      </c>
      <c r="W6087" s="11">
        <v>0.3124076661749491</v>
      </c>
      <c r="X6087" s="11">
        <v>0.04800450506488494</v>
      </c>
      <c r="Y6087" s="11">
        <v>0.31560273534766836</v>
      </c>
      <c r="Z6087" s="11">
        <v>0.023726317440743418</v>
      </c>
    </row>
    <row r="6088" ht="22.5" customHeight="1">
      <c r="Q6088" s="9" t="s">
        <v>6126</v>
      </c>
      <c r="R6088" s="10">
        <v>0.9296617306417616</v>
      </c>
      <c r="S6088" s="10">
        <v>0.045597791210640504</v>
      </c>
      <c r="T6088" s="10">
        <v>19.511070756299134</v>
      </c>
      <c r="U6088" s="11">
        <v>0.011652463701602778</v>
      </c>
      <c r="V6088" s="11">
        <v>0.3682408939404476</v>
      </c>
      <c r="W6088" s="11">
        <v>0.24000214765835065</v>
      </c>
      <c r="X6088" s="11">
        <v>0.020426242637170737</v>
      </c>
      <c r="Y6088" s="11">
        <v>0.055500582971112926</v>
      </c>
      <c r="Z6088" s="11">
        <v>0.3041776690913154</v>
      </c>
    </row>
    <row r="6089" ht="22.5" customHeight="1">
      <c r="Q6089" s="9" t="s">
        <v>6127</v>
      </c>
      <c r="R6089" s="10">
        <v>0.4839941250252666</v>
      </c>
      <c r="S6089" s="10">
        <v>0.022756428169058967</v>
      </c>
      <c r="T6089" s="10">
        <v>19.510712389783045</v>
      </c>
      <c r="U6089" s="11">
        <v>0.23777574122929118</v>
      </c>
      <c r="V6089" s="11">
        <v>0.2040106788369108</v>
      </c>
      <c r="W6089" s="11">
        <v>0.040558955614476574</v>
      </c>
      <c r="X6089" s="11">
        <v>0.21501136205386112</v>
      </c>
      <c r="Y6089" s="11">
        <v>0.1282847254083129</v>
      </c>
      <c r="Z6089" s="11">
        <v>0.17435853685714736</v>
      </c>
    </row>
    <row r="6090" ht="22.5" customHeight="1">
      <c r="Q6090" s="9" t="s">
        <v>6128</v>
      </c>
      <c r="R6090" s="10">
        <v>0.4156259243678629</v>
      </c>
      <c r="S6090" s="10">
        <v>0.019252909148453408</v>
      </c>
      <c r="T6090" s="10">
        <v>19.510086578164582</v>
      </c>
      <c r="U6090" s="11">
        <v>0.31589077916063674</v>
      </c>
      <c r="V6090" s="11">
        <v>0.16470606164300425</v>
      </c>
      <c r="W6090" s="11">
        <v>0.04201150349467944</v>
      </c>
      <c r="X6090" s="11">
        <v>0.09310743692277627</v>
      </c>
      <c r="Y6090" s="11">
        <v>0.14887545458190368</v>
      </c>
      <c r="Z6090" s="11">
        <v>0.2354087641969997</v>
      </c>
    </row>
    <row r="6091" ht="22.5" customHeight="1">
      <c r="Q6091" s="9" t="s">
        <v>6129</v>
      </c>
      <c r="R6091" s="10">
        <v>0.738629055032624</v>
      </c>
      <c r="S6091" s="10">
        <v>0.03580978059214017</v>
      </c>
      <c r="T6091" s="10">
        <v>19.509448074807946</v>
      </c>
      <c r="U6091" s="11">
        <v>0.2090645094208408</v>
      </c>
      <c r="V6091" s="11">
        <v>0.30914858490637875</v>
      </c>
      <c r="W6091" s="11">
        <v>0.1434490264181982</v>
      </c>
      <c r="X6091" s="11">
        <v>0.016626184867675135</v>
      </c>
      <c r="Y6091" s="11">
        <v>0.16037801732620158</v>
      </c>
      <c r="Z6091" s="11">
        <v>0.16133367706070545</v>
      </c>
    </row>
    <row r="6092" ht="22.5" customHeight="1">
      <c r="Q6092" s="9" t="s">
        <v>6130</v>
      </c>
      <c r="R6092" s="10">
        <v>0.9214708784719571</v>
      </c>
      <c r="S6092" s="10">
        <v>0.04518179034958718</v>
      </c>
      <c r="T6092" s="10">
        <v>19.509427839218215</v>
      </c>
      <c r="U6092" s="11">
        <v>0.035999904638954944</v>
      </c>
      <c r="V6092" s="11">
        <v>0.39450440342711546</v>
      </c>
      <c r="W6092" s="11">
        <v>0.1790543645071327</v>
      </c>
      <c r="X6092" s="11">
        <v>0.14966261473388248</v>
      </c>
      <c r="Y6092" s="11">
        <v>0.17497827540593736</v>
      </c>
      <c r="Z6092" s="11">
        <v>0.06580043728697717</v>
      </c>
    </row>
    <row r="6093" ht="22.5" customHeight="1">
      <c r="Q6093" s="9" t="s">
        <v>6131</v>
      </c>
      <c r="R6093" s="10">
        <v>0.5084827497776464</v>
      </c>
      <c r="S6093" s="10">
        <v>0.024013183732352162</v>
      </c>
      <c r="T6093" s="10">
        <v>19.509397629206294</v>
      </c>
      <c r="U6093" s="11">
        <v>0.25126056544704223</v>
      </c>
      <c r="V6093" s="11">
        <v>0.21526766524569702</v>
      </c>
      <c r="W6093" s="11">
        <v>0.047043802205120056</v>
      </c>
      <c r="X6093" s="11">
        <v>0.1958467597386877</v>
      </c>
      <c r="Y6093" s="11">
        <v>0.14961981448186107</v>
      </c>
      <c r="Z6093" s="11">
        <v>0.14096139288159207</v>
      </c>
    </row>
    <row r="6094" ht="22.5" customHeight="1">
      <c r="Q6094" s="9" t="s">
        <v>6132</v>
      </c>
      <c r="R6094" s="10">
        <v>0.4868921977066166</v>
      </c>
      <c r="S6094" s="10">
        <v>0.02290722709352854</v>
      </c>
      <c r="T6094" s="10">
        <v>19.508786283123154</v>
      </c>
      <c r="U6094" s="11">
        <v>0.051341368388092695</v>
      </c>
      <c r="V6094" s="11">
        <v>0.19657499671063197</v>
      </c>
      <c r="W6094" s="11">
        <v>0.06614094309568326</v>
      </c>
      <c r="X6094" s="11">
        <v>0.061091274011813794</v>
      </c>
      <c r="Y6094" s="11">
        <v>0.3340613544841635</v>
      </c>
      <c r="Z6094" s="11">
        <v>0.29079006330961477</v>
      </c>
    </row>
    <row r="6095" ht="22.5" customHeight="1">
      <c r="Q6095" s="9" t="s">
        <v>6133</v>
      </c>
      <c r="R6095" s="10">
        <v>0.5721424383910468</v>
      </c>
      <c r="S6095" s="10">
        <v>0.02727793011880692</v>
      </c>
      <c r="T6095" s="10">
        <v>19.508167814542432</v>
      </c>
      <c r="U6095" s="11">
        <v>0.25088829252137557</v>
      </c>
      <c r="V6095" s="11">
        <v>0.10882311636587623</v>
      </c>
      <c r="W6095" s="11">
        <v>0.22010099369463226</v>
      </c>
      <c r="X6095" s="11">
        <v>0.09925354400658665</v>
      </c>
      <c r="Y6095" s="11">
        <v>0.1289677071997312</v>
      </c>
      <c r="Z6095" s="11">
        <v>0.1919663462117981</v>
      </c>
    </row>
    <row r="6096" ht="22.5" customHeight="1">
      <c r="Q6096" s="9" t="s">
        <v>6134</v>
      </c>
      <c r="R6096" s="10">
        <v>0.8952409660271519</v>
      </c>
      <c r="S6096" s="10">
        <v>0.04384034655270971</v>
      </c>
      <c r="T6096" s="10">
        <v>19.50807950386265</v>
      </c>
      <c r="U6096" s="11">
        <v>0.015195839305190252</v>
      </c>
      <c r="V6096" s="11">
        <v>0.2153433711554246</v>
      </c>
      <c r="W6096" s="11">
        <v>0.3471164416115414</v>
      </c>
      <c r="X6096" s="11">
        <v>0.2104207270987368</v>
      </c>
      <c r="Y6096" s="11">
        <v>0.08879363872511882</v>
      </c>
      <c r="Z6096" s="11">
        <v>0.12312998210398808</v>
      </c>
    </row>
    <row r="6097" ht="22.5" customHeight="1">
      <c r="Q6097" s="9" t="s">
        <v>6135</v>
      </c>
      <c r="R6097" s="10">
        <v>0.667111651866887</v>
      </c>
      <c r="S6097" s="10">
        <v>0.032147053663169084</v>
      </c>
      <c r="T6097" s="10">
        <v>19.507593399931686</v>
      </c>
      <c r="U6097" s="11">
        <v>0.1734414500770376</v>
      </c>
      <c r="V6097" s="11">
        <v>0.28190577518890003</v>
      </c>
      <c r="W6097" s="11">
        <v>0.12044947810996937</v>
      </c>
      <c r="X6097" s="11">
        <v>0.04876561651588812</v>
      </c>
      <c r="Y6097" s="11">
        <v>0.11350522604086685</v>
      </c>
      <c r="Z6097" s="11">
        <v>0.261932454067338</v>
      </c>
    </row>
    <row r="6098" ht="22.5" customHeight="1">
      <c r="Q6098" s="9" t="s">
        <v>6136</v>
      </c>
      <c r="R6098" s="10">
        <v>0.5376124123713083</v>
      </c>
      <c r="S6098" s="10">
        <v>0.025509088621133977</v>
      </c>
      <c r="T6098" s="10">
        <v>19.507259540391512</v>
      </c>
      <c r="U6098" s="11">
        <v>0.2561586410668571</v>
      </c>
      <c r="V6098" s="11">
        <v>0.22139362619058864</v>
      </c>
      <c r="W6098" s="11">
        <v>0.06879927458532582</v>
      </c>
      <c r="X6098" s="11">
        <v>0.06993473036773742</v>
      </c>
      <c r="Y6098" s="11">
        <v>0.2839078860628882</v>
      </c>
      <c r="Z6098" s="11">
        <v>0.09980584172660281</v>
      </c>
    </row>
    <row r="6099" ht="22.5" customHeight="1">
      <c r="Q6099" s="9" t="s">
        <v>6137</v>
      </c>
      <c r="R6099" s="10">
        <v>0.4577574775106062</v>
      </c>
      <c r="S6099" s="10">
        <v>0.02141567856607965</v>
      </c>
      <c r="T6099" s="10">
        <v>19.507085718604937</v>
      </c>
      <c r="U6099" s="11">
        <v>0.18326406447095056</v>
      </c>
      <c r="V6099" s="11">
        <v>0.08972179122287902</v>
      </c>
      <c r="W6099" s="11">
        <v>0.15835219906609765</v>
      </c>
      <c r="X6099" s="11">
        <v>0.008319320178636408</v>
      </c>
      <c r="Y6099" s="11">
        <v>0.3119179712297258</v>
      </c>
      <c r="Z6099" s="11">
        <v>0.24842465383171047</v>
      </c>
    </row>
    <row r="6100" ht="22.5" customHeight="1">
      <c r="Q6100" s="9" t="s">
        <v>6138</v>
      </c>
      <c r="R6100" s="10">
        <v>0.571900154158889</v>
      </c>
      <c r="S6100" s="10">
        <v>0.027267270110513695</v>
      </c>
      <c r="T6100" s="10">
        <v>19.50690890591938</v>
      </c>
      <c r="U6100" s="11">
        <v>0.21187283651096736</v>
      </c>
      <c r="V6100" s="11">
        <v>0.10668561754397393</v>
      </c>
      <c r="W6100" s="11">
        <v>0.2211449449227904</v>
      </c>
      <c r="X6100" s="11">
        <v>0.11461842695599651</v>
      </c>
      <c r="Y6100" s="11">
        <v>0.14382368628156691</v>
      </c>
      <c r="Z6100" s="11">
        <v>0.2018544877847048</v>
      </c>
    </row>
    <row r="6101" ht="22.5" customHeight="1">
      <c r="Q6101" s="9" t="s">
        <v>6139</v>
      </c>
      <c r="R6101" s="10">
        <v>0.7712815897950825</v>
      </c>
      <c r="S6101" s="10">
        <v>0.037488889957654835</v>
      </c>
      <c r="T6101" s="10">
        <v>19.506621578315432</v>
      </c>
      <c r="U6101" s="11">
        <v>0.04976161670783018</v>
      </c>
      <c r="V6101" s="11">
        <v>0.19681627120656808</v>
      </c>
      <c r="W6101" s="11">
        <v>0.28514653704238685</v>
      </c>
      <c r="X6101" s="11">
        <v>0.026975145219967217</v>
      </c>
      <c r="Y6101" s="11">
        <v>0.26328809083490096</v>
      </c>
      <c r="Z6101" s="11">
        <v>0.17801233898834673</v>
      </c>
    </row>
    <row r="6102" ht="22.5" customHeight="1">
      <c r="Q6102" s="9" t="s">
        <v>6140</v>
      </c>
      <c r="R6102" s="10">
        <v>0.5955141135310588</v>
      </c>
      <c r="S6102" s="10">
        <v>0.028478522449814896</v>
      </c>
      <c r="T6102" s="10">
        <v>19.506423288286484</v>
      </c>
      <c r="U6102" s="11">
        <v>0.17298438907098154</v>
      </c>
      <c r="V6102" s="11">
        <v>0.25580239961362344</v>
      </c>
      <c r="W6102" s="11">
        <v>0.08271407632970722</v>
      </c>
      <c r="X6102" s="11">
        <v>0.12217986144503762</v>
      </c>
      <c r="Y6102" s="11">
        <v>0.1492880551293942</v>
      </c>
      <c r="Z6102" s="11">
        <v>0.21703121841125603</v>
      </c>
    </row>
    <row r="6103" ht="22.5" customHeight="1">
      <c r="Q6103" s="9" t="s">
        <v>6141</v>
      </c>
      <c r="R6103" s="10">
        <v>0.5148246609108872</v>
      </c>
      <c r="S6103" s="10">
        <v>0.024342468525750265</v>
      </c>
      <c r="T6103" s="10">
        <v>19.506019301559412</v>
      </c>
      <c r="U6103" s="11">
        <v>0.16203347102407803</v>
      </c>
      <c r="V6103" s="11">
        <v>0.0811704208692281</v>
      </c>
      <c r="W6103" s="11">
        <v>0.19912304950996096</v>
      </c>
      <c r="X6103" s="11">
        <v>0.16119957774313326</v>
      </c>
      <c r="Y6103" s="11">
        <v>0.18827215772199157</v>
      </c>
      <c r="Z6103" s="11">
        <v>0.208201323131608</v>
      </c>
    </row>
    <row r="6104" ht="22.5" customHeight="1">
      <c r="Q6104" s="9" t="s">
        <v>6142</v>
      </c>
      <c r="R6104" s="10">
        <v>0.8628724524552901</v>
      </c>
      <c r="S6104" s="10">
        <v>0.042187681324462385</v>
      </c>
      <c r="T6104" s="10">
        <v>19.505040965077885</v>
      </c>
      <c r="U6104" s="11">
        <v>0.05038842481124105</v>
      </c>
      <c r="V6104" s="11">
        <v>0.20079513958707268</v>
      </c>
      <c r="W6104" s="11">
        <v>0.3369193211226276</v>
      </c>
      <c r="X6104" s="11">
        <v>0.2142147862851598</v>
      </c>
      <c r="Y6104" s="11">
        <v>0.07802022256108636</v>
      </c>
      <c r="Z6104" s="11">
        <v>0.11966210563281242</v>
      </c>
    </row>
    <row r="6105" ht="22.5" customHeight="1">
      <c r="Q6105" s="9" t="s">
        <v>6143</v>
      </c>
      <c r="R6105" s="10">
        <v>0.5284890258563486</v>
      </c>
      <c r="S6105" s="10">
        <v>0.025044888822412143</v>
      </c>
      <c r="T6105" s="10">
        <v>19.504539601677532</v>
      </c>
      <c r="U6105" s="11">
        <v>0.24883133907681168</v>
      </c>
      <c r="V6105" s="11">
        <v>0.07713960128238244</v>
      </c>
      <c r="W6105" s="11">
        <v>0.2036148170130119</v>
      </c>
      <c r="X6105" s="11">
        <v>0.17235459064162598</v>
      </c>
      <c r="Y6105" s="11">
        <v>0.23735038960835153</v>
      </c>
      <c r="Z6105" s="11">
        <v>0.06070926237781644</v>
      </c>
    </row>
    <row r="6106" ht="22.5" customHeight="1">
      <c r="Q6106" s="9" t="s">
        <v>6144</v>
      </c>
      <c r="R6106" s="10">
        <v>0.6463896961720988</v>
      </c>
      <c r="S6106" s="10">
        <v>0.03109014375699052</v>
      </c>
      <c r="T6106" s="10">
        <v>19.504242274072922</v>
      </c>
      <c r="U6106" s="11">
        <v>0.060066589744370874</v>
      </c>
      <c r="V6106" s="11">
        <v>0.2817643112134561</v>
      </c>
      <c r="W6106" s="11">
        <v>0.09171668151712449</v>
      </c>
      <c r="X6106" s="11">
        <v>0.1976778033096107</v>
      </c>
      <c r="Y6106" s="11">
        <v>0.11181000847061545</v>
      </c>
      <c r="Z6106" s="11">
        <v>0.2569646057448224</v>
      </c>
    </row>
    <row r="6107" ht="22.5" customHeight="1">
      <c r="Q6107" s="9" t="s">
        <v>6145</v>
      </c>
      <c r="R6107" s="10">
        <v>0.609206409200892</v>
      </c>
      <c r="S6107" s="10">
        <v>0.029183998292937923</v>
      </c>
      <c r="T6107" s="10">
        <v>19.504058473668124</v>
      </c>
      <c r="U6107" s="11">
        <v>0.07891681531315047</v>
      </c>
      <c r="V6107" s="11">
        <v>0.11410624215617217</v>
      </c>
      <c r="W6107" s="11">
        <v>0.23967980471279754</v>
      </c>
      <c r="X6107" s="11">
        <v>0.19335032210892975</v>
      </c>
      <c r="Y6107" s="11">
        <v>0.11445789471499694</v>
      </c>
      <c r="Z6107" s="11">
        <v>0.259488920993953</v>
      </c>
    </row>
    <row r="6108" ht="22.5" customHeight="1">
      <c r="Q6108" s="9" t="s">
        <v>6146</v>
      </c>
      <c r="R6108" s="10">
        <v>0.522331348251574</v>
      </c>
      <c r="S6108" s="10">
        <v>0.03315128301572233</v>
      </c>
      <c r="T6108" s="10">
        <v>19.50405584645986</v>
      </c>
      <c r="U6108" s="11">
        <v>0.091752134383544</v>
      </c>
      <c r="V6108" s="11">
        <v>0.1509263345974492</v>
      </c>
      <c r="W6108" s="11">
        <v>0.26583583022019097</v>
      </c>
      <c r="X6108" s="11">
        <v>0.12706779008512242</v>
      </c>
      <c r="Y6108" s="11">
        <v>0.1191182358908995</v>
      </c>
      <c r="Z6108" s="11">
        <v>0.245299674822794</v>
      </c>
    </row>
    <row r="6109" ht="22.5" customHeight="1">
      <c r="Q6109" s="9" t="s">
        <v>6147</v>
      </c>
      <c r="R6109" s="10">
        <v>0.5037316101789109</v>
      </c>
      <c r="S6109" s="10">
        <v>0.02377617370740412</v>
      </c>
      <c r="T6109" s="10">
        <v>19.504047029842344</v>
      </c>
      <c r="U6109" s="11">
        <v>0.11230313957668604</v>
      </c>
      <c r="V6109" s="11">
        <v>0.06032500240275243</v>
      </c>
      <c r="W6109" s="11">
        <v>0.19268607659104742</v>
      </c>
      <c r="X6109" s="11">
        <v>0.2718748241922447</v>
      </c>
      <c r="Y6109" s="11">
        <v>0.29830019510093075</v>
      </c>
      <c r="Z6109" s="11">
        <v>0.06451076213633875</v>
      </c>
    </row>
    <row r="6110" ht="22.5" customHeight="1">
      <c r="Q6110" s="9" t="s">
        <v>6148</v>
      </c>
      <c r="R6110" s="10">
        <v>0.6732545646227897</v>
      </c>
      <c r="S6110" s="10">
        <v>0.03246810141484085</v>
      </c>
      <c r="T6110" s="10">
        <v>19.50389881230737</v>
      </c>
      <c r="U6110" s="11">
        <v>0.17524070742312325</v>
      </c>
      <c r="V6110" s="11">
        <v>0.1311473900948733</v>
      </c>
      <c r="W6110" s="11">
        <v>0.2641311375468803</v>
      </c>
      <c r="X6110" s="11">
        <v>0.15068960678634488</v>
      </c>
      <c r="Y6110" s="11">
        <v>0.18678328956848458</v>
      </c>
      <c r="Z6110" s="11">
        <v>0.09200786858029371</v>
      </c>
    </row>
    <row r="6111" ht="22.5" customHeight="1">
      <c r="Q6111" s="9" t="s">
        <v>6149</v>
      </c>
      <c r="R6111" s="10">
        <v>0.7820789267752245</v>
      </c>
      <c r="S6111" s="10">
        <v>0.03804804097068918</v>
      </c>
      <c r="T6111" s="10">
        <v>19.50373548396079</v>
      </c>
      <c r="U6111" s="11">
        <v>0.0466575139149004</v>
      </c>
      <c r="V6111" s="11">
        <v>0.32878781036715077</v>
      </c>
      <c r="W6111" s="11">
        <v>0.1627665610055746</v>
      </c>
      <c r="X6111" s="11">
        <v>0.08207145283538471</v>
      </c>
      <c r="Y6111" s="11">
        <v>0.05306541556182324</v>
      </c>
      <c r="Z6111" s="11">
        <v>0.3266512463151662</v>
      </c>
    </row>
    <row r="6112" ht="22.5" customHeight="1">
      <c r="Q6112" s="9" t="s">
        <v>6150</v>
      </c>
      <c r="R6112" s="10">
        <v>0.5001778334394661</v>
      </c>
      <c r="S6112" s="10">
        <v>0.02359445389466662</v>
      </c>
      <c r="T6112" s="10">
        <v>19.503644182393494</v>
      </c>
      <c r="U6112" s="11">
        <v>0.20804957053231302</v>
      </c>
      <c r="V6112" s="11">
        <v>0.09455995939923739</v>
      </c>
      <c r="W6112" s="11">
        <v>0.1832545010233574</v>
      </c>
      <c r="X6112" s="11">
        <v>0.03970068683718264</v>
      </c>
      <c r="Y6112" s="11">
        <v>0.2534101645268842</v>
      </c>
      <c r="Z6112" s="11">
        <v>0.22102511768102523</v>
      </c>
    </row>
    <row r="6113" ht="22.5" customHeight="1">
      <c r="Q6113" s="9" t="s">
        <v>6151</v>
      </c>
      <c r="R6113" s="10">
        <v>1.0004911367289167</v>
      </c>
      <c r="S6113" s="10">
        <v>0.04924714157102254</v>
      </c>
      <c r="T6113" s="10">
        <v>19.503490072489367</v>
      </c>
      <c r="U6113" s="11">
        <v>0.2121353491413348</v>
      </c>
      <c r="V6113" s="11">
        <v>0.2861814252896186</v>
      </c>
      <c r="W6113" s="11">
        <v>0.3652152482415882</v>
      </c>
      <c r="X6113" s="11">
        <v>0.06032262121328458</v>
      </c>
      <c r="Y6113" s="11">
        <v>0.012518023898516799</v>
      </c>
      <c r="Z6113" s="11">
        <v>0.06362733221565704</v>
      </c>
    </row>
    <row r="6114" ht="22.5" customHeight="1">
      <c r="Q6114" s="9" t="s">
        <v>6152</v>
      </c>
      <c r="R6114" s="10">
        <v>0.5824772022708463</v>
      </c>
      <c r="S6114" s="10">
        <v>0.02781596219881511</v>
      </c>
      <c r="T6114" s="10">
        <v>19.50237055951832</v>
      </c>
      <c r="U6114" s="11">
        <v>0.08946717420521907</v>
      </c>
      <c r="V6114" s="11">
        <v>0.2507817819768366</v>
      </c>
      <c r="W6114" s="11">
        <v>0.05418419428693104</v>
      </c>
      <c r="X6114" s="11">
        <v>0.28923733616753117</v>
      </c>
      <c r="Y6114" s="11">
        <v>0.23677354223316477</v>
      </c>
      <c r="Z6114" s="11">
        <v>0.07955597113031751</v>
      </c>
    </row>
    <row r="6115" ht="22.5" customHeight="1">
      <c r="Q6115" s="9" t="s">
        <v>6153</v>
      </c>
      <c r="R6115" s="10">
        <v>0.37747224048844236</v>
      </c>
      <c r="S6115" s="10">
        <v>0.017305153821329917</v>
      </c>
      <c r="T6115" s="10">
        <v>19.501256329341736</v>
      </c>
      <c r="U6115" s="11">
        <v>0.18120896576130457</v>
      </c>
      <c r="V6115" s="11">
        <v>0.048517004052916736</v>
      </c>
      <c r="W6115" s="11">
        <v>0.13580383905170787</v>
      </c>
      <c r="X6115" s="11">
        <v>0.14864474879316478</v>
      </c>
      <c r="Y6115" s="11">
        <v>0.14841063467937476</v>
      </c>
      <c r="Z6115" s="11">
        <v>0.33741480766153137</v>
      </c>
    </row>
    <row r="6116" ht="22.5" customHeight="1">
      <c r="Q6116" s="9" t="s">
        <v>6154</v>
      </c>
      <c r="R6116" s="10">
        <v>0.9102904775120845</v>
      </c>
      <c r="S6116" s="10">
        <v>0.04462909320303104</v>
      </c>
      <c r="T6116" s="10">
        <v>19.50051894518389</v>
      </c>
      <c r="U6116" s="11">
        <v>0.104193565475727</v>
      </c>
      <c r="V6116" s="11">
        <v>0.2340652826044792</v>
      </c>
      <c r="W6116" s="11">
        <v>0.3445713457477602</v>
      </c>
      <c r="X6116" s="11">
        <v>0.09644032503575427</v>
      </c>
      <c r="Y6116" s="11">
        <v>0.14856713077245037</v>
      </c>
      <c r="Z6116" s="11">
        <v>0.07216235036382901</v>
      </c>
    </row>
    <row r="6117" ht="22.5" customHeight="1">
      <c r="Q6117" s="9" t="s">
        <v>6155</v>
      </c>
      <c r="R6117" s="10">
        <v>0.5898262013392087</v>
      </c>
      <c r="S6117" s="10">
        <v>0.02819624710466771</v>
      </c>
      <c r="T6117" s="10">
        <v>19.49997811049785</v>
      </c>
      <c r="U6117" s="11">
        <v>0.24646671709281334</v>
      </c>
      <c r="V6117" s="11">
        <v>0.2557122674121958</v>
      </c>
      <c r="W6117" s="11">
        <v>0.06439807273409275</v>
      </c>
      <c r="X6117" s="11">
        <v>0.2421409679115073</v>
      </c>
      <c r="Y6117" s="11">
        <v>0.06995372596549504</v>
      </c>
      <c r="Z6117" s="11">
        <v>0.12132824888389578</v>
      </c>
    </row>
    <row r="6118" ht="22.5" customHeight="1">
      <c r="Q6118" s="9" t="s">
        <v>6156</v>
      </c>
      <c r="R6118" s="10">
        <v>0.4678199144588187</v>
      </c>
      <c r="S6118" s="10">
        <v>0.02194011303997223</v>
      </c>
      <c r="T6118" s="10">
        <v>19.499439846977207</v>
      </c>
      <c r="U6118" s="11">
        <v>0.09032719489139111</v>
      </c>
      <c r="V6118" s="11">
        <v>0.19407753343603923</v>
      </c>
      <c r="W6118" s="11">
        <v>0.032350204267013634</v>
      </c>
      <c r="X6118" s="11">
        <v>0.2530689921285475</v>
      </c>
      <c r="Y6118" s="11">
        <v>0.26008787418140683</v>
      </c>
      <c r="Z6118" s="11">
        <v>0.17008820109560163</v>
      </c>
    </row>
    <row r="6119" ht="22.5" customHeight="1">
      <c r="Q6119" s="9" t="s">
        <v>6157</v>
      </c>
      <c r="R6119" s="10">
        <v>0.5165410617130404</v>
      </c>
      <c r="S6119" s="10">
        <v>0.02444046926769884</v>
      </c>
      <c r="T6119" s="10">
        <v>19.498032402464933</v>
      </c>
      <c r="U6119" s="11">
        <v>0.2631626893296211</v>
      </c>
      <c r="V6119" s="11">
        <v>0.2203890924575798</v>
      </c>
      <c r="W6119" s="11">
        <v>0.049950319310526965</v>
      </c>
      <c r="X6119" s="11">
        <v>0.22071610946718248</v>
      </c>
      <c r="Y6119" s="11">
        <v>0.06330790134651537</v>
      </c>
      <c r="Z6119" s="11">
        <v>0.1824738880885742</v>
      </c>
    </row>
    <row r="6120" ht="22.5" customHeight="1">
      <c r="Q6120" s="9" t="s">
        <v>6158</v>
      </c>
      <c r="R6120" s="10">
        <v>0.662122494857343</v>
      </c>
      <c r="S6120" s="10">
        <v>0.031909752417002876</v>
      </c>
      <c r="T6120" s="10">
        <v>19.496312184667705</v>
      </c>
      <c r="U6120" s="11">
        <v>0.2184422278225328</v>
      </c>
      <c r="V6120" s="11">
        <v>0.15126070064149805</v>
      </c>
      <c r="W6120" s="11">
        <v>0.249821893153453</v>
      </c>
      <c r="X6120" s="11">
        <v>0.03341413742147846</v>
      </c>
      <c r="Y6120" s="11">
        <v>0.16395913397491815</v>
      </c>
      <c r="Z6120" s="11">
        <v>0.18310190698611964</v>
      </c>
    </row>
    <row r="6121" ht="22.5" customHeight="1">
      <c r="Q6121" s="9" t="s">
        <v>6159</v>
      </c>
      <c r="R6121" s="10">
        <v>0.5039718346020844</v>
      </c>
      <c r="S6121" s="10">
        <v>0.023798356177978257</v>
      </c>
      <c r="T6121" s="10">
        <v>19.495961449279402</v>
      </c>
      <c r="U6121" s="11">
        <v>0.11804170458672843</v>
      </c>
      <c r="V6121" s="11">
        <v>0.2071077055235671</v>
      </c>
      <c r="W6121" s="11">
        <v>0.06428672989034835</v>
      </c>
      <c r="X6121" s="11">
        <v>0.07378140918325951</v>
      </c>
      <c r="Y6121" s="11">
        <v>0.30749099083129305</v>
      </c>
      <c r="Z6121" s="11">
        <v>0.22929145998480366</v>
      </c>
    </row>
    <row r="6122" ht="22.5" customHeight="1">
      <c r="Q6122" s="9" t="s">
        <v>6160</v>
      </c>
      <c r="R6122" s="10">
        <v>0.6373355499109238</v>
      </c>
      <c r="S6122" s="10">
        <v>0.030639379526917573</v>
      </c>
      <c r="T6122" s="10">
        <v>19.495680367356897</v>
      </c>
      <c r="U6122" s="11">
        <v>0.05082010624446959</v>
      </c>
      <c r="V6122" s="11">
        <v>0.11302335829829896</v>
      </c>
      <c r="W6122" s="11">
        <v>0.2504132601757276</v>
      </c>
      <c r="X6122" s="11">
        <v>0.20722159349975405</v>
      </c>
      <c r="Y6122" s="11">
        <v>0.26183855488546265</v>
      </c>
      <c r="Z6122" s="11">
        <v>0.11668312689628706</v>
      </c>
    </row>
    <row r="6123" ht="22.5" customHeight="1">
      <c r="Q6123" s="9" t="s">
        <v>6161</v>
      </c>
      <c r="R6123" s="10">
        <v>0.4688505272373387</v>
      </c>
      <c r="S6123" s="10">
        <v>0.021997759875720543</v>
      </c>
      <c r="T6123" s="10">
        <v>19.495190858532435</v>
      </c>
      <c r="U6123" s="11">
        <v>0.07738695602873806</v>
      </c>
      <c r="V6123" s="11">
        <v>0.053847596036965394</v>
      </c>
      <c r="W6123" s="11">
        <v>0.17982887874669587</v>
      </c>
      <c r="X6123" s="11">
        <v>0.2795396521736252</v>
      </c>
      <c r="Y6123" s="11">
        <v>0.2278543091299083</v>
      </c>
      <c r="Z6123" s="11">
        <v>0.18154260788406723</v>
      </c>
    </row>
    <row r="6124" ht="22.5" customHeight="1">
      <c r="Q6124" s="9" t="s">
        <v>6162</v>
      </c>
      <c r="R6124" s="10">
        <v>0.42454420993502134</v>
      </c>
      <c r="S6124" s="10">
        <v>0.019726525615706116</v>
      </c>
      <c r="T6124" s="10">
        <v>19.493762734824934</v>
      </c>
      <c r="U6124" s="11">
        <v>0.156402910274855</v>
      </c>
      <c r="V6124" s="11">
        <v>0.04497885758055489</v>
      </c>
      <c r="W6124" s="11">
        <v>0.16058745362792481</v>
      </c>
      <c r="X6124" s="11">
        <v>0.25042917426337263</v>
      </c>
      <c r="Y6124" s="11">
        <v>0.16666236616467522</v>
      </c>
      <c r="Z6124" s="11">
        <v>0.22093923808861732</v>
      </c>
    </row>
    <row r="6125" ht="22.5" customHeight="1">
      <c r="Q6125" s="9" t="s">
        <v>6163</v>
      </c>
      <c r="R6125" s="10">
        <v>0.9008318250665568</v>
      </c>
      <c r="S6125" s="10">
        <v>0.04415999923587208</v>
      </c>
      <c r="T6125" s="10">
        <v>19.493474636822125</v>
      </c>
      <c r="U6125" s="11">
        <v>0.07127947750348496</v>
      </c>
      <c r="V6125" s="11">
        <v>0.28757368753861007</v>
      </c>
      <c r="W6125" s="11">
        <v>0.3061438512764958</v>
      </c>
      <c r="X6125" s="11">
        <v>0.0032999459891920554</v>
      </c>
      <c r="Y6125" s="11">
        <v>0.005649757335367646</v>
      </c>
      <c r="Z6125" s="11">
        <v>0.32605328035684944</v>
      </c>
    </row>
    <row r="6126" ht="22.5" customHeight="1">
      <c r="Q6126" s="9" t="s">
        <v>6164</v>
      </c>
      <c r="R6126" s="10">
        <v>0.43011790114333714</v>
      </c>
      <c r="S6126" s="10">
        <v>0.020012948740198745</v>
      </c>
      <c r="T6126" s="10">
        <v>19.493274389881986</v>
      </c>
      <c r="U6126" s="11">
        <v>0.05446647099378016</v>
      </c>
      <c r="V6126" s="11">
        <v>0.17155822740854515</v>
      </c>
      <c r="W6126" s="11">
        <v>0.024243615281896592</v>
      </c>
      <c r="X6126" s="11">
        <v>0.266957068444639</v>
      </c>
      <c r="Y6126" s="11">
        <v>0.3157065271918734</v>
      </c>
      <c r="Z6126" s="11">
        <v>0.16706809067926556</v>
      </c>
    </row>
    <row r="6127" ht="22.5" customHeight="1">
      <c r="Q6127" s="9" t="s">
        <v>6165</v>
      </c>
      <c r="R6127" s="10">
        <v>0.5744833432647074</v>
      </c>
      <c r="S6127" s="10">
        <v>0.027421581545580692</v>
      </c>
      <c r="T6127" s="10">
        <v>19.491339052646495</v>
      </c>
      <c r="U6127" s="11">
        <v>0.16770913275278523</v>
      </c>
      <c r="V6127" s="11">
        <v>0.10963354800373601</v>
      </c>
      <c r="W6127" s="11">
        <v>0.22319101443426695</v>
      </c>
      <c r="X6127" s="11">
        <v>0.1319951921424433</v>
      </c>
      <c r="Y6127" s="11">
        <v>0.10065286743102837</v>
      </c>
      <c r="Z6127" s="11">
        <v>0.2668182452357401</v>
      </c>
    </row>
    <row r="6128" ht="22.5" customHeight="1">
      <c r="Q6128" s="9" t="s">
        <v>6166</v>
      </c>
      <c r="R6128" s="10">
        <v>0.6036518062690873</v>
      </c>
      <c r="S6128" s="10">
        <v>0.028918629499642568</v>
      </c>
      <c r="T6128" s="10">
        <v>19.49095845901183</v>
      </c>
      <c r="U6128" s="11">
        <v>0.2526499005158944</v>
      </c>
      <c r="V6128" s="11">
        <v>0.09252196110449722</v>
      </c>
      <c r="W6128" s="11">
        <v>0.2396639957928724</v>
      </c>
      <c r="X6128" s="11">
        <v>0.23260306499461353</v>
      </c>
      <c r="Y6128" s="11">
        <v>0.16761432388662495</v>
      </c>
      <c r="Z6128" s="11">
        <v>0.014946753705497483</v>
      </c>
    </row>
    <row r="6129" ht="22.5" customHeight="1">
      <c r="Q6129" s="9" t="s">
        <v>6167</v>
      </c>
      <c r="R6129" s="10">
        <v>0.4968387743785747</v>
      </c>
      <c r="S6129" s="10">
        <v>0.02343913279984466</v>
      </c>
      <c r="T6129" s="10">
        <v>19.490429884061342</v>
      </c>
      <c r="U6129" s="11">
        <v>0.16320740267165507</v>
      </c>
      <c r="V6129" s="11">
        <v>0.21158565905041254</v>
      </c>
      <c r="W6129" s="11">
        <v>0.04258444494743386</v>
      </c>
      <c r="X6129" s="11">
        <v>0.22631696301570886</v>
      </c>
      <c r="Y6129" s="11">
        <v>0.15592450868161672</v>
      </c>
      <c r="Z6129" s="11">
        <v>0.20038102163317306</v>
      </c>
    </row>
    <row r="6130" ht="22.5" customHeight="1">
      <c r="Q6130" s="9" t="s">
        <v>6168</v>
      </c>
      <c r="R6130" s="10">
        <v>0.4854926003759016</v>
      </c>
      <c r="S6130" s="10">
        <v>0.02286038430666199</v>
      </c>
      <c r="T6130" s="10">
        <v>19.487537672149976</v>
      </c>
      <c r="U6130" s="11">
        <v>0.22586148674726023</v>
      </c>
      <c r="V6130" s="11">
        <v>0.07866522458575032</v>
      </c>
      <c r="W6130" s="11">
        <v>0.18228022174668548</v>
      </c>
      <c r="X6130" s="11">
        <v>0.09793761481641265</v>
      </c>
      <c r="Y6130" s="11">
        <v>0.227331377227008</v>
      </c>
      <c r="Z6130" s="11">
        <v>0.18792407487688348</v>
      </c>
    </row>
    <row r="6131" ht="22.5" customHeight="1">
      <c r="Q6131" s="9" t="s">
        <v>6169</v>
      </c>
      <c r="R6131" s="10">
        <v>0.7656655964184933</v>
      </c>
      <c r="S6131" s="10">
        <v>0.03723781971903128</v>
      </c>
      <c r="T6131" s="10">
        <v>19.48732771934079</v>
      </c>
      <c r="U6131" s="11">
        <v>0.18549739535391013</v>
      </c>
      <c r="V6131" s="11">
        <v>0.32015232084700956</v>
      </c>
      <c r="W6131" s="11">
        <v>0.1558519791822312</v>
      </c>
      <c r="X6131" s="11">
        <v>0.01396659673650661</v>
      </c>
      <c r="Y6131" s="11">
        <v>0.12750921337282042</v>
      </c>
      <c r="Z6131" s="11">
        <v>0.19702249450752193</v>
      </c>
    </row>
    <row r="6132" ht="22.5" customHeight="1">
      <c r="Q6132" s="9" t="s">
        <v>6170</v>
      </c>
      <c r="R6132" s="10">
        <v>0.5573378456616652</v>
      </c>
      <c r="S6132" s="10">
        <v>0.02654803339271331</v>
      </c>
      <c r="T6132" s="10">
        <v>19.486861343321195</v>
      </c>
      <c r="U6132" s="11">
        <v>0.15243724359135857</v>
      </c>
      <c r="V6132" s="11">
        <v>0.23886209803656805</v>
      </c>
      <c r="W6132" s="11">
        <v>0.06306339696486979</v>
      </c>
      <c r="X6132" s="11">
        <v>0.16320042225832046</v>
      </c>
      <c r="Y6132" s="11">
        <v>0.21691592505222376</v>
      </c>
      <c r="Z6132" s="11">
        <v>0.16552091409665934</v>
      </c>
    </row>
    <row r="6133" ht="22.5" customHeight="1">
      <c r="Q6133" s="9" t="s">
        <v>6171</v>
      </c>
      <c r="R6133" s="10">
        <v>0.6300036810448315</v>
      </c>
      <c r="S6133" s="10">
        <v>0.030277328702826713</v>
      </c>
      <c r="T6133" s="10">
        <v>19.486649130633122</v>
      </c>
      <c r="U6133" s="11">
        <v>0.25537384036964306</v>
      </c>
      <c r="V6133" s="11">
        <v>0.13672532973332702</v>
      </c>
      <c r="W6133" s="11">
        <v>0.23651057990701635</v>
      </c>
      <c r="X6133" s="11">
        <v>0.02310285863480606</v>
      </c>
      <c r="Y6133" s="11">
        <v>0.22250994472806587</v>
      </c>
      <c r="Z6133" s="11">
        <v>0.12577744662714171</v>
      </c>
    </row>
    <row r="6134" ht="22.5" customHeight="1">
      <c r="Q6134" s="9" t="s">
        <v>6172</v>
      </c>
      <c r="R6134" s="10">
        <v>0.49217242123177124</v>
      </c>
      <c r="S6134" s="10">
        <v>0.02320467530179702</v>
      </c>
      <c r="T6134" s="10">
        <v>19.48626366673418</v>
      </c>
      <c r="U6134" s="11">
        <v>0.1351273134812601</v>
      </c>
      <c r="V6134" s="11">
        <v>0.20917184689657634</v>
      </c>
      <c r="W6134" s="11">
        <v>0.046261314146289596</v>
      </c>
      <c r="X6134" s="11">
        <v>0.19067710218621137</v>
      </c>
      <c r="Y6134" s="11">
        <v>0.17929376315421144</v>
      </c>
      <c r="Z6134" s="11">
        <v>0.2394686601354512</v>
      </c>
    </row>
    <row r="6135" ht="22.5" customHeight="1">
      <c r="Q6135" s="9" t="s">
        <v>6173</v>
      </c>
      <c r="R6135" s="10">
        <v>0.29501184929157115</v>
      </c>
      <c r="S6135" s="10">
        <v>0.013088861679310424</v>
      </c>
      <c r="T6135" s="10">
        <v>19.483118970893294</v>
      </c>
      <c r="U6135" s="11">
        <v>0.25088386362573833</v>
      </c>
      <c r="V6135" s="11">
        <v>0.029625227323213852</v>
      </c>
      <c r="W6135" s="11">
        <v>0.08864784942170681</v>
      </c>
      <c r="X6135" s="11">
        <v>0.14397572750163146</v>
      </c>
      <c r="Y6135" s="11">
        <v>0.19072215131025233</v>
      </c>
      <c r="Z6135" s="11">
        <v>0.29614518081745717</v>
      </c>
    </row>
    <row r="6136" ht="22.5" customHeight="1">
      <c r="Q6136" s="9" t="s">
        <v>6174</v>
      </c>
      <c r="R6136" s="10">
        <v>0.5620772089955212</v>
      </c>
      <c r="S6136" s="10">
        <v>0.026796667608842344</v>
      </c>
      <c r="T6136" s="10">
        <v>19.48291543621814</v>
      </c>
      <c r="U6136" s="11">
        <v>0.29942645031005016</v>
      </c>
      <c r="V6136" s="11">
        <v>0.23155877055987364</v>
      </c>
      <c r="W6136" s="11">
        <v>0.09840912487534799</v>
      </c>
      <c r="X6136" s="11">
        <v>0.03625637164607866</v>
      </c>
      <c r="Y6136" s="11">
        <v>0.00920678919534118</v>
      </c>
      <c r="Z6136" s="11">
        <v>0.3251424934133084</v>
      </c>
    </row>
    <row r="6137" ht="22.5" customHeight="1">
      <c r="Q6137" s="9" t="s">
        <v>6175</v>
      </c>
      <c r="R6137" s="10">
        <v>0.3578324554596021</v>
      </c>
      <c r="S6137" s="10">
        <v>0.016313952321300857</v>
      </c>
      <c r="T6137" s="10">
        <v>19.482247416195616</v>
      </c>
      <c r="U6137" s="11">
        <v>0.22906378274130243</v>
      </c>
      <c r="V6137" s="11">
        <v>0.13114076082801718</v>
      </c>
      <c r="W6137" s="11">
        <v>0.0509419030343686</v>
      </c>
      <c r="X6137" s="11">
        <v>0.03447543470237168</v>
      </c>
      <c r="Y6137" s="11">
        <v>0.0983248618500551</v>
      </c>
      <c r="Z6137" s="11">
        <v>0.45605325684388504</v>
      </c>
    </row>
    <row r="6138" ht="22.5" customHeight="1">
      <c r="Q6138" s="9" t="s">
        <v>6176</v>
      </c>
      <c r="R6138" s="10">
        <v>0.49233586262581547</v>
      </c>
      <c r="S6138" s="10">
        <v>0.02321961399322212</v>
      </c>
      <c r="T6138" s="10">
        <v>19.48076581970113</v>
      </c>
      <c r="U6138" s="11">
        <v>0.15410836016469676</v>
      </c>
      <c r="V6138" s="11">
        <v>0.20778132231697874</v>
      </c>
      <c r="W6138" s="11">
        <v>0.04075420175762548</v>
      </c>
      <c r="X6138" s="11">
        <v>0.21328759102387143</v>
      </c>
      <c r="Y6138" s="11">
        <v>0.22071592428726705</v>
      </c>
      <c r="Z6138" s="11">
        <v>0.16335260044956051</v>
      </c>
    </row>
    <row r="6139" ht="22.5" customHeight="1">
      <c r="Q6139" s="9" t="s">
        <v>6177</v>
      </c>
      <c r="R6139" s="10">
        <v>0.725877580982114</v>
      </c>
      <c r="S6139" s="10">
        <v>0.03520801155108371</v>
      </c>
      <c r="T6139" s="10">
        <v>19.48072472047921</v>
      </c>
      <c r="U6139" s="11">
        <v>0.023014934343847278</v>
      </c>
      <c r="V6139" s="11">
        <v>0.315711569621548</v>
      </c>
      <c r="W6139" s="11">
        <v>0.11200783564157694</v>
      </c>
      <c r="X6139" s="11">
        <v>0.1742489970475304</v>
      </c>
      <c r="Y6139" s="11">
        <v>0.2177660971075207</v>
      </c>
      <c r="Z6139" s="11">
        <v>0.15725056623797662</v>
      </c>
    </row>
    <row r="6140" ht="22.5" customHeight="1">
      <c r="Q6140" s="9" t="s">
        <v>6178</v>
      </c>
      <c r="R6140" s="10">
        <v>0.48126990784234563</v>
      </c>
      <c r="S6140" s="10">
        <v>0.02265304741880593</v>
      </c>
      <c r="T6140" s="10">
        <v>19.479494289850628</v>
      </c>
      <c r="U6140" s="11">
        <v>0.3049733880678987</v>
      </c>
      <c r="V6140" s="11">
        <v>0.20068759867406905</v>
      </c>
      <c r="W6140" s="11">
        <v>0.05670739321624599</v>
      </c>
      <c r="X6140" s="11">
        <v>0.13947430182428086</v>
      </c>
      <c r="Y6140" s="11">
        <v>0.016008606266569546</v>
      </c>
      <c r="Z6140" s="11">
        <v>0.28214871195093594</v>
      </c>
    </row>
    <row r="6141" ht="22.5" customHeight="1">
      <c r="Q6141" s="9" t="s">
        <v>6179</v>
      </c>
      <c r="R6141" s="10">
        <v>0.5342115913769196</v>
      </c>
      <c r="S6141" s="10">
        <v>0.02537179068063637</v>
      </c>
      <c r="T6141" s="10">
        <v>19.47878246347427</v>
      </c>
      <c r="U6141" s="11">
        <v>0.31971320695389654</v>
      </c>
      <c r="V6141" s="11">
        <v>0.08833267941171316</v>
      </c>
      <c r="W6141" s="11">
        <v>0.20433270910800827</v>
      </c>
      <c r="X6141" s="11">
        <v>0.11029502058915622</v>
      </c>
      <c r="Y6141" s="11">
        <v>0.18533091673421762</v>
      </c>
      <c r="Z6141" s="11">
        <v>0.09199546720300811</v>
      </c>
    </row>
    <row r="6142" ht="22.5" customHeight="1">
      <c r="Q6142" s="9" t="s">
        <v>6180</v>
      </c>
      <c r="R6142" s="10">
        <v>0.7146128868235535</v>
      </c>
      <c r="S6142" s="10">
        <v>0.03463455232541702</v>
      </c>
      <c r="T6142" s="10">
        <v>19.478031085404847</v>
      </c>
      <c r="U6142" s="11">
        <v>0.028002913333363535</v>
      </c>
      <c r="V6142" s="11">
        <v>0.17632545077257353</v>
      </c>
      <c r="W6142" s="11">
        <v>0.2648223482932493</v>
      </c>
      <c r="X6142" s="11">
        <v>0.02604118136585045</v>
      </c>
      <c r="Y6142" s="11">
        <v>0.2825206882776708</v>
      </c>
      <c r="Z6142" s="11">
        <v>0.22228741795729232</v>
      </c>
    </row>
    <row r="6143" ht="22.5" customHeight="1">
      <c r="Q6143" s="9" t="s">
        <v>6181</v>
      </c>
      <c r="R6143" s="10">
        <v>0.7721594214028581</v>
      </c>
      <c r="S6143" s="10">
        <v>0.03758967459144022</v>
      </c>
      <c r="T6143" s="10">
        <v>19.47767383891061</v>
      </c>
      <c r="U6143" s="11">
        <v>0.08854336547644351</v>
      </c>
      <c r="V6143" s="11">
        <v>0.33781176701736604</v>
      </c>
      <c r="W6143" s="11">
        <v>0.11280353086893867</v>
      </c>
      <c r="X6143" s="11">
        <v>0.22395842573826874</v>
      </c>
      <c r="Y6143" s="11">
        <v>0.2161625119724216</v>
      </c>
      <c r="Z6143" s="11">
        <v>0.020720398926561485</v>
      </c>
    </row>
    <row r="6144" ht="22.5" customHeight="1">
      <c r="Q6144" s="9" t="s">
        <v>6182</v>
      </c>
      <c r="R6144" s="10">
        <v>0.9801033432440791</v>
      </c>
      <c r="S6144" s="10">
        <v>0.04826574165221959</v>
      </c>
      <c r="T6144" s="10">
        <v>19.477652493522736</v>
      </c>
      <c r="U6144" s="11">
        <v>0.06679778224592452</v>
      </c>
      <c r="V6144" s="11">
        <v>0.23654803769463834</v>
      </c>
      <c r="W6144" s="11">
        <v>0.38268698707403104</v>
      </c>
      <c r="X6144" s="11">
        <v>0.24495915802556642</v>
      </c>
      <c r="Y6144" s="11">
        <v>0.051156076357645616</v>
      </c>
      <c r="Z6144" s="11">
        <v>0.017851958602194216</v>
      </c>
    </row>
    <row r="6145" ht="22.5" customHeight="1">
      <c r="Q6145" s="9" t="s">
        <v>6183</v>
      </c>
      <c r="R6145" s="10">
        <v>0.7541823485820627</v>
      </c>
      <c r="S6145" s="10">
        <v>0.036667712434569726</v>
      </c>
      <c r="T6145" s="10">
        <v>19.47714490933836</v>
      </c>
      <c r="U6145" s="11">
        <v>0.06802421701627814</v>
      </c>
      <c r="V6145" s="11">
        <v>0.3292439243926521</v>
      </c>
      <c r="W6145" s="11">
        <v>0.10621574566927115</v>
      </c>
      <c r="X6145" s="11">
        <v>0.2291937070297256</v>
      </c>
      <c r="Y6145" s="11">
        <v>0.2538287526902418</v>
      </c>
      <c r="Z6145" s="11">
        <v>0.01349365320183119</v>
      </c>
    </row>
    <row r="6146" ht="22.5" customHeight="1">
      <c r="Q6146" s="9" t="s">
        <v>6184</v>
      </c>
      <c r="R6146" s="10">
        <v>0.6238668453792189</v>
      </c>
      <c r="S6146" s="10">
        <v>0.02997720953104321</v>
      </c>
      <c r="T6146" s="10">
        <v>19.477024530071404</v>
      </c>
      <c r="U6146" s="11">
        <v>0.2892180549521739</v>
      </c>
      <c r="V6146" s="11">
        <v>0.14731254094154858</v>
      </c>
      <c r="W6146" s="11">
        <v>0.23180067749654165</v>
      </c>
      <c r="X6146" s="11">
        <v>0.0207071533731245</v>
      </c>
      <c r="Y6146" s="11">
        <v>0.05258236426868861</v>
      </c>
      <c r="Z6146" s="11">
        <v>0.25837920896792277</v>
      </c>
    </row>
    <row r="6147" ht="22.5" customHeight="1">
      <c r="Q6147" s="9" t="s">
        <v>6185</v>
      </c>
      <c r="R6147" s="10">
        <v>0.47356435529237584</v>
      </c>
      <c r="S6147" s="10">
        <v>0.022261477721435382</v>
      </c>
      <c r="T6147" s="10">
        <v>19.47599169820162</v>
      </c>
      <c r="U6147" s="11">
        <v>0.09376878959114131</v>
      </c>
      <c r="V6147" s="11">
        <v>0.19428574553276434</v>
      </c>
      <c r="W6147" s="11">
        <v>0.05483782935563391</v>
      </c>
      <c r="X6147" s="11">
        <v>0.09375976390792375</v>
      </c>
      <c r="Y6147" s="11">
        <v>0.29606513665340195</v>
      </c>
      <c r="Z6147" s="11">
        <v>0.2672827349591347</v>
      </c>
    </row>
    <row r="6148" ht="22.5" customHeight="1">
      <c r="Q6148" s="9" t="s">
        <v>6186</v>
      </c>
      <c r="R6148" s="10">
        <v>0.4206711334157616</v>
      </c>
      <c r="S6148" s="10">
        <v>0.019546084271201074</v>
      </c>
      <c r="T6148" s="10">
        <v>19.47557004942607</v>
      </c>
      <c r="U6148" s="11">
        <v>0.27317766556108847</v>
      </c>
      <c r="V6148" s="11">
        <v>0.17052803765863936</v>
      </c>
      <c r="W6148" s="11">
        <v>0.022774208270444005</v>
      </c>
      <c r="X6148" s="11">
        <v>0.24412295528833136</v>
      </c>
      <c r="Y6148" s="11">
        <v>0.13487118990776664</v>
      </c>
      <c r="Z6148" s="11">
        <v>0.1545259433137302</v>
      </c>
    </row>
    <row r="6149" ht="22.5" customHeight="1">
      <c r="Q6149" s="9" t="s">
        <v>6187</v>
      </c>
      <c r="R6149" s="10">
        <v>0.6113822824366197</v>
      </c>
      <c r="S6149" s="10">
        <v>0.029338724537686857</v>
      </c>
      <c r="T6149" s="10">
        <v>19.47536204931658</v>
      </c>
      <c r="U6149" s="11">
        <v>0.1756284275003896</v>
      </c>
      <c r="V6149" s="11">
        <v>0.10604077568989392</v>
      </c>
      <c r="W6149" s="11">
        <v>0.24262882998742608</v>
      </c>
      <c r="X6149" s="11">
        <v>0.19564554326570088</v>
      </c>
      <c r="Y6149" s="11">
        <v>0.13571507745879585</v>
      </c>
      <c r="Z6149" s="11">
        <v>0.14434134609779378</v>
      </c>
    </row>
    <row r="6150" ht="22.5" customHeight="1">
      <c r="Q6150" s="9" t="s">
        <v>6188</v>
      </c>
      <c r="R6150" s="10">
        <v>0.28915492636693596</v>
      </c>
      <c r="S6150" s="10">
        <v>0.012793506773093006</v>
      </c>
      <c r="T6150" s="10">
        <v>19.47510802049619</v>
      </c>
      <c r="U6150" s="11">
        <v>0.04288979706642683</v>
      </c>
      <c r="V6150" s="11">
        <v>0.017577610065495054</v>
      </c>
      <c r="W6150" s="11">
        <v>0.07810838950769765</v>
      </c>
      <c r="X6150" s="11">
        <v>0.3042079814067361</v>
      </c>
      <c r="Y6150" s="11">
        <v>0.31031382221376375</v>
      </c>
      <c r="Z6150" s="11">
        <v>0.24690239973988062</v>
      </c>
    </row>
    <row r="6151" ht="22.5" customHeight="1">
      <c r="Q6151" s="9" t="s">
        <v>6189</v>
      </c>
      <c r="R6151" s="10">
        <v>0.9085213773404077</v>
      </c>
      <c r="S6151" s="10">
        <v>0.04459812885123086</v>
      </c>
      <c r="T6151" s="10">
        <v>19.474390511709494</v>
      </c>
      <c r="U6151" s="11">
        <v>0.17354036996974911</v>
      </c>
      <c r="V6151" s="11">
        <v>0.3827730549472459</v>
      </c>
      <c r="W6151" s="11">
        <v>0.18788030211031798</v>
      </c>
      <c r="X6151" s="11">
        <v>0.046033015191969284</v>
      </c>
      <c r="Y6151" s="11">
        <v>0.17948821652793898</v>
      </c>
      <c r="Z6151" s="11">
        <v>0.03028504125277858</v>
      </c>
    </row>
    <row r="6152" ht="22.5" customHeight="1">
      <c r="Q6152" s="9" t="s">
        <v>6190</v>
      </c>
      <c r="R6152" s="10">
        <v>0.4115182683083318</v>
      </c>
      <c r="S6152" s="10">
        <v>0.019077412517245592</v>
      </c>
      <c r="T6152" s="10">
        <v>19.474248301360937</v>
      </c>
      <c r="U6152" s="11">
        <v>0.2251787987421171</v>
      </c>
      <c r="V6152" s="11">
        <v>0.02602956287351992</v>
      </c>
      <c r="W6152" s="11">
        <v>0.14962815073850458</v>
      </c>
      <c r="X6152" s="11">
        <v>0.35714639102378004</v>
      </c>
      <c r="Y6152" s="11">
        <v>0.21109132729164032</v>
      </c>
      <c r="Z6152" s="11">
        <v>0.030925769330437933</v>
      </c>
    </row>
    <row r="6153" ht="22.5" customHeight="1">
      <c r="Q6153" s="9" t="s">
        <v>6191</v>
      </c>
      <c r="R6153" s="10">
        <v>0.522331348251574</v>
      </c>
      <c r="S6153" s="10">
        <v>0.026341244774752526</v>
      </c>
      <c r="T6153" s="10">
        <v>19.474125553586894</v>
      </c>
      <c r="U6153" s="11">
        <v>0.15307946782161472</v>
      </c>
      <c r="V6153" s="11">
        <v>0.2400744295422771</v>
      </c>
      <c r="W6153" s="11">
        <v>0.05404800136738385</v>
      </c>
      <c r="X6153" s="11">
        <v>0.2679608524903088</v>
      </c>
      <c r="Y6153" s="11">
        <v>0.08700908259134588</v>
      </c>
      <c r="Z6153" s="11">
        <v>0.1978281661870697</v>
      </c>
    </row>
    <row r="6154" ht="22.5" customHeight="1">
      <c r="Q6154" s="9" t="s">
        <v>6192</v>
      </c>
      <c r="R6154" s="10">
        <v>0.3368481578654905</v>
      </c>
      <c r="S6154" s="10">
        <v>0.0152434307785526</v>
      </c>
      <c r="T6154" s="10">
        <v>19.47384169468948</v>
      </c>
      <c r="U6154" s="11">
        <v>0.103240712628151</v>
      </c>
      <c r="V6154" s="11">
        <v>0.1241760892539195</v>
      </c>
      <c r="W6154" s="11">
        <v>0.019841447591832536</v>
      </c>
      <c r="X6154" s="11">
        <v>0.16580221577125243</v>
      </c>
      <c r="Y6154" s="11">
        <v>0.2654974639806641</v>
      </c>
      <c r="Z6154" s="11">
        <v>0.3214420707741804</v>
      </c>
    </row>
    <row r="6155" ht="22.5" customHeight="1">
      <c r="Q6155" s="9" t="s">
        <v>6193</v>
      </c>
      <c r="R6155" s="10">
        <v>0.3990927212210697</v>
      </c>
      <c r="S6155" s="10">
        <v>0.01843977312069426</v>
      </c>
      <c r="T6155" s="10">
        <v>19.473814502526256</v>
      </c>
      <c r="U6155" s="11">
        <v>0.03977824611792146</v>
      </c>
      <c r="V6155" s="11">
        <v>0.048850066299776035</v>
      </c>
      <c r="W6155" s="11">
        <v>0.14754965792719094</v>
      </c>
      <c r="X6155" s="11">
        <v>0.22007989585176443</v>
      </c>
      <c r="Y6155" s="11">
        <v>0.17522501157725817</v>
      </c>
      <c r="Z6155" s="11">
        <v>0.36851712222608884</v>
      </c>
    </row>
    <row r="6156" ht="22.5" customHeight="1">
      <c r="Q6156" s="9" t="s">
        <v>6194</v>
      </c>
      <c r="R6156" s="10">
        <v>0.6054645329701304</v>
      </c>
      <c r="S6156" s="10">
        <v>0.029038488845348858</v>
      </c>
      <c r="T6156" s="10">
        <v>19.472932492515074</v>
      </c>
      <c r="U6156" s="11">
        <v>0.07683089832499256</v>
      </c>
      <c r="V6156" s="11">
        <v>0.25161368753328106</v>
      </c>
      <c r="W6156" s="11">
        <v>0.10752890466619835</v>
      </c>
      <c r="X6156" s="11">
        <v>0.011290748343750802</v>
      </c>
      <c r="Y6156" s="11">
        <v>0.24434176270708363</v>
      </c>
      <c r="Z6156" s="11">
        <v>0.3083939984246936</v>
      </c>
    </row>
    <row r="6157" ht="22.5" customHeight="1">
      <c r="Q6157" s="9" t="s">
        <v>6195</v>
      </c>
      <c r="R6157" s="10">
        <v>0.8196164812346936</v>
      </c>
      <c r="S6157" s="10">
        <v>0.04003847714190986</v>
      </c>
      <c r="T6157" s="10">
        <v>19.471681664401718</v>
      </c>
      <c r="U6157" s="11">
        <v>0.0031507581736432235</v>
      </c>
      <c r="V6157" s="11">
        <v>0.17803730008904636</v>
      </c>
      <c r="W6157" s="11">
        <v>0.3249071263194323</v>
      </c>
      <c r="X6157" s="11">
        <v>0.2987103920843751</v>
      </c>
      <c r="Y6157" s="11">
        <v>0.014065453213035218</v>
      </c>
      <c r="Z6157" s="11">
        <v>0.18112897012046772</v>
      </c>
    </row>
    <row r="6158" ht="22.5" customHeight="1">
      <c r="Q6158" s="9" t="s">
        <v>6196</v>
      </c>
      <c r="R6158" s="10">
        <v>0.5871000686759659</v>
      </c>
      <c r="S6158" s="10">
        <v>0.02809752625293176</v>
      </c>
      <c r="T6158" s="10">
        <v>19.47146747905895</v>
      </c>
      <c r="U6158" s="11">
        <v>0.1522369746502894</v>
      </c>
      <c r="V6158" s="11">
        <v>0.2489134192024806</v>
      </c>
      <c r="W6158" s="11">
        <v>0.08148211712928302</v>
      </c>
      <c r="X6158" s="11">
        <v>0.08503534395067179</v>
      </c>
      <c r="Y6158" s="11">
        <v>0.26346972927889134</v>
      </c>
      <c r="Z6158" s="11">
        <v>0.16886241578838374</v>
      </c>
    </row>
    <row r="6159" ht="22.5" customHeight="1">
      <c r="Q6159" s="9" t="s">
        <v>6197</v>
      </c>
      <c r="R6159" s="10">
        <v>0.7877042371962966</v>
      </c>
      <c r="S6159" s="10">
        <v>0.038400472674062845</v>
      </c>
      <c r="T6159" s="10">
        <v>19.471224834722534</v>
      </c>
      <c r="U6159" s="11">
        <v>0.21820073419529587</v>
      </c>
      <c r="V6159" s="11">
        <v>0.20179334103300078</v>
      </c>
      <c r="W6159" s="11">
        <v>0.2960812215106558</v>
      </c>
      <c r="X6159" s="11">
        <v>0.05112882273380116</v>
      </c>
      <c r="Y6159" s="11">
        <v>0.03863509423508873</v>
      </c>
      <c r="Z6159" s="11">
        <v>0.19416078629215755</v>
      </c>
    </row>
    <row r="6160" ht="22.5" customHeight="1">
      <c r="Q6160" s="9" t="s">
        <v>6198</v>
      </c>
      <c r="R6160" s="10">
        <v>0.522331348251574</v>
      </c>
      <c r="S6160" s="10">
        <v>0.049726889058213535</v>
      </c>
      <c r="T6160" s="10">
        <v>19.47120759241953</v>
      </c>
      <c r="U6160" s="11">
        <v>0.04226818265701793</v>
      </c>
      <c r="V6160" s="11">
        <v>0.41089165864901245</v>
      </c>
      <c r="W6160" s="11">
        <v>0.244317277564737</v>
      </c>
      <c r="X6160" s="11">
        <v>0.018890719412339052</v>
      </c>
      <c r="Y6160" s="11">
        <v>0.15555404398422046</v>
      </c>
      <c r="Z6160" s="11">
        <v>0.1280781177326732</v>
      </c>
    </row>
    <row r="6161" ht="22.5" customHeight="1">
      <c r="Q6161" s="9" t="s">
        <v>6199</v>
      </c>
      <c r="R6161" s="10">
        <v>1.007736287338391</v>
      </c>
      <c r="S6161" s="10">
        <v>0.0497029050838536</v>
      </c>
      <c r="T6161" s="10">
        <v>19.47041698479649</v>
      </c>
      <c r="U6161" s="11">
        <v>0.13736135270145466</v>
      </c>
      <c r="V6161" s="11">
        <v>0.2665856041249655</v>
      </c>
      <c r="W6161" s="11">
        <v>0.38270440773522496</v>
      </c>
      <c r="X6161" s="11">
        <v>0.14161117686606628</v>
      </c>
      <c r="Y6161" s="11">
        <v>0.03454018251967032</v>
      </c>
      <c r="Z6161" s="11">
        <v>0.03719727605261825</v>
      </c>
    </row>
    <row r="6162" ht="22.5" customHeight="1">
      <c r="Q6162" s="9" t="s">
        <v>6200</v>
      </c>
      <c r="R6162" s="10">
        <v>0.8988134063104702</v>
      </c>
      <c r="S6162" s="10">
        <v>0.04410955151342333</v>
      </c>
      <c r="T6162" s="10">
        <v>19.47000993762355</v>
      </c>
      <c r="U6162" s="11">
        <v>0.24933084521254462</v>
      </c>
      <c r="V6162" s="11">
        <v>0.24031236781252355</v>
      </c>
      <c r="W6162" s="11">
        <v>0.33478459856861575</v>
      </c>
      <c r="X6162" s="11">
        <v>0.030070340742453665</v>
      </c>
      <c r="Y6162" s="11">
        <v>0.09068342174783715</v>
      </c>
      <c r="Z6162" s="11">
        <v>0.05481842591602532</v>
      </c>
    </row>
    <row r="6163" ht="22.5" customHeight="1">
      <c r="Q6163" s="9" t="s">
        <v>6201</v>
      </c>
      <c r="R6163" s="10">
        <v>0.4249436514805347</v>
      </c>
      <c r="S6163" s="10">
        <v>0.019771591960685585</v>
      </c>
      <c r="T6163" s="10">
        <v>19.46953246081388</v>
      </c>
      <c r="U6163" s="11">
        <v>0.25836279043021393</v>
      </c>
      <c r="V6163" s="11">
        <v>0.17212454539584396</v>
      </c>
      <c r="W6163" s="11">
        <v>0.025842814077432084</v>
      </c>
      <c r="X6163" s="11">
        <v>0.20865635168382618</v>
      </c>
      <c r="Y6163" s="11">
        <v>0.1887991010182031</v>
      </c>
      <c r="Z6163" s="11">
        <v>0.14621439739448094</v>
      </c>
    </row>
    <row r="6164" ht="22.5" customHeight="1">
      <c r="Q6164" s="9" t="s">
        <v>6202</v>
      </c>
      <c r="R6164" s="10">
        <v>0.592956608423563</v>
      </c>
      <c r="S6164" s="10">
        <v>0.028401304256503616</v>
      </c>
      <c r="T6164" s="10">
        <v>19.46940899015021</v>
      </c>
      <c r="U6164" s="11">
        <v>0.16208397561638246</v>
      </c>
      <c r="V6164" s="11">
        <v>0.10982090144816577</v>
      </c>
      <c r="W6164" s="11">
        <v>0.23366433885851162</v>
      </c>
      <c r="X6164" s="11">
        <v>0.18295851312525288</v>
      </c>
      <c r="Y6164" s="11">
        <v>0.05185112523847003</v>
      </c>
      <c r="Z6164" s="11">
        <v>0.2596211457132172</v>
      </c>
    </row>
    <row r="6165" ht="22.5" customHeight="1">
      <c r="Q6165" s="9" t="s">
        <v>6203</v>
      </c>
      <c r="R6165" s="10">
        <v>0.6263924886289667</v>
      </c>
      <c r="S6165" s="10">
        <v>0.030119580021501</v>
      </c>
      <c r="T6165" s="10">
        <v>19.46881358273813</v>
      </c>
      <c r="U6165" s="11">
        <v>0.30630913559376444</v>
      </c>
      <c r="V6165" s="11">
        <v>0.1085156031528355</v>
      </c>
      <c r="W6165" s="11">
        <v>0.24895038086569632</v>
      </c>
      <c r="X6165" s="11">
        <v>0.20518034226149773</v>
      </c>
      <c r="Y6165" s="11">
        <v>0.0504550997626353</v>
      </c>
      <c r="Z6165" s="11">
        <v>0.08058943836357058</v>
      </c>
    </row>
    <row r="6166" ht="22.5" customHeight="1">
      <c r="Q6166" s="9" t="s">
        <v>6204</v>
      </c>
      <c r="R6166" s="10">
        <v>0.522331348251574</v>
      </c>
      <c r="S6166" s="10">
        <v>0.03621453789160297</v>
      </c>
      <c r="T6166" s="10">
        <v>19.468558427536127</v>
      </c>
      <c r="U6166" s="11">
        <v>0.19953145277374928</v>
      </c>
      <c r="V6166" s="11">
        <v>0.17992787598934526</v>
      </c>
      <c r="W6166" s="11">
        <v>0.2845734468404653</v>
      </c>
      <c r="X6166" s="11">
        <v>0.08400567131090496</v>
      </c>
      <c r="Y6166" s="11">
        <v>0.03403995727816754</v>
      </c>
      <c r="Z6166" s="11">
        <v>0.21792159580736772</v>
      </c>
    </row>
    <row r="6167" ht="22.5" customHeight="1">
      <c r="Q6167" s="9" t="s">
        <v>6205</v>
      </c>
      <c r="R6167" s="10">
        <v>0.7695240682585244</v>
      </c>
      <c r="S6167" s="10">
        <v>0.037472900761849566</v>
      </c>
      <c r="T6167" s="10">
        <v>19.468043664269477</v>
      </c>
      <c r="U6167" s="11">
        <v>0.043629465407226224</v>
      </c>
      <c r="V6167" s="11">
        <v>0.13372029607371885</v>
      </c>
      <c r="W6167" s="11">
        <v>0.3114372623909248</v>
      </c>
      <c r="X6167" s="11">
        <v>0.4514146190644536</v>
      </c>
      <c r="Y6167" s="11">
        <v>0.02068819724037818</v>
      </c>
      <c r="Z6167" s="11">
        <v>0.03911015982329819</v>
      </c>
    </row>
    <row r="6168" ht="22.5" customHeight="1">
      <c r="Q6168" s="9" t="s">
        <v>6206</v>
      </c>
      <c r="R6168" s="10">
        <v>0.8452015030338133</v>
      </c>
      <c r="S6168" s="10">
        <v>0.04136384919785363</v>
      </c>
      <c r="T6168" s="10">
        <v>19.466309800674814</v>
      </c>
      <c r="U6168" s="11">
        <v>0.12105640273388849</v>
      </c>
      <c r="V6168" s="11">
        <v>0.22572903265691385</v>
      </c>
      <c r="W6168" s="11">
        <v>0.3125438331201477</v>
      </c>
      <c r="X6168" s="11">
        <v>0.010644773323107705</v>
      </c>
      <c r="Y6168" s="11">
        <v>0.19497567411465863</v>
      </c>
      <c r="Z6168" s="11">
        <v>0.1350502840512837</v>
      </c>
    </row>
    <row r="6169" ht="22.5" customHeight="1">
      <c r="Q6169" s="9" t="s">
        <v>6207</v>
      </c>
      <c r="R6169" s="10">
        <v>0.522331348251574</v>
      </c>
      <c r="S6169" s="10">
        <v>0.05356335678253854</v>
      </c>
      <c r="T6169" s="10">
        <v>19.4646802266401</v>
      </c>
      <c r="U6169" s="11">
        <v>0.058904254329452434</v>
      </c>
      <c r="V6169" s="11">
        <v>0.44544772625269924</v>
      </c>
      <c r="W6169" s="11">
        <v>0.2563317420321365</v>
      </c>
      <c r="X6169" s="11">
        <v>0.04333600844806048</v>
      </c>
      <c r="Y6169" s="11">
        <v>0.18689487897589163</v>
      </c>
      <c r="Z6169" s="11">
        <v>0.009085389961759609</v>
      </c>
    </row>
    <row r="6170" ht="22.5" customHeight="1">
      <c r="Q6170" s="9" t="s">
        <v>6208</v>
      </c>
      <c r="R6170" s="10">
        <v>0.701885220095219</v>
      </c>
      <c r="S6170" s="10">
        <v>0.034005370169533776</v>
      </c>
      <c r="T6170" s="10">
        <v>19.464138069822212</v>
      </c>
      <c r="U6170" s="11">
        <v>0.09618711031187419</v>
      </c>
      <c r="V6170" s="11">
        <v>0.296155296999546</v>
      </c>
      <c r="W6170" s="11">
        <v>0.1365182111219168</v>
      </c>
      <c r="X6170" s="11">
        <v>0.03975636825520996</v>
      </c>
      <c r="Y6170" s="11">
        <v>0.11330128315995412</v>
      </c>
      <c r="Z6170" s="11">
        <v>0.31808173015149893</v>
      </c>
    </row>
    <row r="6171" ht="22.5" customHeight="1">
      <c r="Q6171" s="9" t="s">
        <v>6209</v>
      </c>
      <c r="R6171" s="10">
        <v>0.522331348251574</v>
      </c>
      <c r="S6171" s="10">
        <v>0.03151299212763731</v>
      </c>
      <c r="T6171" s="10">
        <v>19.463051114346197</v>
      </c>
      <c r="U6171" s="11">
        <v>0.10918643706273481</v>
      </c>
      <c r="V6171" s="11">
        <v>0.12634228446450557</v>
      </c>
      <c r="W6171" s="11">
        <v>0.25289806458364145</v>
      </c>
      <c r="X6171" s="11">
        <v>0.12498013738686284</v>
      </c>
      <c r="Y6171" s="11">
        <v>0.3047544878613657</v>
      </c>
      <c r="Z6171" s="11">
        <v>0.08183858864088947</v>
      </c>
    </row>
    <row r="6172" ht="22.5" customHeight="1">
      <c r="Q6172" s="9" t="s">
        <v>6210</v>
      </c>
      <c r="R6172" s="10">
        <v>0.41092706117546407</v>
      </c>
      <c r="S6172" s="10">
        <v>0.019058442986506188</v>
      </c>
      <c r="T6172" s="10">
        <v>19.46261095085726</v>
      </c>
      <c r="U6172" s="11">
        <v>0.27393229676798597</v>
      </c>
      <c r="V6172" s="11">
        <v>0.03325574967296551</v>
      </c>
      <c r="W6172" s="11">
        <v>0.15143949237802898</v>
      </c>
      <c r="X6172" s="11">
        <v>0.27439256511944743</v>
      </c>
      <c r="Y6172" s="11">
        <v>0.19171476966816522</v>
      </c>
      <c r="Z6172" s="11">
        <v>0.07526512639340684</v>
      </c>
    </row>
    <row r="6173" ht="22.5" customHeight="1">
      <c r="Q6173" s="9" t="s">
        <v>6211</v>
      </c>
      <c r="R6173" s="10">
        <v>0.6238300556509684</v>
      </c>
      <c r="S6173" s="10">
        <v>0.029998957436433955</v>
      </c>
      <c r="T6173" s="10">
        <v>19.461678189586095</v>
      </c>
      <c r="U6173" s="11">
        <v>0.24184865351465112</v>
      </c>
      <c r="V6173" s="11">
        <v>0.1326923408989742</v>
      </c>
      <c r="W6173" s="11">
        <v>0.2402639840616206</v>
      </c>
      <c r="X6173" s="11">
        <v>0.08855757933807548</v>
      </c>
      <c r="Y6173" s="11">
        <v>0.05749874192225441</v>
      </c>
      <c r="Z6173" s="11">
        <v>0.23913870026442416</v>
      </c>
    </row>
    <row r="6174" ht="22.5" customHeight="1">
      <c r="Q6174" s="9" t="s">
        <v>6212</v>
      </c>
      <c r="R6174" s="10">
        <v>1.1875603033250726</v>
      </c>
      <c r="S6174" s="10">
        <v>0.058971140044088315</v>
      </c>
      <c r="T6174" s="10">
        <v>19.459693376575856</v>
      </c>
      <c r="U6174" s="11">
        <v>0.036827468883262285</v>
      </c>
      <c r="V6174" s="11">
        <v>0.38626779298268166</v>
      </c>
      <c r="W6174" s="11">
        <v>0.4077516251198047</v>
      </c>
      <c r="X6174" s="11">
        <v>0.05300538350887448</v>
      </c>
      <c r="Y6174" s="11">
        <v>0.02172034150410935</v>
      </c>
      <c r="Z6174" s="11">
        <v>0.09442738800126778</v>
      </c>
    </row>
    <row r="6175" ht="22.5" customHeight="1">
      <c r="Q6175" s="9" t="s">
        <v>6213</v>
      </c>
      <c r="R6175" s="10">
        <v>0.6986702976870224</v>
      </c>
      <c r="S6175" s="10">
        <v>0.0338522106180133</v>
      </c>
      <c r="T6175" s="10">
        <v>19.457231467670635</v>
      </c>
      <c r="U6175" s="11">
        <v>0.18212199590732608</v>
      </c>
      <c r="V6175" s="11">
        <v>0.29611533390220157</v>
      </c>
      <c r="W6175" s="11">
        <v>0.12468050404527349</v>
      </c>
      <c r="X6175" s="11">
        <v>0.03120954855345164</v>
      </c>
      <c r="Y6175" s="11">
        <v>0.19503370108911358</v>
      </c>
      <c r="Z6175" s="11">
        <v>0.17083891650263366</v>
      </c>
    </row>
    <row r="6176" ht="22.5" customHeight="1">
      <c r="Q6176" s="9" t="s">
        <v>6214</v>
      </c>
      <c r="R6176" s="10">
        <v>0.5446639698787585</v>
      </c>
      <c r="S6176" s="10">
        <v>0.02593713322792511</v>
      </c>
      <c r="T6176" s="10">
        <v>19.457199276572865</v>
      </c>
      <c r="U6176" s="11">
        <v>0.035627163402003066</v>
      </c>
      <c r="V6176" s="11">
        <v>0.07740452644693052</v>
      </c>
      <c r="W6176" s="11">
        <v>0.2159331376175201</v>
      </c>
      <c r="X6176" s="11">
        <v>0.36734482681898245</v>
      </c>
      <c r="Y6176" s="11">
        <v>0.03023473459012455</v>
      </c>
      <c r="Z6176" s="11">
        <v>0.2734556111244394</v>
      </c>
    </row>
    <row r="6177" ht="22.5" customHeight="1">
      <c r="Q6177" s="9" t="s">
        <v>6215</v>
      </c>
      <c r="R6177" s="10">
        <v>0.7801918491321811</v>
      </c>
      <c r="S6177" s="10">
        <v>0.038042840520546</v>
      </c>
      <c r="T6177" s="10">
        <v>19.45679762615049</v>
      </c>
      <c r="U6177" s="11">
        <v>0.20507487193258758</v>
      </c>
      <c r="V6177" s="11">
        <v>0.32308894113535497</v>
      </c>
      <c r="W6177" s="11">
        <v>0.16962816508114315</v>
      </c>
      <c r="X6177" s="11">
        <v>0.003110024365022388</v>
      </c>
      <c r="Y6177" s="11">
        <v>0.048649263943501914</v>
      </c>
      <c r="Z6177" s="11">
        <v>0.25044873354239006</v>
      </c>
    </row>
    <row r="6178" ht="22.5" customHeight="1">
      <c r="Q6178" s="9" t="s">
        <v>6216</v>
      </c>
      <c r="R6178" s="10">
        <v>0.5917910943558261</v>
      </c>
      <c r="S6178" s="10">
        <v>0.028361897128978544</v>
      </c>
      <c r="T6178" s="10">
        <v>19.455366185361342</v>
      </c>
      <c r="U6178" s="11">
        <v>0.21947574589241195</v>
      </c>
      <c r="V6178" s="11">
        <v>0.25815948387798865</v>
      </c>
      <c r="W6178" s="11">
        <v>0.0631494626600902</v>
      </c>
      <c r="X6178" s="11">
        <v>0.2777731688169729</v>
      </c>
      <c r="Y6178" s="11">
        <v>0.026662187407384488</v>
      </c>
      <c r="Z6178" s="11">
        <v>0.15477995134515177</v>
      </c>
    </row>
    <row r="6179" ht="22.5" customHeight="1">
      <c r="Q6179" s="9" t="s">
        <v>6217</v>
      </c>
      <c r="R6179" s="10">
        <v>0.540565156182585</v>
      </c>
      <c r="S6179" s="10">
        <v>0.025729007883968355</v>
      </c>
      <c r="T6179" s="10">
        <v>19.455284029606336</v>
      </c>
      <c r="U6179" s="11">
        <v>0.19560772850132238</v>
      </c>
      <c r="V6179" s="11">
        <v>0.22535908712164773</v>
      </c>
      <c r="W6179" s="11">
        <v>0.051541786169253374</v>
      </c>
      <c r="X6179" s="11">
        <v>0.18209852726996195</v>
      </c>
      <c r="Y6179" s="11">
        <v>0.3326115880089598</v>
      </c>
      <c r="Z6179" s="11">
        <v>0.012781282928854942</v>
      </c>
    </row>
    <row r="6180" ht="22.5" customHeight="1">
      <c r="Q6180" s="9" t="s">
        <v>6218</v>
      </c>
      <c r="R6180" s="10">
        <v>0.522331348251574</v>
      </c>
      <c r="S6180" s="10">
        <v>0.04391754159278081</v>
      </c>
      <c r="T6180" s="10">
        <v>19.454922830126083</v>
      </c>
      <c r="U6180" s="11">
        <v>0.08225536586764046</v>
      </c>
      <c r="V6180" s="11">
        <v>0.37067798198455254</v>
      </c>
      <c r="W6180" s="11">
        <v>0.20002004570973547</v>
      </c>
      <c r="X6180" s="11">
        <v>0.00640107410746898</v>
      </c>
      <c r="Y6180" s="11">
        <v>0.1852972123083169</v>
      </c>
      <c r="Z6180" s="11">
        <v>0.15534832002228566</v>
      </c>
    </row>
    <row r="6181" ht="22.5" customHeight="1">
      <c r="Q6181" s="9" t="s">
        <v>6219</v>
      </c>
      <c r="R6181" s="10">
        <v>0.522331348251574</v>
      </c>
      <c r="S6181" s="10">
        <v>0.018190800356490004</v>
      </c>
      <c r="T6181" s="10">
        <v>19.454523564423052</v>
      </c>
      <c r="U6181" s="11">
        <v>0.3614385332917817</v>
      </c>
      <c r="V6181" s="11">
        <v>0.055575040715876683</v>
      </c>
      <c r="W6181" s="11">
        <v>0.13689117674662143</v>
      </c>
      <c r="X6181" s="11">
        <v>0.08173916762371079</v>
      </c>
      <c r="Y6181" s="11">
        <v>0.18591274547676578</v>
      </c>
      <c r="Z6181" s="11">
        <v>0.1784433361452436</v>
      </c>
    </row>
    <row r="6182" ht="22.5" customHeight="1">
      <c r="Q6182" s="9" t="s">
        <v>6220</v>
      </c>
      <c r="R6182" s="10">
        <v>0.48483270893752195</v>
      </c>
      <c r="S6182" s="10">
        <v>0.022867987736755958</v>
      </c>
      <c r="T6182" s="10">
        <v>19.452201656665125</v>
      </c>
      <c r="U6182" s="11">
        <v>0.08975339524313293</v>
      </c>
      <c r="V6182" s="11">
        <v>0.10331414335014533</v>
      </c>
      <c r="W6182" s="11">
        <v>0.16992998125347272</v>
      </c>
      <c r="X6182" s="11">
        <v>3.5833674246730294E-5</v>
      </c>
      <c r="Y6182" s="11">
        <v>0.31578460855068885</v>
      </c>
      <c r="Z6182" s="11">
        <v>0.3211820379283133</v>
      </c>
    </row>
    <row r="6183" ht="22.5" customHeight="1">
      <c r="Q6183" s="9" t="s">
        <v>6221</v>
      </c>
      <c r="R6183" s="10">
        <v>0.7161653598988008</v>
      </c>
      <c r="S6183" s="10">
        <v>0.034760698168073714</v>
      </c>
      <c r="T6183" s="10">
        <v>19.452007454782112</v>
      </c>
      <c r="U6183" s="11">
        <v>0.04566915565208939</v>
      </c>
      <c r="V6183" s="11">
        <v>0.18197798040103563</v>
      </c>
      <c r="W6183" s="11">
        <v>0.26499395592541364</v>
      </c>
      <c r="X6183" s="11">
        <v>0.012101255422596062</v>
      </c>
      <c r="Y6183" s="11">
        <v>0.22709340744816686</v>
      </c>
      <c r="Z6183" s="11">
        <v>0.26816424515069837</v>
      </c>
    </row>
    <row r="6184" ht="22.5" customHeight="1">
      <c r="Q6184" s="9" t="s">
        <v>6222</v>
      </c>
      <c r="R6184" s="10">
        <v>0.3778655547261235</v>
      </c>
      <c r="S6184" s="10">
        <v>0.017370610414131203</v>
      </c>
      <c r="T6184" s="10">
        <v>19.450413466832792</v>
      </c>
      <c r="U6184" s="11">
        <v>0.24511337179136927</v>
      </c>
      <c r="V6184" s="11">
        <v>0.03857589285201461</v>
      </c>
      <c r="W6184" s="11">
        <v>0.1324091719418738</v>
      </c>
      <c r="X6184" s="11">
        <v>0.1675850346389611</v>
      </c>
      <c r="Y6184" s="11">
        <v>0.25923233323276224</v>
      </c>
      <c r="Z6184" s="11">
        <v>0.15708419554301895</v>
      </c>
    </row>
    <row r="6185" ht="22.5" customHeight="1">
      <c r="Q6185" s="9" t="s">
        <v>6223</v>
      </c>
      <c r="R6185" s="10">
        <v>0.6317892292875276</v>
      </c>
      <c r="S6185" s="10">
        <v>0.03042556970673348</v>
      </c>
      <c r="T6185" s="10">
        <v>19.450391068817314</v>
      </c>
      <c r="U6185" s="11">
        <v>0.17186280259605705</v>
      </c>
      <c r="V6185" s="11">
        <v>0.2740948795551131</v>
      </c>
      <c r="W6185" s="11">
        <v>0.08966645947168184</v>
      </c>
      <c r="X6185" s="11">
        <v>0.13027453898731947</v>
      </c>
      <c r="Y6185" s="11">
        <v>0.14299390449360974</v>
      </c>
      <c r="Z6185" s="11">
        <v>0.19110741489621869</v>
      </c>
    </row>
    <row r="6186" ht="22.5" customHeight="1">
      <c r="Q6186" s="9" t="s">
        <v>6224</v>
      </c>
      <c r="R6186" s="10">
        <v>0.6135743387158757</v>
      </c>
      <c r="S6186" s="10">
        <v>0.029489492357157962</v>
      </c>
      <c r="T6186" s="10">
        <v>19.450125887862306</v>
      </c>
      <c r="U6186" s="11">
        <v>0.3496345618172487</v>
      </c>
      <c r="V6186" s="11">
        <v>0.2595549533580611</v>
      </c>
      <c r="W6186" s="11">
        <v>0.09625843446184469</v>
      </c>
      <c r="X6186" s="11">
        <v>0.06410101652502666</v>
      </c>
      <c r="Y6186" s="11">
        <v>0.06706762644869907</v>
      </c>
      <c r="Z6186" s="11">
        <v>0.16338340738911974</v>
      </c>
    </row>
    <row r="6187" ht="22.5" customHeight="1">
      <c r="Q6187" s="9" t="s">
        <v>6225</v>
      </c>
      <c r="R6187" s="10">
        <v>0.2642541731982327</v>
      </c>
      <c r="S6187" s="10">
        <v>0.011530146984553196</v>
      </c>
      <c r="T6187" s="10">
        <v>19.44937679447308</v>
      </c>
      <c r="U6187" s="11">
        <v>0.3635777996114036</v>
      </c>
      <c r="V6187" s="11">
        <v>0.0520081553777021</v>
      </c>
      <c r="W6187" s="11">
        <v>0.04843134367630013</v>
      </c>
      <c r="X6187" s="11">
        <v>0.07768844881638076</v>
      </c>
      <c r="Y6187" s="11">
        <v>0.1471249863820536</v>
      </c>
      <c r="Z6187" s="11">
        <v>0.31116926613615975</v>
      </c>
    </row>
    <row r="6188" ht="22.5" customHeight="1">
      <c r="Q6188" s="9" t="s">
        <v>6226</v>
      </c>
      <c r="R6188" s="10">
        <v>0.9787920779743756</v>
      </c>
      <c r="S6188" s="10">
        <v>0.048270633119392156</v>
      </c>
      <c r="T6188" s="10">
        <v>19.44851387493459</v>
      </c>
      <c r="U6188" s="11">
        <v>0.07222222262946651</v>
      </c>
      <c r="V6188" s="11">
        <v>0.25113760534144747</v>
      </c>
      <c r="W6188" s="11">
        <v>0.3741031365094066</v>
      </c>
      <c r="X6188" s="11">
        <v>0.12335598853409288</v>
      </c>
      <c r="Y6188" s="11">
        <v>0.16404687244375832</v>
      </c>
      <c r="Z6188" s="11">
        <v>0.015134174541828154</v>
      </c>
    </row>
    <row r="6189" ht="22.5" customHeight="1">
      <c r="Q6189" s="9" t="s">
        <v>6227</v>
      </c>
      <c r="R6189" s="10">
        <v>0.25826980687879514</v>
      </c>
      <c r="S6189" s="10">
        <v>0.011223314097729394</v>
      </c>
      <c r="T6189" s="10">
        <v>19.447892572386763</v>
      </c>
      <c r="U6189" s="11">
        <v>0.18807793660988467</v>
      </c>
      <c r="V6189" s="11">
        <v>0.009842412893979286</v>
      </c>
      <c r="W6189" s="11">
        <v>0.06577904594623993</v>
      </c>
      <c r="X6189" s="11">
        <v>0.33575550805518695</v>
      </c>
      <c r="Y6189" s="11">
        <v>0.11358448220474773</v>
      </c>
      <c r="Z6189" s="11">
        <v>0.28696061428996145</v>
      </c>
    </row>
    <row r="6190" ht="22.5" customHeight="1">
      <c r="Q6190" s="9" t="s">
        <v>6228</v>
      </c>
      <c r="R6190" s="10">
        <v>0.522331348251574</v>
      </c>
      <c r="S6190" s="10">
        <v>0.026848452733025076</v>
      </c>
      <c r="T6190" s="10">
        <v>19.44780811936825</v>
      </c>
      <c r="U6190" s="11">
        <v>0.3994328836492804</v>
      </c>
      <c r="V6190" s="11">
        <v>0.10413610553479571</v>
      </c>
      <c r="W6190" s="11">
        <v>0.21058001756102993</v>
      </c>
      <c r="X6190" s="11">
        <v>0.04940186019434533</v>
      </c>
      <c r="Y6190" s="11">
        <v>0.20638814429699986</v>
      </c>
      <c r="Z6190" s="11">
        <v>0.030060988763548693</v>
      </c>
    </row>
    <row r="6191" ht="22.5" customHeight="1">
      <c r="Q6191" s="9" t="s">
        <v>6229</v>
      </c>
      <c r="R6191" s="10">
        <v>0.8153644455698215</v>
      </c>
      <c r="S6191" s="10">
        <v>0.03986901584491505</v>
      </c>
      <c r="T6191" s="10">
        <v>19.447794964036277</v>
      </c>
      <c r="U6191" s="11">
        <v>0.1171708467774992</v>
      </c>
      <c r="V6191" s="11">
        <v>0.17446520844905902</v>
      </c>
      <c r="W6191" s="11">
        <v>0.32272522508316587</v>
      </c>
      <c r="X6191" s="11">
        <v>0.18796983152374871</v>
      </c>
      <c r="Y6191" s="11">
        <v>0.16986860609477847</v>
      </c>
      <c r="Z6191" s="11">
        <v>0.027800282071748676</v>
      </c>
    </row>
    <row r="6192" ht="22.5" customHeight="1">
      <c r="Q6192" s="9" t="s">
        <v>6230</v>
      </c>
      <c r="R6192" s="10">
        <v>0.9408999678057408</v>
      </c>
      <c r="S6192" s="10">
        <v>0.04632657652525661</v>
      </c>
      <c r="T6192" s="10">
        <v>19.44672012002835</v>
      </c>
      <c r="U6192" s="11">
        <v>0.010959181051726523</v>
      </c>
      <c r="V6192" s="11">
        <v>0.2534235418944514</v>
      </c>
      <c r="W6192" s="11">
        <v>0.35450937163549817</v>
      </c>
      <c r="X6192" s="11">
        <v>0.12087337399384997</v>
      </c>
      <c r="Y6192" s="11">
        <v>0.0677742829113601</v>
      </c>
      <c r="Z6192" s="11">
        <v>0.19246024851311397</v>
      </c>
    </row>
    <row r="6193" ht="22.5" customHeight="1">
      <c r="Q6193" s="9" t="s">
        <v>6231</v>
      </c>
      <c r="R6193" s="10">
        <v>0.522331348251574</v>
      </c>
      <c r="S6193" s="10">
        <v>0.03637070074680679</v>
      </c>
      <c r="T6193" s="10">
        <v>19.446628725852932</v>
      </c>
      <c r="U6193" s="11">
        <v>0.28352528199310717</v>
      </c>
      <c r="V6193" s="11">
        <v>0.16237015186742632</v>
      </c>
      <c r="W6193" s="11">
        <v>0.29339662823986556</v>
      </c>
      <c r="X6193" s="11">
        <v>0.15017941208262423</v>
      </c>
      <c r="Y6193" s="11">
        <v>0.004631998939107373</v>
      </c>
      <c r="Z6193" s="11">
        <v>0.1058965268778693</v>
      </c>
    </row>
    <row r="6194" ht="22.5" customHeight="1">
      <c r="Q6194" s="9" t="s">
        <v>6232</v>
      </c>
      <c r="R6194" s="10">
        <v>0.48572173804098706</v>
      </c>
      <c r="S6194" s="10">
        <v>0.022920756613660023</v>
      </c>
      <c r="T6194" s="10">
        <v>19.446205269478384</v>
      </c>
      <c r="U6194" s="11">
        <v>0.028383693737370094</v>
      </c>
      <c r="V6194" s="11">
        <v>0.2039973895345639</v>
      </c>
      <c r="W6194" s="11">
        <v>0.032028020708791204</v>
      </c>
      <c r="X6194" s="11">
        <v>0.30832114014981743</v>
      </c>
      <c r="Y6194" s="11">
        <v>0.24742905523952635</v>
      </c>
      <c r="Z6194" s="11">
        <v>0.17984070062993088</v>
      </c>
    </row>
    <row r="6195" ht="22.5" customHeight="1">
      <c r="Q6195" s="9" t="s">
        <v>6233</v>
      </c>
      <c r="R6195" s="10">
        <v>0.6056626449365199</v>
      </c>
      <c r="S6195" s="10">
        <v>0.0290902634604408</v>
      </c>
      <c r="T6195" s="10">
        <v>19.44508497510694</v>
      </c>
      <c r="U6195" s="11">
        <v>0.005270547772153476</v>
      </c>
      <c r="V6195" s="11">
        <v>0.26525091641843</v>
      </c>
      <c r="W6195" s="11">
        <v>0.07828466627290184</v>
      </c>
      <c r="X6195" s="11">
        <v>0.2453202680717227</v>
      </c>
      <c r="Y6195" s="11">
        <v>0.07605936772375475</v>
      </c>
      <c r="Z6195" s="11">
        <v>0.32981423374103713</v>
      </c>
    </row>
    <row r="6196" ht="22.5" customHeight="1">
      <c r="Q6196" s="9" t="s">
        <v>6234</v>
      </c>
      <c r="R6196" s="10">
        <v>0.8175342683536908</v>
      </c>
      <c r="S6196" s="10">
        <v>0.03998654266850073</v>
      </c>
      <c r="T6196" s="10">
        <v>19.44489862000975</v>
      </c>
      <c r="U6196" s="11">
        <v>0.011185508702492953</v>
      </c>
      <c r="V6196" s="11">
        <v>0.3436827792361031</v>
      </c>
      <c r="W6196" s="11">
        <v>0.1588000331809232</v>
      </c>
      <c r="X6196" s="11">
        <v>0.044304554858853346</v>
      </c>
      <c r="Y6196" s="11">
        <v>0.3455995666184288</v>
      </c>
      <c r="Z6196" s="11">
        <v>0.09642755740319879</v>
      </c>
    </row>
    <row r="6197" ht="22.5" customHeight="1">
      <c r="Q6197" s="9" t="s">
        <v>6235</v>
      </c>
      <c r="R6197" s="10">
        <v>0.9420688657838432</v>
      </c>
      <c r="S6197" s="10">
        <v>0.0463916549599963</v>
      </c>
      <c r="T6197" s="10">
        <v>19.4446364666598</v>
      </c>
      <c r="U6197" s="11">
        <v>0.1944885052316405</v>
      </c>
      <c r="V6197" s="11">
        <v>0.2456608921155705</v>
      </c>
      <c r="W6197" s="11">
        <v>0.3574382407927915</v>
      </c>
      <c r="X6197" s="11">
        <v>0.07747916836746453</v>
      </c>
      <c r="Y6197" s="11">
        <v>0.09381466284651876</v>
      </c>
      <c r="Z6197" s="11">
        <v>0.031118530646014202</v>
      </c>
    </row>
    <row r="6198" ht="22.5" customHeight="1">
      <c r="Q6198" s="9" t="s">
        <v>6236</v>
      </c>
      <c r="R6198" s="10">
        <v>0.7032882688887677</v>
      </c>
      <c r="S6198" s="10">
        <v>0.03411278172297079</v>
      </c>
      <c r="T6198" s="10">
        <v>19.443980683701444</v>
      </c>
      <c r="U6198" s="11">
        <v>0.27318007911662234</v>
      </c>
      <c r="V6198" s="11">
        <v>0.15453463613103613</v>
      </c>
      <c r="W6198" s="11">
        <v>0.27324968291757645</v>
      </c>
      <c r="X6198" s="11">
        <v>0.09993958329030123</v>
      </c>
      <c r="Y6198" s="11">
        <v>0.048995451730709516</v>
      </c>
      <c r="Z6198" s="11">
        <v>0.1501005668137543</v>
      </c>
    </row>
    <row r="6199" ht="22.5" customHeight="1">
      <c r="Q6199" s="9" t="s">
        <v>6237</v>
      </c>
      <c r="R6199" s="10">
        <v>0.5947531652695602</v>
      </c>
      <c r="S6199" s="10">
        <v>0.028531859688556486</v>
      </c>
      <c r="T6199" s="10">
        <v>19.443288005936036</v>
      </c>
      <c r="U6199" s="11">
        <v>0.1128165772824704</v>
      </c>
      <c r="V6199" s="11">
        <v>0.24836572101443433</v>
      </c>
      <c r="W6199" s="11">
        <v>0.10006243293434201</v>
      </c>
      <c r="X6199" s="11">
        <v>0.014331438729107113</v>
      </c>
      <c r="Y6199" s="11">
        <v>0.25288354972325283</v>
      </c>
      <c r="Z6199" s="11">
        <v>0.2715402803163933</v>
      </c>
    </row>
    <row r="6200" ht="22.5" customHeight="1">
      <c r="Q6200" s="9" t="s">
        <v>6238</v>
      </c>
      <c r="R6200" s="10">
        <v>0.3369843860278294</v>
      </c>
      <c r="S6200" s="10">
        <v>0.01527454330154459</v>
      </c>
      <c r="T6200" s="10">
        <v>19.443094314826276</v>
      </c>
      <c r="U6200" s="11">
        <v>0.39066541504978486</v>
      </c>
      <c r="V6200" s="11">
        <v>0.05136456256873488</v>
      </c>
      <c r="W6200" s="11">
        <v>0.10639295124739787</v>
      </c>
      <c r="X6200" s="11">
        <v>0.08414136801123762</v>
      </c>
      <c r="Y6200" s="11">
        <v>0.064346413210093</v>
      </c>
      <c r="Z6200" s="11">
        <v>0.3030892899127518</v>
      </c>
    </row>
    <row r="6201" ht="22.5" customHeight="1">
      <c r="Q6201" s="9" t="s">
        <v>6239</v>
      </c>
      <c r="R6201" s="10">
        <v>0.5005661277980317</v>
      </c>
      <c r="S6201" s="10">
        <v>0.02368879491396203</v>
      </c>
      <c r="T6201" s="10">
        <v>19.44236207332678</v>
      </c>
      <c r="U6201" s="11">
        <v>0.25478932415932076</v>
      </c>
      <c r="V6201" s="11">
        <v>0.09527601936055509</v>
      </c>
      <c r="W6201" s="11">
        <v>0.18622820702830237</v>
      </c>
      <c r="X6201" s="11">
        <v>0.04063605514204205</v>
      </c>
      <c r="Y6201" s="11">
        <v>0.1700322194960426</v>
      </c>
      <c r="Z6201" s="11">
        <v>0.25303817481373714</v>
      </c>
    </row>
    <row r="6202" ht="22.5" customHeight="1">
      <c r="Q6202" s="9" t="s">
        <v>6240</v>
      </c>
      <c r="R6202" s="10">
        <v>0.8559927784489797</v>
      </c>
      <c r="S6202" s="10">
        <v>0.041973489395594</v>
      </c>
      <c r="T6202" s="10">
        <v>19.44067053273477</v>
      </c>
      <c r="U6202" s="11">
        <v>0.1830716895848175</v>
      </c>
      <c r="V6202" s="11">
        <v>0.22375565943993794</v>
      </c>
      <c r="W6202" s="11">
        <v>0.323648836975248</v>
      </c>
      <c r="X6202" s="11">
        <v>0.08101116022810642</v>
      </c>
      <c r="Y6202" s="11">
        <v>0.005620919911620818</v>
      </c>
      <c r="Z6202" s="11">
        <v>0.18289173386026927</v>
      </c>
    </row>
    <row r="6203" ht="22.5" customHeight="1">
      <c r="Q6203" s="9" t="s">
        <v>6241</v>
      </c>
      <c r="R6203" s="10">
        <v>0.7602240870700675</v>
      </c>
      <c r="S6203" s="10">
        <v>0.03704876839967539</v>
      </c>
      <c r="T6203" s="10">
        <v>19.439892827216838</v>
      </c>
      <c r="U6203" s="11">
        <v>0.06262875450640452</v>
      </c>
      <c r="V6203" s="11">
        <v>0.1856130799944845</v>
      </c>
      <c r="W6203" s="11">
        <v>0.2916910497987537</v>
      </c>
      <c r="X6203" s="11">
        <v>0.11536996586497908</v>
      </c>
      <c r="Y6203" s="11">
        <v>0.052352164914257704</v>
      </c>
      <c r="Z6203" s="11">
        <v>0.2923449849211205</v>
      </c>
    </row>
    <row r="6204" ht="22.5" customHeight="1">
      <c r="Q6204" s="9" t="s">
        <v>6242</v>
      </c>
      <c r="R6204" s="10">
        <v>0.6419715342607464</v>
      </c>
      <c r="S6204" s="10">
        <v>0.030968334617150706</v>
      </c>
      <c r="T6204" s="10">
        <v>19.43829210394045</v>
      </c>
      <c r="U6204" s="11">
        <v>0.3463105798354788</v>
      </c>
      <c r="V6204" s="11">
        <v>0.14034810460943833</v>
      </c>
      <c r="W6204" s="11">
        <v>0.24332140395724022</v>
      </c>
      <c r="X6204" s="11">
        <v>0.02838319338882255</v>
      </c>
      <c r="Y6204" s="11">
        <v>0.12077986972024596</v>
      </c>
      <c r="Z6204" s="11">
        <v>0.12085684848877422</v>
      </c>
    </row>
    <row r="6205" ht="22.5" customHeight="1">
      <c r="Q6205" s="9" t="s">
        <v>6243</v>
      </c>
      <c r="R6205" s="10">
        <v>0.5585594611021106</v>
      </c>
      <c r="S6205" s="10">
        <v>0.026677857565546987</v>
      </c>
      <c r="T6205" s="10">
        <v>19.437822539835512</v>
      </c>
      <c r="U6205" s="11">
        <v>0.23648256666375617</v>
      </c>
      <c r="V6205" s="11">
        <v>0.09516217840081753</v>
      </c>
      <c r="W6205" s="11">
        <v>0.21928996529511136</v>
      </c>
      <c r="X6205" s="11">
        <v>0.14878263599940578</v>
      </c>
      <c r="Y6205" s="11">
        <v>0.11953558235499885</v>
      </c>
      <c r="Z6205" s="11">
        <v>0.18074707128591028</v>
      </c>
    </row>
    <row r="6206" ht="22.5" customHeight="1">
      <c r="Q6206" s="9" t="s">
        <v>6244</v>
      </c>
      <c r="R6206" s="10">
        <v>0.6347680238655692</v>
      </c>
      <c r="S6206" s="10">
        <v>0.030598504404768665</v>
      </c>
      <c r="T6206" s="10">
        <v>19.437813561007797</v>
      </c>
      <c r="U6206" s="11">
        <v>0.13109802869741577</v>
      </c>
      <c r="V6206" s="11">
        <v>0.27964762864308274</v>
      </c>
      <c r="W6206" s="11">
        <v>0.07247742986254972</v>
      </c>
      <c r="X6206" s="11">
        <v>0.29593407476272543</v>
      </c>
      <c r="Y6206" s="11">
        <v>0.05590593365699587</v>
      </c>
      <c r="Z6206" s="11">
        <v>0.1649369043772305</v>
      </c>
    </row>
    <row r="6207" ht="22.5" customHeight="1">
      <c r="Q6207" s="9" t="s">
        <v>6245</v>
      </c>
      <c r="R6207" s="10">
        <v>0.5469264572224891</v>
      </c>
      <c r="S6207" s="10">
        <v>0.026079872800625948</v>
      </c>
      <c r="T6207" s="10">
        <v>19.437458959168016</v>
      </c>
      <c r="U6207" s="11">
        <v>0.21621511548581962</v>
      </c>
      <c r="V6207" s="11">
        <v>0.09776284347306725</v>
      </c>
      <c r="W6207" s="11">
        <v>0.2100943086695937</v>
      </c>
      <c r="X6207" s="11">
        <v>0.09097214056430615</v>
      </c>
      <c r="Y6207" s="11">
        <v>0.21143852034205557</v>
      </c>
      <c r="Z6207" s="11">
        <v>0.17351707146515766</v>
      </c>
    </row>
    <row r="6208" ht="22.5" customHeight="1">
      <c r="Q6208" s="9" t="s">
        <v>6246</v>
      </c>
      <c r="R6208" s="10">
        <v>0.3518025109345681</v>
      </c>
      <c r="S6208" s="10">
        <v>0.016041705670626894</v>
      </c>
      <c r="T6208" s="10">
        <v>19.436992383265885</v>
      </c>
      <c r="U6208" s="11">
        <v>0.28993032781672623</v>
      </c>
      <c r="V6208" s="11">
        <v>0.015163876384673355</v>
      </c>
      <c r="W6208" s="11">
        <v>0.11822631246246819</v>
      </c>
      <c r="X6208" s="11">
        <v>0.3345579109081163</v>
      </c>
      <c r="Y6208" s="11">
        <v>0.18830683797537126</v>
      </c>
      <c r="Z6208" s="11">
        <v>0.05381473445264438</v>
      </c>
    </row>
    <row r="6209" ht="22.5" customHeight="1">
      <c r="Q6209" s="9" t="s">
        <v>6247</v>
      </c>
      <c r="R6209" s="10">
        <v>0.6653251045229492</v>
      </c>
      <c r="S6209" s="10">
        <v>0.032172860565861806</v>
      </c>
      <c r="T6209" s="10">
        <v>19.436416082518736</v>
      </c>
      <c r="U6209" s="11">
        <v>0.08568691273110475</v>
      </c>
      <c r="V6209" s="11">
        <v>0.2880254035251535</v>
      </c>
      <c r="W6209" s="11">
        <v>0.09268171627779213</v>
      </c>
      <c r="X6209" s="11">
        <v>0.14579440502550886</v>
      </c>
      <c r="Y6209" s="11">
        <v>0.2750349392838089</v>
      </c>
      <c r="Z6209" s="11">
        <v>0.11277662315663195</v>
      </c>
    </row>
    <row r="6210" ht="22.5" customHeight="1">
      <c r="Q6210" s="9" t="s">
        <v>6248</v>
      </c>
      <c r="R6210" s="10">
        <v>0.4038429507868446</v>
      </c>
      <c r="S6210" s="10">
        <v>0.01872025070219007</v>
      </c>
      <c r="T6210" s="10">
        <v>19.435794775135083</v>
      </c>
      <c r="U6210" s="11">
        <v>0.16569590954018748</v>
      </c>
      <c r="V6210" s="11">
        <v>0.1535344684507343</v>
      </c>
      <c r="W6210" s="11">
        <v>0.04783636399848563</v>
      </c>
      <c r="X6210" s="11">
        <v>0.039327761051454524</v>
      </c>
      <c r="Y6210" s="11">
        <v>0.32064961684300447</v>
      </c>
      <c r="Z6210" s="11">
        <v>0.27295588011613353</v>
      </c>
    </row>
    <row r="6211" ht="22.5" customHeight="1">
      <c r="Q6211" s="9" t="s">
        <v>6249</v>
      </c>
      <c r="R6211" s="10">
        <v>0.579896669829754</v>
      </c>
      <c r="S6211" s="10">
        <v>0.02778011669660717</v>
      </c>
      <c r="T6211" s="10">
        <v>19.43464369592416</v>
      </c>
      <c r="U6211" s="11">
        <v>0.028078316578836787</v>
      </c>
      <c r="V6211" s="11">
        <v>0.12512417510616283</v>
      </c>
      <c r="W6211" s="11">
        <v>0.20283332586792538</v>
      </c>
      <c r="X6211" s="11">
        <v>0.03152326204795877</v>
      </c>
      <c r="Y6211" s="11">
        <v>0.49816130686220783</v>
      </c>
      <c r="Z6211" s="11">
        <v>0.11427961353690831</v>
      </c>
    </row>
    <row r="6212" ht="22.5" customHeight="1">
      <c r="Q6212" s="9" t="s">
        <v>6250</v>
      </c>
      <c r="R6212" s="10">
        <v>0.7119295902791474</v>
      </c>
      <c r="S6212" s="10">
        <v>0.03457921241903377</v>
      </c>
      <c r="T6212" s="10">
        <v>19.431604807438895</v>
      </c>
      <c r="U6212" s="11">
        <v>0.04451759618818984</v>
      </c>
      <c r="V6212" s="11">
        <v>0.1452426533297461</v>
      </c>
      <c r="W6212" s="11">
        <v>0.28326807851111113</v>
      </c>
      <c r="X6212" s="11">
        <v>0.22381038511201262</v>
      </c>
      <c r="Y6212" s="11">
        <v>0.07585872355020602</v>
      </c>
      <c r="Z6212" s="11">
        <v>0.22730256330873425</v>
      </c>
    </row>
    <row r="6213" ht="22.5" customHeight="1">
      <c r="Q6213" s="9" t="s">
        <v>6251</v>
      </c>
      <c r="R6213" s="10">
        <v>0.7544355862394294</v>
      </c>
      <c r="S6213" s="10">
        <v>0.03676825520013849</v>
      </c>
      <c r="T6213" s="10">
        <v>19.430772070923247</v>
      </c>
      <c r="U6213" s="11">
        <v>0.06812650642448406</v>
      </c>
      <c r="V6213" s="11">
        <v>0.17390150285421627</v>
      </c>
      <c r="W6213" s="11">
        <v>0.2942971555407343</v>
      </c>
      <c r="X6213" s="11">
        <v>0.1530973110851756</v>
      </c>
      <c r="Y6213" s="11">
        <v>0.053473127933670005</v>
      </c>
      <c r="Z6213" s="11">
        <v>0.25710439616171976</v>
      </c>
    </row>
    <row r="6214" ht="22.5" customHeight="1">
      <c r="Q6214" s="9" t="s">
        <v>6252</v>
      </c>
      <c r="R6214" s="10">
        <v>0.522331348251574</v>
      </c>
      <c r="S6214" s="10">
        <v>0.023850876032878693</v>
      </c>
      <c r="T6214" s="10">
        <v>19.430755095623294</v>
      </c>
      <c r="U6214" s="11">
        <v>0.2705720337439717</v>
      </c>
      <c r="V6214" s="11">
        <v>0.08751503727386946</v>
      </c>
      <c r="W6214" s="11">
        <v>0.1899927986094314</v>
      </c>
      <c r="X6214" s="11">
        <v>0.07095954776228854</v>
      </c>
      <c r="Y6214" s="11">
        <v>0.1917090382014327</v>
      </c>
      <c r="Z6214" s="11">
        <v>0.18925154440900616</v>
      </c>
    </row>
    <row r="6215" ht="22.5" customHeight="1">
      <c r="Q6215" s="9" t="s">
        <v>6253</v>
      </c>
      <c r="R6215" s="10">
        <v>0.5512733751356141</v>
      </c>
      <c r="S6215" s="10">
        <v>0.026313759453670416</v>
      </c>
      <c r="T6215" s="10">
        <v>19.42988709142047</v>
      </c>
      <c r="U6215" s="11">
        <v>0.17429098946490668</v>
      </c>
      <c r="V6215" s="11">
        <v>0.239872662925684</v>
      </c>
      <c r="W6215" s="11">
        <v>0.0552868813250489</v>
      </c>
      <c r="X6215" s="11">
        <v>0.2766553157013185</v>
      </c>
      <c r="Y6215" s="11">
        <v>0.024268921089248045</v>
      </c>
      <c r="Z6215" s="11">
        <v>0.22962522949379385</v>
      </c>
    </row>
    <row r="6216" ht="22.5" customHeight="1">
      <c r="Q6216" s="9" t="s">
        <v>6254</v>
      </c>
      <c r="R6216" s="10">
        <v>0.4348974996524934</v>
      </c>
      <c r="S6216" s="10">
        <v>0.02032539318607017</v>
      </c>
      <c r="T6216" s="10">
        <v>19.428775425763128</v>
      </c>
      <c r="U6216" s="11">
        <v>0.28068731627362303</v>
      </c>
      <c r="V6216" s="11">
        <v>0.034315948924270874</v>
      </c>
      <c r="W6216" s="11">
        <v>0.164940208475711</v>
      </c>
      <c r="X6216" s="11">
        <v>0.3450711398075432</v>
      </c>
      <c r="Y6216" s="11">
        <v>0.09915527433110247</v>
      </c>
      <c r="Z6216" s="11">
        <v>0.0758301121877494</v>
      </c>
    </row>
    <row r="6217" ht="22.5" customHeight="1">
      <c r="Q6217" s="9" t="s">
        <v>6255</v>
      </c>
      <c r="R6217" s="10">
        <v>0.2530144575588881</v>
      </c>
      <c r="S6217" s="10">
        <v>0.010964117825717061</v>
      </c>
      <c r="T6217" s="10">
        <v>19.42832619504039</v>
      </c>
      <c r="U6217" s="11">
        <v>0.3377791545986364</v>
      </c>
      <c r="V6217" s="11">
        <v>0.02199932528292399</v>
      </c>
      <c r="W6217" s="11">
        <v>0.05524840061878285</v>
      </c>
      <c r="X6217" s="11">
        <v>0.1895345240407844</v>
      </c>
      <c r="Y6217" s="11">
        <v>0.1861221856849074</v>
      </c>
      <c r="Z6217" s="11">
        <v>0.2093164097739649</v>
      </c>
    </row>
    <row r="6218" ht="22.5" customHeight="1">
      <c r="Q6218" s="9" t="s">
        <v>6256</v>
      </c>
      <c r="R6218" s="10">
        <v>0.26854585188422864</v>
      </c>
      <c r="S6218" s="10">
        <v>0.01176411096642286</v>
      </c>
      <c r="T6218" s="10">
        <v>19.427379811066427</v>
      </c>
      <c r="U6218" s="11">
        <v>0.3009369730138935</v>
      </c>
      <c r="V6218" s="11">
        <v>0.038877276747213335</v>
      </c>
      <c r="W6218" s="11">
        <v>0.050926886968466756</v>
      </c>
      <c r="X6218" s="11">
        <v>0.12295410061970467</v>
      </c>
      <c r="Y6218" s="11">
        <v>0.3083061289046153</v>
      </c>
      <c r="Z6218" s="11">
        <v>0.17799863374610647</v>
      </c>
    </row>
    <row r="6219" ht="22.5" customHeight="1">
      <c r="Q6219" s="9" t="s">
        <v>6257</v>
      </c>
      <c r="R6219" s="10">
        <v>0.4119623993866509</v>
      </c>
      <c r="S6219" s="10">
        <v>0.019146884713375938</v>
      </c>
      <c r="T6219" s="10">
        <v>19.4267843022421</v>
      </c>
      <c r="U6219" s="11">
        <v>0.3298071511567152</v>
      </c>
      <c r="V6219" s="11">
        <v>0.16396483665013414</v>
      </c>
      <c r="W6219" s="11">
        <v>0.047420526343514846</v>
      </c>
      <c r="X6219" s="11">
        <v>0.10261452546389574</v>
      </c>
      <c r="Y6219" s="11">
        <v>0.021088807103462615</v>
      </c>
      <c r="Z6219" s="11">
        <v>0.3351041532822773</v>
      </c>
    </row>
    <row r="6220" ht="22.5" customHeight="1">
      <c r="Q6220" s="9" t="s">
        <v>6258</v>
      </c>
      <c r="R6220" s="10">
        <v>0.46640939241581447</v>
      </c>
      <c r="S6220" s="10">
        <v>0.021952061912327358</v>
      </c>
      <c r="T6220" s="10">
        <v>19.424571328143024</v>
      </c>
      <c r="U6220" s="11">
        <v>0.03608249641447976</v>
      </c>
      <c r="V6220" s="11">
        <v>0.059789293959344396</v>
      </c>
      <c r="W6220" s="11">
        <v>0.1804503455728755</v>
      </c>
      <c r="X6220" s="11">
        <v>0.34505049935674054</v>
      </c>
      <c r="Y6220" s="11">
        <v>0.020677721553864773</v>
      </c>
      <c r="Z6220" s="11">
        <v>0.35794964314269495</v>
      </c>
    </row>
    <row r="6221" ht="22.5" customHeight="1">
      <c r="Q6221" s="9" t="s">
        <v>6259</v>
      </c>
      <c r="R6221" s="10">
        <v>0.6656756240038928</v>
      </c>
      <c r="S6221" s="10">
        <v>0.03221215163664685</v>
      </c>
      <c r="T6221" s="10">
        <v>19.42358992536467</v>
      </c>
      <c r="U6221" s="11">
        <v>0.12857355244874025</v>
      </c>
      <c r="V6221" s="11">
        <v>0.29142458934246634</v>
      </c>
      <c r="W6221" s="11">
        <v>0.09697017973558135</v>
      </c>
      <c r="X6221" s="11">
        <v>0.1580092920400396</v>
      </c>
      <c r="Y6221" s="11">
        <v>0.11711911279422534</v>
      </c>
      <c r="Z6221" s="11">
        <v>0.20790327363894712</v>
      </c>
    </row>
    <row r="6222" ht="22.5" customHeight="1">
      <c r="Q6222" s="9" t="s">
        <v>6260</v>
      </c>
      <c r="R6222" s="10">
        <v>0.6583414311877279</v>
      </c>
      <c r="S6222" s="10">
        <v>0.03183504707472068</v>
      </c>
      <c r="T6222" s="10">
        <v>19.423292503271828</v>
      </c>
      <c r="U6222" s="11">
        <v>0.11680519090075801</v>
      </c>
      <c r="V6222" s="11">
        <v>0.14346276705822678</v>
      </c>
      <c r="W6222" s="11">
        <v>0.2436232817031181</v>
      </c>
      <c r="X6222" s="11">
        <v>0.02834668588068358</v>
      </c>
      <c r="Y6222" s="11">
        <v>0.40708167137750956</v>
      </c>
      <c r="Z6222" s="11">
        <v>0.06068040307970391</v>
      </c>
    </row>
    <row r="6223" ht="22.5" customHeight="1">
      <c r="Q6223" s="9" t="s">
        <v>6261</v>
      </c>
      <c r="R6223" s="10">
        <v>0.46606535828165896</v>
      </c>
      <c r="S6223" s="10">
        <v>0.02193869735111104</v>
      </c>
      <c r="T6223" s="10">
        <v>19.420722728557163</v>
      </c>
      <c r="U6223" s="11">
        <v>0.013005964371775099</v>
      </c>
      <c r="V6223" s="11">
        <v>0.06566852596711024</v>
      </c>
      <c r="W6223" s="11">
        <v>0.17964578970882641</v>
      </c>
      <c r="X6223" s="11">
        <v>0.22552498813629493</v>
      </c>
      <c r="Y6223" s="11">
        <v>0.1792848946325056</v>
      </c>
      <c r="Z6223" s="11">
        <v>0.3368698371834877</v>
      </c>
    </row>
    <row r="6224" ht="22.5" customHeight="1">
      <c r="Q6224" s="9" t="s">
        <v>6262</v>
      </c>
      <c r="R6224" s="10">
        <v>0.7479254582045657</v>
      </c>
      <c r="S6224" s="10">
        <v>0.0364521446697875</v>
      </c>
      <c r="T6224" s="10">
        <v>19.420680583200717</v>
      </c>
      <c r="U6224" s="11">
        <v>0.09981895216980677</v>
      </c>
      <c r="V6224" s="11">
        <v>0.3258934410677321</v>
      </c>
      <c r="W6224" s="11">
        <v>0.12824903807263263</v>
      </c>
      <c r="X6224" s="11">
        <v>0.13755020142873187</v>
      </c>
      <c r="Y6224" s="11">
        <v>0.08172584379422003</v>
      </c>
      <c r="Z6224" s="11">
        <v>0.2267625234668766</v>
      </c>
    </row>
    <row r="6225" ht="22.5" customHeight="1">
      <c r="Q6225" s="9" t="s">
        <v>6263</v>
      </c>
      <c r="R6225" s="10">
        <v>0.4208057615558058</v>
      </c>
      <c r="S6225" s="10">
        <v>0.019608729570256812</v>
      </c>
      <c r="T6225" s="10">
        <v>19.420215888612432</v>
      </c>
      <c r="U6225" s="11">
        <v>0.33147026670766105</v>
      </c>
      <c r="V6225" s="11">
        <v>0.058329791153732935</v>
      </c>
      <c r="W6225" s="11">
        <v>0.15608933470404093</v>
      </c>
      <c r="X6225" s="11">
        <v>0.13927841049882764</v>
      </c>
      <c r="Y6225" s="11">
        <v>0.0720844230960345</v>
      </c>
      <c r="Z6225" s="11">
        <v>0.24274777383970308</v>
      </c>
    </row>
    <row r="6226" ht="22.5" customHeight="1">
      <c r="Q6226" s="9" t="s">
        <v>6264</v>
      </c>
      <c r="R6226" s="10">
        <v>0.4784506908307042</v>
      </c>
      <c r="S6226" s="10">
        <v>0.02257806326390973</v>
      </c>
      <c r="T6226" s="10">
        <v>19.419322450546623</v>
      </c>
      <c r="U6226" s="11">
        <v>0.14407327296295364</v>
      </c>
      <c r="V6226" s="11">
        <v>0.09582665176044544</v>
      </c>
      <c r="W6226" s="11">
        <v>0.1772741464534622</v>
      </c>
      <c r="X6226" s="11">
        <v>0.05741832181428836</v>
      </c>
      <c r="Y6226" s="11">
        <v>0.11353715141521106</v>
      </c>
      <c r="Z6226" s="11">
        <v>0.4118704555936393</v>
      </c>
    </row>
    <row r="6227" ht="22.5" customHeight="1">
      <c r="Q6227" s="9" t="s">
        <v>6265</v>
      </c>
      <c r="R6227" s="10">
        <v>0.6761612079009939</v>
      </c>
      <c r="S6227" s="10">
        <v>0.03275966564932292</v>
      </c>
      <c r="T6227" s="10">
        <v>19.419038481979808</v>
      </c>
      <c r="U6227" s="11">
        <v>0.22404319389036084</v>
      </c>
      <c r="V6227" s="11">
        <v>0.29075687125851</v>
      </c>
      <c r="W6227" s="11">
        <v>0.1163585083854399</v>
      </c>
      <c r="X6227" s="11">
        <v>0.09522593912713957</v>
      </c>
      <c r="Y6227" s="11">
        <v>0.01111635200996595</v>
      </c>
      <c r="Z6227" s="11">
        <v>0.26249913532858377</v>
      </c>
    </row>
    <row r="6228" ht="22.5" customHeight="1">
      <c r="Q6228" s="9" t="s">
        <v>6266</v>
      </c>
      <c r="R6228" s="10">
        <v>0.5425503396172268</v>
      </c>
      <c r="S6228" s="10">
        <v>0.025879951325849453</v>
      </c>
      <c r="T6228" s="10">
        <v>19.418519505300175</v>
      </c>
      <c r="U6228" s="11">
        <v>0.17105657673552938</v>
      </c>
      <c r="V6228" s="11">
        <v>0.23036752134462</v>
      </c>
      <c r="W6228" s="11">
        <v>0.0643601833862231</v>
      </c>
      <c r="X6228" s="11">
        <v>0.10980440411630413</v>
      </c>
      <c r="Y6228" s="11">
        <v>0.2559247216313969</v>
      </c>
      <c r="Z6228" s="11">
        <v>0.1684865927859266</v>
      </c>
    </row>
    <row r="6229" ht="22.5" customHeight="1">
      <c r="Q6229" s="9" t="s">
        <v>6267</v>
      </c>
      <c r="R6229" s="10">
        <v>0.6450464888147669</v>
      </c>
      <c r="S6229" s="10">
        <v>0.031160725509754118</v>
      </c>
      <c r="T6229" s="10">
        <v>19.41695769006956</v>
      </c>
      <c r="U6229" s="11">
        <v>0.16149256134548073</v>
      </c>
      <c r="V6229" s="11">
        <v>0.10725442129074637</v>
      </c>
      <c r="W6229" s="11">
        <v>0.2565008303552041</v>
      </c>
      <c r="X6229" s="11">
        <v>0.20836247504102431</v>
      </c>
      <c r="Y6229" s="11">
        <v>0.25472198114605765</v>
      </c>
      <c r="Z6229" s="11">
        <v>0.01166773082148691</v>
      </c>
    </row>
    <row r="6230" ht="22.5" customHeight="1">
      <c r="Q6230" s="9" t="s">
        <v>6268</v>
      </c>
      <c r="R6230" s="10">
        <v>0.41467472493033253</v>
      </c>
      <c r="S6230" s="10">
        <v>0.019296700943867862</v>
      </c>
      <c r="T6230" s="10">
        <v>19.416517155975168</v>
      </c>
      <c r="U6230" s="11">
        <v>0.11758980338275589</v>
      </c>
      <c r="V6230" s="11">
        <v>0.04186254908042785</v>
      </c>
      <c r="W6230" s="11">
        <v>0.15471873231864247</v>
      </c>
      <c r="X6230" s="11">
        <v>0.2401923586320763</v>
      </c>
      <c r="Y6230" s="11">
        <v>0.23972820537825582</v>
      </c>
      <c r="Z6230" s="11">
        <v>0.2059083512078417</v>
      </c>
    </row>
    <row r="6231" ht="22.5" customHeight="1">
      <c r="Q6231" s="9" t="s">
        <v>6269</v>
      </c>
      <c r="R6231" s="10">
        <v>0.4279324294603026</v>
      </c>
      <c r="S6231" s="10">
        <v>0.019979563870117505</v>
      </c>
      <c r="T6231" s="10">
        <v>19.416461339304554</v>
      </c>
      <c r="U6231" s="11">
        <v>0.1224569351386413</v>
      </c>
      <c r="V6231" s="11">
        <v>0.12883242596311606</v>
      </c>
      <c r="W6231" s="11">
        <v>0.07353266613814703</v>
      </c>
      <c r="X6231" s="11">
        <v>0.04706473552124886</v>
      </c>
      <c r="Y6231" s="11">
        <v>0.5840905110546594</v>
      </c>
      <c r="Z6231" s="11">
        <v>0.04402272618418752</v>
      </c>
    </row>
    <row r="6232" ht="22.5" customHeight="1">
      <c r="Q6232" s="9" t="s">
        <v>6270</v>
      </c>
      <c r="R6232" s="10">
        <v>0.5304091797448267</v>
      </c>
      <c r="S6232" s="10">
        <v>0.025258371790081766</v>
      </c>
      <c r="T6232" s="10">
        <v>19.415708337043178</v>
      </c>
      <c r="U6232" s="11">
        <v>0.20222427433556575</v>
      </c>
      <c r="V6232" s="11">
        <v>0.08394453546794875</v>
      </c>
      <c r="W6232" s="11">
        <v>0.20684867630491405</v>
      </c>
      <c r="X6232" s="11">
        <v>0.14589898556267483</v>
      </c>
      <c r="Y6232" s="11">
        <v>0.1978375459251527</v>
      </c>
      <c r="Z6232" s="11">
        <v>0.16324598240374402</v>
      </c>
    </row>
    <row r="6233" ht="22.5" customHeight="1">
      <c r="Q6233" s="9" t="s">
        <v>6271</v>
      </c>
      <c r="R6233" s="10">
        <v>0.2713328138035313</v>
      </c>
      <c r="S6233" s="10">
        <v>0.011915105363663815</v>
      </c>
      <c r="T6233" s="10">
        <v>19.415087550043957</v>
      </c>
      <c r="U6233" s="11">
        <v>0.06984064665117758</v>
      </c>
      <c r="V6233" s="11">
        <v>0.016120434128834536</v>
      </c>
      <c r="W6233" s="11">
        <v>0.07084045631892731</v>
      </c>
      <c r="X6233" s="11">
        <v>0.2799265723765669</v>
      </c>
      <c r="Y6233" s="11">
        <v>0.27554293935718116</v>
      </c>
      <c r="Z6233" s="11">
        <v>0.28772895116731256</v>
      </c>
    </row>
    <row r="6234" ht="22.5" customHeight="1">
      <c r="Q6234" s="9" t="s">
        <v>6272</v>
      </c>
      <c r="R6234" s="10">
        <v>0.5204230273936055</v>
      </c>
      <c r="S6234" s="10">
        <v>0.024745314189253857</v>
      </c>
      <c r="T6234" s="10">
        <v>19.414707112599068</v>
      </c>
      <c r="U6234" s="11">
        <v>0.19300344182310203</v>
      </c>
      <c r="V6234" s="11">
        <v>0.22002460445129743</v>
      </c>
      <c r="W6234" s="11">
        <v>0.05940226687469013</v>
      </c>
      <c r="X6234" s="11">
        <v>0.1071165070436309</v>
      </c>
      <c r="Y6234" s="11">
        <v>0.23797906357279663</v>
      </c>
      <c r="Z6234" s="11">
        <v>0.18247411623448295</v>
      </c>
    </row>
    <row r="6235" ht="22.5" customHeight="1">
      <c r="Q6235" s="9" t="s">
        <v>6273</v>
      </c>
      <c r="R6235" s="10">
        <v>0.5955756342762036</v>
      </c>
      <c r="S6235" s="10">
        <v>0.02861734973571752</v>
      </c>
      <c r="T6235" s="10">
        <v>19.41394431724003</v>
      </c>
      <c r="U6235" s="11">
        <v>0.11692249804526474</v>
      </c>
      <c r="V6235" s="11">
        <v>0.09381286621804985</v>
      </c>
      <c r="W6235" s="11">
        <v>0.23785949151534277</v>
      </c>
      <c r="X6235" s="11">
        <v>0.23176525619927563</v>
      </c>
      <c r="Y6235" s="11">
        <v>0.194802970231154</v>
      </c>
      <c r="Z6235" s="11">
        <v>0.12483691779091284</v>
      </c>
    </row>
    <row r="6236" ht="22.5" customHeight="1">
      <c r="Q6236" s="9" t="s">
        <v>6274</v>
      </c>
      <c r="R6236" s="10">
        <v>0.4727838436589756</v>
      </c>
      <c r="S6236" s="10">
        <v>0.02229341167336789</v>
      </c>
      <c r="T6236" s="10">
        <v>19.413082663161287</v>
      </c>
      <c r="U6236" s="11">
        <v>0.08028839772395333</v>
      </c>
      <c r="V6236" s="11">
        <v>0.2001014639571822</v>
      </c>
      <c r="W6236" s="11">
        <v>0.03538678950588826</v>
      </c>
      <c r="X6236" s="11">
        <v>0.23794169314635877</v>
      </c>
      <c r="Y6236" s="11">
        <v>0.21725217138087713</v>
      </c>
      <c r="Z6236" s="11">
        <v>0.22902948428574038</v>
      </c>
    </row>
    <row r="6237" ht="22.5" customHeight="1">
      <c r="Q6237" s="9" t="s">
        <v>6275</v>
      </c>
      <c r="R6237" s="10">
        <v>0.7177986861557311</v>
      </c>
      <c r="S6237" s="10">
        <v>0.03491489071846148</v>
      </c>
      <c r="T6237" s="10">
        <v>19.412882933565662</v>
      </c>
      <c r="U6237" s="11">
        <v>0.15577583276840182</v>
      </c>
      <c r="V6237" s="11">
        <v>0.3099108719661507</v>
      </c>
      <c r="W6237" s="11">
        <v>0.1067892849283788</v>
      </c>
      <c r="X6237" s="11">
        <v>0.11867607106010619</v>
      </c>
      <c r="Y6237" s="11">
        <v>0.293863921315553</v>
      </c>
      <c r="Z6237" s="11">
        <v>0.01498401796140954</v>
      </c>
    </row>
    <row r="6238" ht="22.5" customHeight="1">
      <c r="Q6238" s="9" t="s">
        <v>6276</v>
      </c>
      <c r="R6238" s="10">
        <v>0.5643573302304513</v>
      </c>
      <c r="S6238" s="10">
        <v>0.02701180942042973</v>
      </c>
      <c r="T6238" s="10">
        <v>19.412151258325785</v>
      </c>
      <c r="U6238" s="11">
        <v>0.21803231790093916</v>
      </c>
      <c r="V6238" s="11">
        <v>0.2322437987909718</v>
      </c>
      <c r="W6238" s="11">
        <v>0.08347152492490552</v>
      </c>
      <c r="X6238" s="11">
        <v>0.017258242458071813</v>
      </c>
      <c r="Y6238" s="11">
        <v>0.32144423339015</v>
      </c>
      <c r="Z6238" s="11">
        <v>0.1275498825349617</v>
      </c>
    </row>
    <row r="6239" ht="22.5" customHeight="1">
      <c r="Q6239" s="9" t="s">
        <v>6277</v>
      </c>
      <c r="R6239" s="10">
        <v>0.63659777742769</v>
      </c>
      <c r="S6239" s="10">
        <v>0.030733510197298825</v>
      </c>
      <c r="T6239" s="10">
        <v>19.41196347562424</v>
      </c>
      <c r="U6239" s="11">
        <v>0.16000936855589545</v>
      </c>
      <c r="V6239" s="11">
        <v>0.11681758782813575</v>
      </c>
      <c r="W6239" s="11">
        <v>0.25077504094749387</v>
      </c>
      <c r="X6239" s="11">
        <v>0.14170178946814257</v>
      </c>
      <c r="Y6239" s="11">
        <v>0.23365958017385846</v>
      </c>
      <c r="Z6239" s="11">
        <v>0.09703663302647386</v>
      </c>
    </row>
    <row r="6240" ht="22.5" customHeight="1">
      <c r="Q6240" s="9" t="s">
        <v>6278</v>
      </c>
      <c r="R6240" s="10">
        <v>0.6522113849781315</v>
      </c>
      <c r="S6240" s="10">
        <v>0.031537954897902794</v>
      </c>
      <c r="T6240" s="10">
        <v>19.411892336076686</v>
      </c>
      <c r="U6240" s="11">
        <v>0.18410342570036475</v>
      </c>
      <c r="V6240" s="11">
        <v>0.13703123986771734</v>
      </c>
      <c r="W6240" s="11">
        <v>0.25576869005395875</v>
      </c>
      <c r="X6240" s="11">
        <v>0.14256644618631242</v>
      </c>
      <c r="Y6240" s="11">
        <v>0.013243956480357654</v>
      </c>
      <c r="Z6240" s="11">
        <v>0.2672862417112892</v>
      </c>
    </row>
    <row r="6241" ht="22.5" customHeight="1">
      <c r="Q6241" s="9" t="s">
        <v>6279</v>
      </c>
      <c r="R6241" s="10">
        <v>0.785181069727687</v>
      </c>
      <c r="S6241" s="10">
        <v>0.038388433111427096</v>
      </c>
      <c r="T6241" s="10">
        <v>19.411604208088104</v>
      </c>
      <c r="U6241" s="11">
        <v>0.2320510673199287</v>
      </c>
      <c r="V6241" s="11">
        <v>0.3428299831341686</v>
      </c>
      <c r="W6241" s="11">
        <v>0.1322709628570964</v>
      </c>
      <c r="X6241" s="11">
        <v>0.15348842211343244</v>
      </c>
      <c r="Y6241" s="11">
        <v>0.031447430211028186</v>
      </c>
      <c r="Z6241" s="11">
        <v>0.10791213436434559</v>
      </c>
    </row>
    <row r="6242" ht="22.5" customHeight="1">
      <c r="Q6242" s="9" t="s">
        <v>6280</v>
      </c>
      <c r="R6242" s="10">
        <v>0.8130719613642855</v>
      </c>
      <c r="S6242" s="10">
        <v>0.03982530576915275</v>
      </c>
      <c r="T6242" s="10">
        <v>19.41157629386186</v>
      </c>
      <c r="U6242" s="11">
        <v>0.045124758967275184</v>
      </c>
      <c r="V6242" s="11">
        <v>0.351900193196581</v>
      </c>
      <c r="W6242" s="11">
        <v>0.14938277149587242</v>
      </c>
      <c r="X6242" s="11">
        <v>0.10850970360649984</v>
      </c>
      <c r="Y6242" s="11">
        <v>0.16910804721371508</v>
      </c>
      <c r="Z6242" s="11">
        <v>0.1759745255200564</v>
      </c>
    </row>
    <row r="6243" ht="22.5" customHeight="1">
      <c r="Q6243" s="9" t="s">
        <v>6281</v>
      </c>
      <c r="R6243" s="10">
        <v>0.522331348251574</v>
      </c>
      <c r="S6243" s="10">
        <v>0.020012733550359266</v>
      </c>
      <c r="T6243" s="10">
        <v>19.411495850727523</v>
      </c>
      <c r="U6243" s="11">
        <v>0.193712246965387</v>
      </c>
      <c r="V6243" s="11">
        <v>0.04844902264701915</v>
      </c>
      <c r="W6243" s="11">
        <v>0.15144607235718271</v>
      </c>
      <c r="X6243" s="11">
        <v>0.18252385530189327</v>
      </c>
      <c r="Y6243" s="11">
        <v>0.37761347579576865</v>
      </c>
      <c r="Z6243" s="11">
        <v>0.04625532693274926</v>
      </c>
    </row>
    <row r="6244" ht="22.5" customHeight="1">
      <c r="Q6244" s="9" t="s">
        <v>6282</v>
      </c>
      <c r="R6244" s="10">
        <v>0.6640620881314634</v>
      </c>
      <c r="S6244" s="10">
        <v>0.03214912873466328</v>
      </c>
      <c r="T6244" s="10">
        <v>19.411477470572876</v>
      </c>
      <c r="U6244" s="11">
        <v>0.17580352438205576</v>
      </c>
      <c r="V6244" s="11">
        <v>0.29319296086717234</v>
      </c>
      <c r="W6244" s="11">
        <v>0.07081733605978695</v>
      </c>
      <c r="X6244" s="11">
        <v>0.333780126926434</v>
      </c>
      <c r="Y6244" s="11">
        <v>0.0767432243699506</v>
      </c>
      <c r="Z6244" s="11">
        <v>0.04966282739460027</v>
      </c>
    </row>
    <row r="6245" ht="22.5" customHeight="1">
      <c r="Q6245" s="9" t="s">
        <v>6283</v>
      </c>
      <c r="R6245" s="10">
        <v>0.5296995021115557</v>
      </c>
      <c r="S6245" s="10">
        <v>0.025227836041731424</v>
      </c>
      <c r="T6245" s="10">
        <v>19.411078354144358</v>
      </c>
      <c r="U6245" s="11">
        <v>0.2572682205065646</v>
      </c>
      <c r="V6245" s="11">
        <v>0.2221288334529566</v>
      </c>
      <c r="W6245" s="11">
        <v>0.0746558295238034</v>
      </c>
      <c r="X6245" s="11">
        <v>0.044442266506624646</v>
      </c>
      <c r="Y6245" s="11">
        <v>0.15951212960669384</v>
      </c>
      <c r="Z6245" s="11">
        <v>0.24199272040335695</v>
      </c>
    </row>
    <row r="6246" ht="22.5" customHeight="1">
      <c r="Q6246" s="9" t="s">
        <v>6284</v>
      </c>
      <c r="R6246" s="10">
        <v>0.5371317740140216</v>
      </c>
      <c r="S6246" s="10">
        <v>0.025613152101044978</v>
      </c>
      <c r="T6246" s="10">
        <v>19.409238349610995</v>
      </c>
      <c r="U6246" s="11">
        <v>0.20682840930605667</v>
      </c>
      <c r="V6246" s="11">
        <v>0.228312748726198</v>
      </c>
      <c r="W6246" s="11">
        <v>0.06233375497683113</v>
      </c>
      <c r="X6246" s="11">
        <v>0.11096805441105993</v>
      </c>
      <c r="Y6246" s="11">
        <v>0.22988143171396325</v>
      </c>
      <c r="Z6246" s="11">
        <v>0.16167560086589092</v>
      </c>
    </row>
    <row r="6247" ht="22.5" customHeight="1">
      <c r="Q6247" s="9" t="s">
        <v>6285</v>
      </c>
      <c r="R6247" s="10">
        <v>0.4581965501373192</v>
      </c>
      <c r="S6247" s="10">
        <v>0.02154647174228898</v>
      </c>
      <c r="T6247" s="10">
        <v>19.409050128450044</v>
      </c>
      <c r="U6247" s="11">
        <v>0.11800268953701354</v>
      </c>
      <c r="V6247" s="11">
        <v>0.18880040907099718</v>
      </c>
      <c r="W6247" s="11">
        <v>0.031911141950353106</v>
      </c>
      <c r="X6247" s="11">
        <v>0.21442358703463163</v>
      </c>
      <c r="Y6247" s="11">
        <v>0.2949645923755131</v>
      </c>
      <c r="Z6247" s="11">
        <v>0.15189758003149142</v>
      </c>
    </row>
    <row r="6248" ht="22.5" customHeight="1">
      <c r="Q6248" s="9" t="s">
        <v>6286</v>
      </c>
      <c r="R6248" s="10">
        <v>0.6878223484461065</v>
      </c>
      <c r="S6248" s="10">
        <v>0.033378401427233466</v>
      </c>
      <c r="T6248" s="10">
        <v>19.408429425788725</v>
      </c>
      <c r="U6248" s="11">
        <v>0.03438189019251479</v>
      </c>
      <c r="V6248" s="11">
        <v>0.1448905131263662</v>
      </c>
      <c r="W6248" s="11">
        <v>0.2701331388046852</v>
      </c>
      <c r="X6248" s="11">
        <v>0.1435913331568445</v>
      </c>
      <c r="Y6248" s="11">
        <v>0.1718244498788689</v>
      </c>
      <c r="Z6248" s="11">
        <v>0.23517867484072047</v>
      </c>
    </row>
    <row r="6249" ht="22.5" customHeight="1">
      <c r="Q6249" s="9" t="s">
        <v>6287</v>
      </c>
      <c r="R6249" s="10">
        <v>0.4953872530789141</v>
      </c>
      <c r="S6249" s="10">
        <v>0.02346372895912139</v>
      </c>
      <c r="T6249" s="10">
        <v>19.408136442092893</v>
      </c>
      <c r="U6249" s="11">
        <v>0.09134113585983945</v>
      </c>
      <c r="V6249" s="11">
        <v>0.21181096873479574</v>
      </c>
      <c r="W6249" s="11">
        <v>0.06082309348428187</v>
      </c>
      <c r="X6249" s="11">
        <v>0.1385089548342434</v>
      </c>
      <c r="Y6249" s="11">
        <v>0.1026621071306595</v>
      </c>
      <c r="Z6249" s="11">
        <v>0.39485373995618</v>
      </c>
    </row>
    <row r="6250" ht="22.5" customHeight="1">
      <c r="Q6250" s="9" t="s">
        <v>6288</v>
      </c>
      <c r="R6250" s="10">
        <v>0.6927411795763372</v>
      </c>
      <c r="S6250" s="10">
        <v>0.033633543324629964</v>
      </c>
      <c r="T6250" s="10">
        <v>19.40744611045285</v>
      </c>
      <c r="U6250" s="11">
        <v>0.23915531336030757</v>
      </c>
      <c r="V6250" s="11">
        <v>0.14745208742067006</v>
      </c>
      <c r="W6250" s="11">
        <v>0.2693657539184936</v>
      </c>
      <c r="X6250" s="11">
        <v>0.07321002880102284</v>
      </c>
      <c r="Y6250" s="11">
        <v>0.17155814650841839</v>
      </c>
      <c r="Z6250" s="11">
        <v>0.0992586699910875</v>
      </c>
    </row>
    <row r="6251" ht="22.5" customHeight="1">
      <c r="Q6251" s="9" t="s">
        <v>6289</v>
      </c>
      <c r="R6251" s="10">
        <v>0.7920519673573254</v>
      </c>
      <c r="S6251" s="10">
        <v>0.038751335542605334</v>
      </c>
      <c r="T6251" s="10">
        <v>19.407123827525336</v>
      </c>
      <c r="U6251" s="11">
        <v>0.027109722139634838</v>
      </c>
      <c r="V6251" s="11">
        <v>0.3420307029760016</v>
      </c>
      <c r="W6251" s="11">
        <v>0.14693708284102777</v>
      </c>
      <c r="X6251" s="11">
        <v>0.0978916404098221</v>
      </c>
      <c r="Y6251" s="11">
        <v>0.16534363158467508</v>
      </c>
      <c r="Z6251" s="11">
        <v>0.22068722004883862</v>
      </c>
    </row>
    <row r="6252" ht="22.5" customHeight="1">
      <c r="Q6252" s="9" t="s">
        <v>6290</v>
      </c>
      <c r="R6252" s="10">
        <v>0.4470967051385205</v>
      </c>
      <c r="S6252" s="10">
        <v>0.0209767354331423</v>
      </c>
      <c r="T6252" s="10">
        <v>19.407057234240845</v>
      </c>
      <c r="U6252" s="11">
        <v>0.14814485088180274</v>
      </c>
      <c r="V6252" s="11">
        <v>0.08614606005954344</v>
      </c>
      <c r="W6252" s="11">
        <v>0.1528357568087565</v>
      </c>
      <c r="X6252" s="11">
        <v>0.008155349631086809</v>
      </c>
      <c r="Y6252" s="11">
        <v>0.35766650788897936</v>
      </c>
      <c r="Z6252" s="11">
        <v>0.24705147472983116</v>
      </c>
    </row>
    <row r="6253" ht="22.5" customHeight="1">
      <c r="Q6253" s="9" t="s">
        <v>6291</v>
      </c>
      <c r="R6253" s="10">
        <v>0.5561697527045606</v>
      </c>
      <c r="S6253" s="10">
        <v>0.02659760029733011</v>
      </c>
      <c r="T6253" s="10">
        <v>19.406628678316295</v>
      </c>
      <c r="U6253" s="11">
        <v>0.10122777749948608</v>
      </c>
      <c r="V6253" s="11">
        <v>0.08532703538181934</v>
      </c>
      <c r="W6253" s="11">
        <v>0.21901469125535467</v>
      </c>
      <c r="X6253" s="11">
        <v>0.2006537425683678</v>
      </c>
      <c r="Y6253" s="11">
        <v>0.24595061711560165</v>
      </c>
      <c r="Z6253" s="11">
        <v>0.14782613617937027</v>
      </c>
    </row>
    <row r="6254" ht="22.5" customHeight="1">
      <c r="Q6254" s="9" t="s">
        <v>6292</v>
      </c>
      <c r="R6254" s="10">
        <v>0.6447476814251977</v>
      </c>
      <c r="S6254" s="10">
        <v>0.031166115887927014</v>
      </c>
      <c r="T6254" s="10">
        <v>19.404011831306256</v>
      </c>
      <c r="U6254" s="11">
        <v>0.14904738474085016</v>
      </c>
      <c r="V6254" s="11">
        <v>0.27801751105114614</v>
      </c>
      <c r="W6254" s="11">
        <v>0.09804108641510377</v>
      </c>
      <c r="X6254" s="11">
        <v>0.080591717135414</v>
      </c>
      <c r="Y6254" s="11">
        <v>0.21036299438798833</v>
      </c>
      <c r="Z6254" s="11">
        <v>0.18393930626949764</v>
      </c>
    </row>
    <row r="6255" ht="22.5" customHeight="1">
      <c r="Q6255" s="9" t="s">
        <v>6293</v>
      </c>
      <c r="R6255" s="10">
        <v>0.4995469547080368</v>
      </c>
      <c r="S6255" s="10">
        <v>0.023684344731542333</v>
      </c>
      <c r="T6255" s="10">
        <v>19.402983697329038</v>
      </c>
      <c r="U6255" s="11">
        <v>0.04384101839442487</v>
      </c>
      <c r="V6255" s="11">
        <v>0.07274087278596336</v>
      </c>
      <c r="W6255" s="11">
        <v>0.19400612244130197</v>
      </c>
      <c r="X6255" s="11">
        <v>0.20302385930416578</v>
      </c>
      <c r="Y6255" s="11">
        <v>0.2367138682485048</v>
      </c>
      <c r="Z6255" s="11">
        <v>0.24967425882563926</v>
      </c>
    </row>
    <row r="6256" ht="22.5" customHeight="1">
      <c r="Q6256" s="9" t="s">
        <v>6294</v>
      </c>
      <c r="R6256" s="10">
        <v>0.7615166902074592</v>
      </c>
      <c r="S6256" s="10">
        <v>0.037187605167889604</v>
      </c>
      <c r="T6256" s="10">
        <v>19.402074614647876</v>
      </c>
      <c r="U6256" s="11">
        <v>0.2324618561499847</v>
      </c>
      <c r="V6256" s="11">
        <v>0.333460351922857</v>
      </c>
      <c r="W6256" s="11">
        <v>0.11934674896763388</v>
      </c>
      <c r="X6256" s="11">
        <v>0.14986595217549012</v>
      </c>
      <c r="Y6256" s="11">
        <v>0.11058490503528183</v>
      </c>
      <c r="Z6256" s="11">
        <v>0.054280185748752464</v>
      </c>
    </row>
    <row r="6257" ht="22.5" customHeight="1">
      <c r="Q6257" s="9" t="s">
        <v>6295</v>
      </c>
      <c r="R6257" s="10">
        <v>0.6169131374257733</v>
      </c>
      <c r="S6257" s="10">
        <v>0.029735382643833054</v>
      </c>
      <c r="T6257" s="10">
        <v>19.40157099493124</v>
      </c>
      <c r="U6257" s="11">
        <v>0.2507511540021223</v>
      </c>
      <c r="V6257" s="11">
        <v>0.2703358759081492</v>
      </c>
      <c r="W6257" s="11">
        <v>0.07418099399829668</v>
      </c>
      <c r="X6257" s="11">
        <v>0.2381175895606457</v>
      </c>
      <c r="Y6257" s="11">
        <v>0.003296148454162569</v>
      </c>
      <c r="Z6257" s="11">
        <v>0.16331823807662368</v>
      </c>
    </row>
    <row r="6258" ht="22.5" customHeight="1">
      <c r="Q6258" s="9" t="s">
        <v>6296</v>
      </c>
      <c r="R6258" s="10">
        <v>0.8177339924029441</v>
      </c>
      <c r="S6258" s="10">
        <v>0.04008643204762181</v>
      </c>
      <c r="T6258" s="10">
        <v>19.401427183118045</v>
      </c>
      <c r="U6258" s="11">
        <v>0.10240555805529482</v>
      </c>
      <c r="V6258" s="11">
        <v>0.3607671157704961</v>
      </c>
      <c r="W6258" s="11">
        <v>0.12510979489142773</v>
      </c>
      <c r="X6258" s="11">
        <v>0.21938191769649362</v>
      </c>
      <c r="Y6258" s="11">
        <v>0.17544391038784088</v>
      </c>
      <c r="Z6258" s="11">
        <v>0.016891703198446933</v>
      </c>
    </row>
    <row r="6259" ht="22.5" customHeight="1">
      <c r="Q6259" s="9" t="s">
        <v>6297</v>
      </c>
      <c r="R6259" s="10">
        <v>0.6588150300414116</v>
      </c>
      <c r="S6259" s="10">
        <v>0.03189579070578547</v>
      </c>
      <c r="T6259" s="10">
        <v>19.401150319473558</v>
      </c>
      <c r="U6259" s="11">
        <v>0.07387885905161741</v>
      </c>
      <c r="V6259" s="11">
        <v>0.15652126398947333</v>
      </c>
      <c r="W6259" s="11">
        <v>0.24567569991267196</v>
      </c>
      <c r="X6259" s="11">
        <v>0.00656448007715576</v>
      </c>
      <c r="Y6259" s="11">
        <v>0.26823669632552893</v>
      </c>
      <c r="Z6259" s="11">
        <v>0.24912300064355272</v>
      </c>
    </row>
    <row r="6260" ht="22.5" customHeight="1">
      <c r="Q6260" s="9" t="s">
        <v>6298</v>
      </c>
      <c r="R6260" s="10">
        <v>0.39771307482842383</v>
      </c>
      <c r="S6260" s="10">
        <v>0.018438652668335272</v>
      </c>
      <c r="T6260" s="10">
        <v>19.400174256914394</v>
      </c>
      <c r="U6260" s="11">
        <v>0.29452458513932833</v>
      </c>
      <c r="V6260" s="11">
        <v>0.15917802991231894</v>
      </c>
      <c r="W6260" s="11">
        <v>0.03663233326456</v>
      </c>
      <c r="X6260" s="11">
        <v>0.11733324472227886</v>
      </c>
      <c r="Y6260" s="11">
        <v>0.09305525069522035</v>
      </c>
      <c r="Z6260" s="11">
        <v>0.2992765562662935</v>
      </c>
    </row>
    <row r="6261" ht="22.5" customHeight="1">
      <c r="Q6261" s="9" t="s">
        <v>6299</v>
      </c>
      <c r="R6261" s="10">
        <v>0.6431959390205884</v>
      </c>
      <c r="S6261" s="10">
        <v>0.031093302504295574</v>
      </c>
      <c r="T6261" s="10">
        <v>19.399545575361643</v>
      </c>
      <c r="U6261" s="11">
        <v>0.19836230762975826</v>
      </c>
      <c r="V6261" s="11">
        <v>0.271641442288784</v>
      </c>
      <c r="W6261" s="11">
        <v>0.11956107521395531</v>
      </c>
      <c r="X6261" s="11">
        <v>0.02934208075197542</v>
      </c>
      <c r="Y6261" s="11">
        <v>0.04921288049355846</v>
      </c>
      <c r="Z6261" s="11">
        <v>0.3318802136219684</v>
      </c>
    </row>
    <row r="6262" ht="22.5" customHeight="1">
      <c r="Q6262" s="9" t="s">
        <v>6300</v>
      </c>
      <c r="R6262" s="10">
        <v>0.4466280335267515</v>
      </c>
      <c r="S6262" s="10">
        <v>0.02096094218342705</v>
      </c>
      <c r="T6262" s="10">
        <v>19.399320410713955</v>
      </c>
      <c r="U6262" s="11">
        <v>0.26351445032856</v>
      </c>
      <c r="V6262" s="11">
        <v>0.18483027451515638</v>
      </c>
      <c r="W6262" s="11">
        <v>0.022950435340446208</v>
      </c>
      <c r="X6262" s="11">
        <v>0.3311296811781058</v>
      </c>
      <c r="Y6262" s="11">
        <v>0.036808995749744014</v>
      </c>
      <c r="Z6262" s="11">
        <v>0.16076616288798778</v>
      </c>
    </row>
    <row r="6263" ht="22.5" customHeight="1">
      <c r="Q6263" s="9" t="s">
        <v>6301</v>
      </c>
      <c r="R6263" s="10">
        <v>0.6243853370336938</v>
      </c>
      <c r="S6263" s="10">
        <v>0.030126972159145653</v>
      </c>
      <c r="T6263" s="10">
        <v>19.397413518579953</v>
      </c>
      <c r="U6263" s="11">
        <v>0.2870947398572275</v>
      </c>
      <c r="V6263" s="11">
        <v>0.10268839888244491</v>
      </c>
      <c r="W6263" s="11">
        <v>0.2507427040015576</v>
      </c>
      <c r="X6263" s="11">
        <v>0.21921515052477242</v>
      </c>
      <c r="Y6263" s="11">
        <v>0.07796595874502084</v>
      </c>
      <c r="Z6263" s="11">
        <v>0.06229304798897681</v>
      </c>
    </row>
    <row r="6264" ht="22.5" customHeight="1">
      <c r="Q6264" s="9" t="s">
        <v>6302</v>
      </c>
      <c r="R6264" s="10">
        <v>0.38538002776265096</v>
      </c>
      <c r="S6264" s="10">
        <v>0.017806114432524906</v>
      </c>
      <c r="T6264" s="10">
        <v>19.396709432113656</v>
      </c>
      <c r="U6264" s="11">
        <v>0.2082070197080278</v>
      </c>
      <c r="V6264" s="11">
        <v>0.033843617711542213</v>
      </c>
      <c r="W6264" s="11">
        <v>0.14159820301963963</v>
      </c>
      <c r="X6264" s="11">
        <v>0.23451177041084273</v>
      </c>
      <c r="Y6264" s="11">
        <v>0.18235030280396866</v>
      </c>
      <c r="Z6264" s="11">
        <v>0.19948908634597895</v>
      </c>
    </row>
    <row r="6265" ht="22.5" customHeight="1">
      <c r="Q6265" s="9" t="s">
        <v>6303</v>
      </c>
      <c r="R6265" s="10">
        <v>0.7031639568894245</v>
      </c>
      <c r="S6265" s="10">
        <v>0.034190965863458954</v>
      </c>
      <c r="T6265" s="10">
        <v>19.395882512876604</v>
      </c>
      <c r="U6265" s="11">
        <v>0.08170982264630781</v>
      </c>
      <c r="V6265" s="11">
        <v>0.13070019223081838</v>
      </c>
      <c r="W6265" s="11">
        <v>0.2840696468892299</v>
      </c>
      <c r="X6265" s="11">
        <v>0.28155645451768646</v>
      </c>
      <c r="Y6265" s="11">
        <v>0.052188523739147785</v>
      </c>
      <c r="Z6265" s="11">
        <v>0.16977535997680981</v>
      </c>
    </row>
    <row r="6266" ht="22.5" customHeight="1">
      <c r="Q6266" s="9" t="s">
        <v>6304</v>
      </c>
      <c r="R6266" s="10">
        <v>0.4427833520841516</v>
      </c>
      <c r="S6266" s="10">
        <v>0.020766659455850815</v>
      </c>
      <c r="T6266" s="10">
        <v>19.395673769315415</v>
      </c>
      <c r="U6266" s="11">
        <v>0.051546596575924725</v>
      </c>
      <c r="V6266" s="11">
        <v>0.14549960012242788</v>
      </c>
      <c r="W6266" s="11">
        <v>0.06937176825077</v>
      </c>
      <c r="X6266" s="11">
        <v>0.059860038708831075</v>
      </c>
      <c r="Y6266" s="11">
        <v>0.5806186227168133</v>
      </c>
      <c r="Z6266" s="11">
        <v>0.09310337362523315</v>
      </c>
    </row>
    <row r="6267" ht="22.5" customHeight="1">
      <c r="Q6267" s="9" t="s">
        <v>6305</v>
      </c>
      <c r="R6267" s="10">
        <v>0.5433190338648269</v>
      </c>
      <c r="S6267" s="10">
        <v>0.025950129099712838</v>
      </c>
      <c r="T6267" s="10">
        <v>19.395627356258377</v>
      </c>
      <c r="U6267" s="11">
        <v>0.22042836768469443</v>
      </c>
      <c r="V6267" s="11">
        <v>0.07120449254880534</v>
      </c>
      <c r="W6267" s="11">
        <v>0.21487266551778916</v>
      </c>
      <c r="X6267" s="11">
        <v>0.24061455843924268</v>
      </c>
      <c r="Y6267" s="11">
        <v>0.214290424331115</v>
      </c>
      <c r="Z6267" s="11">
        <v>0.038589491478353395</v>
      </c>
    </row>
    <row r="6268" ht="22.5" customHeight="1">
      <c r="Q6268" s="9" t="s">
        <v>6306</v>
      </c>
      <c r="R6268" s="10">
        <v>0.6364443337375036</v>
      </c>
      <c r="S6268" s="10">
        <v>0.030752321821490788</v>
      </c>
      <c r="T6268" s="10">
        <v>19.395099244854013</v>
      </c>
      <c r="U6268" s="11">
        <v>0.15814486419475957</v>
      </c>
      <c r="V6268" s="11">
        <v>0.11922049866623577</v>
      </c>
      <c r="W6268" s="11">
        <v>0.2502619131001601</v>
      </c>
      <c r="X6268" s="11">
        <v>0.12627839174172079</v>
      </c>
      <c r="Y6268" s="11">
        <v>0.2342203473656042</v>
      </c>
      <c r="Z6268" s="11">
        <v>0.11187398493151965</v>
      </c>
    </row>
    <row r="6269" ht="22.5" customHeight="1">
      <c r="Q6269" s="9" t="s">
        <v>6307</v>
      </c>
      <c r="R6269" s="10">
        <v>0.44372454137438294</v>
      </c>
      <c r="S6269" s="10">
        <v>0.020815881883534212</v>
      </c>
      <c r="T6269" s="10">
        <v>19.39502460828899</v>
      </c>
      <c r="U6269" s="11">
        <v>0.15089328718242193</v>
      </c>
      <c r="V6269" s="11">
        <v>0.18552758257676538</v>
      </c>
      <c r="W6269" s="11">
        <v>0.04366714883385509</v>
      </c>
      <c r="X6269" s="11">
        <v>0.12729966371774037</v>
      </c>
      <c r="Y6269" s="11">
        <v>0.17042203397221228</v>
      </c>
      <c r="Z6269" s="11">
        <v>0.322190283717005</v>
      </c>
    </row>
    <row r="6270" ht="22.5" customHeight="1">
      <c r="Q6270" s="9" t="s">
        <v>6308</v>
      </c>
      <c r="R6270" s="10">
        <v>0.711769774661421</v>
      </c>
      <c r="S6270" s="10">
        <v>0.034636486216958313</v>
      </c>
      <c r="T6270" s="10">
        <v>19.394859237555018</v>
      </c>
      <c r="U6270" s="11">
        <v>0.23871554228058778</v>
      </c>
      <c r="V6270" s="11">
        <v>0.17329829718291825</v>
      </c>
      <c r="W6270" s="11">
        <v>0.26990436965633197</v>
      </c>
      <c r="X6270" s="11">
        <v>0.025711152929034146</v>
      </c>
      <c r="Y6270" s="11">
        <v>0.07210319649654104</v>
      </c>
      <c r="Z6270" s="11">
        <v>0.22026744145458663</v>
      </c>
    </row>
    <row r="6271" ht="22.5" customHeight="1">
      <c r="Q6271" s="9" t="s">
        <v>6309</v>
      </c>
      <c r="R6271" s="10">
        <v>0.6552604492354446</v>
      </c>
      <c r="S6271" s="10">
        <v>0.031725610678659415</v>
      </c>
      <c r="T6271" s="10">
        <v>19.393179077536445</v>
      </c>
      <c r="U6271" s="11">
        <v>0.2198144068050661</v>
      </c>
      <c r="V6271" s="11">
        <v>0.2877467889820476</v>
      </c>
      <c r="W6271" s="11">
        <v>0.07254957069690221</v>
      </c>
      <c r="X6271" s="11">
        <v>0.24833950979805197</v>
      </c>
      <c r="Y6271" s="11">
        <v>0.1659682985822028</v>
      </c>
      <c r="Z6271" s="11">
        <v>0.0055814251357292136</v>
      </c>
    </row>
    <row r="6272" ht="22.5" customHeight="1">
      <c r="Q6272" s="9" t="s">
        <v>6310</v>
      </c>
      <c r="R6272" s="10">
        <v>0.6723196796626858</v>
      </c>
      <c r="S6272" s="10">
        <v>0.032605596204369106</v>
      </c>
      <c r="T6272" s="10">
        <v>19.392980140567275</v>
      </c>
      <c r="U6272" s="11">
        <v>0.09736149581116024</v>
      </c>
      <c r="V6272" s="11">
        <v>0.13052318167717913</v>
      </c>
      <c r="W6272" s="11">
        <v>0.26724516523236624</v>
      </c>
      <c r="X6272" s="11">
        <v>0.16494563506457813</v>
      </c>
      <c r="Y6272" s="11">
        <v>0.17557795946255383</v>
      </c>
      <c r="Z6272" s="11">
        <v>0.1643465627521625</v>
      </c>
    </row>
    <row r="6273" ht="22.5" customHeight="1">
      <c r="Q6273" s="9" t="s">
        <v>6311</v>
      </c>
      <c r="R6273" s="10">
        <v>0.45675776433412796</v>
      </c>
      <c r="S6273" s="10">
        <v>0.021490191420268347</v>
      </c>
      <c r="T6273" s="10">
        <v>19.39292936874752</v>
      </c>
      <c r="U6273" s="11">
        <v>0.22844634171915262</v>
      </c>
      <c r="V6273" s="11">
        <v>0.07014791194636598</v>
      </c>
      <c r="W6273" s="11">
        <v>0.17448935281913425</v>
      </c>
      <c r="X6273" s="11">
        <v>0.1329483068986588</v>
      </c>
      <c r="Y6273" s="11">
        <v>0.1009870941267156</v>
      </c>
      <c r="Z6273" s="11">
        <v>0.2929809924899727</v>
      </c>
    </row>
    <row r="6274" ht="22.5" customHeight="1">
      <c r="Q6274" s="9" t="s">
        <v>6312</v>
      </c>
      <c r="R6274" s="10">
        <v>0.40129388240489267</v>
      </c>
      <c r="S6274" s="10">
        <v>0.01863057365638416</v>
      </c>
      <c r="T6274" s="10">
        <v>19.39252591296821</v>
      </c>
      <c r="U6274" s="11">
        <v>0.12168746811984343</v>
      </c>
      <c r="V6274" s="11">
        <v>0.1630286050906191</v>
      </c>
      <c r="W6274" s="11">
        <v>0.015686673461158766</v>
      </c>
      <c r="X6274" s="11">
        <v>0.3224767733288407</v>
      </c>
      <c r="Y6274" s="11">
        <v>0.11367885450980003</v>
      </c>
      <c r="Z6274" s="11">
        <v>0.26344162548973793</v>
      </c>
    </row>
    <row r="6275" ht="22.5" customHeight="1">
      <c r="Q6275" s="9" t="s">
        <v>6313</v>
      </c>
      <c r="R6275" s="10">
        <v>0.8374902554940135</v>
      </c>
      <c r="S6275" s="10">
        <v>0.04112375777684003</v>
      </c>
      <c r="T6275" s="10">
        <v>19.392446084855163</v>
      </c>
      <c r="U6275" s="11">
        <v>0.05005840958214969</v>
      </c>
      <c r="V6275" s="11">
        <v>0.22701140331998548</v>
      </c>
      <c r="W6275" s="11">
        <v>0.31225168512833923</v>
      </c>
      <c r="X6275" s="11">
        <v>0.0337107603294411</v>
      </c>
      <c r="Y6275" s="11">
        <v>0.11360780676362471</v>
      </c>
      <c r="Z6275" s="11">
        <v>0.26335993487645976</v>
      </c>
    </row>
    <row r="6276" ht="22.5" customHeight="1">
      <c r="Q6276" s="9" t="s">
        <v>6314</v>
      </c>
      <c r="R6276" s="10">
        <v>1.2845894697164555</v>
      </c>
      <c r="S6276" s="10">
        <v>0.06418182264543906</v>
      </c>
      <c r="T6276" s="10">
        <v>19.391619284356665</v>
      </c>
      <c r="U6276" s="11">
        <v>0.007579889205031821</v>
      </c>
      <c r="V6276" s="11">
        <v>0.4220110256098806</v>
      </c>
      <c r="W6276" s="11">
        <v>0.44202796526343024</v>
      </c>
      <c r="X6276" s="11">
        <v>0.03906095242657628</v>
      </c>
      <c r="Y6276" s="11">
        <v>0.0642398332847581</v>
      </c>
      <c r="Z6276" s="11">
        <v>0.02508033421032303</v>
      </c>
    </row>
    <row r="6277" ht="22.5" customHeight="1">
      <c r="Q6277" s="9" t="s">
        <v>6315</v>
      </c>
      <c r="R6277" s="10">
        <v>0.3125246761807832</v>
      </c>
      <c r="S6277" s="10">
        <v>0.014054238935418073</v>
      </c>
      <c r="T6277" s="10">
        <v>19.3909237941013</v>
      </c>
      <c r="U6277" s="11">
        <v>0.013768337998985787</v>
      </c>
      <c r="V6277" s="11">
        <v>0.1083451280796348</v>
      </c>
      <c r="W6277" s="11">
        <v>0.01841670392348483</v>
      </c>
      <c r="X6277" s="11">
        <v>0.18297501461777158</v>
      </c>
      <c r="Y6277" s="11">
        <v>0.3023290883344718</v>
      </c>
      <c r="Z6277" s="11">
        <v>0.37416572704565115</v>
      </c>
    </row>
    <row r="6278" ht="22.5" customHeight="1">
      <c r="Q6278" s="9" t="s">
        <v>6316</v>
      </c>
      <c r="R6278" s="10">
        <v>0.9846206074600208</v>
      </c>
      <c r="S6278" s="10">
        <v>0.04871466106136113</v>
      </c>
      <c r="T6278" s="10">
        <v>19.390889454617653</v>
      </c>
      <c r="U6278" s="11">
        <v>0.07452756721711794</v>
      </c>
      <c r="V6278" s="11">
        <v>0.2931384258719173</v>
      </c>
      <c r="W6278" s="11">
        <v>0.3564431623230796</v>
      </c>
      <c r="X6278" s="11">
        <v>0.03018037192341843</v>
      </c>
      <c r="Y6278" s="11">
        <v>0.030143967274389782</v>
      </c>
      <c r="Z6278" s="11">
        <v>0.2155665053900769</v>
      </c>
    </row>
    <row r="6279" ht="22.5" customHeight="1">
      <c r="Q6279" s="9" t="s">
        <v>6317</v>
      </c>
      <c r="R6279" s="10">
        <v>0.47500955656422356</v>
      </c>
      <c r="S6279" s="10">
        <v>0.022433933701114135</v>
      </c>
      <c r="T6279" s="10">
        <v>19.390694577234118</v>
      </c>
      <c r="U6279" s="11">
        <v>0.19460976154282492</v>
      </c>
      <c r="V6279" s="11">
        <v>0.058797464282522936</v>
      </c>
      <c r="W6279" s="11">
        <v>0.18455890481123402</v>
      </c>
      <c r="X6279" s="11">
        <v>0.2102698050105995</v>
      </c>
      <c r="Y6279" s="11">
        <v>0.19369820713748256</v>
      </c>
      <c r="Z6279" s="11">
        <v>0.15806585721533623</v>
      </c>
    </row>
    <row r="6280" ht="22.5" customHeight="1">
      <c r="Q6280" s="9" t="s">
        <v>6318</v>
      </c>
      <c r="R6280" s="10">
        <v>0.5843917300749085</v>
      </c>
      <c r="S6280" s="10">
        <v>0.02807741365456931</v>
      </c>
      <c r="T6280" s="10">
        <v>19.388955719798442</v>
      </c>
      <c r="U6280" s="11">
        <v>0.25582262576024845</v>
      </c>
      <c r="V6280" s="11">
        <v>0.2553447559555957</v>
      </c>
      <c r="W6280" s="11">
        <v>0.06424274756693223</v>
      </c>
      <c r="X6280" s="11">
        <v>0.22684964219905904</v>
      </c>
      <c r="Y6280" s="11">
        <v>0.04365857944732776</v>
      </c>
      <c r="Z6280" s="11">
        <v>0.1540816490708369</v>
      </c>
    </row>
    <row r="6281" ht="22.5" customHeight="1">
      <c r="Q6281" s="9" t="s">
        <v>6319</v>
      </c>
      <c r="R6281" s="10">
        <v>0.680783334495531</v>
      </c>
      <c r="S6281" s="10">
        <v>0.03305082585457862</v>
      </c>
      <c r="T6281" s="10">
        <v>19.387816126439134</v>
      </c>
      <c r="U6281" s="11">
        <v>0.04134151951104867</v>
      </c>
      <c r="V6281" s="11">
        <v>0.10682215885674366</v>
      </c>
      <c r="W6281" s="11">
        <v>0.2768465272382083</v>
      </c>
      <c r="X6281" s="11">
        <v>0.3739886938542156</v>
      </c>
      <c r="Y6281" s="11">
        <v>0.1292591724294918</v>
      </c>
      <c r="Z6281" s="11">
        <v>0.07174192811029201</v>
      </c>
    </row>
    <row r="6282" ht="22.5" customHeight="1">
      <c r="Q6282" s="9" t="s">
        <v>6320</v>
      </c>
      <c r="R6282" s="10">
        <v>0.4227211048988567</v>
      </c>
      <c r="S6282" s="10">
        <v>0.0197407718971622</v>
      </c>
      <c r="T6282" s="10">
        <v>19.387342444997003</v>
      </c>
      <c r="U6282" s="11">
        <v>0.23479129922668845</v>
      </c>
      <c r="V6282" s="11">
        <v>0.048566424890420394</v>
      </c>
      <c r="W6282" s="11">
        <v>0.1614641342782159</v>
      </c>
      <c r="X6282" s="11">
        <v>0.23996287155356236</v>
      </c>
      <c r="Y6282" s="11">
        <v>0.04584116641953713</v>
      </c>
      <c r="Z6282" s="11">
        <v>0.2693741036315758</v>
      </c>
    </row>
    <row r="6283" ht="22.5" customHeight="1">
      <c r="Q6283" s="9" t="s">
        <v>6321</v>
      </c>
      <c r="R6283" s="10">
        <v>0.39036122601665046</v>
      </c>
      <c r="S6283" s="10">
        <v>0.01807227896548315</v>
      </c>
      <c r="T6283" s="10">
        <v>19.38666543858786</v>
      </c>
      <c r="U6283" s="11">
        <v>0.17639499273595954</v>
      </c>
      <c r="V6283" s="11">
        <v>0.1573348048467266</v>
      </c>
      <c r="W6283" s="11">
        <v>0.015140133184888487</v>
      </c>
      <c r="X6283" s="11">
        <v>0.2863456484340649</v>
      </c>
      <c r="Y6283" s="11">
        <v>0.11817161583792433</v>
      </c>
      <c r="Z6283" s="11">
        <v>0.24661280496043617</v>
      </c>
    </row>
    <row r="6284" ht="22.5" customHeight="1">
      <c r="Q6284" s="9" t="s">
        <v>6322</v>
      </c>
      <c r="R6284" s="10">
        <v>0.5874737312237</v>
      </c>
      <c r="S6284" s="10">
        <v>0.028240138605818085</v>
      </c>
      <c r="T6284" s="10">
        <v>19.38636841927215</v>
      </c>
      <c r="U6284" s="11">
        <v>0.3302874163219513</v>
      </c>
      <c r="V6284" s="11">
        <v>0.24826779088491227</v>
      </c>
      <c r="W6284" s="11">
        <v>0.09443214006115129</v>
      </c>
      <c r="X6284" s="11">
        <v>0.056833291508920566</v>
      </c>
      <c r="Y6284" s="11">
        <v>0.018938338654825315</v>
      </c>
      <c r="Z6284" s="11">
        <v>0.2512410225682393</v>
      </c>
    </row>
    <row r="6285" ht="22.5" customHeight="1">
      <c r="Q6285" s="9" t="s">
        <v>6323</v>
      </c>
      <c r="R6285" s="10">
        <v>0.7053558071452962</v>
      </c>
      <c r="S6285" s="10">
        <v>0.03432098593294283</v>
      </c>
      <c r="T6285" s="10">
        <v>19.38626729562153</v>
      </c>
      <c r="U6285" s="11">
        <v>0.1276277699531293</v>
      </c>
      <c r="V6285" s="11">
        <v>0.3061054570298018</v>
      </c>
      <c r="W6285" s="11">
        <v>0.12183300063462396</v>
      </c>
      <c r="X6285" s="11">
        <v>0.09803397743353835</v>
      </c>
      <c r="Y6285" s="11">
        <v>0.07638516575983943</v>
      </c>
      <c r="Z6285" s="11">
        <v>0.27001462918906705</v>
      </c>
    </row>
    <row r="6286" ht="22.5" customHeight="1">
      <c r="Q6286" s="9" t="s">
        <v>6324</v>
      </c>
      <c r="R6286" s="10">
        <v>0.4339243573229567</v>
      </c>
      <c r="S6286" s="10">
        <v>0.020319785685652587</v>
      </c>
      <c r="T6286" s="10">
        <v>19.38624567291077</v>
      </c>
      <c r="U6286" s="11">
        <v>0.22689416924352415</v>
      </c>
      <c r="V6286" s="11">
        <v>0.04480439577387409</v>
      </c>
      <c r="W6286" s="11">
        <v>0.16001218027026615</v>
      </c>
      <c r="X6286" s="11">
        <v>0.2078349411605777</v>
      </c>
      <c r="Y6286" s="11">
        <v>0.2968118292123537</v>
      </c>
      <c r="Z6286" s="11">
        <v>0.06364248433940427</v>
      </c>
    </row>
    <row r="6287" ht="22.5" customHeight="1">
      <c r="Q6287" s="9" t="s">
        <v>6325</v>
      </c>
      <c r="R6287" s="10">
        <v>0.4832079569572796</v>
      </c>
      <c r="S6287" s="10">
        <v>0.022862166921510073</v>
      </c>
      <c r="T6287" s="10">
        <v>19.38608700036581</v>
      </c>
      <c r="U6287" s="11">
        <v>0.15540662896774882</v>
      </c>
      <c r="V6287" s="11">
        <v>0.206760835725258</v>
      </c>
      <c r="W6287" s="11">
        <v>0.03372547440594655</v>
      </c>
      <c r="X6287" s="11">
        <v>0.30769822399494123</v>
      </c>
      <c r="Y6287" s="11">
        <v>0.06619176816416121</v>
      </c>
      <c r="Z6287" s="11">
        <v>0.23021706874194414</v>
      </c>
    </row>
    <row r="6288" ht="22.5" customHeight="1">
      <c r="Q6288" s="9" t="s">
        <v>6326</v>
      </c>
      <c r="R6288" s="10">
        <v>0.7550277140089807</v>
      </c>
      <c r="S6288" s="10">
        <v>0.03688391169119208</v>
      </c>
      <c r="T6288" s="10">
        <v>19.385897027286564</v>
      </c>
      <c r="U6288" s="11">
        <v>0.08437507638305618</v>
      </c>
      <c r="V6288" s="11">
        <v>0.13375371495791974</v>
      </c>
      <c r="W6288" s="11">
        <v>0.30719084547279796</v>
      </c>
      <c r="X6288" s="11">
        <v>0.3245137927211051</v>
      </c>
      <c r="Y6288" s="11">
        <v>0.13385853271124773</v>
      </c>
      <c r="Z6288" s="11">
        <v>0.01630803775387335</v>
      </c>
    </row>
    <row r="6289" ht="22.5" customHeight="1">
      <c r="Q6289" s="9" t="s">
        <v>6327</v>
      </c>
      <c r="R6289" s="10">
        <v>0.6015452409956247</v>
      </c>
      <c r="S6289" s="10">
        <v>0.02896946118706515</v>
      </c>
      <c r="T6289" s="10">
        <v>19.384041607455035</v>
      </c>
      <c r="U6289" s="11">
        <v>0.26429542343136</v>
      </c>
      <c r="V6289" s="11">
        <v>0.2588461128544398</v>
      </c>
      <c r="W6289" s="11">
        <v>0.08585668693688896</v>
      </c>
      <c r="X6289" s="11">
        <v>0.08279765940176827</v>
      </c>
      <c r="Y6289" s="11">
        <v>0.12751769230732166</v>
      </c>
      <c r="Z6289" s="11">
        <v>0.18068642506822127</v>
      </c>
    </row>
    <row r="6290" ht="22.5" customHeight="1">
      <c r="Q6290" s="9" t="s">
        <v>6328</v>
      </c>
      <c r="R6290" s="10">
        <v>0.530146129993859</v>
      </c>
      <c r="S6290" s="10">
        <v>0.02528615643110273</v>
      </c>
      <c r="T6290" s="10">
        <v>19.383971278092886</v>
      </c>
      <c r="U6290" s="11">
        <v>0.09942323159748047</v>
      </c>
      <c r="V6290" s="11">
        <v>0.2304592036559179</v>
      </c>
      <c r="W6290" s="11">
        <v>0.0619386121776382</v>
      </c>
      <c r="X6290" s="11">
        <v>0.19094139414272487</v>
      </c>
      <c r="Y6290" s="11">
        <v>0.0679511021395864</v>
      </c>
      <c r="Z6290" s="11">
        <v>0.34928645628665206</v>
      </c>
    </row>
    <row r="6291" ht="22.5" customHeight="1">
      <c r="Q6291" s="9" t="s">
        <v>6329</v>
      </c>
      <c r="R6291" s="10">
        <v>0.32790162939528844</v>
      </c>
      <c r="S6291" s="10">
        <v>0.014852684076545815</v>
      </c>
      <c r="T6291" s="10">
        <v>19.38381156641714</v>
      </c>
      <c r="U6291" s="11">
        <v>0.26410222322538685</v>
      </c>
      <c r="V6291" s="11">
        <v>0.11365007910554083</v>
      </c>
      <c r="W6291" s="11">
        <v>0.02640600442049808</v>
      </c>
      <c r="X6291" s="11">
        <v>0.08669020508542094</v>
      </c>
      <c r="Y6291" s="11">
        <v>0.26179852236764184</v>
      </c>
      <c r="Z6291" s="11">
        <v>0.24735296579551136</v>
      </c>
    </row>
    <row r="6292" ht="22.5" customHeight="1">
      <c r="Q6292" s="9" t="s">
        <v>6330</v>
      </c>
      <c r="R6292" s="10">
        <v>0.8752177556689583</v>
      </c>
      <c r="S6292" s="10">
        <v>0.04308854022088731</v>
      </c>
      <c r="T6292" s="10">
        <v>19.383756130686546</v>
      </c>
      <c r="U6292" s="11">
        <v>0.21716339761087744</v>
      </c>
      <c r="V6292" s="11">
        <v>0.38425813815489995</v>
      </c>
      <c r="W6292" s="11">
        <v>0.14975074858890716</v>
      </c>
      <c r="X6292" s="11">
        <v>0.1796696770008845</v>
      </c>
      <c r="Y6292" s="11">
        <v>0.06761944135637003</v>
      </c>
      <c r="Z6292" s="11">
        <v>0.0015385972880610913</v>
      </c>
    </row>
    <row r="6293" ht="22.5" customHeight="1">
      <c r="Q6293" s="9" t="s">
        <v>6331</v>
      </c>
      <c r="R6293" s="10">
        <v>0.6178073593272916</v>
      </c>
      <c r="S6293" s="10">
        <v>0.029812506180234885</v>
      </c>
      <c r="T6293" s="10">
        <v>19.38137491139093</v>
      </c>
      <c r="U6293" s="11">
        <v>0.2747021243108119</v>
      </c>
      <c r="V6293" s="11">
        <v>0.26662878913272414</v>
      </c>
      <c r="W6293" s="11">
        <v>0.07807078213493619</v>
      </c>
      <c r="X6293" s="11">
        <v>0.12344154601324371</v>
      </c>
      <c r="Y6293" s="11">
        <v>0.20391270539447715</v>
      </c>
      <c r="Z6293" s="11">
        <v>0.05324405301380693</v>
      </c>
    </row>
    <row r="6294" ht="22.5" customHeight="1">
      <c r="Q6294" s="9" t="s">
        <v>6332</v>
      </c>
      <c r="R6294" s="10">
        <v>0.670030129070061</v>
      </c>
      <c r="S6294" s="10">
        <v>0.032507737262251035</v>
      </c>
      <c r="T6294" s="10">
        <v>19.380928422897984</v>
      </c>
      <c r="U6294" s="11">
        <v>0.24689743584386084</v>
      </c>
      <c r="V6294" s="11">
        <v>0.29447485536985885</v>
      </c>
      <c r="W6294" s="11">
        <v>0.08732349102358503</v>
      </c>
      <c r="X6294" s="11">
        <v>0.1844829653921539</v>
      </c>
      <c r="Y6294" s="11">
        <v>0.11277283510591579</v>
      </c>
      <c r="Z6294" s="11">
        <v>0.0740484172646256</v>
      </c>
    </row>
    <row r="6295" ht="22.5" customHeight="1">
      <c r="Q6295" s="9" t="s">
        <v>6333</v>
      </c>
      <c r="R6295" s="10">
        <v>0.7315080927314153</v>
      </c>
      <c r="S6295" s="10">
        <v>0.03568254995129845</v>
      </c>
      <c r="T6295" s="10">
        <v>19.379447199687924</v>
      </c>
      <c r="U6295" s="11">
        <v>0.07387510833447192</v>
      </c>
      <c r="V6295" s="11">
        <v>0.3155526092557849</v>
      </c>
      <c r="W6295" s="11">
        <v>0.12540982590760386</v>
      </c>
      <c r="X6295" s="11">
        <v>0.06990654049387411</v>
      </c>
      <c r="Y6295" s="11">
        <v>0.24639299908476986</v>
      </c>
      <c r="Z6295" s="11">
        <v>0.16886291692349528</v>
      </c>
    </row>
    <row r="6296" ht="22.5" customHeight="1">
      <c r="Q6296" s="9" t="s">
        <v>6334</v>
      </c>
      <c r="R6296" s="10">
        <v>0.26146638607895106</v>
      </c>
      <c r="S6296" s="10">
        <v>0.011428146715862387</v>
      </c>
      <c r="T6296" s="10">
        <v>19.37902895239815</v>
      </c>
      <c r="U6296" s="11">
        <v>0.12257726866982897</v>
      </c>
      <c r="V6296" s="11">
        <v>0.07959847384011134</v>
      </c>
      <c r="W6296" s="11">
        <v>0.012366029498578672</v>
      </c>
      <c r="X6296" s="11">
        <v>0.18496938959136552</v>
      </c>
      <c r="Y6296" s="11">
        <v>0.19913545952620387</v>
      </c>
      <c r="Z6296" s="11">
        <v>0.40135337887391154</v>
      </c>
    </row>
    <row r="6297" ht="22.5" customHeight="1">
      <c r="Q6297" s="9" t="s">
        <v>6335</v>
      </c>
      <c r="R6297" s="10">
        <v>0.5931990918936303</v>
      </c>
      <c r="S6297" s="10">
        <v>0.028547284137845432</v>
      </c>
      <c r="T6297" s="10">
        <v>19.378343986153432</v>
      </c>
      <c r="U6297" s="11">
        <v>0.15846831734164732</v>
      </c>
      <c r="V6297" s="11">
        <v>0.2510026437969448</v>
      </c>
      <c r="W6297" s="11">
        <v>0.10163279637751724</v>
      </c>
      <c r="X6297" s="11">
        <v>0.02149402461493388</v>
      </c>
      <c r="Y6297" s="11">
        <v>0.1310354195560953</v>
      </c>
      <c r="Z6297" s="11">
        <v>0.3363667983128615</v>
      </c>
    </row>
    <row r="6298" ht="22.5" customHeight="1">
      <c r="Q6298" s="9" t="s">
        <v>6336</v>
      </c>
      <c r="R6298" s="10">
        <v>1.198082708923376</v>
      </c>
      <c r="S6298" s="10">
        <v>0.05976408422823067</v>
      </c>
      <c r="T6298" s="10">
        <v>19.377569720650623</v>
      </c>
      <c r="U6298" s="11">
        <v>9.295860292324666E-4</v>
      </c>
      <c r="V6298" s="11">
        <v>0.46513557964395885</v>
      </c>
      <c r="W6298" s="11">
        <v>0.33978512517906956</v>
      </c>
      <c r="X6298" s="11">
        <v>0.020178703779269856</v>
      </c>
      <c r="Y6298" s="11">
        <v>0.011746343879570895</v>
      </c>
      <c r="Z6298" s="11">
        <v>0.1622246614888983</v>
      </c>
    </row>
    <row r="6299" ht="22.5" customHeight="1">
      <c r="Q6299" s="9" t="s">
        <v>6337</v>
      </c>
      <c r="R6299" s="10">
        <v>0.6950521441337882</v>
      </c>
      <c r="S6299" s="10">
        <v>0.03380508465642085</v>
      </c>
      <c r="T6299" s="10">
        <v>19.377325949378132</v>
      </c>
      <c r="U6299" s="11">
        <v>0.25613361652326866</v>
      </c>
      <c r="V6299" s="11">
        <v>0.11731337734094299</v>
      </c>
      <c r="W6299" s="11">
        <v>0.2827679168114211</v>
      </c>
      <c r="X6299" s="11">
        <v>0.29363478810675364</v>
      </c>
      <c r="Y6299" s="11">
        <v>0.02876915800789466</v>
      </c>
      <c r="Z6299" s="11">
        <v>0.021381143209718814</v>
      </c>
    </row>
    <row r="6300" ht="22.5" customHeight="1">
      <c r="Q6300" s="9" t="s">
        <v>6338</v>
      </c>
      <c r="R6300" s="10">
        <v>0.6331536631261467</v>
      </c>
      <c r="S6300" s="10">
        <v>0.030611257969376113</v>
      </c>
      <c r="T6300" s="10">
        <v>19.37697770276364</v>
      </c>
      <c r="U6300" s="11">
        <v>0.08961793254208586</v>
      </c>
      <c r="V6300" s="11">
        <v>0.2759199677769416</v>
      </c>
      <c r="W6300" s="11">
        <v>0.07793281550043842</v>
      </c>
      <c r="X6300" s="11">
        <v>0.17515570082272508</v>
      </c>
      <c r="Y6300" s="11">
        <v>0.26991449803334366</v>
      </c>
      <c r="Z6300" s="11">
        <v>0.11145908532446538</v>
      </c>
    </row>
    <row r="6301" ht="22.5" customHeight="1">
      <c r="Q6301" s="9" t="s">
        <v>6339</v>
      </c>
      <c r="R6301" s="10">
        <v>0.7623221765626736</v>
      </c>
      <c r="S6301" s="10">
        <v>0.03727971623842252</v>
      </c>
      <c r="T6301" s="10">
        <v>19.375742345866055</v>
      </c>
      <c r="U6301" s="11">
        <v>0.155125014071011</v>
      </c>
      <c r="V6301" s="11">
        <v>0.1769026101504052</v>
      </c>
      <c r="W6301" s="11">
        <v>0.29832290306895737</v>
      </c>
      <c r="X6301" s="11">
        <v>0.13509606783128605</v>
      </c>
      <c r="Y6301" s="11">
        <v>0.0030767044927891263</v>
      </c>
      <c r="Z6301" s="11">
        <v>0.23147670038555113</v>
      </c>
    </row>
    <row r="6302" ht="22.5" customHeight="1">
      <c r="Q6302" s="9" t="s">
        <v>6340</v>
      </c>
      <c r="R6302" s="10">
        <v>0.607398902923914</v>
      </c>
      <c r="S6302" s="10">
        <v>0.029285261251482262</v>
      </c>
      <c r="T6302" s="10">
        <v>19.374896404422387</v>
      </c>
      <c r="U6302" s="11">
        <v>0.03635930820374223</v>
      </c>
      <c r="V6302" s="11">
        <v>0.2647870711414338</v>
      </c>
      <c r="W6302" s="11">
        <v>0.08623529548444578</v>
      </c>
      <c r="X6302" s="11">
        <v>0.13304128883816999</v>
      </c>
      <c r="Y6302" s="11">
        <v>0.1735106462670435</v>
      </c>
      <c r="Z6302" s="11">
        <v>0.30606639006516473</v>
      </c>
    </row>
    <row r="6303" ht="22.5" customHeight="1">
      <c r="Q6303" s="9" t="s">
        <v>6341</v>
      </c>
      <c r="R6303" s="10">
        <v>0.6794272098722639</v>
      </c>
      <c r="S6303" s="10">
        <v>0.03300320042061134</v>
      </c>
      <c r="T6303" s="10">
        <v>19.374703111305692</v>
      </c>
      <c r="U6303" s="11">
        <v>0.1364144189951248</v>
      </c>
      <c r="V6303" s="11">
        <v>0.13057079684705658</v>
      </c>
      <c r="W6303" s="11">
        <v>0.2717141302153799</v>
      </c>
      <c r="X6303" s="11">
        <v>0.17391326881803704</v>
      </c>
      <c r="Y6303" s="11">
        <v>0.13998346896274033</v>
      </c>
      <c r="Z6303" s="11">
        <v>0.1474039161616614</v>
      </c>
    </row>
    <row r="6304" ht="22.5" customHeight="1">
      <c r="Q6304" s="9" t="s">
        <v>6342</v>
      </c>
      <c r="R6304" s="10">
        <v>0.2689495500637319</v>
      </c>
      <c r="S6304" s="10">
        <v>0.011817739883652567</v>
      </c>
      <c r="T6304" s="10">
        <v>19.37337869319978</v>
      </c>
      <c r="U6304" s="11">
        <v>0.1602943606674514</v>
      </c>
      <c r="V6304" s="11">
        <v>0.046805274078311476</v>
      </c>
      <c r="W6304" s="11">
        <v>0.014048543349830838</v>
      </c>
      <c r="X6304" s="11">
        <v>0.3655486525185817</v>
      </c>
      <c r="Y6304" s="11">
        <v>0.36384939260545796</v>
      </c>
      <c r="Z6304" s="11">
        <v>0.04945377678036663</v>
      </c>
    </row>
    <row r="6305" ht="22.5" customHeight="1">
      <c r="Q6305" s="9" t="s">
        <v>6343</v>
      </c>
      <c r="R6305" s="10">
        <v>0.8813254686566665</v>
      </c>
      <c r="S6305" s="10">
        <v>0.043427022370754256</v>
      </c>
      <c r="T6305" s="10">
        <v>19.37331695168798</v>
      </c>
      <c r="U6305" s="11">
        <v>0.21853101700551605</v>
      </c>
      <c r="V6305" s="11">
        <v>0.2309808993539226</v>
      </c>
      <c r="W6305" s="11">
        <v>0.33358140819782583</v>
      </c>
      <c r="X6305" s="11">
        <v>0.025885290539987064</v>
      </c>
      <c r="Y6305" s="11">
        <v>0.09550567474078286</v>
      </c>
      <c r="Z6305" s="11">
        <v>0.09551571016196567</v>
      </c>
    </row>
    <row r="6306" ht="22.5" customHeight="1">
      <c r="Q6306" s="9" t="s">
        <v>6344</v>
      </c>
      <c r="R6306" s="10">
        <v>0.47228914247099163</v>
      </c>
      <c r="S6306" s="10">
        <v>0.022313758624874183</v>
      </c>
      <c r="T6306" s="10">
        <v>19.373210481406698</v>
      </c>
      <c r="U6306" s="11">
        <v>0.23654866444579434</v>
      </c>
      <c r="V6306" s="11">
        <v>0.18956417500150033</v>
      </c>
      <c r="W6306" s="11">
        <v>0.06450662562147912</v>
      </c>
      <c r="X6306" s="11">
        <v>0.007191605558270071</v>
      </c>
      <c r="Y6306" s="11">
        <v>0.27094801878840546</v>
      </c>
      <c r="Z6306" s="11">
        <v>0.23124091058455057</v>
      </c>
    </row>
    <row r="6307" ht="22.5" customHeight="1">
      <c r="Q6307" s="9" t="s">
        <v>6345</v>
      </c>
      <c r="R6307" s="10">
        <v>0.2361441721115339</v>
      </c>
      <c r="S6307" s="10">
        <v>0.01012473596420687</v>
      </c>
      <c r="T6307" s="10">
        <v>19.372769107752138</v>
      </c>
      <c r="U6307" s="11">
        <v>0.2871653726174673</v>
      </c>
      <c r="V6307" s="11">
        <v>0.040068585841797025</v>
      </c>
      <c r="W6307" s="11">
        <v>0.037264116468161634</v>
      </c>
      <c r="X6307" s="11">
        <v>0.13479309187758498</v>
      </c>
      <c r="Y6307" s="11">
        <v>0.1405419098768495</v>
      </c>
      <c r="Z6307" s="11">
        <v>0.36016692331813954</v>
      </c>
    </row>
    <row r="6308" ht="22.5" customHeight="1">
      <c r="Q6308" s="9" t="s">
        <v>6346</v>
      </c>
      <c r="R6308" s="10">
        <v>0.27536505972483527</v>
      </c>
      <c r="S6308" s="10">
        <v>0.012149799686589587</v>
      </c>
      <c r="T6308" s="10">
        <v>19.371929233090224</v>
      </c>
      <c r="U6308" s="11">
        <v>0.049238973832675774</v>
      </c>
      <c r="V6308" s="11">
        <v>0.02034012962942531</v>
      </c>
      <c r="W6308" s="11">
        <v>0.07618801932382237</v>
      </c>
      <c r="X6308" s="11">
        <v>0.36539801212092227</v>
      </c>
      <c r="Y6308" s="11">
        <v>0.041801369293879245</v>
      </c>
      <c r="Z6308" s="11">
        <v>0.447033495799275</v>
      </c>
    </row>
    <row r="6309" ht="22.5" customHeight="1">
      <c r="Q6309" s="9" t="s">
        <v>6347</v>
      </c>
      <c r="R6309" s="10">
        <v>0.5282801293177213</v>
      </c>
      <c r="S6309" s="10">
        <v>0.02520586930450017</v>
      </c>
      <c r="T6309" s="10">
        <v>19.37168377011879</v>
      </c>
      <c r="U6309" s="11">
        <v>0.06546798388643144</v>
      </c>
      <c r="V6309" s="11">
        <v>0.07688097247884729</v>
      </c>
      <c r="W6309" s="11">
        <v>0.20630465263317452</v>
      </c>
      <c r="X6309" s="11">
        <v>0.20447906668027643</v>
      </c>
      <c r="Y6309" s="11">
        <v>0.27967534993959314</v>
      </c>
      <c r="Z6309" s="11">
        <v>0.16719197438167727</v>
      </c>
    </row>
    <row r="6310" ht="22.5" customHeight="1">
      <c r="Q6310" s="9" t="s">
        <v>6348</v>
      </c>
      <c r="R6310" s="10">
        <v>0.37367255768485125</v>
      </c>
      <c r="S6310" s="10">
        <v>0.017226140317095878</v>
      </c>
      <c r="T6310" s="10">
        <v>19.370128858970336</v>
      </c>
      <c r="U6310" s="11">
        <v>0.1493172615755281</v>
      </c>
      <c r="V6310" s="11">
        <v>0.1463165300911518</v>
      </c>
      <c r="W6310" s="11">
        <v>0.013563287131629366</v>
      </c>
      <c r="X6310" s="11">
        <v>0.2440002459601414</v>
      </c>
      <c r="Y6310" s="11">
        <v>0.2272314203366553</v>
      </c>
      <c r="Z6310" s="11">
        <v>0.21957125490489404</v>
      </c>
    </row>
    <row r="6311" ht="22.5" customHeight="1">
      <c r="Q6311" s="9" t="s">
        <v>6349</v>
      </c>
      <c r="R6311" s="10">
        <v>0.5044080241981205</v>
      </c>
      <c r="S6311" s="10">
        <v>0.023977522801302744</v>
      </c>
      <c r="T6311" s="10">
        <v>19.36847388475378</v>
      </c>
      <c r="U6311" s="11">
        <v>0.2050231013105521</v>
      </c>
      <c r="V6311" s="11">
        <v>0.0734162083384231</v>
      </c>
      <c r="W6311" s="11">
        <v>0.19762772265092238</v>
      </c>
      <c r="X6311" s="11">
        <v>0.16741851097553898</v>
      </c>
      <c r="Y6311" s="11">
        <v>0.17182567738770174</v>
      </c>
      <c r="Z6311" s="11">
        <v>0.1846887793368618</v>
      </c>
    </row>
    <row r="6312" ht="22.5" customHeight="1">
      <c r="Q6312" s="9" t="s">
        <v>6350</v>
      </c>
      <c r="R6312" s="10">
        <v>0.72952602953985</v>
      </c>
      <c r="S6312" s="10">
        <v>0.03560074497253873</v>
      </c>
      <c r="T6312" s="10">
        <v>19.368303390047828</v>
      </c>
      <c r="U6312" s="11">
        <v>0.002982025258610053</v>
      </c>
      <c r="V6312" s="11">
        <v>0.171535193303928</v>
      </c>
      <c r="W6312" s="11">
        <v>0.2772747116516717</v>
      </c>
      <c r="X6312" s="11">
        <v>0.04986452070276897</v>
      </c>
      <c r="Y6312" s="11">
        <v>0.3061934307978668</v>
      </c>
      <c r="Z6312" s="11">
        <v>0.1921501182851545</v>
      </c>
    </row>
    <row r="6313" ht="22.5" customHeight="1">
      <c r="Q6313" s="9" t="s">
        <v>6351</v>
      </c>
      <c r="R6313" s="10">
        <v>0.708478004409913</v>
      </c>
      <c r="S6313" s="10">
        <v>0.03451598163964035</v>
      </c>
      <c r="T6313" s="10">
        <v>19.367202456794402</v>
      </c>
      <c r="U6313" s="11">
        <v>0.14108323680059817</v>
      </c>
      <c r="V6313" s="11">
        <v>0.16574612851489906</v>
      </c>
      <c r="W6313" s="11">
        <v>0.2739141218143469</v>
      </c>
      <c r="X6313" s="11">
        <v>0.07306609384355697</v>
      </c>
      <c r="Y6313" s="11">
        <v>0.0785093238727698</v>
      </c>
      <c r="Z6313" s="11">
        <v>0.26768109515382904</v>
      </c>
    </row>
    <row r="6314" ht="22.5" customHeight="1">
      <c r="Q6314" s="9" t="s">
        <v>6352</v>
      </c>
      <c r="R6314" s="10">
        <v>0.5649742926437974</v>
      </c>
      <c r="S6314" s="10">
        <v>0.02710636158662535</v>
      </c>
      <c r="T6314" s="10">
        <v>19.36719876498758</v>
      </c>
      <c r="U6314" s="11">
        <v>0.20115655618000663</v>
      </c>
      <c r="V6314" s="11">
        <v>0.2453741221793349</v>
      </c>
      <c r="W6314" s="11">
        <v>0.05410857773429753</v>
      </c>
      <c r="X6314" s="11">
        <v>0.2155065865180235</v>
      </c>
      <c r="Y6314" s="11">
        <v>0.1910020109231875</v>
      </c>
      <c r="Z6314" s="11">
        <v>0.09285214646515003</v>
      </c>
    </row>
    <row r="6315" ht="22.5" customHeight="1">
      <c r="Q6315" s="9" t="s">
        <v>6353</v>
      </c>
      <c r="R6315" s="10">
        <v>0.7213704007711337</v>
      </c>
      <c r="S6315" s="10">
        <v>0.035182087550236114</v>
      </c>
      <c r="T6315" s="10">
        <v>19.366969052027184</v>
      </c>
      <c r="U6315" s="11">
        <v>0.23851617781970114</v>
      </c>
      <c r="V6315" s="11">
        <v>0.30623461412086717</v>
      </c>
      <c r="W6315" s="11">
        <v>0.13908129139335365</v>
      </c>
      <c r="X6315" s="11">
        <v>0.01505227675674923</v>
      </c>
      <c r="Y6315" s="11">
        <v>0.06923172361924233</v>
      </c>
      <c r="Z6315" s="11">
        <v>0.23188391629008648</v>
      </c>
    </row>
    <row r="6316" ht="22.5" customHeight="1">
      <c r="Q6316" s="9" t="s">
        <v>6354</v>
      </c>
      <c r="R6316" s="10">
        <v>0.7285587500109536</v>
      </c>
      <c r="S6316" s="10">
        <v>0.03555479197476925</v>
      </c>
      <c r="T6316" s="10">
        <v>19.366130745458324</v>
      </c>
      <c r="U6316" s="11">
        <v>0.1721986008539191</v>
      </c>
      <c r="V6316" s="11">
        <v>0.17454353771504752</v>
      </c>
      <c r="W6316" s="11">
        <v>0.2810562278983758</v>
      </c>
      <c r="X6316" s="11">
        <v>0.08397829701851413</v>
      </c>
      <c r="Y6316" s="11">
        <v>0.013791329053167567</v>
      </c>
      <c r="Z6316" s="11">
        <v>0.2744320074609758</v>
      </c>
    </row>
    <row r="6317" ht="22.5" customHeight="1">
      <c r="Q6317" s="9" t="s">
        <v>6355</v>
      </c>
      <c r="R6317" s="10">
        <v>0.7236287147152953</v>
      </c>
      <c r="S6317" s="10">
        <v>0.03530043100397954</v>
      </c>
      <c r="T6317" s="10">
        <v>19.36601608740209</v>
      </c>
      <c r="U6317" s="11">
        <v>0.018320645696511803</v>
      </c>
      <c r="V6317" s="11">
        <v>0.12350325658799856</v>
      </c>
      <c r="W6317" s="11">
        <v>0.29255747060262827</v>
      </c>
      <c r="X6317" s="11">
        <v>0.30986927696539274</v>
      </c>
      <c r="Y6317" s="11">
        <v>0.24063422248196864</v>
      </c>
      <c r="Z6317" s="11">
        <v>0.015115127665500156</v>
      </c>
    </row>
    <row r="6318" ht="22.5" customHeight="1">
      <c r="Q6318" s="9" t="s">
        <v>6356</v>
      </c>
      <c r="R6318" s="10">
        <v>0.6913966071421035</v>
      </c>
      <c r="S6318" s="10">
        <v>0.033636155659461375</v>
      </c>
      <c r="T6318" s="10">
        <v>19.36596481883847</v>
      </c>
      <c r="U6318" s="11">
        <v>0.30680481103945223</v>
      </c>
      <c r="V6318" s="11">
        <v>0.30354393288479165</v>
      </c>
      <c r="W6318" s="11">
        <v>0.09668360045628405</v>
      </c>
      <c r="X6318" s="11">
        <v>0.1792601836246758</v>
      </c>
      <c r="Y6318" s="11">
        <v>0.0348863464714937</v>
      </c>
      <c r="Z6318" s="11">
        <v>0.07882112552330249</v>
      </c>
    </row>
    <row r="6319" ht="22.5" customHeight="1">
      <c r="Q6319" s="9" t="s">
        <v>6357</v>
      </c>
      <c r="R6319" s="10">
        <v>0.2989304954295444</v>
      </c>
      <c r="S6319" s="10">
        <v>0.013370682238725997</v>
      </c>
      <c r="T6319" s="10">
        <v>19.365541025243616</v>
      </c>
      <c r="U6319" s="11">
        <v>0.2071818664730887</v>
      </c>
      <c r="V6319" s="11">
        <v>0.03232873961270136</v>
      </c>
      <c r="W6319" s="11">
        <v>0.08824965688690609</v>
      </c>
      <c r="X6319" s="11">
        <v>0.12297111753705746</v>
      </c>
      <c r="Y6319" s="11">
        <v>0.26760735485333853</v>
      </c>
      <c r="Z6319" s="11">
        <v>0.2816612646369079</v>
      </c>
    </row>
    <row r="6320" ht="22.5" customHeight="1">
      <c r="Q6320" s="9" t="s">
        <v>6358</v>
      </c>
      <c r="R6320" s="10">
        <v>0.22240256156646696</v>
      </c>
      <c r="S6320" s="10">
        <v>0.009419760768665629</v>
      </c>
      <c r="T6320" s="10">
        <v>19.36382101902419</v>
      </c>
      <c r="U6320" s="11">
        <v>0.06816437431530994</v>
      </c>
      <c r="V6320" s="11">
        <v>0.02312580354625663</v>
      </c>
      <c r="W6320" s="11">
        <v>0.030296996898753464</v>
      </c>
      <c r="X6320" s="11">
        <v>0.3248863690256761</v>
      </c>
      <c r="Y6320" s="11">
        <v>0.15586550007008262</v>
      </c>
      <c r="Z6320" s="11">
        <v>0.3976609561439212</v>
      </c>
    </row>
    <row r="6321" ht="22.5" customHeight="1">
      <c r="Q6321" s="9" t="s">
        <v>6359</v>
      </c>
      <c r="R6321" s="10">
        <v>0.4393502440829021</v>
      </c>
      <c r="S6321" s="10">
        <v>0.020623675953888816</v>
      </c>
      <c r="T6321" s="10">
        <v>19.36367915088388</v>
      </c>
      <c r="U6321" s="11">
        <v>0.15661564029480837</v>
      </c>
      <c r="V6321" s="11">
        <v>0.18060586055287364</v>
      </c>
      <c r="W6321" s="11">
        <v>0.022139579862973522</v>
      </c>
      <c r="X6321" s="11">
        <v>0.26102381540115743</v>
      </c>
      <c r="Y6321" s="11">
        <v>0.2426002799036052</v>
      </c>
      <c r="Z6321" s="11">
        <v>0.13701482398458179</v>
      </c>
    </row>
    <row r="6322" ht="22.5" customHeight="1">
      <c r="Q6322" s="9" t="s">
        <v>6360</v>
      </c>
      <c r="R6322" s="10">
        <v>0.44331034084973975</v>
      </c>
      <c r="S6322" s="10">
        <v>0.020828894804315604</v>
      </c>
      <c r="T6322" s="10">
        <v>19.36302164079184</v>
      </c>
      <c r="U6322" s="11">
        <v>0.12111743976664875</v>
      </c>
      <c r="V6322" s="11">
        <v>0.187494072174677</v>
      </c>
      <c r="W6322" s="11">
        <v>0.04374560751039491</v>
      </c>
      <c r="X6322" s="11">
        <v>0.1666205145084348</v>
      </c>
      <c r="Y6322" s="11">
        <v>0.08730048539077014</v>
      </c>
      <c r="Z6322" s="11">
        <v>0.3937218806490744</v>
      </c>
    </row>
    <row r="6323" ht="22.5" customHeight="1">
      <c r="Q6323" s="9" t="s">
        <v>6361</v>
      </c>
      <c r="R6323" s="10">
        <v>0.6582617190153122</v>
      </c>
      <c r="S6323" s="10">
        <v>0.03193109056104558</v>
      </c>
      <c r="T6323" s="10">
        <v>19.3623740421056</v>
      </c>
      <c r="U6323" s="11">
        <v>0.031174721950433557</v>
      </c>
      <c r="V6323" s="11">
        <v>0.29144921026316556</v>
      </c>
      <c r="W6323" s="11">
        <v>0.09019008686356131</v>
      </c>
      <c r="X6323" s="11">
        <v>0.22426739462993978</v>
      </c>
      <c r="Y6323" s="11">
        <v>0.0861208415165829</v>
      </c>
      <c r="Z6323" s="11">
        <v>0.2767977447763168</v>
      </c>
    </row>
    <row r="6324" ht="22.5" customHeight="1">
      <c r="Q6324" s="9" t="s">
        <v>6362</v>
      </c>
      <c r="R6324" s="10">
        <v>0.7702700373199092</v>
      </c>
      <c r="S6324" s="10">
        <v>0.03771617436691635</v>
      </c>
      <c r="T6324" s="10">
        <v>19.362251065433696</v>
      </c>
      <c r="U6324" s="11">
        <v>0.20199155467683647</v>
      </c>
      <c r="V6324" s="11">
        <v>0.3424241687567899</v>
      </c>
      <c r="W6324" s="11">
        <v>0.10825752663475542</v>
      </c>
      <c r="X6324" s="11">
        <v>0.26198034160921546</v>
      </c>
      <c r="Y6324" s="11">
        <v>0.03948803555015804</v>
      </c>
      <c r="Z6324" s="11">
        <v>0.04585837277224483</v>
      </c>
    </row>
    <row r="6325" ht="22.5" customHeight="1">
      <c r="Q6325" s="9" t="s">
        <v>6363</v>
      </c>
      <c r="R6325" s="10">
        <v>0.6019448550775683</v>
      </c>
      <c r="S6325" s="10">
        <v>0.02902712920305384</v>
      </c>
      <c r="T6325" s="10">
        <v>19.3592983703827</v>
      </c>
      <c r="U6325" s="11">
        <v>0.18109585233676967</v>
      </c>
      <c r="V6325" s="11">
        <v>0.25309542743521357</v>
      </c>
      <c r="W6325" s="11">
        <v>0.09307034074831999</v>
      </c>
      <c r="X6325" s="11">
        <v>0.018066233692733583</v>
      </c>
      <c r="Y6325" s="11">
        <v>0.29540618277056124</v>
      </c>
      <c r="Z6325" s="11">
        <v>0.1592659630164019</v>
      </c>
    </row>
    <row r="6326" ht="22.5" customHeight="1">
      <c r="Q6326" s="9" t="s">
        <v>6364</v>
      </c>
      <c r="R6326" s="10">
        <v>0.8022596380343754</v>
      </c>
      <c r="S6326" s="10">
        <v>0.039375644882393444</v>
      </c>
      <c r="T6326" s="10">
        <v>19.35865787877457</v>
      </c>
      <c r="U6326" s="11">
        <v>0.18696670169855403</v>
      </c>
      <c r="V6326" s="11">
        <v>0.34565092627549676</v>
      </c>
      <c r="W6326" s="11">
        <v>0.14644127338282525</v>
      </c>
      <c r="X6326" s="11">
        <v>0.046807497045946556</v>
      </c>
      <c r="Y6326" s="11">
        <v>0.19749405460972552</v>
      </c>
      <c r="Z6326" s="11">
        <v>0.07663954698745186</v>
      </c>
    </row>
    <row r="6327" ht="22.5" customHeight="1">
      <c r="Q6327" s="9" t="s">
        <v>6365</v>
      </c>
      <c r="R6327" s="10">
        <v>0.5377515983978862</v>
      </c>
      <c r="S6327" s="10">
        <v>0.025712103660959013</v>
      </c>
      <c r="T6327" s="10">
        <v>19.35864933345252</v>
      </c>
      <c r="U6327" s="11">
        <v>0.05949608270130813</v>
      </c>
      <c r="V6327" s="11">
        <v>0.06996704651551225</v>
      </c>
      <c r="W6327" s="11">
        <v>0.20754492108731074</v>
      </c>
      <c r="X6327" s="11">
        <v>0.25903581364653644</v>
      </c>
      <c r="Y6327" s="11">
        <v>0.3619413943428713</v>
      </c>
      <c r="Z6327" s="11">
        <v>0.042014741706461224</v>
      </c>
    </row>
    <row r="6328" ht="22.5" customHeight="1">
      <c r="Q6328" s="9" t="s">
        <v>6366</v>
      </c>
      <c r="R6328" s="10">
        <v>0.42439487871884407</v>
      </c>
      <c r="S6328" s="10">
        <v>0.019857610701947352</v>
      </c>
      <c r="T6328" s="10">
        <v>19.357559400696083</v>
      </c>
      <c r="U6328" s="11">
        <v>0.21452353291231377</v>
      </c>
      <c r="V6328" s="11">
        <v>0.1744343096024228</v>
      </c>
      <c r="W6328" s="11">
        <v>0.030619901395576306</v>
      </c>
      <c r="X6328" s="11">
        <v>0.1613291835401407</v>
      </c>
      <c r="Y6328" s="11">
        <v>0.2038746744286599</v>
      </c>
      <c r="Z6328" s="11">
        <v>0.21521839812088644</v>
      </c>
    </row>
    <row r="6329" ht="22.5" customHeight="1">
      <c r="Q6329" s="9" t="s">
        <v>6367</v>
      </c>
      <c r="R6329" s="10">
        <v>0.522331348251574</v>
      </c>
      <c r="S6329" s="10">
        <v>0.023961665878998364</v>
      </c>
      <c r="T6329" s="10">
        <v>19.35663736044071</v>
      </c>
      <c r="U6329" s="11">
        <v>0.20098284272373154</v>
      </c>
      <c r="V6329" s="11">
        <v>0.09947369691763436</v>
      </c>
      <c r="W6329" s="11">
        <v>0.1868620397581248</v>
      </c>
      <c r="X6329" s="11">
        <v>0.01717615120644014</v>
      </c>
      <c r="Y6329" s="11">
        <v>0.21667090067574862</v>
      </c>
      <c r="Z6329" s="11">
        <v>0.27883436871832046</v>
      </c>
    </row>
    <row r="6330" ht="22.5" customHeight="1">
      <c r="Q6330" s="9" t="s">
        <v>6368</v>
      </c>
      <c r="R6330" s="10">
        <v>0.522331348251574</v>
      </c>
      <c r="S6330" s="10">
        <v>0.04061015220976128</v>
      </c>
      <c r="T6330" s="10">
        <v>19.355465510561526</v>
      </c>
      <c r="U6330" s="11">
        <v>0.05150154555053926</v>
      </c>
      <c r="V6330" s="11">
        <v>0.3479256982022083</v>
      </c>
      <c r="W6330" s="11">
        <v>0.1820304107652693</v>
      </c>
      <c r="X6330" s="11">
        <v>0.05583159822172298</v>
      </c>
      <c r="Y6330" s="11">
        <v>0.0019516236474278565</v>
      </c>
      <c r="Z6330" s="11">
        <v>0.3607591236128322</v>
      </c>
    </row>
    <row r="6331" ht="22.5" customHeight="1">
      <c r="Q6331" s="9" t="s">
        <v>6369</v>
      </c>
      <c r="R6331" s="10">
        <v>0.6552552694269097</v>
      </c>
      <c r="S6331" s="10">
        <v>0.031787223297378625</v>
      </c>
      <c r="T6331" s="10">
        <v>19.355426665330896</v>
      </c>
      <c r="U6331" s="11">
        <v>0.08039045827465952</v>
      </c>
      <c r="V6331" s="11">
        <v>0.2864242185140446</v>
      </c>
      <c r="W6331" s="11">
        <v>0.1029802275173207</v>
      </c>
      <c r="X6331" s="11">
        <v>0.11670927518050758</v>
      </c>
      <c r="Y6331" s="11">
        <v>0.11308674406845012</v>
      </c>
      <c r="Z6331" s="11">
        <v>0.3004090764450175</v>
      </c>
    </row>
    <row r="6332" ht="22.5" customHeight="1">
      <c r="Q6332" s="9" t="s">
        <v>6370</v>
      </c>
      <c r="R6332" s="10">
        <v>0.522331348251574</v>
      </c>
      <c r="S6332" s="10">
        <v>0.04139699988088026</v>
      </c>
      <c r="T6332" s="10">
        <v>19.354639797266056</v>
      </c>
      <c r="U6332" s="11">
        <v>0.32133978642568556</v>
      </c>
      <c r="V6332" s="11">
        <v>0.20364437614450004</v>
      </c>
      <c r="W6332" s="11">
        <v>0.3260518727412858</v>
      </c>
      <c r="X6332" s="11">
        <v>0.07538938601122652</v>
      </c>
      <c r="Y6332" s="11">
        <v>0.0202067724648214</v>
      </c>
      <c r="Z6332" s="11">
        <v>0.05336780621248077</v>
      </c>
    </row>
    <row r="6333" ht="22.5" customHeight="1">
      <c r="Q6333" s="9" t="s">
        <v>6371</v>
      </c>
      <c r="R6333" s="10">
        <v>0.7340117573531393</v>
      </c>
      <c r="S6333" s="10">
        <v>0.035858740574577344</v>
      </c>
      <c r="T6333" s="10">
        <v>19.3540471927553</v>
      </c>
      <c r="U6333" s="11">
        <v>0.2777499090914704</v>
      </c>
      <c r="V6333" s="11">
        <v>0.17093243050585435</v>
      </c>
      <c r="W6333" s="11">
        <v>0.2831397528977401</v>
      </c>
      <c r="X6333" s="11">
        <v>0.0384293166960586</v>
      </c>
      <c r="Y6333" s="11">
        <v>0.09676647003434856</v>
      </c>
      <c r="Z6333" s="11">
        <v>0.13298212077452787</v>
      </c>
    </row>
    <row r="6334" ht="22.5" customHeight="1">
      <c r="Q6334" s="9" t="s">
        <v>6372</v>
      </c>
      <c r="R6334" s="10">
        <v>0.522331348251574</v>
      </c>
      <c r="S6334" s="10">
        <v>0.01755145696207727</v>
      </c>
      <c r="T6334" s="10">
        <v>19.353907702720694</v>
      </c>
      <c r="U6334" s="11">
        <v>0.23615892903475894</v>
      </c>
      <c r="V6334" s="11">
        <v>0.044117717457573556</v>
      </c>
      <c r="W6334" s="11">
        <v>0.1294533487873015</v>
      </c>
      <c r="X6334" s="11">
        <v>0.1245866716619695</v>
      </c>
      <c r="Y6334" s="11">
        <v>0.32365193165248746</v>
      </c>
      <c r="Z6334" s="11">
        <v>0.14203140140590917</v>
      </c>
    </row>
    <row r="6335" ht="22.5" customHeight="1">
      <c r="Q6335" s="9" t="s">
        <v>6373</v>
      </c>
      <c r="R6335" s="10">
        <v>0.7165086271235183</v>
      </c>
      <c r="S6335" s="10">
        <v>0.03495769454459663</v>
      </c>
      <c r="T6335" s="10">
        <v>19.352209461652997</v>
      </c>
      <c r="U6335" s="11">
        <v>0.06344828724584707</v>
      </c>
      <c r="V6335" s="11">
        <v>0.15151345063651225</v>
      </c>
      <c r="W6335" s="11">
        <v>0.28081226968049705</v>
      </c>
      <c r="X6335" s="11">
        <v>0.10812524242700343</v>
      </c>
      <c r="Y6335" s="11">
        <v>0.26272768960607</v>
      </c>
      <c r="Z6335" s="11">
        <v>0.13337306040407018</v>
      </c>
    </row>
    <row r="6336" ht="22.5" customHeight="1">
      <c r="Q6336" s="9" t="s">
        <v>6374</v>
      </c>
      <c r="R6336" s="10">
        <v>0.3870502003985646</v>
      </c>
      <c r="S6336" s="10">
        <v>0.017933781516502188</v>
      </c>
      <c r="T6336" s="10">
        <v>19.35175802600351</v>
      </c>
      <c r="U6336" s="11">
        <v>0.3530700704397069</v>
      </c>
      <c r="V6336" s="11">
        <v>0.03639802847615885</v>
      </c>
      <c r="W6336" s="11">
        <v>0.1366366041941865</v>
      </c>
      <c r="X6336" s="11">
        <v>0.1769974381959701</v>
      </c>
      <c r="Y6336" s="11">
        <v>0.22777443126726107</v>
      </c>
      <c r="Z6336" s="11">
        <v>0.06912342742671648</v>
      </c>
    </row>
    <row r="6337" ht="22.5" customHeight="1">
      <c r="Q6337" s="9" t="s">
        <v>6375</v>
      </c>
      <c r="R6337" s="10">
        <v>0.789430311430049</v>
      </c>
      <c r="S6337" s="10">
        <v>0.03872694714805513</v>
      </c>
      <c r="T6337" s="10">
        <v>19.351649603696828</v>
      </c>
      <c r="U6337" s="11">
        <v>0.29374096988551357</v>
      </c>
      <c r="V6337" s="11">
        <v>0.33993317768619397</v>
      </c>
      <c r="W6337" s="11">
        <v>0.13907000750533402</v>
      </c>
      <c r="X6337" s="11">
        <v>0.04620311198178839</v>
      </c>
      <c r="Y6337" s="11">
        <v>0.17294974318237602</v>
      </c>
      <c r="Z6337" s="11">
        <v>0.008102989758793946</v>
      </c>
    </row>
    <row r="6338" ht="22.5" customHeight="1">
      <c r="Q6338" s="9" t="s">
        <v>6376</v>
      </c>
      <c r="R6338" s="10">
        <v>0.6519774450850611</v>
      </c>
      <c r="S6338" s="10">
        <v>0.03162557235291533</v>
      </c>
      <c r="T6338" s="10">
        <v>19.35071524574787</v>
      </c>
      <c r="U6338" s="11">
        <v>0.09656974225310777</v>
      </c>
      <c r="V6338" s="11">
        <v>0.28388132764922464</v>
      </c>
      <c r="W6338" s="11">
        <v>0.10149164049419648</v>
      </c>
      <c r="X6338" s="11">
        <v>0.09153918604740632</v>
      </c>
      <c r="Y6338" s="11">
        <v>0.17085228571400085</v>
      </c>
      <c r="Z6338" s="11">
        <v>0.2556658178420639</v>
      </c>
    </row>
    <row r="6339" ht="22.5" customHeight="1">
      <c r="Q6339" s="9" t="s">
        <v>6377</v>
      </c>
      <c r="R6339" s="10">
        <v>0.6278509006746533</v>
      </c>
      <c r="S6339" s="10">
        <v>0.030381155180830434</v>
      </c>
      <c r="T6339" s="10">
        <v>19.349195156528115</v>
      </c>
      <c r="U6339" s="11">
        <v>0.06888663069773594</v>
      </c>
      <c r="V6339" s="11">
        <v>0.2779817578332908</v>
      </c>
      <c r="W6339" s="11">
        <v>0.06091717305813391</v>
      </c>
      <c r="X6339" s="11">
        <v>0.3576776561357413</v>
      </c>
      <c r="Y6339" s="11">
        <v>0.10155066476915808</v>
      </c>
      <c r="Z6339" s="11">
        <v>0.13298611750593992</v>
      </c>
    </row>
    <row r="6340" ht="22.5" customHeight="1">
      <c r="Q6340" s="9" t="s">
        <v>6378</v>
      </c>
      <c r="R6340" s="10">
        <v>0.3283233583009705</v>
      </c>
      <c r="S6340" s="10">
        <v>0.014901246020500292</v>
      </c>
      <c r="T6340" s="10">
        <v>19.348942894058087</v>
      </c>
      <c r="U6340" s="11">
        <v>0.32772939334385964</v>
      </c>
      <c r="V6340" s="11">
        <v>0.04194047003077992</v>
      </c>
      <c r="W6340" s="11">
        <v>0.10804380177919243</v>
      </c>
      <c r="X6340" s="11">
        <v>0.11838011422275564</v>
      </c>
      <c r="Y6340" s="11">
        <v>0.07399602239207784</v>
      </c>
      <c r="Z6340" s="11">
        <v>0.3299101982313345</v>
      </c>
    </row>
    <row r="6341" ht="22.5" customHeight="1">
      <c r="Q6341" s="9" t="s">
        <v>6379</v>
      </c>
      <c r="R6341" s="10">
        <v>0.5789567340613332</v>
      </c>
      <c r="S6341" s="10">
        <v>0.027854682076632904</v>
      </c>
      <c r="T6341" s="10">
        <v>19.348874008993274</v>
      </c>
      <c r="U6341" s="11">
        <v>0.21553179627643237</v>
      </c>
      <c r="V6341" s="11">
        <v>0.11103361337381894</v>
      </c>
      <c r="W6341" s="11">
        <v>0.21806996014743973</v>
      </c>
      <c r="X6341" s="11">
        <v>0.03857539703482456</v>
      </c>
      <c r="Y6341" s="11">
        <v>0.3305901769929163</v>
      </c>
      <c r="Z6341" s="11">
        <v>0.08619905617456822</v>
      </c>
    </row>
    <row r="6342" ht="22.5" customHeight="1">
      <c r="Q6342" s="9" t="s">
        <v>6380</v>
      </c>
      <c r="R6342" s="10">
        <v>0.6920743317750895</v>
      </c>
      <c r="S6342" s="10">
        <v>0.03370169831076828</v>
      </c>
      <c r="T6342" s="10">
        <v>19.34841163677322</v>
      </c>
      <c r="U6342" s="11">
        <v>0.24078923401856991</v>
      </c>
      <c r="V6342" s="11">
        <v>0.1420083489468249</v>
      </c>
      <c r="W6342" s="11">
        <v>0.2715004642816865</v>
      </c>
      <c r="X6342" s="11">
        <v>0.07935743099929231</v>
      </c>
      <c r="Y6342" s="11">
        <v>0.20130154628110752</v>
      </c>
      <c r="Z6342" s="11">
        <v>0.06504297547251885</v>
      </c>
    </row>
    <row r="6343" ht="22.5" customHeight="1">
      <c r="Q6343" s="9" t="s">
        <v>6381</v>
      </c>
      <c r="R6343" s="10">
        <v>0.760330432882112</v>
      </c>
      <c r="S6343" s="10">
        <v>0.037230195212485266</v>
      </c>
      <c r="T6343" s="10">
        <v>19.34801654331769</v>
      </c>
      <c r="U6343" s="11">
        <v>0.09352884621741031</v>
      </c>
      <c r="V6343" s="11">
        <v>0.19412903115301539</v>
      </c>
      <c r="W6343" s="11">
        <v>0.28724176066564255</v>
      </c>
      <c r="X6343" s="11">
        <v>0.014689580629355138</v>
      </c>
      <c r="Y6343" s="11">
        <v>0.15299272834916847</v>
      </c>
      <c r="Z6343" s="11">
        <v>0.25741805298540815</v>
      </c>
    </row>
    <row r="6344" ht="22.5" customHeight="1">
      <c r="Q6344" s="9" t="s">
        <v>6382</v>
      </c>
      <c r="R6344" s="10">
        <v>0.6666336231061928</v>
      </c>
      <c r="S6344" s="10">
        <v>0.03238781786277344</v>
      </c>
      <c r="T6344" s="10">
        <v>19.347818545887446</v>
      </c>
      <c r="U6344" s="11">
        <v>0.26593036221473176</v>
      </c>
      <c r="V6344" s="11">
        <v>0.14670452909483642</v>
      </c>
      <c r="W6344" s="11">
        <v>0.2563531332054359</v>
      </c>
      <c r="X6344" s="11">
        <v>0.025101401148497147</v>
      </c>
      <c r="Y6344" s="11">
        <v>0.16537501581001646</v>
      </c>
      <c r="Z6344" s="11">
        <v>0.1405355585264823</v>
      </c>
    </row>
    <row r="6345" ht="22.5" customHeight="1">
      <c r="Q6345" s="9" t="s">
        <v>6383</v>
      </c>
      <c r="R6345" s="10">
        <v>0.8008546585797806</v>
      </c>
      <c r="S6345" s="10">
        <v>0.039327807253631185</v>
      </c>
      <c r="T6345" s="10">
        <v>19.34648056203362</v>
      </c>
      <c r="U6345" s="11">
        <v>0.25957837743843887</v>
      </c>
      <c r="V6345" s="11">
        <v>0.35408835303936326</v>
      </c>
      <c r="W6345" s="11">
        <v>0.12370212129701974</v>
      </c>
      <c r="X6345" s="11">
        <v>0.19530463701233164</v>
      </c>
      <c r="Y6345" s="11">
        <v>0.04793826999202343</v>
      </c>
      <c r="Z6345" s="11">
        <v>0.019388241220823145</v>
      </c>
    </row>
    <row r="6346" ht="22.5" customHeight="1">
      <c r="Q6346" s="9" t="s">
        <v>6384</v>
      </c>
      <c r="R6346" s="10">
        <v>0.62290122950871</v>
      </c>
      <c r="S6346" s="10">
        <v>0.0301300262611694</v>
      </c>
      <c r="T6346" s="10">
        <v>19.346190556094342</v>
      </c>
      <c r="U6346" s="11">
        <v>0.11714711905474214</v>
      </c>
      <c r="V6346" s="11">
        <v>0.27174150430513166</v>
      </c>
      <c r="W6346" s="11">
        <v>0.07893444718149675</v>
      </c>
      <c r="X6346" s="11">
        <v>0.14481827937035763</v>
      </c>
      <c r="Y6346" s="11">
        <v>0.24797557281592672</v>
      </c>
      <c r="Z6346" s="11">
        <v>0.13938307727234517</v>
      </c>
    </row>
    <row r="6347" ht="22.5" customHeight="1">
      <c r="Q6347" s="9" t="s">
        <v>6385</v>
      </c>
      <c r="R6347" s="10">
        <v>0.6105770613973028</v>
      </c>
      <c r="S6347" s="10">
        <v>0.029493213828292945</v>
      </c>
      <c r="T6347" s="10">
        <v>19.34604566050873</v>
      </c>
      <c r="U6347" s="11">
        <v>0.0938783661625573</v>
      </c>
      <c r="V6347" s="11">
        <v>0.12302029942624958</v>
      </c>
      <c r="W6347" s="11">
        <v>0.23787580640963787</v>
      </c>
      <c r="X6347" s="11">
        <v>0.08708599278825056</v>
      </c>
      <c r="Y6347" s="11">
        <v>0.20800473734251693</v>
      </c>
      <c r="Z6347" s="11">
        <v>0.25013479787078774</v>
      </c>
    </row>
    <row r="6348" ht="22.5" customHeight="1">
      <c r="Q6348" s="9" t="s">
        <v>6386</v>
      </c>
      <c r="R6348" s="10">
        <v>0.6548454266501204</v>
      </c>
      <c r="S6348" s="10">
        <v>0.03178223680111721</v>
      </c>
      <c r="T6348" s="10">
        <v>19.345568107670356</v>
      </c>
      <c r="U6348" s="11">
        <v>0.08937577093537312</v>
      </c>
      <c r="V6348" s="11">
        <v>0.28647281494843807</v>
      </c>
      <c r="W6348" s="11">
        <v>0.08216780173196843</v>
      </c>
      <c r="X6348" s="11">
        <v>0.17578441832326386</v>
      </c>
      <c r="Y6348" s="11">
        <v>0.2779918858050425</v>
      </c>
      <c r="Z6348" s="11">
        <v>0.088207308255914</v>
      </c>
    </row>
    <row r="6349" ht="22.5" customHeight="1">
      <c r="Q6349" s="9" t="s">
        <v>6387</v>
      </c>
      <c r="R6349" s="10">
        <v>0.6437454295257898</v>
      </c>
      <c r="S6349" s="10">
        <v>0.0312094160300342</v>
      </c>
      <c r="T6349" s="10">
        <v>19.34497681548347</v>
      </c>
      <c r="U6349" s="11">
        <v>0.23848195601341582</v>
      </c>
      <c r="V6349" s="11">
        <v>0.13693786689599005</v>
      </c>
      <c r="W6349" s="11">
        <v>0.25182091537135975</v>
      </c>
      <c r="X6349" s="11">
        <v>0.10019127590145005</v>
      </c>
      <c r="Y6349" s="11">
        <v>0.02035600208596527</v>
      </c>
      <c r="Z6349" s="11">
        <v>0.2522119837318192</v>
      </c>
    </row>
    <row r="6350" ht="22.5" customHeight="1">
      <c r="Q6350" s="9" t="s">
        <v>6388</v>
      </c>
      <c r="R6350" s="10">
        <v>0.6273252682432391</v>
      </c>
      <c r="S6350" s="10">
        <v>0.03036070530143315</v>
      </c>
      <c r="T6350" s="10">
        <v>19.344915159646007</v>
      </c>
      <c r="U6350" s="11">
        <v>0.1921398473896642</v>
      </c>
      <c r="V6350" s="11">
        <v>0.2681765278321485</v>
      </c>
      <c r="W6350" s="11">
        <v>0.10262763451047045</v>
      </c>
      <c r="X6350" s="11">
        <v>0.025821898658727867</v>
      </c>
      <c r="Y6350" s="11">
        <v>0.18158270175044475</v>
      </c>
      <c r="Z6350" s="11">
        <v>0.2296513898585442</v>
      </c>
    </row>
    <row r="6351" ht="22.5" customHeight="1">
      <c r="Q6351" s="9" t="s">
        <v>6389</v>
      </c>
      <c r="R6351" s="10">
        <v>0.8234381708581421</v>
      </c>
      <c r="S6351" s="10">
        <v>0.0404993647739599</v>
      </c>
      <c r="T6351" s="10">
        <v>19.344455776794643</v>
      </c>
      <c r="U6351" s="11">
        <v>0.1788193552007056</v>
      </c>
      <c r="V6351" s="11">
        <v>0.18608041036983408</v>
      </c>
      <c r="W6351" s="11">
        <v>0.32465156071187423</v>
      </c>
      <c r="X6351" s="11">
        <v>0.10861032534810501</v>
      </c>
      <c r="Y6351" s="11">
        <v>0.1573816367368313</v>
      </c>
      <c r="Z6351" s="11">
        <v>0.044456711632649644</v>
      </c>
    </row>
    <row r="6352" ht="22.5" customHeight="1">
      <c r="Q6352" s="9" t="s">
        <v>6390</v>
      </c>
      <c r="R6352" s="10">
        <v>0.307302348301995</v>
      </c>
      <c r="S6352" s="10">
        <v>0.0138190456117269</v>
      </c>
      <c r="T6352" s="10">
        <v>19.343039730266256</v>
      </c>
      <c r="U6352" s="11">
        <v>0.24973775622671884</v>
      </c>
      <c r="V6352" s="11">
        <v>0.06426551578016806</v>
      </c>
      <c r="W6352" s="11">
        <v>0.06952229546236816</v>
      </c>
      <c r="X6352" s="11">
        <v>0.009838975264179008</v>
      </c>
      <c r="Y6352" s="11">
        <v>0.32470562770605166</v>
      </c>
      <c r="Z6352" s="11">
        <v>0.28192982956051416</v>
      </c>
    </row>
    <row r="6353" ht="22.5" customHeight="1">
      <c r="Q6353" s="9" t="s">
        <v>6391</v>
      </c>
      <c r="R6353" s="10">
        <v>0.34361836848004224</v>
      </c>
      <c r="S6353" s="10">
        <v>0.01569676004970617</v>
      </c>
      <c r="T6353" s="10">
        <v>19.342741273905485</v>
      </c>
      <c r="U6353" s="11">
        <v>0.10205592502865066</v>
      </c>
      <c r="V6353" s="11">
        <v>0.12057979469385088</v>
      </c>
      <c r="W6353" s="11">
        <v>0.005612257451108162</v>
      </c>
      <c r="X6353" s="11">
        <v>0.30669821154209537</v>
      </c>
      <c r="Y6353" s="11">
        <v>0.3231169708370054</v>
      </c>
      <c r="Z6353" s="11">
        <v>0.1419368404472896</v>
      </c>
    </row>
    <row r="6354" ht="22.5" customHeight="1">
      <c r="Q6354" s="9" t="s">
        <v>6392</v>
      </c>
      <c r="R6354" s="10">
        <v>0.47460539001867597</v>
      </c>
      <c r="S6354" s="10">
        <v>0.022468879077874215</v>
      </c>
      <c r="T6354" s="10">
        <v>19.34254879882482</v>
      </c>
      <c r="U6354" s="11">
        <v>0.2756223724973465</v>
      </c>
      <c r="V6354" s="11">
        <v>0.19682232550396264</v>
      </c>
      <c r="W6354" s="11">
        <v>0.04474149148385955</v>
      </c>
      <c r="X6354" s="11">
        <v>0.11391833969297575</v>
      </c>
      <c r="Y6354" s="11">
        <v>0.23626984886147373</v>
      </c>
      <c r="Z6354" s="11">
        <v>0.13262562196038172</v>
      </c>
    </row>
    <row r="6355" ht="22.5" customHeight="1">
      <c r="Q6355" s="9" t="s">
        <v>6393</v>
      </c>
      <c r="R6355" s="10">
        <v>0.4442637386158564</v>
      </c>
      <c r="S6355" s="10">
        <v>0.020900706799239735</v>
      </c>
      <c r="T6355" s="10">
        <v>19.3421084989605</v>
      </c>
      <c r="U6355" s="11">
        <v>0.17265521850807639</v>
      </c>
      <c r="V6355" s="11">
        <v>0.1779195424351267</v>
      </c>
      <c r="W6355" s="11">
        <v>0.037464166774468684</v>
      </c>
      <c r="X6355" s="11">
        <v>0.13036896812818355</v>
      </c>
      <c r="Y6355" s="11">
        <v>0.3478796727438419</v>
      </c>
      <c r="Z6355" s="11">
        <v>0.13371243141030276</v>
      </c>
    </row>
    <row r="6356" ht="22.5" customHeight="1">
      <c r="Q6356" s="9" t="s">
        <v>6394</v>
      </c>
      <c r="R6356" s="10">
        <v>0.7817006802208761</v>
      </c>
      <c r="S6356" s="10">
        <v>0.03834691211454775</v>
      </c>
      <c r="T6356" s="10">
        <v>19.34186194719693</v>
      </c>
      <c r="U6356" s="11">
        <v>0.015911031392994778</v>
      </c>
      <c r="V6356" s="11">
        <v>0.19197588060241155</v>
      </c>
      <c r="W6356" s="11">
        <v>0.30217673055746347</v>
      </c>
      <c r="X6356" s="11">
        <v>0.0991520727347079</v>
      </c>
      <c r="Y6356" s="11">
        <v>0.09822173735834497</v>
      </c>
      <c r="Z6356" s="11">
        <v>0.29256254735407733</v>
      </c>
    </row>
    <row r="6357" ht="22.5" customHeight="1">
      <c r="Q6357" s="9" t="s">
        <v>6395</v>
      </c>
      <c r="R6357" s="10">
        <v>0.4862748021186523</v>
      </c>
      <c r="S6357" s="10">
        <v>0.02307484601394665</v>
      </c>
      <c r="T6357" s="10">
        <v>19.340315504117328</v>
      </c>
      <c r="U6357" s="11">
        <v>0.14238607904403264</v>
      </c>
      <c r="V6357" s="11">
        <v>0.20988745948932175</v>
      </c>
      <c r="W6357" s="11">
        <v>0.04754581464673939</v>
      </c>
      <c r="X6357" s="11">
        <v>0.19837542437609776</v>
      </c>
      <c r="Y6357" s="11">
        <v>0.07272794843283374</v>
      </c>
      <c r="Z6357" s="11">
        <v>0.32907727401097475</v>
      </c>
    </row>
    <row r="6358" ht="22.5" customHeight="1">
      <c r="Q6358" s="9" t="s">
        <v>6396</v>
      </c>
      <c r="R6358" s="10">
        <v>0.6380327455857242</v>
      </c>
      <c r="S6358" s="10">
        <v>0.030922068803403164</v>
      </c>
      <c r="T6358" s="10">
        <v>19.33999789560998</v>
      </c>
      <c r="U6358" s="11">
        <v>0.1224411988412513</v>
      </c>
      <c r="V6358" s="11">
        <v>0.28015139587645116</v>
      </c>
      <c r="W6358" s="11">
        <v>0.08772681486443601</v>
      </c>
      <c r="X6358" s="11">
        <v>0.13624623522183932</v>
      </c>
      <c r="Y6358" s="11">
        <v>0.17123680716788786</v>
      </c>
      <c r="Z6358" s="11">
        <v>0.2021975480281344</v>
      </c>
    </row>
    <row r="6359" ht="22.5" customHeight="1">
      <c r="Q6359" s="9" t="s">
        <v>6397</v>
      </c>
      <c r="R6359" s="10">
        <v>0.8781860008332222</v>
      </c>
      <c r="S6359" s="10">
        <v>0.043340183858584104</v>
      </c>
      <c r="T6359" s="10">
        <v>19.339696471250853</v>
      </c>
      <c r="U6359" s="11">
        <v>0.12226431343046204</v>
      </c>
      <c r="V6359" s="11">
        <v>0.2452174702978008</v>
      </c>
      <c r="W6359" s="11">
        <v>0.3264774337005302</v>
      </c>
      <c r="X6359" s="11">
        <v>0.018225003483137932</v>
      </c>
      <c r="Y6359" s="11">
        <v>0.042299110642012944</v>
      </c>
      <c r="Z6359" s="11">
        <v>0.24551666844605616</v>
      </c>
    </row>
    <row r="6360" ht="22.5" customHeight="1">
      <c r="Q6360" s="9" t="s">
        <v>6398</v>
      </c>
      <c r="R6360" s="10">
        <v>0.5619749581494378</v>
      </c>
      <c r="S6360" s="10">
        <v>0.026989970333629463</v>
      </c>
      <c r="T6360" s="10">
        <v>19.33958991792806</v>
      </c>
      <c r="U6360" s="11">
        <v>0.25474093974845785</v>
      </c>
      <c r="V6360" s="11">
        <v>0.09989472078061687</v>
      </c>
      <c r="W6360" s="11">
        <v>0.2210421284657327</v>
      </c>
      <c r="X6360" s="11">
        <v>0.11529666431333192</v>
      </c>
      <c r="Y6360" s="11">
        <v>0.1096974437330254</v>
      </c>
      <c r="Z6360" s="11">
        <v>0.19932810295883516</v>
      </c>
    </row>
    <row r="6361" ht="22.5" customHeight="1">
      <c r="Q6361" s="9" t="s">
        <v>6399</v>
      </c>
      <c r="R6361" s="10">
        <v>0.7609459720510613</v>
      </c>
      <c r="S6361" s="10">
        <v>0.03728100589826388</v>
      </c>
      <c r="T6361" s="10">
        <v>19.338157720809637</v>
      </c>
      <c r="U6361" s="11">
        <v>0.2427857323112536</v>
      </c>
      <c r="V6361" s="11">
        <v>0.1756741248805155</v>
      </c>
      <c r="W6361" s="11">
        <v>0.29508683501460303</v>
      </c>
      <c r="X6361" s="11">
        <v>0.04128894600004228</v>
      </c>
      <c r="Y6361" s="11">
        <v>0.1572526485442925</v>
      </c>
      <c r="Z6361" s="11">
        <v>0.08791171324929307</v>
      </c>
    </row>
    <row r="6362" ht="22.5" customHeight="1">
      <c r="Q6362" s="9" t="s">
        <v>6400</v>
      </c>
      <c r="R6362" s="10">
        <v>0.5892607054430117</v>
      </c>
      <c r="S6362" s="10">
        <v>0.028405572035730915</v>
      </c>
      <c r="T6362" s="10">
        <v>19.336371918583627</v>
      </c>
      <c r="U6362" s="11">
        <v>0.2669594529060088</v>
      </c>
      <c r="V6362" s="11">
        <v>0.2584628658264822</v>
      </c>
      <c r="W6362" s="11">
        <v>0.055920436573263066</v>
      </c>
      <c r="X6362" s="11">
        <v>0.2754338627718047</v>
      </c>
      <c r="Y6362" s="11">
        <v>0.06462021249981934</v>
      </c>
      <c r="Z6362" s="11">
        <v>0.07860316942262192</v>
      </c>
    </row>
    <row r="6363" ht="22.5" customHeight="1">
      <c r="Q6363" s="9" t="s">
        <v>6401</v>
      </c>
      <c r="R6363" s="10">
        <v>0.32943709876683913</v>
      </c>
      <c r="S6363" s="10">
        <v>0.01496952900439589</v>
      </c>
      <c r="T6363" s="10">
        <v>19.335083868159394</v>
      </c>
      <c r="U6363" s="11">
        <v>0.24184751790614864</v>
      </c>
      <c r="V6363" s="11">
        <v>0.022602101790011236</v>
      </c>
      <c r="W6363" s="11">
        <v>0.11342988794601937</v>
      </c>
      <c r="X6363" s="11">
        <v>0.28668154970965803</v>
      </c>
      <c r="Y6363" s="11">
        <v>0.04533369701643481</v>
      </c>
      <c r="Z6363" s="11">
        <v>0.29010524563172785</v>
      </c>
    </row>
    <row r="6364" ht="22.5" customHeight="1">
      <c r="Q6364" s="9" t="s">
        <v>6402</v>
      </c>
      <c r="R6364" s="10">
        <v>0.816917690111441</v>
      </c>
      <c r="S6364" s="10">
        <v>0.040183270391779574</v>
      </c>
      <c r="T6364" s="10">
        <v>19.334356873809295</v>
      </c>
      <c r="U6364" s="11">
        <v>0.19151528149671157</v>
      </c>
      <c r="V6364" s="11">
        <v>0.3637308861834426</v>
      </c>
      <c r="W6364" s="11">
        <v>0.12046679863619195</v>
      </c>
      <c r="X6364" s="11">
        <v>0.24259570334278147</v>
      </c>
      <c r="Y6364" s="11">
        <v>0.07962664832868278</v>
      </c>
      <c r="Z6364" s="11">
        <v>0.002064682012189689</v>
      </c>
    </row>
    <row r="6365" ht="22.5" customHeight="1">
      <c r="Q6365" s="9" t="s">
        <v>6403</v>
      </c>
      <c r="R6365" s="10">
        <v>0.533898222366397</v>
      </c>
      <c r="S6365" s="10">
        <v>0.02554518680335982</v>
      </c>
      <c r="T6365" s="10">
        <v>19.334296756891877</v>
      </c>
      <c r="U6365" s="11">
        <v>0.16345457694925192</v>
      </c>
      <c r="V6365" s="11">
        <v>0.07849379107564533</v>
      </c>
      <c r="W6365" s="11">
        <v>0.21387500734690418</v>
      </c>
      <c r="X6365" s="11">
        <v>0.23413560102247963</v>
      </c>
      <c r="Y6365" s="11">
        <v>0.08278039993602784</v>
      </c>
      <c r="Z6365" s="11">
        <v>0.2272606236696911</v>
      </c>
    </row>
    <row r="6366" ht="22.5" customHeight="1">
      <c r="Q6366" s="9" t="s">
        <v>6404</v>
      </c>
      <c r="R6366" s="10">
        <v>0.5641992049917214</v>
      </c>
      <c r="S6366" s="10">
        <v>0.02711382857533362</v>
      </c>
      <c r="T6366" s="10">
        <v>19.3332787192069</v>
      </c>
      <c r="U6366" s="11">
        <v>0.21548119552630152</v>
      </c>
      <c r="V6366" s="11">
        <v>0.11112081534695985</v>
      </c>
      <c r="W6366" s="11">
        <v>0.21718546305820932</v>
      </c>
      <c r="X6366" s="11">
        <v>0.05008453243629996</v>
      </c>
      <c r="Y6366" s="11">
        <v>0.17201200973488306</v>
      </c>
      <c r="Z6366" s="11">
        <v>0.2341159838973463</v>
      </c>
    </row>
    <row r="6367" ht="22.5" customHeight="1">
      <c r="Q6367" s="9" t="s">
        <v>6405</v>
      </c>
      <c r="R6367" s="10">
        <v>0.45250805487484425</v>
      </c>
      <c r="S6367" s="10">
        <v>0.02133735971335281</v>
      </c>
      <c r="T6367" s="10">
        <v>19.332666291260903</v>
      </c>
      <c r="U6367" s="11">
        <v>0.2264197858224655</v>
      </c>
      <c r="V6367" s="11">
        <v>0.0720645775178633</v>
      </c>
      <c r="W6367" s="11">
        <v>0.16903873782530585</v>
      </c>
      <c r="X6367" s="11">
        <v>0.07382549133149302</v>
      </c>
      <c r="Y6367" s="11">
        <v>0.2146637453340475</v>
      </c>
      <c r="Z6367" s="11">
        <v>0.24398766216882478</v>
      </c>
    </row>
    <row r="6368" ht="22.5" customHeight="1">
      <c r="Q6368" s="9" t="s">
        <v>6406</v>
      </c>
      <c r="R6368" s="10">
        <v>0.4881232286223839</v>
      </c>
      <c r="S6368" s="10">
        <v>0.023180000856553837</v>
      </c>
      <c r="T6368" s="10">
        <v>19.332321486764872</v>
      </c>
      <c r="U6368" s="11">
        <v>0.20807264000538894</v>
      </c>
      <c r="V6368" s="11">
        <v>0.07176447106109006</v>
      </c>
      <c r="W6368" s="11">
        <v>0.19151853232785943</v>
      </c>
      <c r="X6368" s="11">
        <v>0.16809788150964464</v>
      </c>
      <c r="Y6368" s="11">
        <v>0.11164759812413588</v>
      </c>
      <c r="Z6368" s="11">
        <v>0.24889887697188107</v>
      </c>
    </row>
    <row r="6369" ht="22.5" customHeight="1">
      <c r="Q6369" s="9" t="s">
        <v>6407</v>
      </c>
      <c r="R6369" s="10">
        <v>0.708973060242684</v>
      </c>
      <c r="S6369" s="10">
        <v>0.03460537386224427</v>
      </c>
      <c r="T6369" s="10">
        <v>19.331479061769596</v>
      </c>
      <c r="U6369" s="11">
        <v>0.001546750211712279</v>
      </c>
      <c r="V6369" s="11">
        <v>0.14976523725606125</v>
      </c>
      <c r="W6369" s="11">
        <v>0.28124192185463653</v>
      </c>
      <c r="X6369" s="11">
        <v>0.15931891506653242</v>
      </c>
      <c r="Y6369" s="11">
        <v>0.1586067824743373</v>
      </c>
      <c r="Z6369" s="11">
        <v>0.24952039313672028</v>
      </c>
    </row>
    <row r="6370" ht="22.5" customHeight="1">
      <c r="Q6370" s="9" t="s">
        <v>6408</v>
      </c>
      <c r="R6370" s="10">
        <v>0.6324286098380422</v>
      </c>
      <c r="S6370" s="10">
        <v>0.030647598328115273</v>
      </c>
      <c r="T6370" s="10">
        <v>19.330343718795227</v>
      </c>
      <c r="U6370" s="11">
        <v>0.01397072206895927</v>
      </c>
      <c r="V6370" s="11">
        <v>0.2778202490716355</v>
      </c>
      <c r="W6370" s="11">
        <v>0.07742595586128709</v>
      </c>
      <c r="X6370" s="11">
        <v>0.1973966193812008</v>
      </c>
      <c r="Y6370" s="11">
        <v>0.25784564665916593</v>
      </c>
      <c r="Z6370" s="11">
        <v>0.17554080695775143</v>
      </c>
    </row>
    <row r="6371" ht="22.5" customHeight="1">
      <c r="Q6371" s="9" t="s">
        <v>6409</v>
      </c>
      <c r="R6371" s="10">
        <v>0.6110048548098254</v>
      </c>
      <c r="S6371" s="10">
        <v>0.02953977065701259</v>
      </c>
      <c r="T6371" s="10">
        <v>19.33003683203179</v>
      </c>
      <c r="U6371" s="11">
        <v>0.24712231520034375</v>
      </c>
      <c r="V6371" s="11">
        <v>0.2607749536527781</v>
      </c>
      <c r="W6371" s="11">
        <v>0.09033796625980053</v>
      </c>
      <c r="X6371" s="11">
        <v>0.038263387255127276</v>
      </c>
      <c r="Y6371" s="11">
        <v>0.2278656767695558</v>
      </c>
      <c r="Z6371" s="11">
        <v>0.13563570086239457</v>
      </c>
    </row>
    <row r="6372" ht="22.5" customHeight="1">
      <c r="Q6372" s="9" t="s">
        <v>6410</v>
      </c>
      <c r="R6372" s="10">
        <v>0.5225422929466533</v>
      </c>
      <c r="S6372" s="10">
        <v>0.024964531374245653</v>
      </c>
      <c r="T6372" s="10">
        <v>19.32911480343116</v>
      </c>
      <c r="U6372" s="11">
        <v>0.25836047426049247</v>
      </c>
      <c r="V6372" s="11">
        <v>0.09376270692381254</v>
      </c>
      <c r="W6372" s="11">
        <v>0.20148908089235862</v>
      </c>
      <c r="X6372" s="11">
        <v>0.07492941858346301</v>
      </c>
      <c r="Y6372" s="11">
        <v>0.13906632719580297</v>
      </c>
      <c r="Z6372" s="11">
        <v>0.2323919921440704</v>
      </c>
    </row>
    <row r="6373" ht="22.5" customHeight="1">
      <c r="Q6373" s="9" t="s">
        <v>6411</v>
      </c>
      <c r="R6373" s="10">
        <v>0.44840269199001037</v>
      </c>
      <c r="S6373" s="10">
        <v>0.021128980821611278</v>
      </c>
      <c r="T6373" s="10">
        <v>19.329029423524553</v>
      </c>
      <c r="U6373" s="11">
        <v>0.16779358736391842</v>
      </c>
      <c r="V6373" s="11">
        <v>0.04984214702136618</v>
      </c>
      <c r="W6373" s="11">
        <v>0.17403573804689124</v>
      </c>
      <c r="X6373" s="11">
        <v>0.23401094930215008</v>
      </c>
      <c r="Y6373" s="11">
        <v>0.17475530386436228</v>
      </c>
      <c r="Z6373" s="11">
        <v>0.19956227440131183</v>
      </c>
    </row>
    <row r="6374" ht="22.5" customHeight="1">
      <c r="Q6374" s="9" t="s">
        <v>6412</v>
      </c>
      <c r="R6374" s="10">
        <v>0.522331348251574</v>
      </c>
      <c r="S6374" s="10">
        <v>0.03591977121920707</v>
      </c>
      <c r="T6374" s="10">
        <v>19.328904424890453</v>
      </c>
      <c r="U6374" s="11">
        <v>0.17134754320895534</v>
      </c>
      <c r="V6374" s="11">
        <v>0.16302916684449834</v>
      </c>
      <c r="W6374" s="11">
        <v>0.286876095141481</v>
      </c>
      <c r="X6374" s="11">
        <v>0.06321963703928982</v>
      </c>
      <c r="Y6374" s="11">
        <v>0.19555562531226311</v>
      </c>
      <c r="Z6374" s="11">
        <v>0.1199719324535124</v>
      </c>
    </row>
    <row r="6375" ht="22.5" customHeight="1">
      <c r="Q6375" s="9" t="s">
        <v>6413</v>
      </c>
      <c r="R6375" s="10">
        <v>0.5622397100821404</v>
      </c>
      <c r="S6375" s="10">
        <v>0.027018800267173463</v>
      </c>
      <c r="T6375" s="10">
        <v>19.328752754304798</v>
      </c>
      <c r="U6375" s="11">
        <v>0.27125923759671516</v>
      </c>
      <c r="V6375" s="11">
        <v>0.2408378097170911</v>
      </c>
      <c r="W6375" s="11">
        <v>0.08315277813881829</v>
      </c>
      <c r="X6375" s="11">
        <v>0.0842905435475837</v>
      </c>
      <c r="Y6375" s="11">
        <v>0.01938977550744366</v>
      </c>
      <c r="Z6375" s="11">
        <v>0.301069855492348</v>
      </c>
    </row>
    <row r="6376" ht="22.5" customHeight="1">
      <c r="Q6376" s="9" t="s">
        <v>6414</v>
      </c>
      <c r="R6376" s="10">
        <v>0.6292000357356945</v>
      </c>
      <c r="S6376" s="10">
        <v>0.030483401666133916</v>
      </c>
      <c r="T6376" s="10">
        <v>19.32855270513582</v>
      </c>
      <c r="U6376" s="11">
        <v>0.10322307116200051</v>
      </c>
      <c r="V6376" s="11">
        <v>0.11109118374428956</v>
      </c>
      <c r="W6376" s="11">
        <v>0.25434945058538866</v>
      </c>
      <c r="X6376" s="11">
        <v>0.2539890878244184</v>
      </c>
      <c r="Y6376" s="11">
        <v>0.029661614797167935</v>
      </c>
      <c r="Z6376" s="11">
        <v>0.24768559188673492</v>
      </c>
    </row>
    <row r="6377" ht="22.5" customHeight="1">
      <c r="Q6377" s="9" t="s">
        <v>6415</v>
      </c>
      <c r="R6377" s="10">
        <v>0.5063462650373601</v>
      </c>
      <c r="S6377" s="10">
        <v>0.02412895554145948</v>
      </c>
      <c r="T6377" s="10">
        <v>19.327246230615437</v>
      </c>
      <c r="U6377" s="11">
        <v>0.231438304390904</v>
      </c>
      <c r="V6377" s="11">
        <v>0.21736995273791565</v>
      </c>
      <c r="W6377" s="11">
        <v>0.048856876897325575</v>
      </c>
      <c r="X6377" s="11">
        <v>0.1557534433886855</v>
      </c>
      <c r="Y6377" s="11">
        <v>0.16114731423349887</v>
      </c>
      <c r="Z6377" s="11">
        <v>0.18543410835167057</v>
      </c>
    </row>
    <row r="6378" ht="22.5" customHeight="1">
      <c r="Q6378" s="9" t="s">
        <v>6416</v>
      </c>
      <c r="R6378" s="10">
        <v>0.6724424798125787</v>
      </c>
      <c r="S6378" s="10">
        <v>0.0327249615530055</v>
      </c>
      <c r="T6378" s="10">
        <v>19.32599611425653</v>
      </c>
      <c r="U6378" s="11">
        <v>0.003061962959820603</v>
      </c>
      <c r="V6378" s="11">
        <v>0.28296480063145496</v>
      </c>
      <c r="W6378" s="11">
        <v>0.13655637078907953</v>
      </c>
      <c r="X6378" s="11">
        <v>0.013059721757164475</v>
      </c>
      <c r="Y6378" s="11">
        <v>0.12361866880524792</v>
      </c>
      <c r="Z6378" s="11">
        <v>0.4407384750572325</v>
      </c>
    </row>
    <row r="6379" ht="22.5" customHeight="1">
      <c r="Q6379" s="9" t="s">
        <v>6417</v>
      </c>
      <c r="R6379" s="10">
        <v>0.7087761202844497</v>
      </c>
      <c r="S6379" s="10">
        <v>0.03460820185844443</v>
      </c>
      <c r="T6379" s="10">
        <v>19.324208839855334</v>
      </c>
      <c r="U6379" s="11">
        <v>0.3086861440521047</v>
      </c>
      <c r="V6379" s="11">
        <v>0.30334500457513086</v>
      </c>
      <c r="W6379" s="11">
        <v>0.1218712809223671</v>
      </c>
      <c r="X6379" s="11">
        <v>0.016513830291123507</v>
      </c>
      <c r="Y6379" s="11">
        <v>0.16428320398436047</v>
      </c>
      <c r="Z6379" s="11">
        <v>0.08530053617491333</v>
      </c>
    </row>
    <row r="6380" ht="22.5" customHeight="1">
      <c r="Q6380" s="9" t="s">
        <v>6418</v>
      </c>
      <c r="R6380" s="10">
        <v>0.5844924341621326</v>
      </c>
      <c r="S6380" s="10">
        <v>0.028176830823807564</v>
      </c>
      <c r="T6380" s="10">
        <v>19.3241190809178</v>
      </c>
      <c r="U6380" s="11">
        <v>0.027625955925343695</v>
      </c>
      <c r="V6380" s="11">
        <v>0.13344860009818832</v>
      </c>
      <c r="W6380" s="11">
        <v>0.21764869712045903</v>
      </c>
      <c r="X6380" s="11">
        <v>0.01123531123930891</v>
      </c>
      <c r="Y6380" s="11">
        <v>0.2600734928355013</v>
      </c>
      <c r="Z6380" s="11">
        <v>0.34996794278119886</v>
      </c>
    </row>
    <row r="6381" ht="22.5" customHeight="1">
      <c r="Q6381" s="9" t="s">
        <v>6419</v>
      </c>
      <c r="R6381" s="10">
        <v>0.3523794276870274</v>
      </c>
      <c r="S6381" s="10">
        <v>0.016166909120032928</v>
      </c>
      <c r="T6381" s="10">
        <v>19.322149049501874</v>
      </c>
      <c r="U6381" s="11">
        <v>0.3090618712161046</v>
      </c>
      <c r="V6381" s="11">
        <v>0.1261015569728501</v>
      </c>
      <c r="W6381" s="11">
        <v>0.0024288710901259883</v>
      </c>
      <c r="X6381" s="11">
        <v>0.4139156985070447</v>
      </c>
      <c r="Y6381" s="11">
        <v>0.02612863921231311</v>
      </c>
      <c r="Z6381" s="11">
        <v>0.12236336300156159</v>
      </c>
    </row>
    <row r="6382" ht="22.5" customHeight="1">
      <c r="Q6382" s="9" t="s">
        <v>6420</v>
      </c>
      <c r="R6382" s="10">
        <v>0.24899781283422853</v>
      </c>
      <c r="S6382" s="10">
        <v>0.010816552451694085</v>
      </c>
      <c r="T6382" s="10">
        <v>19.32203571956935</v>
      </c>
      <c r="U6382" s="11">
        <v>0.24651275638099046</v>
      </c>
      <c r="V6382" s="11">
        <v>0.01563610678701274</v>
      </c>
      <c r="W6382" s="11">
        <v>0.05611742173286164</v>
      </c>
      <c r="X6382" s="11">
        <v>0.2258676065066175</v>
      </c>
      <c r="Y6382" s="11">
        <v>0.22648726838505617</v>
      </c>
      <c r="Z6382" s="11">
        <v>0.2293788402074615</v>
      </c>
    </row>
    <row r="6383" ht="22.5" customHeight="1">
      <c r="Q6383" s="9" t="s">
        <v>6421</v>
      </c>
      <c r="R6383" s="10">
        <v>0.6521345723883158</v>
      </c>
      <c r="S6383" s="10">
        <v>0.03168223273470549</v>
      </c>
      <c r="T6383" s="10">
        <v>19.321067978828673</v>
      </c>
      <c r="U6383" s="11">
        <v>0.08447955328801722</v>
      </c>
      <c r="V6383" s="11">
        <v>0.28029918035470663</v>
      </c>
      <c r="W6383" s="11">
        <v>0.10896780483930853</v>
      </c>
      <c r="X6383" s="11">
        <v>0.036427021059617856</v>
      </c>
      <c r="Y6383" s="11">
        <v>0.2312795375688574</v>
      </c>
      <c r="Z6383" s="11">
        <v>0.2585469028894923</v>
      </c>
    </row>
    <row r="6384" ht="22.5" customHeight="1">
      <c r="Q6384" s="9" t="s">
        <v>6422</v>
      </c>
      <c r="R6384" s="10">
        <v>0.8901292969026644</v>
      </c>
      <c r="S6384" s="10">
        <v>0.044000642039228134</v>
      </c>
      <c r="T6384" s="10">
        <v>19.320838458328492</v>
      </c>
      <c r="U6384" s="11">
        <v>0.01507054106324816</v>
      </c>
      <c r="V6384" s="11">
        <v>0.37825260777925324</v>
      </c>
      <c r="W6384" s="11">
        <v>0.17687902007854545</v>
      </c>
      <c r="X6384" s="11">
        <v>0.028470222239930693</v>
      </c>
      <c r="Y6384" s="11">
        <v>0.35926161130449547</v>
      </c>
      <c r="Z6384" s="11">
        <v>0.04206599753452705</v>
      </c>
    </row>
    <row r="6385" ht="22.5" customHeight="1">
      <c r="Q6385" s="9" t="s">
        <v>6423</v>
      </c>
      <c r="R6385" s="10">
        <v>0.4988898946102583</v>
      </c>
      <c r="S6385" s="10">
        <v>0.023751705096701978</v>
      </c>
      <c r="T6385" s="10">
        <v>19.32029270075339</v>
      </c>
      <c r="U6385" s="11">
        <v>0.23621442914644863</v>
      </c>
      <c r="V6385" s="11">
        <v>0.20530240621307258</v>
      </c>
      <c r="W6385" s="11">
        <v>0.07025634347616641</v>
      </c>
      <c r="X6385" s="11">
        <v>0.00624300866311155</v>
      </c>
      <c r="Y6385" s="11">
        <v>0.2363205967910257</v>
      </c>
      <c r="Z6385" s="11">
        <v>0.2456632157101751</v>
      </c>
    </row>
    <row r="6386" ht="22.5" customHeight="1">
      <c r="Q6386" s="9" t="s">
        <v>6424</v>
      </c>
      <c r="R6386" s="10">
        <v>0.47323809817684703</v>
      </c>
      <c r="S6386" s="10">
        <v>0.022425312361120796</v>
      </c>
      <c r="T6386" s="10">
        <v>19.319155568506616</v>
      </c>
      <c r="U6386" s="11">
        <v>0.11443519491396674</v>
      </c>
      <c r="V6386" s="11">
        <v>0.05692599792421517</v>
      </c>
      <c r="W6386" s="11">
        <v>0.1852007293603621</v>
      </c>
      <c r="X6386" s="11">
        <v>0.235387309230664</v>
      </c>
      <c r="Y6386" s="11">
        <v>0.20759752944549</v>
      </c>
      <c r="Z6386" s="11">
        <v>0.2004532391253019</v>
      </c>
    </row>
    <row r="6387" ht="22.5" customHeight="1">
      <c r="Q6387" s="9" t="s">
        <v>6425</v>
      </c>
      <c r="R6387" s="10">
        <v>0.6942788344511025</v>
      </c>
      <c r="S6387" s="10">
        <v>0.03386739023535938</v>
      </c>
      <c r="T6387" s="10">
        <v>19.318844171464978</v>
      </c>
      <c r="U6387" s="11">
        <v>0.14486917700396434</v>
      </c>
      <c r="V6387" s="11">
        <v>0.13248553030280552</v>
      </c>
      <c r="W6387" s="11">
        <v>0.2744689804317614</v>
      </c>
      <c r="X6387" s="11">
        <v>0.12853950654263122</v>
      </c>
      <c r="Y6387" s="11">
        <v>0.3008556534292557</v>
      </c>
      <c r="Z6387" s="11">
        <v>0.018781152289581868</v>
      </c>
    </row>
    <row r="6388" ht="22.5" customHeight="1">
      <c r="Q6388" s="9" t="s">
        <v>6426</v>
      </c>
      <c r="R6388" s="10">
        <v>0.5144342834910681</v>
      </c>
      <c r="S6388" s="10">
        <v>0.024558302708916326</v>
      </c>
      <c r="T6388" s="10">
        <v>19.318691894730023</v>
      </c>
      <c r="U6388" s="11">
        <v>0.07785654921499653</v>
      </c>
      <c r="V6388" s="11">
        <v>0.08237330089916886</v>
      </c>
      <c r="W6388" s="11">
        <v>0.20379674904805817</v>
      </c>
      <c r="X6388" s="11">
        <v>0.20815586924296609</v>
      </c>
      <c r="Y6388" s="11">
        <v>0.08001649276966832</v>
      </c>
      <c r="Z6388" s="11">
        <v>0.3478010388251421</v>
      </c>
    </row>
    <row r="6389" ht="22.5" customHeight="1">
      <c r="Q6389" s="9" t="s">
        <v>6427</v>
      </c>
      <c r="R6389" s="10">
        <v>0.6323492451501522</v>
      </c>
      <c r="S6389" s="10">
        <v>0.030662117722284665</v>
      </c>
      <c r="T6389" s="10">
        <v>19.318601882466965</v>
      </c>
      <c r="U6389" s="11">
        <v>0.32788376500599953</v>
      </c>
      <c r="V6389" s="11">
        <v>0.12506056692133774</v>
      </c>
      <c r="W6389" s="11">
        <v>0.24519686153460302</v>
      </c>
      <c r="X6389" s="11">
        <v>0.04777745383106357</v>
      </c>
      <c r="Y6389" s="11">
        <v>0.19581874690036313</v>
      </c>
      <c r="Z6389" s="11">
        <v>0.058262605806633096</v>
      </c>
    </row>
    <row r="6390" ht="22.5" customHeight="1">
      <c r="Q6390" s="9" t="s">
        <v>6428</v>
      </c>
      <c r="R6390" s="10">
        <v>0.4284347928889655</v>
      </c>
      <c r="S6390" s="10">
        <v>0.020107119685780397</v>
      </c>
      <c r="T6390" s="10">
        <v>19.31827128694438</v>
      </c>
      <c r="U6390" s="11">
        <v>0.3707802357174224</v>
      </c>
      <c r="V6390" s="11">
        <v>0.16539602802696493</v>
      </c>
      <c r="W6390" s="11">
        <v>0.038359672399961464</v>
      </c>
      <c r="X6390" s="11">
        <v>0.08838463522295537</v>
      </c>
      <c r="Y6390" s="11">
        <v>0.285571579227585</v>
      </c>
      <c r="Z6390" s="11">
        <v>0.0515078494051108</v>
      </c>
    </row>
    <row r="6391" ht="22.5" customHeight="1">
      <c r="Q6391" s="9" t="s">
        <v>6429</v>
      </c>
      <c r="R6391" s="10">
        <v>0.4607387917069674</v>
      </c>
      <c r="S6391" s="10">
        <v>0.021779506584309816</v>
      </c>
      <c r="T6391" s="10">
        <v>19.318104846786202</v>
      </c>
      <c r="U6391" s="11">
        <v>0.42992739931028795</v>
      </c>
      <c r="V6391" s="11">
        <v>0.18749082014996127</v>
      </c>
      <c r="W6391" s="11">
        <v>0.043211069919973866</v>
      </c>
      <c r="X6391" s="11">
        <v>0.11681698376309446</v>
      </c>
      <c r="Y6391" s="11">
        <v>0.13164840175929188</v>
      </c>
      <c r="Z6391" s="11">
        <v>0.09090532509739056</v>
      </c>
    </row>
    <row r="6392" ht="22.5" customHeight="1">
      <c r="Q6392" s="9" t="s">
        <v>6430</v>
      </c>
      <c r="R6392" s="10">
        <v>0.7091938662209787</v>
      </c>
      <c r="S6392" s="10">
        <v>0.03464182449951011</v>
      </c>
      <c r="T6392" s="10">
        <v>19.317512165978503</v>
      </c>
      <c r="U6392" s="11">
        <v>0.022442003647744402</v>
      </c>
      <c r="V6392" s="11">
        <v>0.14960419229287528</v>
      </c>
      <c r="W6392" s="11">
        <v>0.2791169226457726</v>
      </c>
      <c r="X6392" s="11">
        <v>0.11738019756935779</v>
      </c>
      <c r="Y6392" s="11">
        <v>0.2532231744844417</v>
      </c>
      <c r="Z6392" s="11">
        <v>0.17823350935980822</v>
      </c>
    </row>
    <row r="6393" ht="22.5" customHeight="1">
      <c r="Q6393" s="9" t="s">
        <v>6431</v>
      </c>
      <c r="R6393" s="10">
        <v>0.5815797788734308</v>
      </c>
      <c r="S6393" s="10">
        <v>0.028037323988626704</v>
      </c>
      <c r="T6393" s="10">
        <v>19.31638622477387</v>
      </c>
      <c r="U6393" s="11">
        <v>0.015131496208064962</v>
      </c>
      <c r="V6393" s="11">
        <v>0.25705528903764996</v>
      </c>
      <c r="W6393" s="11">
        <v>0.057209047972896124</v>
      </c>
      <c r="X6393" s="11">
        <v>0.30136623942736807</v>
      </c>
      <c r="Y6393" s="11">
        <v>0.1295279758509769</v>
      </c>
      <c r="Z6393" s="11">
        <v>0.23970995150304397</v>
      </c>
    </row>
    <row r="6394" ht="22.5" customHeight="1">
      <c r="Q6394" s="9" t="s">
        <v>6432</v>
      </c>
      <c r="R6394" s="10">
        <v>0.4065785463068052</v>
      </c>
      <c r="S6394" s="10">
        <v>0.018977906466344865</v>
      </c>
      <c r="T6394" s="10">
        <v>19.31606876432288</v>
      </c>
      <c r="U6394" s="11">
        <v>0.24189604456722275</v>
      </c>
      <c r="V6394" s="11">
        <v>0.04607129048323842</v>
      </c>
      <c r="W6394" s="11">
        <v>0.15354202479075216</v>
      </c>
      <c r="X6394" s="11">
        <v>0.183402250778129</v>
      </c>
      <c r="Y6394" s="11">
        <v>0.12544757661096317</v>
      </c>
      <c r="Z6394" s="11">
        <v>0.2496408127696944</v>
      </c>
    </row>
    <row r="6395" ht="22.5" customHeight="1">
      <c r="Q6395" s="9" t="s">
        <v>6433</v>
      </c>
      <c r="R6395" s="10">
        <v>0.40265834088761376</v>
      </c>
      <c r="S6395" s="10">
        <v>0.018775740582023526</v>
      </c>
      <c r="T6395" s="10">
        <v>19.31526158999204</v>
      </c>
      <c r="U6395" s="11">
        <v>0.2215578111922919</v>
      </c>
      <c r="V6395" s="11">
        <v>0.04887356288857432</v>
      </c>
      <c r="W6395" s="11">
        <v>0.15153604605023777</v>
      </c>
      <c r="X6395" s="11">
        <v>0.16825681540904172</v>
      </c>
      <c r="Y6395" s="11">
        <v>0.11599155868995972</v>
      </c>
      <c r="Z6395" s="11">
        <v>0.2937842057698945</v>
      </c>
    </row>
    <row r="6396" ht="22.5" customHeight="1">
      <c r="Q6396" s="9" t="s">
        <v>6434</v>
      </c>
      <c r="R6396" s="10">
        <v>0.2225897911445347</v>
      </c>
      <c r="S6396" s="10">
        <v>0.009453150556935337</v>
      </c>
      <c r="T6396" s="10">
        <v>19.315231471752774</v>
      </c>
      <c r="U6396" s="11">
        <v>0.07977886783190254</v>
      </c>
      <c r="V6396" s="11">
        <v>0.021297596571048433</v>
      </c>
      <c r="W6396" s="11">
        <v>0.03488621343419384</v>
      </c>
      <c r="X6396" s="11">
        <v>0.30996995976407204</v>
      </c>
      <c r="Y6396" s="11">
        <v>0.13989272531502445</v>
      </c>
      <c r="Z6396" s="11">
        <v>0.4141746370837587</v>
      </c>
    </row>
    <row r="6397" ht="22.5" customHeight="1">
      <c r="Q6397" s="9" t="s">
        <v>6435</v>
      </c>
      <c r="R6397" s="10">
        <v>0.5598648514737865</v>
      </c>
      <c r="S6397" s="10">
        <v>0.02691511475650716</v>
      </c>
      <c r="T6397" s="10">
        <v>19.314978077442557</v>
      </c>
      <c r="U6397" s="11">
        <v>0.24720649349606735</v>
      </c>
      <c r="V6397" s="11">
        <v>0.09215908029314848</v>
      </c>
      <c r="W6397" s="11">
        <v>0.22368026620012268</v>
      </c>
      <c r="X6397" s="11">
        <v>0.18223813196185315</v>
      </c>
      <c r="Y6397" s="11">
        <v>0.04671085300456826</v>
      </c>
      <c r="Z6397" s="11">
        <v>0.20800517504424015</v>
      </c>
    </row>
    <row r="6398" ht="22.5" customHeight="1">
      <c r="Q6398" s="9" t="s">
        <v>6436</v>
      </c>
      <c r="R6398" s="10">
        <v>0.8705392251988551</v>
      </c>
      <c r="S6398" s="10">
        <v>0.043001822558762115</v>
      </c>
      <c r="T6398" s="10">
        <v>19.314047074723884</v>
      </c>
      <c r="U6398" s="11">
        <v>0.20399942548080952</v>
      </c>
      <c r="V6398" s="11">
        <v>0.20101837265015193</v>
      </c>
      <c r="W6398" s="11">
        <v>0.34370737539242485</v>
      </c>
      <c r="X6398" s="11">
        <v>0.10580779069976623</v>
      </c>
      <c r="Y6398" s="11">
        <v>0.1431312041855523</v>
      </c>
      <c r="Z6398" s="11">
        <v>0.00233583159129527</v>
      </c>
    </row>
    <row r="6399" ht="22.5" customHeight="1">
      <c r="Q6399" s="9" t="s">
        <v>6437</v>
      </c>
      <c r="R6399" s="10">
        <v>0.4253105999493549</v>
      </c>
      <c r="S6399" s="10">
        <v>0.019950228641006006</v>
      </c>
      <c r="T6399" s="10">
        <v>19.31359318646512</v>
      </c>
      <c r="U6399" s="11">
        <v>0.3466226530112578</v>
      </c>
      <c r="V6399" s="11">
        <v>0.07064357872243716</v>
      </c>
      <c r="W6399" s="11">
        <v>0.1522155971045903</v>
      </c>
      <c r="X6399" s="11">
        <v>0.03516587909715243</v>
      </c>
      <c r="Y6399" s="11">
        <v>0.17261319064833114</v>
      </c>
      <c r="Z6399" s="11">
        <v>0.2227391014162313</v>
      </c>
    </row>
    <row r="6400" ht="22.5" customHeight="1">
      <c r="Q6400" s="9" t="s">
        <v>6438</v>
      </c>
      <c r="R6400" s="10">
        <v>0.5019313592052319</v>
      </c>
      <c r="S6400" s="10">
        <v>0.02391763331209661</v>
      </c>
      <c r="T6400" s="10">
        <v>19.31342257729175</v>
      </c>
      <c r="U6400" s="11">
        <v>0.1958305570534085</v>
      </c>
      <c r="V6400" s="11">
        <v>0.06593289540575922</v>
      </c>
      <c r="W6400" s="11">
        <v>0.1959193740472186</v>
      </c>
      <c r="X6400" s="11">
        <v>0.18595601887304442</v>
      </c>
      <c r="Y6400" s="11">
        <v>0.2505085209857486</v>
      </c>
      <c r="Z6400" s="11">
        <v>0.10585263363482059</v>
      </c>
    </row>
    <row r="6401" ht="22.5" customHeight="1">
      <c r="Q6401" s="9" t="s">
        <v>6439</v>
      </c>
      <c r="R6401" s="10">
        <v>0.5643332168622464</v>
      </c>
      <c r="S6401" s="10">
        <v>0.027148724528238497</v>
      </c>
      <c r="T6401" s="10">
        <v>19.313364659797035</v>
      </c>
      <c r="U6401" s="11">
        <v>0.15960178597823693</v>
      </c>
      <c r="V6401" s="11">
        <v>0.10970376933423401</v>
      </c>
      <c r="W6401" s="11">
        <v>0.21831120629576678</v>
      </c>
      <c r="X6401" s="11">
        <v>0.061793356750575595</v>
      </c>
      <c r="Y6401" s="11">
        <v>0.1984005265848596</v>
      </c>
      <c r="Z6401" s="11">
        <v>0.25218935505632717</v>
      </c>
    </row>
    <row r="6402" ht="22.5" customHeight="1">
      <c r="Q6402" s="9" t="s">
        <v>6440</v>
      </c>
      <c r="R6402" s="10">
        <v>0.24972691796047</v>
      </c>
      <c r="S6402" s="10">
        <v>0.010860019775615817</v>
      </c>
      <c r="T6402" s="10">
        <v>19.311835732691144</v>
      </c>
      <c r="U6402" s="11">
        <v>0.322184481792112</v>
      </c>
      <c r="V6402" s="11">
        <v>0.024550325697482275</v>
      </c>
      <c r="W6402" s="11">
        <v>0.03836283447064845</v>
      </c>
      <c r="X6402" s="11">
        <v>0.23225263361784163</v>
      </c>
      <c r="Y6402" s="11">
        <v>0.2806860011761036</v>
      </c>
      <c r="Z6402" s="11">
        <v>0.10196372324581202</v>
      </c>
    </row>
    <row r="6403" ht="22.5" customHeight="1">
      <c r="Q6403" s="9" t="s">
        <v>6441</v>
      </c>
      <c r="R6403" s="10">
        <v>0.9130151235387733</v>
      </c>
      <c r="S6403" s="10">
        <v>0.045207038748407286</v>
      </c>
      <c r="T6403" s="10">
        <v>19.311486611573976</v>
      </c>
      <c r="U6403" s="11">
        <v>0.027899067859878092</v>
      </c>
      <c r="V6403" s="11">
        <v>0.40068390275180565</v>
      </c>
      <c r="W6403" s="11">
        <v>0.1735598132332079</v>
      </c>
      <c r="X6403" s="11">
        <v>0.17110115297652218</v>
      </c>
      <c r="Y6403" s="11">
        <v>0.043252323974202346</v>
      </c>
      <c r="Z6403" s="11">
        <v>0.18350373920438398</v>
      </c>
    </row>
    <row r="6404" ht="22.5" customHeight="1">
      <c r="Q6404" s="9" t="s">
        <v>6442</v>
      </c>
      <c r="R6404" s="10">
        <v>0.6283589994455852</v>
      </c>
      <c r="S6404" s="10">
        <v>0.030467199852318903</v>
      </c>
      <c r="T6404" s="10">
        <v>19.311226574725875</v>
      </c>
      <c r="U6404" s="11">
        <v>0.0935901594475099</v>
      </c>
      <c r="V6404" s="11">
        <v>0.10909814708712284</v>
      </c>
      <c r="W6404" s="11">
        <v>0.2546878226218138</v>
      </c>
      <c r="X6404" s="11">
        <v>0.24970312219361845</v>
      </c>
      <c r="Y6404" s="11">
        <v>0.06012997116786811</v>
      </c>
      <c r="Z6404" s="11">
        <v>0.23279077748206695</v>
      </c>
    </row>
    <row r="6405" ht="22.5" customHeight="1">
      <c r="Q6405" s="9" t="s">
        <v>6443</v>
      </c>
      <c r="R6405" s="10">
        <v>0.48010880269459005</v>
      </c>
      <c r="S6405" s="10">
        <v>0.022791687886783877</v>
      </c>
      <c r="T6405" s="10">
        <v>19.31005745957912</v>
      </c>
      <c r="U6405" s="11">
        <v>0.28806053019437106</v>
      </c>
      <c r="V6405" s="11">
        <v>0.19802213320127537</v>
      </c>
      <c r="W6405" s="11">
        <v>0.04690408908441862</v>
      </c>
      <c r="X6405" s="11">
        <v>0.09789886707438059</v>
      </c>
      <c r="Y6405" s="11">
        <v>0.2649021298134056</v>
      </c>
      <c r="Z6405" s="11">
        <v>0.10421225063214874</v>
      </c>
    </row>
    <row r="6406" ht="22.5" customHeight="1">
      <c r="Q6406" s="9" t="s">
        <v>6444</v>
      </c>
      <c r="R6406" s="10">
        <v>0.8379263595589388</v>
      </c>
      <c r="S6406" s="10">
        <v>0.04132382605190883</v>
      </c>
      <c r="T6406" s="10">
        <v>19.309111372132516</v>
      </c>
      <c r="U6406" s="11">
        <v>0.13679704022921033</v>
      </c>
      <c r="V6406" s="11">
        <v>0.1952910940371963</v>
      </c>
      <c r="W6406" s="11">
        <v>0.32657563396799033</v>
      </c>
      <c r="X6406" s="11">
        <v>0.0642034456056485</v>
      </c>
      <c r="Y6406" s="11">
        <v>0.2570512162387068</v>
      </c>
      <c r="Z6406" s="11">
        <v>0.020081569921247672</v>
      </c>
    </row>
    <row r="6407" ht="22.5" customHeight="1">
      <c r="Q6407" s="9" t="s">
        <v>6445</v>
      </c>
      <c r="R6407" s="10">
        <v>0.632114862363161</v>
      </c>
      <c r="S6407" s="10">
        <v>0.030665738574352935</v>
      </c>
      <c r="T6407" s="10">
        <v>19.308677693429885</v>
      </c>
      <c r="U6407" s="11">
        <v>0.08950402029100302</v>
      </c>
      <c r="V6407" s="11">
        <v>0.1363498196673613</v>
      </c>
      <c r="W6407" s="11">
        <v>0.2437136561088297</v>
      </c>
      <c r="X6407" s="11">
        <v>0.04550280407659728</v>
      </c>
      <c r="Y6407" s="11">
        <v>0.23297423487164878</v>
      </c>
      <c r="Z6407" s="11">
        <v>0.25195546498455984</v>
      </c>
    </row>
    <row r="6408" ht="22.5" customHeight="1">
      <c r="Q6408" s="9" t="s">
        <v>6446</v>
      </c>
      <c r="R6408" s="10">
        <v>0.582399076874815</v>
      </c>
      <c r="S6408" s="10">
        <v>0.028091536679993295</v>
      </c>
      <c r="T6408" s="10">
        <v>19.30827362894355</v>
      </c>
      <c r="U6408" s="11">
        <v>0.20402554617184235</v>
      </c>
      <c r="V6408" s="11">
        <v>0.10481522815518259</v>
      </c>
      <c r="W6408" s="11">
        <v>0.231511303239577</v>
      </c>
      <c r="X6408" s="11">
        <v>0.13292026153362962</v>
      </c>
      <c r="Y6408" s="11">
        <v>0.10706174745887356</v>
      </c>
      <c r="Z6408" s="11">
        <v>0.21966591344089484</v>
      </c>
    </row>
    <row r="6409" ht="22.5" customHeight="1">
      <c r="Q6409" s="9" t="s">
        <v>6447</v>
      </c>
      <c r="R6409" s="10">
        <v>0.36852149620262403</v>
      </c>
      <c r="S6409" s="10">
        <v>0.01701629157676525</v>
      </c>
      <c r="T6409" s="10">
        <v>19.30629213307563</v>
      </c>
      <c r="U6409" s="11">
        <v>0.25675044253349394</v>
      </c>
      <c r="V6409" s="11">
        <v>0.1389822139839654</v>
      </c>
      <c r="W6409" s="11">
        <v>0.003166927317869018</v>
      </c>
      <c r="X6409" s="11">
        <v>0.38826576226506554</v>
      </c>
      <c r="Y6409" s="11">
        <v>0.07940762792541728</v>
      </c>
      <c r="Z6409" s="11">
        <v>0.1334270259741889</v>
      </c>
    </row>
    <row r="6410" ht="22.5" customHeight="1">
      <c r="Q6410" s="9" t="s">
        <v>6448</v>
      </c>
      <c r="R6410" s="10">
        <v>0.662108603345064</v>
      </c>
      <c r="S6410" s="10">
        <v>0.03222772238170033</v>
      </c>
      <c r="T6410" s="10">
        <v>19.303523717155766</v>
      </c>
      <c r="U6410" s="11">
        <v>0.10278604784322241</v>
      </c>
      <c r="V6410" s="11">
        <v>0.29485499915695546</v>
      </c>
      <c r="W6410" s="11">
        <v>0.08469615432837244</v>
      </c>
      <c r="X6410" s="11">
        <v>0.21381390497549613</v>
      </c>
      <c r="Y6410" s="11">
        <v>0.11695191875352416</v>
      </c>
      <c r="Z6410" s="11">
        <v>0.18689697494242938</v>
      </c>
    </row>
    <row r="6411" ht="22.5" customHeight="1">
      <c r="Q6411" s="9" t="s">
        <v>6449</v>
      </c>
      <c r="R6411" s="10">
        <v>0.5510817420056598</v>
      </c>
      <c r="S6411" s="10">
        <v>0.02647645539865787</v>
      </c>
      <c r="T6411" s="10">
        <v>19.30325394053946</v>
      </c>
      <c r="U6411" s="11">
        <v>0.2586224083613228</v>
      </c>
      <c r="V6411" s="11">
        <v>0.24106936671986154</v>
      </c>
      <c r="W6411" s="11">
        <v>0.05294335912123614</v>
      </c>
      <c r="X6411" s="11">
        <v>0.2380707216410994</v>
      </c>
      <c r="Y6411" s="11">
        <v>0.04504350979346115</v>
      </c>
      <c r="Z6411" s="11">
        <v>0.1642506343630189</v>
      </c>
    </row>
    <row r="6412" ht="22.5" customHeight="1">
      <c r="Q6412" s="9" t="s">
        <v>6450</v>
      </c>
      <c r="R6412" s="10">
        <v>0.47263395286619964</v>
      </c>
      <c r="S6412" s="10">
        <v>0.022412991474122217</v>
      </c>
      <c r="T6412" s="10">
        <v>19.302820570190903</v>
      </c>
      <c r="U6412" s="11">
        <v>0.1551967204488522</v>
      </c>
      <c r="V6412" s="11">
        <v>0.06911165872122045</v>
      </c>
      <c r="W6412" s="11">
        <v>0.18251482243501488</v>
      </c>
      <c r="X6412" s="11">
        <v>0.1357397823423661</v>
      </c>
      <c r="Y6412" s="11">
        <v>0.2151912037024287</v>
      </c>
      <c r="Z6412" s="11">
        <v>0.2422458123501177</v>
      </c>
    </row>
    <row r="6413" ht="22.5" customHeight="1">
      <c r="Q6413" s="9" t="s">
        <v>6451</v>
      </c>
      <c r="R6413" s="10">
        <v>0.522331348251574</v>
      </c>
      <c r="S6413" s="10">
        <v>0.03904038131067175</v>
      </c>
      <c r="T6413" s="10">
        <v>19.301448466469836</v>
      </c>
      <c r="U6413" s="11">
        <v>0.3565767806190294</v>
      </c>
      <c r="V6413" s="11">
        <v>0.18042289259917815</v>
      </c>
      <c r="W6413" s="11">
        <v>0.3119142661346891</v>
      </c>
      <c r="X6413" s="11">
        <v>0.0852344912125465</v>
      </c>
      <c r="Y6413" s="11">
        <v>0.02242913871628188</v>
      </c>
      <c r="Z6413" s="11">
        <v>0.04342243071827499</v>
      </c>
    </row>
    <row r="6414" ht="22.5" customHeight="1">
      <c r="Q6414" s="9" t="s">
        <v>6452</v>
      </c>
      <c r="R6414" s="10">
        <v>0.6683972510308082</v>
      </c>
      <c r="S6414" s="10">
        <v>0.032558742709880316</v>
      </c>
      <c r="T6414" s="10">
        <v>19.30041514901968</v>
      </c>
      <c r="U6414" s="11">
        <v>0.14481692023476953</v>
      </c>
      <c r="V6414" s="11">
        <v>0.13833606801972936</v>
      </c>
      <c r="W6414" s="11">
        <v>0.2589135509539532</v>
      </c>
      <c r="X6414" s="11">
        <v>0.053432862419453726</v>
      </c>
      <c r="Y6414" s="11">
        <v>0.30629050242973166</v>
      </c>
      <c r="Z6414" s="11">
        <v>0.09821009594236241</v>
      </c>
    </row>
    <row r="6415" ht="22.5" customHeight="1">
      <c r="Q6415" s="9" t="s">
        <v>6453</v>
      </c>
      <c r="R6415" s="10">
        <v>0.302044129742491</v>
      </c>
      <c r="S6415" s="10">
        <v>0.013577275505644294</v>
      </c>
      <c r="T6415" s="10">
        <v>19.300199781138346</v>
      </c>
      <c r="U6415" s="11">
        <v>0.3972429399875035</v>
      </c>
      <c r="V6415" s="11">
        <v>0.037106069303393205</v>
      </c>
      <c r="W6415" s="11">
        <v>0.07168813520326714</v>
      </c>
      <c r="X6415" s="11">
        <v>0.12081035874394963</v>
      </c>
      <c r="Y6415" s="11">
        <v>0.3194951184448483</v>
      </c>
      <c r="Z6415" s="11">
        <v>0.0536573783170383</v>
      </c>
    </row>
    <row r="6416" ht="22.5" customHeight="1">
      <c r="Q6416" s="9" t="s">
        <v>6454</v>
      </c>
      <c r="R6416" s="10">
        <v>0.470794799685113</v>
      </c>
      <c r="S6416" s="10">
        <v>0.022320799299018004</v>
      </c>
      <c r="T6416" s="10">
        <v>19.30015112425054</v>
      </c>
      <c r="U6416" s="11">
        <v>0.24916251176502016</v>
      </c>
      <c r="V6416" s="11">
        <v>0.19188175159803514</v>
      </c>
      <c r="W6416" s="11">
        <v>0.046526961774758235</v>
      </c>
      <c r="X6416" s="11">
        <v>0.08820544249281177</v>
      </c>
      <c r="Y6416" s="11">
        <v>0.3109759578031117</v>
      </c>
      <c r="Z6416" s="11">
        <v>0.11324737456626316</v>
      </c>
    </row>
    <row r="6417" ht="22.5" customHeight="1">
      <c r="Q6417" s="9" t="s">
        <v>6455</v>
      </c>
      <c r="R6417" s="10">
        <v>0.5953815271512799</v>
      </c>
      <c r="S6417" s="10">
        <v>0.02878057536958969</v>
      </c>
      <c r="T6417" s="10">
        <v>19.29709604548457</v>
      </c>
      <c r="U6417" s="11">
        <v>0.16064840811780967</v>
      </c>
      <c r="V6417" s="11">
        <v>0.09224197306550085</v>
      </c>
      <c r="W6417" s="11">
        <v>0.24126593043181627</v>
      </c>
      <c r="X6417" s="11">
        <v>0.23032104375385504</v>
      </c>
      <c r="Y6417" s="11">
        <v>0.1390255492153124</v>
      </c>
      <c r="Z6417" s="11">
        <v>0.13649709541570573</v>
      </c>
    </row>
    <row r="6418" ht="22.5" customHeight="1">
      <c r="Q6418" s="9" t="s">
        <v>6456</v>
      </c>
      <c r="R6418" s="10">
        <v>0.7792091382982864</v>
      </c>
      <c r="S6418" s="10">
        <v>0.03830875490194681</v>
      </c>
      <c r="T6418" s="10">
        <v>19.2960888494113</v>
      </c>
      <c r="U6418" s="11">
        <v>0.07525081834979186</v>
      </c>
      <c r="V6418" s="11">
        <v>0.15394763871814907</v>
      </c>
      <c r="W6418" s="11">
        <v>0.317418806826525</v>
      </c>
      <c r="X6418" s="11">
        <v>0.28189110807625906</v>
      </c>
      <c r="Y6418" s="11">
        <v>0.03247050174578798</v>
      </c>
      <c r="Z6418" s="11">
        <v>0.13902112628348698</v>
      </c>
    </row>
    <row r="6419" ht="22.5" customHeight="1">
      <c r="Q6419" s="9" t="s">
        <v>6457</v>
      </c>
      <c r="R6419" s="10">
        <v>0.7833230219585652</v>
      </c>
      <c r="S6419" s="10">
        <v>0.03852251598053437</v>
      </c>
      <c r="T6419" s="10">
        <v>19.295806700013316</v>
      </c>
      <c r="U6419" s="11">
        <v>0.13930913956758442</v>
      </c>
      <c r="V6419" s="11">
        <v>0.3508084728145919</v>
      </c>
      <c r="W6419" s="11">
        <v>0.10643042439888044</v>
      </c>
      <c r="X6419" s="11">
        <v>0.2659443836278389</v>
      </c>
      <c r="Y6419" s="11">
        <v>0.1148209274427535</v>
      </c>
      <c r="Z6419" s="11">
        <v>0.0226866521483509</v>
      </c>
    </row>
    <row r="6420" ht="22.5" customHeight="1">
      <c r="Q6420" s="9" t="s">
        <v>6458</v>
      </c>
      <c r="R6420" s="10">
        <v>0.522331348251574</v>
      </c>
      <c r="S6420" s="10">
        <v>0.02772978382379342</v>
      </c>
      <c r="T6420" s="10">
        <v>19.29512856457085</v>
      </c>
      <c r="U6420" s="11">
        <v>0.11817574647804227</v>
      </c>
      <c r="V6420" s="11">
        <v>0.07608008876721907</v>
      </c>
      <c r="W6420" s="11">
        <v>0.23374837907261994</v>
      </c>
      <c r="X6420" s="11">
        <v>0.3263034425894146</v>
      </c>
      <c r="Y6420" s="11">
        <v>0.12518306661818102</v>
      </c>
      <c r="Z6420" s="11">
        <v>0.12050927647452306</v>
      </c>
    </row>
    <row r="6421" ht="22.5" customHeight="1">
      <c r="Q6421" s="9" t="s">
        <v>6459</v>
      </c>
      <c r="R6421" s="10">
        <v>0.6998288131595075</v>
      </c>
      <c r="S6421" s="10">
        <v>0.03419868982823926</v>
      </c>
      <c r="T6421" s="10">
        <v>19.29397928614972</v>
      </c>
      <c r="U6421" s="11">
        <v>0.19654285911559438</v>
      </c>
      <c r="V6421" s="11">
        <v>0.3073892046088861</v>
      </c>
      <c r="W6421" s="11">
        <v>0.09811767211211957</v>
      </c>
      <c r="X6421" s="11">
        <v>0.1238501395171005</v>
      </c>
      <c r="Y6421" s="11">
        <v>0.22800215091531034</v>
      </c>
      <c r="Z6421" s="11">
        <v>0.046097973730989054</v>
      </c>
    </row>
    <row r="6422" ht="22.5" customHeight="1">
      <c r="Q6422" s="9" t="s">
        <v>6460</v>
      </c>
      <c r="R6422" s="10">
        <v>0.629115098801424</v>
      </c>
      <c r="S6422" s="10">
        <v>0.030534896424193148</v>
      </c>
      <c r="T6422" s="10">
        <v>19.293174950305755</v>
      </c>
      <c r="U6422" s="11">
        <v>0.00449987079033578</v>
      </c>
      <c r="V6422" s="11">
        <v>0.2796544694766555</v>
      </c>
      <c r="W6422" s="11">
        <v>0.07736372724102564</v>
      </c>
      <c r="X6422" s="11">
        <v>0.3084782468994178</v>
      </c>
      <c r="Y6422" s="11">
        <v>0.0032833216502271253</v>
      </c>
      <c r="Z6422" s="11">
        <v>0.3267203639423381</v>
      </c>
    </row>
    <row r="6423" ht="22.5" customHeight="1">
      <c r="Q6423" s="9" t="s">
        <v>6461</v>
      </c>
      <c r="R6423" s="10">
        <v>0.4474826826703803</v>
      </c>
      <c r="S6423" s="10">
        <v>0.021121338400283154</v>
      </c>
      <c r="T6423" s="10">
        <v>19.292465039285467</v>
      </c>
      <c r="U6423" s="11">
        <v>0.20734605830400366</v>
      </c>
      <c r="V6423" s="11">
        <v>0.1872265545142692</v>
      </c>
      <c r="W6423" s="11">
        <v>0.023795614039314354</v>
      </c>
      <c r="X6423" s="11">
        <v>0.2505434320249189</v>
      </c>
      <c r="Y6423" s="11">
        <v>0.1883401687307596</v>
      </c>
      <c r="Z6423" s="11">
        <v>0.14274817238673435</v>
      </c>
    </row>
    <row r="6424" ht="22.5" customHeight="1">
      <c r="Q6424" s="9" t="s">
        <v>6462</v>
      </c>
      <c r="R6424" s="10">
        <v>0.9307200806172522</v>
      </c>
      <c r="S6424" s="10">
        <v>0.046170768619703706</v>
      </c>
      <c r="T6424" s="10">
        <v>19.2918616528539</v>
      </c>
      <c r="U6424" s="11">
        <v>0.1627067118351076</v>
      </c>
      <c r="V6424" s="11">
        <v>0.40413885365403335</v>
      </c>
      <c r="W6424" s="11">
        <v>0.18374382937230418</v>
      </c>
      <c r="X6424" s="11">
        <v>0.0707264349513564</v>
      </c>
      <c r="Y6424" s="11">
        <v>0.11590657427637496</v>
      </c>
      <c r="Z6424" s="11">
        <v>0.06277759591082337</v>
      </c>
    </row>
    <row r="6425" ht="22.5" customHeight="1">
      <c r="Q6425" s="9" t="s">
        <v>6463</v>
      </c>
      <c r="R6425" s="10">
        <v>0.7241570732099232</v>
      </c>
      <c r="S6425" s="10">
        <v>0.03546408331813977</v>
      </c>
      <c r="T6425" s="10">
        <v>19.291548214358578</v>
      </c>
      <c r="U6425" s="11">
        <v>0.14743501134436307</v>
      </c>
      <c r="V6425" s="11">
        <v>0.3209277524540512</v>
      </c>
      <c r="W6425" s="11">
        <v>0.09903568478532455</v>
      </c>
      <c r="X6425" s="11">
        <v>0.17285338984786008</v>
      </c>
      <c r="Y6425" s="11">
        <v>0.2130448095920283</v>
      </c>
      <c r="Z6425" s="11">
        <v>0.04670335197637272</v>
      </c>
    </row>
    <row r="6426" ht="22.5" customHeight="1">
      <c r="Q6426" s="9" t="s">
        <v>6464</v>
      </c>
      <c r="R6426" s="10">
        <v>0.6905145274600378</v>
      </c>
      <c r="S6426" s="10">
        <v>0.033721050087446316</v>
      </c>
      <c r="T6426" s="10">
        <v>19.291051902983636</v>
      </c>
      <c r="U6426" s="11">
        <v>0.3558035292575095</v>
      </c>
      <c r="V6426" s="11">
        <v>0.15687499567958985</v>
      </c>
      <c r="W6426" s="11">
        <v>0.2654190067612995</v>
      </c>
      <c r="X6426" s="11">
        <v>0.009864661704090946</v>
      </c>
      <c r="Y6426" s="11">
        <v>0.09704789734570567</v>
      </c>
      <c r="Z6426" s="11">
        <v>0.11498990925180459</v>
      </c>
    </row>
    <row r="6427" ht="22.5" customHeight="1">
      <c r="Q6427" s="9" t="s">
        <v>6465</v>
      </c>
      <c r="R6427" s="10">
        <v>0.5343213740535917</v>
      </c>
      <c r="S6427" s="10">
        <v>0.0256246053425561</v>
      </c>
      <c r="T6427" s="10">
        <v>19.29088731105828</v>
      </c>
      <c r="U6427" s="11">
        <v>0.16192925958390458</v>
      </c>
      <c r="V6427" s="11">
        <v>0.23346433412071652</v>
      </c>
      <c r="W6427" s="11">
        <v>0.049026047385601845</v>
      </c>
      <c r="X6427" s="11">
        <v>0.21052780587602943</v>
      </c>
      <c r="Y6427" s="11">
        <v>0.16106302822365742</v>
      </c>
      <c r="Z6427" s="11">
        <v>0.18398952481009012</v>
      </c>
    </row>
    <row r="6428" ht="22.5" customHeight="1">
      <c r="Q6428" s="9" t="s">
        <v>6466</v>
      </c>
      <c r="R6428" s="10">
        <v>0.625446400188685</v>
      </c>
      <c r="S6428" s="10">
        <v>0.030350171641769258</v>
      </c>
      <c r="T6428" s="10">
        <v>19.289722875338455</v>
      </c>
      <c r="U6428" s="11">
        <v>0.05971834552362625</v>
      </c>
      <c r="V6428" s="11">
        <v>0.27885329236174555</v>
      </c>
      <c r="W6428" s="11">
        <v>0.07316000713575489</v>
      </c>
      <c r="X6428" s="11">
        <v>0.2767827086250529</v>
      </c>
      <c r="Y6428" s="11">
        <v>0.05216656884271103</v>
      </c>
      <c r="Z6428" s="11">
        <v>0.2593190775111093</v>
      </c>
    </row>
    <row r="6429" ht="22.5" customHeight="1">
      <c r="Q6429" s="9" t="s">
        <v>6467</v>
      </c>
      <c r="R6429" s="10">
        <v>0.6437668196208826</v>
      </c>
      <c r="S6429" s="10">
        <v>0.03130019107244493</v>
      </c>
      <c r="T6429" s="10">
        <v>19.289556994187414</v>
      </c>
      <c r="U6429" s="11">
        <v>0.3835099930797789</v>
      </c>
      <c r="V6429" s="11">
        <v>0.11789494643098775</v>
      </c>
      <c r="W6429" s="11">
        <v>0.2571140217257293</v>
      </c>
      <c r="X6429" s="11">
        <v>0.14765965738992298</v>
      </c>
      <c r="Y6429" s="11">
        <v>0.026960061947791453</v>
      </c>
      <c r="Z6429" s="11">
        <v>0.0668613194257896</v>
      </c>
    </row>
    <row r="6430" ht="22.5" customHeight="1">
      <c r="Q6430" s="9" t="s">
        <v>6468</v>
      </c>
      <c r="R6430" s="10">
        <v>0.522331348251574</v>
      </c>
      <c r="S6430" s="10">
        <v>0.01020951842048641</v>
      </c>
      <c r="T6430" s="10">
        <v>19.289316566681702</v>
      </c>
      <c r="U6430" s="11">
        <v>0.15248518947252718</v>
      </c>
      <c r="V6430" s="11">
        <v>0.009940167898368952</v>
      </c>
      <c r="W6430" s="11">
        <v>0.04750660110890001</v>
      </c>
      <c r="X6430" s="11">
        <v>0.33116502529366987</v>
      </c>
      <c r="Y6430" s="11">
        <v>0.1819600959926902</v>
      </c>
      <c r="Z6430" s="11">
        <v>0.2769429202338438</v>
      </c>
    </row>
    <row r="6431" ht="22.5" customHeight="1">
      <c r="Q6431" s="9" t="s">
        <v>6469</v>
      </c>
      <c r="R6431" s="10">
        <v>0.68393113078506</v>
      </c>
      <c r="S6431" s="10">
        <v>0.033383028772397266</v>
      </c>
      <c r="T6431" s="10">
        <v>19.289176400839157</v>
      </c>
      <c r="U6431" s="11">
        <v>0.204429191863081</v>
      </c>
      <c r="V6431" s="11">
        <v>0.15954174045934574</v>
      </c>
      <c r="W6431" s="11">
        <v>0.2643815306606913</v>
      </c>
      <c r="X6431" s="11">
        <v>0.04040204382532018</v>
      </c>
      <c r="Y6431" s="11">
        <v>0.06337848434911762</v>
      </c>
      <c r="Z6431" s="11">
        <v>0.26786700884244413</v>
      </c>
    </row>
    <row r="6432" ht="22.5" customHeight="1">
      <c r="Q6432" s="9" t="s">
        <v>6470</v>
      </c>
      <c r="R6432" s="10">
        <v>0.5137449002318806</v>
      </c>
      <c r="S6432" s="10">
        <v>0.024560318790371283</v>
      </c>
      <c r="T6432" s="10">
        <v>19.289037095789215</v>
      </c>
      <c r="U6432" s="11">
        <v>0.0542994558222202</v>
      </c>
      <c r="V6432" s="11">
        <v>0.07421417106798646</v>
      </c>
      <c r="W6432" s="11">
        <v>0.20312423161803592</v>
      </c>
      <c r="X6432" s="11">
        <v>0.20614835305304416</v>
      </c>
      <c r="Y6432" s="11">
        <v>0.220392326609306</v>
      </c>
      <c r="Z6432" s="11">
        <v>0.24182146182940728</v>
      </c>
    </row>
    <row r="6433" ht="22.5" customHeight="1">
      <c r="Q6433" s="9" t="s">
        <v>6471</v>
      </c>
      <c r="R6433" s="10">
        <v>0.5517080789725174</v>
      </c>
      <c r="S6433" s="10">
        <v>0.02652855569971575</v>
      </c>
      <c r="T6433" s="10">
        <v>19.28895356251906</v>
      </c>
      <c r="U6433" s="11">
        <v>0.10347915866062092</v>
      </c>
      <c r="V6433" s="11">
        <v>0.24275352748608955</v>
      </c>
      <c r="W6433" s="11">
        <v>0.058324751305408054</v>
      </c>
      <c r="X6433" s="11">
        <v>0.19665940111212807</v>
      </c>
      <c r="Y6433" s="11">
        <v>0.14447321201049412</v>
      </c>
      <c r="Z6433" s="11">
        <v>0.25430994942525925</v>
      </c>
    </row>
    <row r="6434" ht="22.5" customHeight="1">
      <c r="Q6434" s="9" t="s">
        <v>6472</v>
      </c>
      <c r="R6434" s="10">
        <v>0.6053063351397626</v>
      </c>
      <c r="S6434" s="10">
        <v>0.02930866815223956</v>
      </c>
      <c r="T6434" s="10">
        <v>19.28802537881838</v>
      </c>
      <c r="U6434" s="11">
        <v>0.24658732673481587</v>
      </c>
      <c r="V6434" s="11">
        <v>0.12168781505665521</v>
      </c>
      <c r="W6434" s="11">
        <v>0.23529699749826652</v>
      </c>
      <c r="X6434" s="11">
        <v>0.04503311333964587</v>
      </c>
      <c r="Y6434" s="11">
        <v>0.17274244808382275</v>
      </c>
      <c r="Z6434" s="11">
        <v>0.17865229928679374</v>
      </c>
    </row>
    <row r="6435" ht="22.5" customHeight="1">
      <c r="Q6435" s="9" t="s">
        <v>6473</v>
      </c>
      <c r="R6435" s="10">
        <v>0.6273765580055242</v>
      </c>
      <c r="S6435" s="10">
        <v>0.030453096604788985</v>
      </c>
      <c r="T6435" s="10">
        <v>19.287909063183893</v>
      </c>
      <c r="U6435" s="11">
        <v>0.2687569798085228</v>
      </c>
      <c r="V6435" s="11">
        <v>0.11746134865909866</v>
      </c>
      <c r="W6435" s="11">
        <v>0.24772551098924597</v>
      </c>
      <c r="X6435" s="11">
        <v>0.08816880289008482</v>
      </c>
      <c r="Y6435" s="11">
        <v>0.1903534110749991</v>
      </c>
      <c r="Z6435" s="11">
        <v>0.08753394657804871</v>
      </c>
    </row>
    <row r="6436" ht="22.5" customHeight="1">
      <c r="Q6436" s="9" t="s">
        <v>6474</v>
      </c>
      <c r="R6436" s="10">
        <v>0.6391436334109387</v>
      </c>
      <c r="S6436" s="10">
        <v>0.031063847761855428</v>
      </c>
      <c r="T6436" s="10">
        <v>19.28748936719461</v>
      </c>
      <c r="U6436" s="11">
        <v>0.19340427033384985</v>
      </c>
      <c r="V6436" s="11">
        <v>0.10378622623493265</v>
      </c>
      <c r="W6436" s="11">
        <v>0.26126338268387816</v>
      </c>
      <c r="X6436" s="11">
        <v>0.2805074098120155</v>
      </c>
      <c r="Y6436" s="11">
        <v>0.024610945710387626</v>
      </c>
      <c r="Z6436" s="11">
        <v>0.13642776522493605</v>
      </c>
    </row>
    <row r="6437" ht="22.5" customHeight="1">
      <c r="Q6437" s="9" t="s">
        <v>6475</v>
      </c>
      <c r="R6437" s="10">
        <v>0.5032933701184961</v>
      </c>
      <c r="S6437" s="10">
        <v>0.024023987934061075</v>
      </c>
      <c r="T6437" s="10">
        <v>19.284615501393976</v>
      </c>
      <c r="U6437" s="11">
        <v>0.24322028951602834</v>
      </c>
      <c r="V6437" s="11">
        <v>0.08273592613594599</v>
      </c>
      <c r="W6437" s="11">
        <v>0.1822488647880412</v>
      </c>
      <c r="X6437" s="11">
        <v>0.06037369962677119</v>
      </c>
      <c r="Y6437" s="11">
        <v>0.40414234754845946</v>
      </c>
      <c r="Z6437" s="11">
        <v>0.027278872384753735</v>
      </c>
    </row>
    <row r="6438" ht="22.5" customHeight="1">
      <c r="Q6438" s="9" t="s">
        <v>6476</v>
      </c>
      <c r="R6438" s="10">
        <v>0.2824734959715996</v>
      </c>
      <c r="S6438" s="10">
        <v>0.012573703388889704</v>
      </c>
      <c r="T6438" s="10">
        <v>19.28417495404357</v>
      </c>
      <c r="U6438" s="11">
        <v>0.06260635336183405</v>
      </c>
      <c r="V6438" s="11">
        <v>0.017080656205863104</v>
      </c>
      <c r="W6438" s="11">
        <v>0.05796630121190508</v>
      </c>
      <c r="X6438" s="11">
        <v>0.37505805516491236</v>
      </c>
      <c r="Y6438" s="11">
        <v>0.3813396256773311</v>
      </c>
      <c r="Z6438" s="11">
        <v>0.10594900837815427</v>
      </c>
    </row>
    <row r="6439" ht="22.5" customHeight="1">
      <c r="Q6439" s="9" t="s">
        <v>6477</v>
      </c>
      <c r="R6439" s="10">
        <v>0.7568256439375434</v>
      </c>
      <c r="S6439" s="10">
        <v>0.03717174567491261</v>
      </c>
      <c r="T6439" s="10">
        <v>19.284153351488477</v>
      </c>
      <c r="U6439" s="11">
        <v>0.3584851806737779</v>
      </c>
      <c r="V6439" s="11">
        <v>0.18360405791562032</v>
      </c>
      <c r="W6439" s="11">
        <v>0.29044560095014577</v>
      </c>
      <c r="X6439" s="11">
        <v>0.01770552761648836</v>
      </c>
      <c r="Y6439" s="11">
        <v>0.022689655528683704</v>
      </c>
      <c r="Z6439" s="11">
        <v>0.12706997731528388</v>
      </c>
    </row>
    <row r="6440" ht="22.5" customHeight="1">
      <c r="Q6440" s="9" t="s">
        <v>6478</v>
      </c>
      <c r="R6440" s="10">
        <v>0.522331348251574</v>
      </c>
      <c r="S6440" s="10">
        <v>0.024628852734685184</v>
      </c>
      <c r="T6440" s="10">
        <v>19.28399544135562</v>
      </c>
      <c r="U6440" s="11">
        <v>0.2401597691573729</v>
      </c>
      <c r="V6440" s="11">
        <v>0.22141834343576267</v>
      </c>
      <c r="W6440" s="11">
        <v>0.06056720027161525</v>
      </c>
      <c r="X6440" s="11">
        <v>0.10099673615449344</v>
      </c>
      <c r="Y6440" s="11">
        <v>0.12313523764597945</v>
      </c>
      <c r="Z6440" s="11">
        <v>0.25372271333477636</v>
      </c>
    </row>
    <row r="6441" ht="22.5" customHeight="1">
      <c r="Q6441" s="9" t="s">
        <v>6479</v>
      </c>
      <c r="R6441" s="10">
        <v>0.6114269102871799</v>
      </c>
      <c r="S6441" s="10">
        <v>0.029633755611020465</v>
      </c>
      <c r="T6441" s="10">
        <v>19.28297303210102</v>
      </c>
      <c r="U6441" s="11">
        <v>0.10689366000885765</v>
      </c>
      <c r="V6441" s="11">
        <v>0.11905382835691201</v>
      </c>
      <c r="W6441" s="11">
        <v>0.23855206952544883</v>
      </c>
      <c r="X6441" s="11">
        <v>0.07774714131865328</v>
      </c>
      <c r="Y6441" s="11">
        <v>0.27157119910817296</v>
      </c>
      <c r="Z6441" s="11">
        <v>0.1861821016819553</v>
      </c>
    </row>
    <row r="6442" ht="22.5" customHeight="1">
      <c r="Q6442" s="9" t="s">
        <v>6480</v>
      </c>
      <c r="R6442" s="10">
        <v>0.5113630494471383</v>
      </c>
      <c r="S6442" s="10">
        <v>0.024446705724455415</v>
      </c>
      <c r="T6442" s="10">
        <v>19.281250192151955</v>
      </c>
      <c r="U6442" s="11">
        <v>0.24351001740566017</v>
      </c>
      <c r="V6442" s="11">
        <v>0.0928775474284484</v>
      </c>
      <c r="W6442" s="11">
        <v>0.19247233895472962</v>
      </c>
      <c r="X6442" s="11">
        <v>0.03138024039041732</v>
      </c>
      <c r="Y6442" s="11">
        <v>0.25300365026872607</v>
      </c>
      <c r="Z6442" s="11">
        <v>0.18675620555201847</v>
      </c>
    </row>
    <row r="6443" ht="22.5" customHeight="1">
      <c r="Q6443" s="9" t="s">
        <v>6481</v>
      </c>
      <c r="R6443" s="10">
        <v>0.7821747072190534</v>
      </c>
      <c r="S6443" s="10">
        <v>0.03849275521424536</v>
      </c>
      <c r="T6443" s="10">
        <v>19.280893328841007</v>
      </c>
      <c r="U6443" s="11">
        <v>0.08856903478208479</v>
      </c>
      <c r="V6443" s="11">
        <v>0.34997561895071516</v>
      </c>
      <c r="W6443" s="11">
        <v>0.11103318035066932</v>
      </c>
      <c r="X6443" s="11">
        <v>0.2307858358877379</v>
      </c>
      <c r="Y6443" s="11">
        <v>0.154205504628452</v>
      </c>
      <c r="Z6443" s="11">
        <v>0.06543082540034086</v>
      </c>
    </row>
    <row r="6444" ht="22.5" customHeight="1">
      <c r="Q6444" s="9" t="s">
        <v>6482</v>
      </c>
      <c r="R6444" s="10">
        <v>0.3471898933736291</v>
      </c>
      <c r="S6444" s="10">
        <v>0.015932995365363065</v>
      </c>
      <c r="T6444" s="10">
        <v>19.28010937864408</v>
      </c>
      <c r="U6444" s="11">
        <v>0.18111913982765918</v>
      </c>
      <c r="V6444" s="11">
        <v>0.021796939646081044</v>
      </c>
      <c r="W6444" s="11">
        <v>0.1167039978788418</v>
      </c>
      <c r="X6444" s="11">
        <v>0.2533555099827702</v>
      </c>
      <c r="Y6444" s="11">
        <v>0.29664474626922305</v>
      </c>
      <c r="Z6444" s="11">
        <v>0.13037966639542486</v>
      </c>
    </row>
    <row r="6445" ht="22.5" customHeight="1">
      <c r="Q6445" s="9" t="s">
        <v>6483</v>
      </c>
      <c r="R6445" s="10">
        <v>0.49197001908422244</v>
      </c>
      <c r="S6445" s="10">
        <v>0.023442876343993137</v>
      </c>
      <c r="T6445" s="10">
        <v>19.279631579852296</v>
      </c>
      <c r="U6445" s="11">
        <v>0.11703201873083088</v>
      </c>
      <c r="V6445" s="11">
        <v>0.21004902208839762</v>
      </c>
      <c r="W6445" s="11">
        <v>0.034295839473213574</v>
      </c>
      <c r="X6445" s="11">
        <v>0.24026470378904505</v>
      </c>
      <c r="Y6445" s="11">
        <v>0.2509995200503364</v>
      </c>
      <c r="Z6445" s="11">
        <v>0.14735889586817655</v>
      </c>
    </row>
    <row r="6446" ht="22.5" customHeight="1">
      <c r="Q6446" s="9" t="s">
        <v>6484</v>
      </c>
      <c r="R6446" s="10">
        <v>0.6156433226160507</v>
      </c>
      <c r="S6446" s="10">
        <v>0.029858104928032356</v>
      </c>
      <c r="T6446" s="10">
        <v>19.279298669608682</v>
      </c>
      <c r="U6446" s="11">
        <v>0.14092028193053258</v>
      </c>
      <c r="V6446" s="11">
        <v>0.2718681899038307</v>
      </c>
      <c r="W6446" s="11">
        <v>0.07984638920917146</v>
      </c>
      <c r="X6446" s="11">
        <v>0.1438603366201955</v>
      </c>
      <c r="Y6446" s="11">
        <v>0.14480584860032905</v>
      </c>
      <c r="Z6446" s="11">
        <v>0.21869895373594053</v>
      </c>
    </row>
    <row r="6447" ht="22.5" customHeight="1">
      <c r="Q6447" s="9" t="s">
        <v>6485</v>
      </c>
      <c r="R6447" s="10">
        <v>0.4301358522062079</v>
      </c>
      <c r="S6447" s="10">
        <v>0.020236006379114897</v>
      </c>
      <c r="T6447" s="10">
        <v>19.279290829284278</v>
      </c>
      <c r="U6447" s="11">
        <v>0.5654851543702122</v>
      </c>
      <c r="V6447" s="11">
        <v>0.04891236168704248</v>
      </c>
      <c r="W6447" s="11">
        <v>0.15559102061660585</v>
      </c>
      <c r="X6447" s="11">
        <v>0.20479431047129718</v>
      </c>
      <c r="Y6447" s="11">
        <v>0.014413208875698736</v>
      </c>
      <c r="Z6447" s="11">
        <v>0.010803943979143546</v>
      </c>
    </row>
    <row r="6448" ht="22.5" customHeight="1">
      <c r="Q6448" s="9" t="s">
        <v>6486</v>
      </c>
      <c r="R6448" s="10">
        <v>0.4712530506146103</v>
      </c>
      <c r="S6448" s="10">
        <v>0.02236879275002344</v>
      </c>
      <c r="T6448" s="10">
        <v>19.279227781041442</v>
      </c>
      <c r="U6448" s="11">
        <v>0.18051886578517035</v>
      </c>
      <c r="V6448" s="11">
        <v>0.20179716002658468</v>
      </c>
      <c r="W6448" s="11">
        <v>0.03634077160522731</v>
      </c>
      <c r="X6448" s="11">
        <v>0.1967281351284411</v>
      </c>
      <c r="Y6448" s="11">
        <v>0.16536452838259016</v>
      </c>
      <c r="Z6448" s="11">
        <v>0.2192505390719863</v>
      </c>
    </row>
    <row r="6449" ht="22.5" customHeight="1">
      <c r="Q6449" s="9" t="s">
        <v>6487</v>
      </c>
      <c r="R6449" s="10">
        <v>0.7578548670474455</v>
      </c>
      <c r="S6449" s="10">
        <v>0.037235047913897173</v>
      </c>
      <c r="T6449" s="10">
        <v>19.279010160196993</v>
      </c>
      <c r="U6449" s="11">
        <v>0.11464944845467354</v>
      </c>
      <c r="V6449" s="11">
        <v>0.34018255421221394</v>
      </c>
      <c r="W6449" s="11">
        <v>0.0962824489028732</v>
      </c>
      <c r="X6449" s="11">
        <v>0.29098104574073624</v>
      </c>
      <c r="Y6449" s="11">
        <v>0.12219108710868731</v>
      </c>
      <c r="Z6449" s="11">
        <v>0.03571341558081576</v>
      </c>
    </row>
    <row r="6450" ht="22.5" customHeight="1">
      <c r="Q6450" s="9" t="s">
        <v>6488</v>
      </c>
      <c r="R6450" s="10">
        <v>0.6188398724049815</v>
      </c>
      <c r="S6450" s="10">
        <v>0.03002439798768703</v>
      </c>
      <c r="T6450" s="10">
        <v>19.278983466791342</v>
      </c>
      <c r="U6450" s="11">
        <v>0.09422842118512827</v>
      </c>
      <c r="V6450" s="11">
        <v>0.27151255491487875</v>
      </c>
      <c r="W6450" s="11">
        <v>0.06253720060060959</v>
      </c>
      <c r="X6450" s="11">
        <v>0.23753857618648383</v>
      </c>
      <c r="Y6450" s="11">
        <v>0.282081209096909</v>
      </c>
      <c r="Z6450" s="11">
        <v>0.0521020380159906</v>
      </c>
    </row>
    <row r="6451" ht="22.5" customHeight="1">
      <c r="Q6451" s="9" t="s">
        <v>6489</v>
      </c>
      <c r="R6451" s="10">
        <v>0.5427421745266208</v>
      </c>
      <c r="S6451" s="10">
        <v>0.026078888731936024</v>
      </c>
      <c r="T6451" s="10">
        <v>19.277745294068694</v>
      </c>
      <c r="U6451" s="11">
        <v>0.22925224460576443</v>
      </c>
      <c r="V6451" s="11">
        <v>0.23718996674534915</v>
      </c>
      <c r="W6451" s="11">
        <v>0.05426350618526526</v>
      </c>
      <c r="X6451" s="11">
        <v>0.18193291152633606</v>
      </c>
      <c r="Y6451" s="11">
        <v>0.12305067049442714</v>
      </c>
      <c r="Z6451" s="11">
        <v>0.17431070044285799</v>
      </c>
    </row>
    <row r="6452" ht="22.5" customHeight="1">
      <c r="Q6452" s="9" t="s">
        <v>6490</v>
      </c>
      <c r="R6452" s="10">
        <v>0.6933003711468587</v>
      </c>
      <c r="S6452" s="10">
        <v>0.03388924958130369</v>
      </c>
      <c r="T6452" s="10">
        <v>19.277510691982894</v>
      </c>
      <c r="U6452" s="11">
        <v>0.21190305225312006</v>
      </c>
      <c r="V6452" s="11">
        <v>0.3071717992205662</v>
      </c>
      <c r="W6452" s="11">
        <v>0.09979037982812113</v>
      </c>
      <c r="X6452" s="11">
        <v>0.14299931337878752</v>
      </c>
      <c r="Y6452" s="11">
        <v>0.09624418603672057</v>
      </c>
      <c r="Z6452" s="11">
        <v>0.14189126928268458</v>
      </c>
    </row>
    <row r="6453" ht="22.5" customHeight="1">
      <c r="Q6453" s="9" t="s">
        <v>6491</v>
      </c>
      <c r="R6453" s="10">
        <v>0.42178044489849686</v>
      </c>
      <c r="S6453" s="10">
        <v>0.019804854212195837</v>
      </c>
      <c r="T6453" s="10">
        <v>19.277114630987604</v>
      </c>
      <c r="U6453" s="11">
        <v>0.3161453222081284</v>
      </c>
      <c r="V6453" s="11">
        <v>0.06258097522677157</v>
      </c>
      <c r="W6453" s="11">
        <v>0.15055851287361519</v>
      </c>
      <c r="X6453" s="11">
        <v>0.05557093967068164</v>
      </c>
      <c r="Y6453" s="11">
        <v>0.26069457103423394</v>
      </c>
      <c r="Z6453" s="11">
        <v>0.15444967898656928</v>
      </c>
    </row>
    <row r="6454" ht="22.5" customHeight="1">
      <c r="Q6454" s="9" t="s">
        <v>6492</v>
      </c>
      <c r="R6454" s="10">
        <v>0.9642283532961907</v>
      </c>
      <c r="S6454" s="10">
        <v>0.04794529414891971</v>
      </c>
      <c r="T6454" s="10">
        <v>19.27672714710032</v>
      </c>
      <c r="U6454" s="11">
        <v>0.13530778127646995</v>
      </c>
      <c r="V6454" s="11">
        <v>0.40827365358741685</v>
      </c>
      <c r="W6454" s="11">
        <v>0.21857949056651294</v>
      </c>
      <c r="X6454" s="11">
        <v>0.02022787886731236</v>
      </c>
      <c r="Y6454" s="11">
        <v>0.030411656859282165</v>
      </c>
      <c r="Z6454" s="11">
        <v>0.1871995388430057</v>
      </c>
    </row>
    <row r="6455" ht="22.5" customHeight="1">
      <c r="Q6455" s="9" t="s">
        <v>6493</v>
      </c>
      <c r="R6455" s="10">
        <v>0.9207782224565094</v>
      </c>
      <c r="S6455" s="10">
        <v>0.04569142565637664</v>
      </c>
      <c r="T6455" s="10">
        <v>19.276663177035033</v>
      </c>
      <c r="U6455" s="11">
        <v>0.018511390110751737</v>
      </c>
      <c r="V6455" s="11">
        <v>0.3901775417285099</v>
      </c>
      <c r="W6455" s="11">
        <v>0.2089066419343338</v>
      </c>
      <c r="X6455" s="11">
        <v>0.05377864965782599</v>
      </c>
      <c r="Y6455" s="11">
        <v>0.010372097685782183</v>
      </c>
      <c r="Z6455" s="11">
        <v>0.3182536788827964</v>
      </c>
    </row>
    <row r="6456" ht="22.5" customHeight="1">
      <c r="Q6456" s="9" t="s">
        <v>6494</v>
      </c>
      <c r="R6456" s="10">
        <v>0.6424115445300371</v>
      </c>
      <c r="S6456" s="10">
        <v>0.031251271749623</v>
      </c>
      <c r="T6456" s="10">
        <v>19.276384953431673</v>
      </c>
      <c r="U6456" s="11">
        <v>0.1505186836939931</v>
      </c>
      <c r="V6456" s="11">
        <v>0.13612982093172124</v>
      </c>
      <c r="W6456" s="11">
        <v>0.24429309845819083</v>
      </c>
      <c r="X6456" s="11">
        <v>0.015434280302017375</v>
      </c>
      <c r="Y6456" s="11">
        <v>0.34138832425760257</v>
      </c>
      <c r="Z6456" s="11">
        <v>0.1122357923564749</v>
      </c>
    </row>
    <row r="6457" ht="22.5" customHeight="1">
      <c r="Q6457" s="9" t="s">
        <v>6495</v>
      </c>
      <c r="R6457" s="10">
        <v>0.5300349512829838</v>
      </c>
      <c r="S6457" s="10">
        <v>0.025422342220137145</v>
      </c>
      <c r="T6457" s="10">
        <v>19.275759371015983</v>
      </c>
      <c r="U6457" s="11">
        <v>0.06052266123504682</v>
      </c>
      <c r="V6457" s="11">
        <v>0.06930014481100306</v>
      </c>
      <c r="W6457" s="11">
        <v>0.210822127611425</v>
      </c>
      <c r="X6457" s="11">
        <v>0.25814573220725207</v>
      </c>
      <c r="Y6457" s="11">
        <v>0.24999089188721513</v>
      </c>
      <c r="Z6457" s="11">
        <v>0.151218442248058</v>
      </c>
    </row>
    <row r="6458" ht="22.5" customHeight="1">
      <c r="Q6458" s="9" t="s">
        <v>6496</v>
      </c>
      <c r="R6458" s="10">
        <v>0.5580270768037557</v>
      </c>
      <c r="S6458" s="10">
        <v>0.026876813678844896</v>
      </c>
      <c r="T6458" s="10">
        <v>19.274125385313134</v>
      </c>
      <c r="U6458" s="11">
        <v>0.06322390561070514</v>
      </c>
      <c r="V6458" s="11">
        <v>0.2466504042407866</v>
      </c>
      <c r="W6458" s="11">
        <v>0.06172572556659362</v>
      </c>
      <c r="X6458" s="11">
        <v>0.2502697159637092</v>
      </c>
      <c r="Y6458" s="11">
        <v>0.03770914950167171</v>
      </c>
      <c r="Z6458" s="11">
        <v>0.3404210991165337</v>
      </c>
    </row>
    <row r="6459" ht="22.5" customHeight="1">
      <c r="Q6459" s="9" t="s">
        <v>6497</v>
      </c>
      <c r="R6459" s="10">
        <v>0.45082650147742515</v>
      </c>
      <c r="S6459" s="10">
        <v>0.021315970518303206</v>
      </c>
      <c r="T6459" s="10">
        <v>19.273178348818988</v>
      </c>
      <c r="U6459" s="11">
        <v>0.21637092848816616</v>
      </c>
      <c r="V6459" s="11">
        <v>0.190859257918428</v>
      </c>
      <c r="W6459" s="11">
        <v>0.03767978433663587</v>
      </c>
      <c r="X6459" s="11">
        <v>0.15299499018547685</v>
      </c>
      <c r="Y6459" s="11">
        <v>0.1516724280502244</v>
      </c>
      <c r="Z6459" s="11">
        <v>0.2504226110210686</v>
      </c>
    </row>
    <row r="6460" ht="22.5" customHeight="1">
      <c r="Q6460" s="9" t="s">
        <v>6498</v>
      </c>
      <c r="R6460" s="10">
        <v>0.8092439058401372</v>
      </c>
      <c r="S6460" s="10">
        <v>0.039912825568997654</v>
      </c>
      <c r="T6460" s="10">
        <v>19.273100685651492</v>
      </c>
      <c r="U6460" s="11">
        <v>0.09801088406930919</v>
      </c>
      <c r="V6460" s="11">
        <v>0.2018137169893448</v>
      </c>
      <c r="W6460" s="11">
        <v>0.31090920062159394</v>
      </c>
      <c r="X6460" s="11">
        <v>0.017474217432194634</v>
      </c>
      <c r="Y6460" s="11">
        <v>0.20313472687191683</v>
      </c>
      <c r="Z6460" s="11">
        <v>0.16865725401564066</v>
      </c>
    </row>
    <row r="6461" ht="22.5" customHeight="1">
      <c r="Q6461" s="9" t="s">
        <v>6499</v>
      </c>
      <c r="R6461" s="10">
        <v>0.4513597996999936</v>
      </c>
      <c r="S6461" s="10">
        <v>0.02134411925398622</v>
      </c>
      <c r="T6461" s="10">
        <v>19.27274650244321</v>
      </c>
      <c r="U6461" s="11">
        <v>0.12499049925619454</v>
      </c>
      <c r="V6461" s="11">
        <v>0.1912352436419095</v>
      </c>
      <c r="W6461" s="11">
        <v>0.03222518962909566</v>
      </c>
      <c r="X6461" s="11">
        <v>0.19767749536044107</v>
      </c>
      <c r="Y6461" s="11">
        <v>0.21239301517722428</v>
      </c>
      <c r="Z6461" s="11">
        <v>0.241478556935135</v>
      </c>
    </row>
    <row r="6462" ht="22.5" customHeight="1">
      <c r="Q6462" s="9" t="s">
        <v>6500</v>
      </c>
      <c r="R6462" s="10">
        <v>0.4961548278918713</v>
      </c>
      <c r="S6462" s="10">
        <v>0.02366841486652193</v>
      </c>
      <c r="T6462" s="10">
        <v>19.272724027542925</v>
      </c>
      <c r="U6462" s="11">
        <v>0.24490260367388314</v>
      </c>
      <c r="V6462" s="11">
        <v>0.20971499602075114</v>
      </c>
      <c r="W6462" s="11">
        <v>0.04009689434868593</v>
      </c>
      <c r="X6462" s="11">
        <v>0.17008164690211558</v>
      </c>
      <c r="Y6462" s="11">
        <v>0.25187403984871715</v>
      </c>
      <c r="Z6462" s="11">
        <v>0.08332981920584702</v>
      </c>
    </row>
    <row r="6463" ht="22.5" customHeight="1">
      <c r="Q6463" s="9" t="s">
        <v>6501</v>
      </c>
      <c r="R6463" s="10">
        <v>0.678077332721846</v>
      </c>
      <c r="S6463" s="10">
        <v>0.0331080104446089</v>
      </c>
      <c r="T6463" s="10">
        <v>19.272596696481546</v>
      </c>
      <c r="U6463" s="11">
        <v>0.02312076893410093</v>
      </c>
      <c r="V6463" s="11">
        <v>0.1414279630677975</v>
      </c>
      <c r="W6463" s="11">
        <v>0.26844849213360467</v>
      </c>
      <c r="X6463" s="11">
        <v>0.11689752005203431</v>
      </c>
      <c r="Y6463" s="11">
        <v>0.20355613490708152</v>
      </c>
      <c r="Z6463" s="11">
        <v>0.246549120905381</v>
      </c>
    </row>
    <row r="6464" ht="22.5" customHeight="1">
      <c r="Q6464" s="9" t="s">
        <v>6502</v>
      </c>
      <c r="R6464" s="10">
        <v>0.6007926455794271</v>
      </c>
      <c r="S6464" s="10">
        <v>0.029098159972514123</v>
      </c>
      <c r="T6464" s="10">
        <v>19.272443553446234</v>
      </c>
      <c r="U6464" s="11">
        <v>0.33431077312909874</v>
      </c>
      <c r="V6464" s="11">
        <v>0.26197226777151383</v>
      </c>
      <c r="W6464" s="11">
        <v>0.0745375463246023</v>
      </c>
      <c r="X6464" s="11">
        <v>0.12834156498574759</v>
      </c>
      <c r="Y6464" s="11">
        <v>0.0945982957547574</v>
      </c>
      <c r="Z6464" s="11">
        <v>0.10623955203428012</v>
      </c>
    </row>
    <row r="6465" ht="22.5" customHeight="1">
      <c r="Q6465" s="9" t="s">
        <v>6503</v>
      </c>
      <c r="R6465" s="10">
        <v>0.6927333171507147</v>
      </c>
      <c r="S6465" s="10">
        <v>0.03386956215618238</v>
      </c>
      <c r="T6465" s="10">
        <v>19.27197387851582</v>
      </c>
      <c r="U6465" s="11">
        <v>0.267744412337481</v>
      </c>
      <c r="V6465" s="11">
        <v>0.30700437376331896</v>
      </c>
      <c r="W6465" s="11">
        <v>0.08913409647872225</v>
      </c>
      <c r="X6465" s="11">
        <v>0.1758061911281832</v>
      </c>
      <c r="Y6465" s="11">
        <v>0.13713306508412537</v>
      </c>
      <c r="Z6465" s="11">
        <v>0.02317786120816928</v>
      </c>
    </row>
    <row r="6466" ht="22.5" customHeight="1">
      <c r="Q6466" s="9" t="s">
        <v>6504</v>
      </c>
      <c r="R6466" s="10">
        <v>0.5739670004925764</v>
      </c>
      <c r="S6466" s="10">
        <v>0.027708321129900237</v>
      </c>
      <c r="T6466" s="10">
        <v>19.270997978884004</v>
      </c>
      <c r="U6466" s="11">
        <v>0.38888923656750884</v>
      </c>
      <c r="V6466" s="11">
        <v>0.10120416368553453</v>
      </c>
      <c r="W6466" s="11">
        <v>0.22544306758470237</v>
      </c>
      <c r="X6466" s="11">
        <v>0.10078970568797337</v>
      </c>
      <c r="Y6466" s="11">
        <v>0.07834253105393803</v>
      </c>
      <c r="Z6466" s="11">
        <v>0.10533129542034278</v>
      </c>
    </row>
    <row r="6467" ht="22.5" customHeight="1">
      <c r="Q6467" s="9" t="s">
        <v>6505</v>
      </c>
      <c r="R6467" s="10">
        <v>0.6707339922558493</v>
      </c>
      <c r="S6467" s="10">
        <v>0.032731575322120655</v>
      </c>
      <c r="T6467" s="10">
        <v>19.26989416331534</v>
      </c>
      <c r="U6467" s="11">
        <v>0.24078757316068347</v>
      </c>
      <c r="V6467" s="11">
        <v>0.29605745865727495</v>
      </c>
      <c r="W6467" s="11">
        <v>0.09953508935524308</v>
      </c>
      <c r="X6467" s="11">
        <v>0.1416301320291003</v>
      </c>
      <c r="Y6467" s="11">
        <v>0.013155658056962363</v>
      </c>
      <c r="Z6467" s="11">
        <v>0.20883408874073592</v>
      </c>
    </row>
    <row r="6468" ht="22.5" customHeight="1">
      <c r="Q6468" s="9" t="s">
        <v>6506</v>
      </c>
      <c r="R6468" s="10">
        <v>0.5835727081830802</v>
      </c>
      <c r="S6468" s="10">
        <v>0.028208453571650614</v>
      </c>
      <c r="T6468" s="10">
        <v>19.26985138701005</v>
      </c>
      <c r="U6468" s="11">
        <v>0.2437555160252054</v>
      </c>
      <c r="V6468" s="11">
        <v>0.09996920956292919</v>
      </c>
      <c r="W6468" s="11">
        <v>0.23424328249749893</v>
      </c>
      <c r="X6468" s="11">
        <v>0.16085735179945174</v>
      </c>
      <c r="Y6468" s="11">
        <v>0.07052662128495792</v>
      </c>
      <c r="Z6468" s="11">
        <v>0.1906480188299568</v>
      </c>
    </row>
    <row r="6469" ht="22.5" customHeight="1">
      <c r="Q6469" s="9" t="s">
        <v>6507</v>
      </c>
      <c r="R6469" s="10">
        <v>0.9828972080738425</v>
      </c>
      <c r="S6469" s="10">
        <v>0.04893533407146328</v>
      </c>
      <c r="T6469" s="10">
        <v>19.26822869333786</v>
      </c>
      <c r="U6469" s="11">
        <v>0.01574216892773719</v>
      </c>
      <c r="V6469" s="11">
        <v>0.2663678248273865</v>
      </c>
      <c r="W6469" s="11">
        <v>0.3744204703062771</v>
      </c>
      <c r="X6469" s="11">
        <v>0.04805071191674466</v>
      </c>
      <c r="Y6469" s="11">
        <v>0.16207742269913317</v>
      </c>
      <c r="Z6469" s="11">
        <v>0.13334140132272118</v>
      </c>
    </row>
    <row r="6470" ht="22.5" customHeight="1">
      <c r="Q6470" s="9" t="s">
        <v>6508</v>
      </c>
      <c r="R6470" s="10">
        <v>0.7061248950442173</v>
      </c>
      <c r="S6470" s="10">
        <v>0.034572024752017545</v>
      </c>
      <c r="T6470" s="10">
        <v>19.26774320631434</v>
      </c>
      <c r="U6470" s="11">
        <v>0.18671367724351795</v>
      </c>
      <c r="V6470" s="11">
        <v>0.1650877891825423</v>
      </c>
      <c r="W6470" s="11">
        <v>0.2753844506785655</v>
      </c>
      <c r="X6470" s="11">
        <v>0.07841762774250573</v>
      </c>
      <c r="Y6470" s="11">
        <v>5.554493576812306E-4</v>
      </c>
      <c r="Z6470" s="11">
        <v>0.2938410057951874</v>
      </c>
    </row>
    <row r="6471" ht="22.5" customHeight="1">
      <c r="Q6471" s="9" t="s">
        <v>6509</v>
      </c>
      <c r="R6471" s="10">
        <v>0.590009985748135</v>
      </c>
      <c r="S6471" s="10">
        <v>0.02854615687412575</v>
      </c>
      <c r="T6471" s="10">
        <v>19.2673916903562</v>
      </c>
      <c r="U6471" s="11">
        <v>0.0766292450824584</v>
      </c>
      <c r="V6471" s="11">
        <v>0.09349384457954435</v>
      </c>
      <c r="W6471" s="11">
        <v>0.23984801920644508</v>
      </c>
      <c r="X6471" s="11">
        <v>0.2940507639339861</v>
      </c>
      <c r="Y6471" s="11">
        <v>0.032423083931854536</v>
      </c>
      <c r="Z6471" s="11">
        <v>0.2635550432657115</v>
      </c>
    </row>
    <row r="6472" ht="22.5" customHeight="1">
      <c r="Q6472" s="9" t="s">
        <v>6510</v>
      </c>
      <c r="R6472" s="10">
        <v>0.694644292244825</v>
      </c>
      <c r="S6472" s="10">
        <v>0.03397757480114341</v>
      </c>
      <c r="T6472" s="10">
        <v>19.26695169023055</v>
      </c>
      <c r="U6472" s="11">
        <v>0.17709501340141715</v>
      </c>
      <c r="V6472" s="11">
        <v>0.29856911146547604</v>
      </c>
      <c r="W6472" s="11">
        <v>0.13126771287972028</v>
      </c>
      <c r="X6472" s="11">
        <v>0.02658697913208615</v>
      </c>
      <c r="Y6472" s="11">
        <v>0.041565035162268206</v>
      </c>
      <c r="Z6472" s="11">
        <v>0.3249161479590322</v>
      </c>
    </row>
    <row r="6473" ht="22.5" customHeight="1">
      <c r="Q6473" s="9" t="s">
        <v>6511</v>
      </c>
      <c r="R6473" s="10">
        <v>0.7740355487189773</v>
      </c>
      <c r="S6473" s="10">
        <v>0.0380984703475877</v>
      </c>
      <c r="T6473" s="10">
        <v>19.266798431067578</v>
      </c>
      <c r="U6473" s="11">
        <v>0.04091115854982408</v>
      </c>
      <c r="V6473" s="11">
        <v>0.17248619321082534</v>
      </c>
      <c r="W6473" s="11">
        <v>0.3070210927765516</v>
      </c>
      <c r="X6473" s="11">
        <v>0.11626577375124197</v>
      </c>
      <c r="Y6473" s="11">
        <v>0.18456830596013762</v>
      </c>
      <c r="Z6473" s="11">
        <v>0.1787474757514193</v>
      </c>
    </row>
    <row r="6474" ht="22.5" customHeight="1">
      <c r="Q6474" s="9" t="s">
        <v>6512</v>
      </c>
      <c r="R6474" s="10">
        <v>0.6495300113803112</v>
      </c>
      <c r="S6474" s="10">
        <v>0.031637450319916036</v>
      </c>
      <c r="T6474" s="10">
        <v>19.26609145859668</v>
      </c>
      <c r="U6474" s="11">
        <v>0.23752753383228026</v>
      </c>
      <c r="V6474" s="11">
        <v>0.1200843228635309</v>
      </c>
      <c r="W6474" s="11">
        <v>0.26248366999530803</v>
      </c>
      <c r="X6474" s="11">
        <v>0.1753007015499253</v>
      </c>
      <c r="Y6474" s="11">
        <v>0.03809434295978344</v>
      </c>
      <c r="Z6474" s="11">
        <v>0.1665094287991721</v>
      </c>
    </row>
    <row r="6475" ht="22.5" customHeight="1">
      <c r="Q6475" s="9" t="s">
        <v>6513</v>
      </c>
      <c r="R6475" s="10">
        <v>0.5063600576125511</v>
      </c>
      <c r="S6475" s="10">
        <v>0.02420657539698975</v>
      </c>
      <c r="T6475" s="10">
        <v>19.26584202697859</v>
      </c>
      <c r="U6475" s="11">
        <v>0.3062053158115935</v>
      </c>
      <c r="V6475" s="11">
        <v>0.06191695958819543</v>
      </c>
      <c r="W6475" s="11">
        <v>0.20170701503766314</v>
      </c>
      <c r="X6475" s="11">
        <v>0.23541937991363374</v>
      </c>
      <c r="Y6475" s="11">
        <v>0.10133487514080028</v>
      </c>
      <c r="Z6475" s="11">
        <v>0.09341645450811388</v>
      </c>
    </row>
    <row r="6476" ht="22.5" customHeight="1">
      <c r="Q6476" s="9" t="s">
        <v>6514</v>
      </c>
      <c r="R6476" s="10">
        <v>0.6269066007123861</v>
      </c>
      <c r="S6476" s="10">
        <v>0.03046475219557078</v>
      </c>
      <c r="T6476" s="10">
        <v>19.26510338717659</v>
      </c>
      <c r="U6476" s="11">
        <v>0.13354111748252573</v>
      </c>
      <c r="V6476" s="11">
        <v>0.27797560562046447</v>
      </c>
      <c r="W6476" s="11">
        <v>0.08274225599769452</v>
      </c>
      <c r="X6476" s="11">
        <v>0.15438399503815514</v>
      </c>
      <c r="Y6476" s="11">
        <v>0.11724524432564268</v>
      </c>
      <c r="Z6476" s="11">
        <v>0.23411178153551743</v>
      </c>
    </row>
    <row r="6477" ht="22.5" customHeight="1">
      <c r="Q6477" s="9" t="s">
        <v>6515</v>
      </c>
      <c r="R6477" s="10">
        <v>0.6521979002686055</v>
      </c>
      <c r="S6477" s="10">
        <v>0.031778175902390425</v>
      </c>
      <c r="T6477" s="10">
        <v>19.26472753341876</v>
      </c>
      <c r="U6477" s="11">
        <v>0.29749864230434747</v>
      </c>
      <c r="V6477" s="11">
        <v>0.11096000190269009</v>
      </c>
      <c r="W6477" s="11">
        <v>0.2652168087080955</v>
      </c>
      <c r="X6477" s="11">
        <v>0.20547113226370858</v>
      </c>
      <c r="Y6477" s="11">
        <v>0.058805409626320825</v>
      </c>
      <c r="Z6477" s="11">
        <v>0.0620480051948375</v>
      </c>
    </row>
    <row r="6478" ht="22.5" customHeight="1">
      <c r="Q6478" s="9" t="s">
        <v>6516</v>
      </c>
      <c r="R6478" s="10">
        <v>0.5708474008143218</v>
      </c>
      <c r="S6478" s="10">
        <v>0.02755591123088712</v>
      </c>
      <c r="T6478" s="10">
        <v>19.264374760334572</v>
      </c>
      <c r="U6478" s="11">
        <v>0.005095887974355518</v>
      </c>
      <c r="V6478" s="11">
        <v>0.0830975332799096</v>
      </c>
      <c r="W6478" s="11">
        <v>0.22846925402851326</v>
      </c>
      <c r="X6478" s="11">
        <v>0.2582458233979143</v>
      </c>
      <c r="Y6478" s="11">
        <v>0.2626156541186649</v>
      </c>
      <c r="Z6478" s="11">
        <v>0.16247584720064243</v>
      </c>
    </row>
    <row r="6479" ht="22.5" customHeight="1">
      <c r="Q6479" s="9" t="s">
        <v>6517</v>
      </c>
      <c r="R6479" s="10">
        <v>0.717866403111729</v>
      </c>
      <c r="S6479" s="10">
        <v>0.03518842975499246</v>
      </c>
      <c r="T6479" s="10">
        <v>19.263900316994246</v>
      </c>
      <c r="U6479" s="11">
        <v>0.05842304660679042</v>
      </c>
      <c r="V6479" s="11">
        <v>0.3100684793956084</v>
      </c>
      <c r="W6479" s="11">
        <v>0.13826761422967876</v>
      </c>
      <c r="X6479" s="11">
        <v>0.05780537727614402</v>
      </c>
      <c r="Y6479" s="11">
        <v>0.045759965486807413</v>
      </c>
      <c r="Z6479" s="11">
        <v>0.38967551700497105</v>
      </c>
    </row>
    <row r="6480" ht="22.5" customHeight="1">
      <c r="Q6480" s="9" t="s">
        <v>6518</v>
      </c>
      <c r="R6480" s="10">
        <v>0.6012771464065417</v>
      </c>
      <c r="S6480" s="10">
        <v>0.029136971261491076</v>
      </c>
      <c r="T6480" s="10">
        <v>19.26340048762565</v>
      </c>
      <c r="U6480" s="11">
        <v>0.12371136720059621</v>
      </c>
      <c r="V6480" s="11">
        <v>0.08747592267392074</v>
      </c>
      <c r="W6480" s="11">
        <v>0.24195182913357993</v>
      </c>
      <c r="X6480" s="11">
        <v>0.23909177902917816</v>
      </c>
      <c r="Y6480" s="11">
        <v>0.26868830217272255</v>
      </c>
      <c r="Z6480" s="11">
        <v>0.03908079979000235</v>
      </c>
    </row>
    <row r="6481" ht="22.5" customHeight="1">
      <c r="Q6481" s="9" t="s">
        <v>6519</v>
      </c>
      <c r="R6481" s="10">
        <v>0.5749084681992643</v>
      </c>
      <c r="S6481" s="10">
        <v>0.027768412010276917</v>
      </c>
      <c r="T6481" s="10">
        <v>19.263199782591023</v>
      </c>
      <c r="U6481" s="11">
        <v>0.13579356831304037</v>
      </c>
      <c r="V6481" s="11">
        <v>0.09054900252517824</v>
      </c>
      <c r="W6481" s="11">
        <v>0.23320436545586642</v>
      </c>
      <c r="X6481" s="11">
        <v>0.2371727186710001</v>
      </c>
      <c r="Y6481" s="11">
        <v>0.07342209061031235</v>
      </c>
      <c r="Z6481" s="11">
        <v>0.2298582544246025</v>
      </c>
    </row>
    <row r="6482" ht="22.5" customHeight="1">
      <c r="Q6482" s="9" t="s">
        <v>6520</v>
      </c>
      <c r="R6482" s="10">
        <v>0.3925357457151206</v>
      </c>
      <c r="S6482" s="10">
        <v>0.018301188124541904</v>
      </c>
      <c r="T6482" s="10">
        <v>19.262997752718032</v>
      </c>
      <c r="U6482" s="11">
        <v>0.02998221256322723</v>
      </c>
      <c r="V6482" s="11">
        <v>0.14992695283668397</v>
      </c>
      <c r="W6482" s="11">
        <v>0.014205946888673352</v>
      </c>
      <c r="X6482" s="11">
        <v>0.2904043259691003</v>
      </c>
      <c r="Y6482" s="11">
        <v>0.3602758309982834</v>
      </c>
      <c r="Z6482" s="11">
        <v>0.15520473074403165</v>
      </c>
    </row>
    <row r="6483" ht="22.5" customHeight="1">
      <c r="Q6483" s="9" t="s">
        <v>6521</v>
      </c>
      <c r="R6483" s="10">
        <v>0.5552004570810111</v>
      </c>
      <c r="S6483" s="10">
        <v>0.026746475815429206</v>
      </c>
      <c r="T6483" s="10">
        <v>19.26236789610271</v>
      </c>
      <c r="U6483" s="11">
        <v>0.2393513324551419</v>
      </c>
      <c r="V6483" s="11">
        <v>0.23882051438914872</v>
      </c>
      <c r="W6483" s="11">
        <v>0.05491067953758787</v>
      </c>
      <c r="X6483" s="11">
        <v>0.15205641924416938</v>
      </c>
      <c r="Y6483" s="11">
        <v>0.26319503456586996</v>
      </c>
      <c r="Z6483" s="11">
        <v>0.05166601980808228</v>
      </c>
    </row>
    <row r="6484" ht="22.5" customHeight="1">
      <c r="Q6484" s="9" t="s">
        <v>6522</v>
      </c>
      <c r="R6484" s="10">
        <v>0.65548115984816</v>
      </c>
      <c r="S6484" s="10">
        <v>0.03195262397421759</v>
      </c>
      <c r="T6484" s="10">
        <v>19.262304101997653</v>
      </c>
      <c r="U6484" s="11">
        <v>0.14085543830956918</v>
      </c>
      <c r="V6484" s="11">
        <v>0.2893903645358922</v>
      </c>
      <c r="W6484" s="11">
        <v>0.09987686934267924</v>
      </c>
      <c r="X6484" s="11">
        <v>0.12375931442915966</v>
      </c>
      <c r="Y6484" s="11">
        <v>0.057465100715490186</v>
      </c>
      <c r="Z6484" s="11">
        <v>0.28865291266720944</v>
      </c>
    </row>
    <row r="6485" ht="22.5" customHeight="1">
      <c r="Q6485" s="9" t="s">
        <v>6523</v>
      </c>
      <c r="R6485" s="10">
        <v>0.638847970341571</v>
      </c>
      <c r="S6485" s="10">
        <v>0.03109200343524236</v>
      </c>
      <c r="T6485" s="10">
        <v>19.260514092918985</v>
      </c>
      <c r="U6485" s="11">
        <v>0.24938138148904304</v>
      </c>
      <c r="V6485" s="11">
        <v>0.10880513773404507</v>
      </c>
      <c r="W6485" s="11">
        <v>0.2602632355392871</v>
      </c>
      <c r="X6485" s="11">
        <v>0.23367565357953438</v>
      </c>
      <c r="Y6485" s="11">
        <v>0.007300178931152695</v>
      </c>
      <c r="Z6485" s="11">
        <v>0.1405744127269377</v>
      </c>
    </row>
    <row r="6486" ht="22.5" customHeight="1">
      <c r="Q6486" s="9" t="s">
        <v>6524</v>
      </c>
      <c r="R6486" s="10">
        <v>0.5830604732225648</v>
      </c>
      <c r="S6486" s="10">
        <v>0.02819690641846219</v>
      </c>
      <c r="T6486" s="10">
        <v>19.25957639335182</v>
      </c>
      <c r="U6486" s="11">
        <v>0.1571190019777964</v>
      </c>
      <c r="V6486" s="11">
        <v>0.09266281499833826</v>
      </c>
      <c r="W6486" s="11">
        <v>0.23689828283069586</v>
      </c>
      <c r="X6486" s="11">
        <v>0.24238173755382625</v>
      </c>
      <c r="Y6486" s="11">
        <v>0.04931856800288704</v>
      </c>
      <c r="Z6486" s="11">
        <v>0.2216195946364562</v>
      </c>
    </row>
    <row r="6487" ht="22.5" customHeight="1">
      <c r="Q6487" s="9" t="s">
        <v>6525</v>
      </c>
      <c r="R6487" s="10">
        <v>0.5404781591246752</v>
      </c>
      <c r="S6487" s="10">
        <v>0.025986224753808372</v>
      </c>
      <c r="T6487" s="10">
        <v>19.25936390784615</v>
      </c>
      <c r="U6487" s="11">
        <v>0.17980373076919054</v>
      </c>
      <c r="V6487" s="11">
        <v>0.084679983709416</v>
      </c>
      <c r="W6487" s="11">
        <v>0.20972808728639444</v>
      </c>
      <c r="X6487" s="11">
        <v>0.12013019493742472</v>
      </c>
      <c r="Y6487" s="11">
        <v>0.31293400131810567</v>
      </c>
      <c r="Z6487" s="11">
        <v>0.09272400197946862</v>
      </c>
    </row>
    <row r="6488" ht="22.5" customHeight="1">
      <c r="Q6488" s="9" t="s">
        <v>6526</v>
      </c>
      <c r="R6488" s="10">
        <v>0.6569398939902262</v>
      </c>
      <c r="S6488" s="10">
        <v>0.03203576336096845</v>
      </c>
      <c r="T6488" s="10">
        <v>19.257849018259694</v>
      </c>
      <c r="U6488" s="11">
        <v>0.22514236911370072</v>
      </c>
      <c r="V6488" s="11">
        <v>0.11429554340049605</v>
      </c>
      <c r="W6488" s="11">
        <v>0.26504288737961074</v>
      </c>
      <c r="X6488" s="11">
        <v>0.160170941017059</v>
      </c>
      <c r="Y6488" s="11">
        <v>0.1974780330809806</v>
      </c>
      <c r="Z6488" s="11">
        <v>0.03787022600815291</v>
      </c>
    </row>
    <row r="6489" ht="22.5" customHeight="1">
      <c r="Q6489" s="9" t="s">
        <v>6527</v>
      </c>
      <c r="R6489" s="10">
        <v>0.6384723812962777</v>
      </c>
      <c r="S6489" s="10">
        <v>0.03107691355116547</v>
      </c>
      <c r="T6489" s="10">
        <v>19.257780548603847</v>
      </c>
      <c r="U6489" s="11">
        <v>0.23090337474205902</v>
      </c>
      <c r="V6489" s="11">
        <v>0.13394371612341907</v>
      </c>
      <c r="W6489" s="11">
        <v>0.246773523237246</v>
      </c>
      <c r="X6489" s="11">
        <v>0.018187645221228458</v>
      </c>
      <c r="Y6489" s="11">
        <v>0.234534371760271</v>
      </c>
      <c r="Z6489" s="11">
        <v>0.13565736891577646</v>
      </c>
    </row>
    <row r="6490" ht="22.5" customHeight="1">
      <c r="Q6490" s="9" t="s">
        <v>6528</v>
      </c>
      <c r="R6490" s="10">
        <v>0.31992880600520923</v>
      </c>
      <c r="S6490" s="10">
        <v>0.014537585368279626</v>
      </c>
      <c r="T6490" s="10">
        <v>19.25552276487412</v>
      </c>
      <c r="U6490" s="11">
        <v>0.007181703989932703</v>
      </c>
      <c r="V6490" s="11">
        <v>0.10940241003465391</v>
      </c>
      <c r="W6490" s="11">
        <v>0.0028711226132543495</v>
      </c>
      <c r="X6490" s="11">
        <v>0.34634441002197003</v>
      </c>
      <c r="Y6490" s="11">
        <v>0.2805649791126945</v>
      </c>
      <c r="Z6490" s="11">
        <v>0.2536353742274945</v>
      </c>
    </row>
    <row r="6491" ht="22.5" customHeight="1">
      <c r="Q6491" s="9" t="s">
        <v>6529</v>
      </c>
      <c r="R6491" s="10">
        <v>0.8479585442350092</v>
      </c>
      <c r="S6491" s="10">
        <v>0.04196014019685704</v>
      </c>
      <c r="T6491" s="10">
        <v>19.255382380622457</v>
      </c>
      <c r="U6491" s="11">
        <v>0.14117710735773778</v>
      </c>
      <c r="V6491" s="11">
        <v>0.20385874389258116</v>
      </c>
      <c r="W6491" s="11">
        <v>0.3292428241620604</v>
      </c>
      <c r="X6491" s="11">
        <v>0.030293735222455844</v>
      </c>
      <c r="Y6491" s="11">
        <v>0.2573605449422746</v>
      </c>
      <c r="Z6491" s="11">
        <v>0.038067044422890196</v>
      </c>
    </row>
    <row r="6492" ht="22.5" customHeight="1">
      <c r="Q6492" s="9" t="s">
        <v>6530</v>
      </c>
      <c r="R6492" s="10">
        <v>0.7572110305210322</v>
      </c>
      <c r="S6492" s="10">
        <v>0.03724901251857925</v>
      </c>
      <c r="T6492" s="10">
        <v>19.254497824963767</v>
      </c>
      <c r="U6492" s="11">
        <v>0.07029548243828389</v>
      </c>
      <c r="V6492" s="11">
        <v>0.32992809995108696</v>
      </c>
      <c r="W6492" s="11">
        <v>0.14351671305953806</v>
      </c>
      <c r="X6492" s="11">
        <v>0.08074368522268427</v>
      </c>
      <c r="Y6492" s="11">
        <v>0.034387687062602805</v>
      </c>
      <c r="Z6492" s="11">
        <v>0.341128332265804</v>
      </c>
    </row>
    <row r="6493" ht="22.5" customHeight="1">
      <c r="Q6493" s="9" t="s">
        <v>6531</v>
      </c>
      <c r="R6493" s="10">
        <v>0.5030806998336104</v>
      </c>
      <c r="S6493" s="10">
        <v>0.024050622508000802</v>
      </c>
      <c r="T6493" s="10">
        <v>19.254416374443515</v>
      </c>
      <c r="U6493" s="11">
        <v>0.1765062900277991</v>
      </c>
      <c r="V6493" s="11">
        <v>0.05706947577860721</v>
      </c>
      <c r="W6493" s="11">
        <v>0.1956525016750577</v>
      </c>
      <c r="X6493" s="11">
        <v>0.2405312268493656</v>
      </c>
      <c r="Y6493" s="11">
        <v>0.30748117825816074</v>
      </c>
      <c r="Z6493" s="11">
        <v>0.022759327411009556</v>
      </c>
    </row>
    <row r="6494" ht="22.5" customHeight="1">
      <c r="Q6494" s="9" t="s">
        <v>6532</v>
      </c>
      <c r="R6494" s="10">
        <v>0.2946211554187542</v>
      </c>
      <c r="S6494" s="10">
        <v>0.013224194545963663</v>
      </c>
      <c r="T6494" s="10">
        <v>19.25419007817536</v>
      </c>
      <c r="U6494" s="11">
        <v>0.2757441262132288</v>
      </c>
      <c r="V6494" s="11">
        <v>0.08811465068845316</v>
      </c>
      <c r="W6494" s="11">
        <v>0.04442184172661258</v>
      </c>
      <c r="X6494" s="11">
        <v>0.013354018848538263</v>
      </c>
      <c r="Y6494" s="11">
        <v>0.17234663946834247</v>
      </c>
      <c r="Z6494" s="11">
        <v>0.4060187230548247</v>
      </c>
    </row>
    <row r="6495" ht="22.5" customHeight="1">
      <c r="Q6495" s="9" t="s">
        <v>6533</v>
      </c>
      <c r="R6495" s="10">
        <v>0.6693732033082668</v>
      </c>
      <c r="S6495" s="10">
        <v>0.032688312127167225</v>
      </c>
      <c r="T6495" s="10">
        <v>19.25376877398314</v>
      </c>
      <c r="U6495" s="11">
        <v>0.05732937986945963</v>
      </c>
      <c r="V6495" s="11">
        <v>0.10828034597360724</v>
      </c>
      <c r="W6495" s="11">
        <v>0.27395357139534504</v>
      </c>
      <c r="X6495" s="11">
        <v>0.28371525525627617</v>
      </c>
      <c r="Y6495" s="11">
        <v>0.1860606789294647</v>
      </c>
      <c r="Z6495" s="11">
        <v>0.09066076857584723</v>
      </c>
    </row>
    <row r="6496" ht="22.5" customHeight="1">
      <c r="Q6496" s="9" t="s">
        <v>6534</v>
      </c>
      <c r="R6496" s="10">
        <v>0.5889112149333039</v>
      </c>
      <c r="S6496" s="10">
        <v>0.028510206959192985</v>
      </c>
      <c r="T6496" s="10">
        <v>19.25314732786638</v>
      </c>
      <c r="U6496" s="11">
        <v>0.36353800416384047</v>
      </c>
      <c r="V6496" s="11">
        <v>0.08184556972590641</v>
      </c>
      <c r="W6496" s="11">
        <v>0.23889847909879117</v>
      </c>
      <c r="X6496" s="11">
        <v>0.2635850267035029</v>
      </c>
      <c r="Y6496" s="11">
        <v>0.0439883007115395</v>
      </c>
      <c r="Z6496" s="11">
        <v>0.008144619596419447</v>
      </c>
    </row>
    <row r="6497" ht="22.5" customHeight="1">
      <c r="Q6497" s="9" t="s">
        <v>6535</v>
      </c>
      <c r="R6497" s="10">
        <v>0.5843931457139181</v>
      </c>
      <c r="S6497" s="10">
        <v>0.028275718748527707</v>
      </c>
      <c r="T6497" s="10">
        <v>19.253025910871468</v>
      </c>
      <c r="U6497" s="11">
        <v>0.003550517988246319</v>
      </c>
      <c r="V6497" s="11">
        <v>0.10162184094919752</v>
      </c>
      <c r="W6497" s="11">
        <v>0.23481874261955668</v>
      </c>
      <c r="X6497" s="11">
        <v>0.20848767757060177</v>
      </c>
      <c r="Y6497" s="11">
        <v>0.1385644107360606</v>
      </c>
      <c r="Z6497" s="11">
        <v>0.3129568101363371</v>
      </c>
    </row>
    <row r="6498" ht="22.5" customHeight="1">
      <c r="Q6498" s="9" t="s">
        <v>6536</v>
      </c>
      <c r="R6498" s="10">
        <v>0.664010980596019</v>
      </c>
      <c r="S6498" s="10">
        <v>0.032411742276498574</v>
      </c>
      <c r="T6498" s="10">
        <v>19.25262070988646</v>
      </c>
      <c r="U6498" s="11">
        <v>0.375146482867478</v>
      </c>
      <c r="V6498" s="11">
        <v>0.28587512887861166</v>
      </c>
      <c r="W6498" s="11">
        <v>0.09994649136867484</v>
      </c>
      <c r="X6498" s="11">
        <v>0.04068878056297809</v>
      </c>
      <c r="Y6498" s="11">
        <v>0.17046380781595094</v>
      </c>
      <c r="Z6498" s="11">
        <v>0.02787930850630662</v>
      </c>
    </row>
    <row r="6499" ht="22.5" customHeight="1">
      <c r="Q6499" s="9" t="s">
        <v>6537</v>
      </c>
      <c r="R6499" s="10">
        <v>0.522331348251574</v>
      </c>
      <c r="S6499" s="10">
        <v>0.03367699142603956</v>
      </c>
      <c r="T6499" s="10">
        <v>19.25192136763099</v>
      </c>
      <c r="U6499" s="11">
        <v>0.10859635883009292</v>
      </c>
      <c r="V6499" s="11">
        <v>0.12816527087849158</v>
      </c>
      <c r="W6499" s="11">
        <v>0.2766567227788568</v>
      </c>
      <c r="X6499" s="11">
        <v>0.15491580008651837</v>
      </c>
      <c r="Y6499" s="11">
        <v>0.2520136427398493</v>
      </c>
      <c r="Z6499" s="11">
        <v>0.07965220468619104</v>
      </c>
    </row>
    <row r="6500" ht="22.5" customHeight="1">
      <c r="Q6500" s="9" t="s">
        <v>6538</v>
      </c>
      <c r="R6500" s="10">
        <v>0.6798163490842062</v>
      </c>
      <c r="S6500" s="10">
        <v>0.03323390540458473</v>
      </c>
      <c r="T6500" s="10">
        <v>19.251915815946848</v>
      </c>
      <c r="U6500" s="11">
        <v>0.11582022480185715</v>
      </c>
      <c r="V6500" s="11">
        <v>0.30019162528357324</v>
      </c>
      <c r="W6500" s="11">
        <v>0.09272014189915731</v>
      </c>
      <c r="X6500" s="11">
        <v>0.1332966615714552</v>
      </c>
      <c r="Y6500" s="11">
        <v>0.2462951019979024</v>
      </c>
      <c r="Z6500" s="11">
        <v>0.11167624444605473</v>
      </c>
    </row>
    <row r="6501" ht="22.5" customHeight="1">
      <c r="Q6501" s="9" t="s">
        <v>6539</v>
      </c>
      <c r="R6501" s="10">
        <v>0.7065139881046447</v>
      </c>
      <c r="S6501" s="10">
        <v>0.03462361220559095</v>
      </c>
      <c r="T6501" s="10">
        <v>19.250273026019432</v>
      </c>
      <c r="U6501" s="11">
        <v>0.20600347116355336</v>
      </c>
      <c r="V6501" s="11">
        <v>0.14597450173832263</v>
      </c>
      <c r="W6501" s="11">
        <v>0.27882619007011106</v>
      </c>
      <c r="X6501" s="11">
        <v>0.0649297745083798</v>
      </c>
      <c r="Y6501" s="11">
        <v>0.24178543709775174</v>
      </c>
      <c r="Z6501" s="11">
        <v>0.06248062542188153</v>
      </c>
    </row>
    <row r="6502" ht="22.5" customHeight="1">
      <c r="Q6502" s="9" t="s">
        <v>6540</v>
      </c>
      <c r="R6502" s="10">
        <v>0.7018280902084258</v>
      </c>
      <c r="S6502" s="10">
        <v>0.03438099798482341</v>
      </c>
      <c r="T6502" s="10">
        <v>19.249821965626843</v>
      </c>
      <c r="U6502" s="11">
        <v>0.1851632938067277</v>
      </c>
      <c r="V6502" s="11">
        <v>0.314127827899765</v>
      </c>
      <c r="W6502" s="11">
        <v>0.08330713197183812</v>
      </c>
      <c r="X6502" s="11">
        <v>0.24604626267972096</v>
      </c>
      <c r="Y6502" s="11">
        <v>0.13912072789444088</v>
      </c>
      <c r="Z6502" s="11">
        <v>0.03223475574750736</v>
      </c>
    </row>
    <row r="6503" ht="22.5" customHeight="1">
      <c r="Q6503" s="9" t="s">
        <v>6541</v>
      </c>
      <c r="R6503" s="10">
        <v>0.43170124355139416</v>
      </c>
      <c r="S6503" s="10">
        <v>0.020351115575507873</v>
      </c>
      <c r="T6503" s="10">
        <v>19.247163237714503</v>
      </c>
      <c r="U6503" s="11">
        <v>0.2112317907331358</v>
      </c>
      <c r="V6503" s="11">
        <v>0.06342886084209415</v>
      </c>
      <c r="W6503" s="11">
        <v>0.1641235363640352</v>
      </c>
      <c r="X6503" s="11">
        <v>0.11000648702079978</v>
      </c>
      <c r="Y6503" s="11">
        <v>0.14153753179012474</v>
      </c>
      <c r="Z6503" s="11">
        <v>0.3096717932498102</v>
      </c>
    </row>
    <row r="6504" ht="22.5" customHeight="1">
      <c r="Q6504" s="9" t="s">
        <v>6542</v>
      </c>
      <c r="R6504" s="10">
        <v>0.938434553389541</v>
      </c>
      <c r="S6504" s="10">
        <v>0.04667906436141981</v>
      </c>
      <c r="T6504" s="10">
        <v>19.24705573430679</v>
      </c>
      <c r="U6504" s="11">
        <v>0.053025336995317286</v>
      </c>
      <c r="V6504" s="11">
        <v>0.41438955690058904</v>
      </c>
      <c r="W6504" s="11">
        <v>0.17644415257663587</v>
      </c>
      <c r="X6504" s="11">
        <v>0.14591599627018695</v>
      </c>
      <c r="Y6504" s="11">
        <v>0.09037141264987572</v>
      </c>
      <c r="Z6504" s="11">
        <v>0.1198535446073951</v>
      </c>
    </row>
    <row r="6505" ht="22.5" customHeight="1">
      <c r="Q6505" s="9" t="s">
        <v>6543</v>
      </c>
      <c r="R6505" s="10">
        <v>0.43830471000349225</v>
      </c>
      <c r="S6505" s="10">
        <v>0.020694456518070253</v>
      </c>
      <c r="T6505" s="10">
        <v>19.246927777769635</v>
      </c>
      <c r="U6505" s="11">
        <v>0.2009046085318172</v>
      </c>
      <c r="V6505" s="11">
        <v>0.04865418869542658</v>
      </c>
      <c r="W6505" s="11">
        <v>0.1714703351072047</v>
      </c>
      <c r="X6505" s="11">
        <v>0.2602236776151812</v>
      </c>
      <c r="Y6505" s="11">
        <v>0.052819667352077715</v>
      </c>
      <c r="Z6505" s="11">
        <v>0.2659275226982925</v>
      </c>
    </row>
    <row r="6506" ht="22.5" customHeight="1">
      <c r="Q6506" s="9" t="s">
        <v>6544</v>
      </c>
      <c r="R6506" s="10">
        <v>0.630893139712424</v>
      </c>
      <c r="S6506" s="10">
        <v>0.03070131489656656</v>
      </c>
      <c r="T6506" s="10">
        <v>19.2465092033731</v>
      </c>
      <c r="U6506" s="11">
        <v>0.33517296663869167</v>
      </c>
      <c r="V6506" s="11">
        <v>0.27285375411540397</v>
      </c>
      <c r="W6506" s="11">
        <v>0.09945406259884057</v>
      </c>
      <c r="X6506" s="11">
        <v>0.06081981085162861</v>
      </c>
      <c r="Y6506" s="11">
        <v>0.023684033504960435</v>
      </c>
      <c r="Z6506" s="11">
        <v>0.20801537229047468</v>
      </c>
    </row>
    <row r="6507" ht="22.5" customHeight="1">
      <c r="Q6507" s="9" t="s">
        <v>6545</v>
      </c>
      <c r="R6507" s="10">
        <v>0.5711860753888457</v>
      </c>
      <c r="S6507" s="10">
        <v>0.02760011337788897</v>
      </c>
      <c r="T6507" s="10">
        <v>19.245793237008584</v>
      </c>
      <c r="U6507" s="11">
        <v>0.020092509547547033</v>
      </c>
      <c r="V6507" s="11">
        <v>0.12691027139827105</v>
      </c>
      <c r="W6507" s="11">
        <v>0.2153153432827305</v>
      </c>
      <c r="X6507" s="11">
        <v>0.01858609664919959</v>
      </c>
      <c r="Y6507" s="11">
        <v>0.24401311608487405</v>
      </c>
      <c r="Z6507" s="11">
        <v>0.3750826630373778</v>
      </c>
    </row>
    <row r="6508" ht="22.5" customHeight="1">
      <c r="Q6508" s="9" t="s">
        <v>6546</v>
      </c>
      <c r="R6508" s="10">
        <v>0.6475318648836612</v>
      </c>
      <c r="S6508" s="10">
        <v>0.03156850104534968</v>
      </c>
      <c r="T6508" s="10">
        <v>19.244875263824284</v>
      </c>
      <c r="U6508" s="11">
        <v>0.15049408955431937</v>
      </c>
      <c r="V6508" s="11">
        <v>0.2826351186902171</v>
      </c>
      <c r="W6508" s="11">
        <v>0.09408847634231822</v>
      </c>
      <c r="X6508" s="11">
        <v>0.06975736377054938</v>
      </c>
      <c r="Y6508" s="11">
        <v>0.24485946206773065</v>
      </c>
      <c r="Z6508" s="11">
        <v>0.15816548957486545</v>
      </c>
    </row>
    <row r="6509" ht="22.5" customHeight="1">
      <c r="Q6509" s="9" t="s">
        <v>6547</v>
      </c>
      <c r="R6509" s="10">
        <v>0.7673798156125323</v>
      </c>
      <c r="S6509" s="10">
        <v>0.037797609443030726</v>
      </c>
      <c r="T6509" s="10">
        <v>19.244069303082593</v>
      </c>
      <c r="U6509" s="11">
        <v>0.061815445618595866</v>
      </c>
      <c r="V6509" s="11">
        <v>0.14251715483123167</v>
      </c>
      <c r="W6509" s="11">
        <v>0.31216609088849795</v>
      </c>
      <c r="X6509" s="11">
        <v>0.23089480628426037</v>
      </c>
      <c r="Y6509" s="11">
        <v>0.2521891148067902</v>
      </c>
      <c r="Z6509" s="11">
        <v>4.1738757062381016E-4</v>
      </c>
    </row>
    <row r="6510" ht="22.5" customHeight="1">
      <c r="Q6510" s="9" t="s">
        <v>6548</v>
      </c>
      <c r="R6510" s="10">
        <v>0.5624064067322674</v>
      </c>
      <c r="S6510" s="10">
        <v>0.027147481040076516</v>
      </c>
      <c r="T6510" s="10">
        <v>19.243273656257976</v>
      </c>
      <c r="U6510" s="11">
        <v>0.008623523466287236</v>
      </c>
      <c r="V6510" s="11">
        <v>0.24952497340117918</v>
      </c>
      <c r="W6510" s="11">
        <v>0.05851049607326453</v>
      </c>
      <c r="X6510" s="11">
        <v>0.2569705571362512</v>
      </c>
      <c r="Y6510" s="11">
        <v>0.11275449288160765</v>
      </c>
      <c r="Z6510" s="11">
        <v>0.31361595704141015</v>
      </c>
    </row>
    <row r="6511" ht="22.5" customHeight="1">
      <c r="Q6511" s="9" t="s">
        <v>6549</v>
      </c>
      <c r="R6511" s="10">
        <v>0.5279621172474277</v>
      </c>
      <c r="S6511" s="10">
        <v>0.025359217552614315</v>
      </c>
      <c r="T6511" s="10">
        <v>19.242002093914095</v>
      </c>
      <c r="U6511" s="11">
        <v>0.2713570878910674</v>
      </c>
      <c r="V6511" s="11">
        <v>0.08647499976991861</v>
      </c>
      <c r="W6511" s="11">
        <v>0.20973674830213573</v>
      </c>
      <c r="X6511" s="11">
        <v>0.17053872509356144</v>
      </c>
      <c r="Y6511" s="11">
        <v>0.0011958837705979015</v>
      </c>
      <c r="Z6511" s="11">
        <v>0.26069655517271884</v>
      </c>
    </row>
    <row r="6512" ht="22.5" customHeight="1">
      <c r="Q6512" s="9" t="s">
        <v>6550</v>
      </c>
      <c r="R6512" s="10">
        <v>0.6931100214639984</v>
      </c>
      <c r="S6512" s="10">
        <v>0.033942405835711356</v>
      </c>
      <c r="T6512" s="10">
        <v>19.24171270077888</v>
      </c>
      <c r="U6512" s="11">
        <v>0.18844860387636064</v>
      </c>
      <c r="V6512" s="11">
        <v>0.15531136541668394</v>
      </c>
      <c r="W6512" s="11">
        <v>0.2692280971575986</v>
      </c>
      <c r="X6512" s="11">
        <v>0.016400533480433976</v>
      </c>
      <c r="Y6512" s="11">
        <v>0.2058397960279041</v>
      </c>
      <c r="Z6512" s="11">
        <v>0.1647716040410187</v>
      </c>
    </row>
    <row r="6513" ht="22.5" customHeight="1">
      <c r="Q6513" s="9" t="s">
        <v>6551</v>
      </c>
      <c r="R6513" s="10">
        <v>0.3768168019360375</v>
      </c>
      <c r="S6513" s="10">
        <v>0.017504815703297132</v>
      </c>
      <c r="T6513" s="10">
        <v>19.241379494934993</v>
      </c>
      <c r="U6513" s="11">
        <v>0.26742095156949436</v>
      </c>
      <c r="V6513" s="11">
        <v>0.14647311176844988</v>
      </c>
      <c r="W6513" s="11">
        <v>0.01842627121686235</v>
      </c>
      <c r="X6513" s="11">
        <v>0.16874036890025637</v>
      </c>
      <c r="Y6513" s="11">
        <v>0.23993802475527087</v>
      </c>
      <c r="Z6513" s="11">
        <v>0.15900127178966622</v>
      </c>
    </row>
    <row r="6514" ht="22.5" customHeight="1">
      <c r="Q6514" s="9" t="s">
        <v>6552</v>
      </c>
      <c r="R6514" s="10">
        <v>0.4161245198730625</v>
      </c>
      <c r="S6514" s="10">
        <v>0.01954783323855394</v>
      </c>
      <c r="T6514" s="10">
        <v>19.24123841670784</v>
      </c>
      <c r="U6514" s="11">
        <v>0.08278173044851654</v>
      </c>
      <c r="V6514" s="11">
        <v>0.03980315027861412</v>
      </c>
      <c r="W6514" s="11">
        <v>0.15253049558882947</v>
      </c>
      <c r="X6514" s="11">
        <v>0.24014134640824872</v>
      </c>
      <c r="Y6514" s="11">
        <v>0.3396528504852981</v>
      </c>
      <c r="Z6514" s="11">
        <v>0.145090426790493</v>
      </c>
    </row>
    <row r="6515" ht="22.5" customHeight="1">
      <c r="Q6515" s="9" t="s">
        <v>6553</v>
      </c>
      <c r="R6515" s="10">
        <v>0.5199891009780516</v>
      </c>
      <c r="S6515" s="10">
        <v>0.02494592462891828</v>
      </c>
      <c r="T6515" s="10">
        <v>19.24118300356082</v>
      </c>
      <c r="U6515" s="11">
        <v>0.24907455723236976</v>
      </c>
      <c r="V6515" s="11">
        <v>0.22069168109438964</v>
      </c>
      <c r="W6515" s="11">
        <v>0.0675518315578394</v>
      </c>
      <c r="X6515" s="11">
        <v>0.040149856228613987</v>
      </c>
      <c r="Y6515" s="11">
        <v>0.1933939744706654</v>
      </c>
      <c r="Z6515" s="11">
        <v>0.22913809941612184</v>
      </c>
    </row>
    <row r="6516" ht="22.5" customHeight="1">
      <c r="Q6516" s="9" t="s">
        <v>6554</v>
      </c>
      <c r="R6516" s="10">
        <v>0.6616329664268527</v>
      </c>
      <c r="S6516" s="10">
        <v>0.03230762653468304</v>
      </c>
      <c r="T6516" s="10">
        <v>19.24105956095271</v>
      </c>
      <c r="U6516" s="11">
        <v>0.05114446774076885</v>
      </c>
      <c r="V6516" s="11">
        <v>0.13435047986534315</v>
      </c>
      <c r="W6516" s="11">
        <v>0.2514205260621366</v>
      </c>
      <c r="X6516" s="11">
        <v>0.06285277527189614</v>
      </c>
      <c r="Y6516" s="11">
        <v>0.45006751475638196</v>
      </c>
      <c r="Z6516" s="11">
        <v>0.050164236303473345</v>
      </c>
    </row>
    <row r="6517" ht="22.5" customHeight="1">
      <c r="Q6517" s="9" t="s">
        <v>6555</v>
      </c>
      <c r="R6517" s="10">
        <v>0.7443804335129783</v>
      </c>
      <c r="S6517" s="10">
        <v>0.036610348486311436</v>
      </c>
      <c r="T6517" s="10">
        <v>19.239927032553247</v>
      </c>
      <c r="U6517" s="11">
        <v>0.24639477092809023</v>
      </c>
      <c r="V6517" s="11">
        <v>0.1532035176119714</v>
      </c>
      <c r="W6517" s="11">
        <v>0.29849374772734916</v>
      </c>
      <c r="X6517" s="11">
        <v>0.10633105934340853</v>
      </c>
      <c r="Y6517" s="11">
        <v>0.14481512505039548</v>
      </c>
      <c r="Z6517" s="11">
        <v>0.050761779338785326</v>
      </c>
    </row>
    <row r="6518" ht="22.5" customHeight="1">
      <c r="Q6518" s="9" t="s">
        <v>6556</v>
      </c>
      <c r="R6518" s="10">
        <v>0.6981637853709766</v>
      </c>
      <c r="S6518" s="10">
        <v>0.03420823209923168</v>
      </c>
      <c r="T6518" s="10">
        <v>19.23992398852319</v>
      </c>
      <c r="U6518" s="11">
        <v>0.053010101200809435</v>
      </c>
      <c r="V6518" s="11">
        <v>0.31323183927002207</v>
      </c>
      <c r="W6518" s="11">
        <v>0.08150108692020082</v>
      </c>
      <c r="X6518" s="11">
        <v>0.2768890432335382</v>
      </c>
      <c r="Y6518" s="11">
        <v>0.18156013133066307</v>
      </c>
      <c r="Z6518" s="11">
        <v>0.09380779804476645</v>
      </c>
    </row>
    <row r="6519" ht="22.5" customHeight="1">
      <c r="Q6519" s="9" t="s">
        <v>6557</v>
      </c>
      <c r="R6519" s="10">
        <v>0.8667864507184414</v>
      </c>
      <c r="S6519" s="10">
        <v>0.042974459235161855</v>
      </c>
      <c r="T6519" s="10">
        <v>19.2390193020035</v>
      </c>
      <c r="U6519" s="11">
        <v>0.023912311441850607</v>
      </c>
      <c r="V6519" s="11">
        <v>0.243592126433257</v>
      </c>
      <c r="W6519" s="11">
        <v>0.3247592756831129</v>
      </c>
      <c r="X6519" s="11">
        <v>0.03624906525877557</v>
      </c>
      <c r="Y6519" s="11">
        <v>0.01450743685456967</v>
      </c>
      <c r="Z6519" s="11">
        <v>0.35697978432843425</v>
      </c>
    </row>
    <row r="6520" ht="22.5" customHeight="1">
      <c r="Q6520" s="9" t="s">
        <v>6558</v>
      </c>
      <c r="R6520" s="10">
        <v>0.5417149228415711</v>
      </c>
      <c r="S6520" s="10">
        <v>0.026078687692997923</v>
      </c>
      <c r="T6520" s="10">
        <v>19.238503438049936</v>
      </c>
      <c r="U6520" s="11">
        <v>0.18342968096366488</v>
      </c>
      <c r="V6520" s="11">
        <v>0.2340436902978911</v>
      </c>
      <c r="W6520" s="11">
        <v>0.058879351417375915</v>
      </c>
      <c r="X6520" s="11">
        <v>0.11642528227537569</v>
      </c>
      <c r="Y6520" s="11">
        <v>0.2484029963204139</v>
      </c>
      <c r="Z6520" s="11">
        <v>0.1588189987252785</v>
      </c>
    </row>
    <row r="6521" ht="22.5" customHeight="1">
      <c r="Q6521" s="9" t="s">
        <v>6559</v>
      </c>
      <c r="R6521" s="10">
        <v>0.6598729556223737</v>
      </c>
      <c r="S6521" s="10">
        <v>0.03222072222675284</v>
      </c>
      <c r="T6521" s="10">
        <v>19.238332128622915</v>
      </c>
      <c r="U6521" s="11">
        <v>0.20960471395303976</v>
      </c>
      <c r="V6521" s="11">
        <v>0.11439835644336005</v>
      </c>
      <c r="W6521" s="11">
        <v>0.2701062628206424</v>
      </c>
      <c r="X6521" s="11">
        <v>0.23932816808897467</v>
      </c>
      <c r="Y6521" s="11">
        <v>0.02335333704325255</v>
      </c>
      <c r="Z6521" s="11">
        <v>0.1432091616507305</v>
      </c>
    </row>
    <row r="6522" ht="22.5" customHeight="1">
      <c r="Q6522" s="9" t="s">
        <v>6560</v>
      </c>
      <c r="R6522" s="10">
        <v>0.5183673426156801</v>
      </c>
      <c r="S6522" s="10">
        <v>0.024866358384823706</v>
      </c>
      <c r="T6522" s="10">
        <v>19.23753109372197</v>
      </c>
      <c r="U6522" s="11">
        <v>0.25326711542364333</v>
      </c>
      <c r="V6522" s="11">
        <v>0.22596073877045936</v>
      </c>
      <c r="W6522" s="11">
        <v>0.042948930361031916</v>
      </c>
      <c r="X6522" s="11">
        <v>0.27351503285414774</v>
      </c>
      <c r="Y6522" s="11">
        <v>0.00836681145264847</v>
      </c>
      <c r="Z6522" s="11">
        <v>0.19594137113806925</v>
      </c>
    </row>
    <row r="6523" ht="22.5" customHeight="1">
      <c r="Q6523" s="9" t="s">
        <v>6561</v>
      </c>
      <c r="R6523" s="10">
        <v>0.5204101601218039</v>
      </c>
      <c r="S6523" s="10">
        <v>0.024974149827778586</v>
      </c>
      <c r="T6523" s="10">
        <v>19.23629686835012</v>
      </c>
      <c r="U6523" s="11">
        <v>0.25974079050203375</v>
      </c>
      <c r="V6523" s="11">
        <v>0.062171697976011964</v>
      </c>
      <c r="W6523" s="11">
        <v>0.2098768766266587</v>
      </c>
      <c r="X6523" s="11">
        <v>0.3191418501929976</v>
      </c>
      <c r="Y6523" s="11">
        <v>0.009041040708013131</v>
      </c>
      <c r="Z6523" s="11">
        <v>0.14002774399428486</v>
      </c>
    </row>
    <row r="6524" ht="22.5" customHeight="1">
      <c r="Q6524" s="9" t="s">
        <v>6562</v>
      </c>
      <c r="R6524" s="10">
        <v>0.5901048998266605</v>
      </c>
      <c r="S6524" s="10">
        <v>0.028597562998279775</v>
      </c>
      <c r="T6524" s="10">
        <v>19.236076160047304</v>
      </c>
      <c r="U6524" s="11">
        <v>0.162093586843054</v>
      </c>
      <c r="V6524" s="11">
        <v>0.09929356529958518</v>
      </c>
      <c r="W6524" s="11">
        <v>0.23649354386160645</v>
      </c>
      <c r="X6524" s="11">
        <v>0.14446821077033256</v>
      </c>
      <c r="Y6524" s="11">
        <v>0.20572182345998977</v>
      </c>
      <c r="Z6524" s="11">
        <v>0.15192926976543197</v>
      </c>
    </row>
    <row r="6525" ht="22.5" customHeight="1">
      <c r="Q6525" s="9" t="s">
        <v>6563</v>
      </c>
      <c r="R6525" s="10">
        <v>0.5684166140691277</v>
      </c>
      <c r="S6525" s="10">
        <v>0.02747058914646978</v>
      </c>
      <c r="T6525" s="10">
        <v>19.23572192979465</v>
      </c>
      <c r="U6525" s="11">
        <v>0.09658416418860319</v>
      </c>
      <c r="V6525" s="11">
        <v>0.1225953035825153</v>
      </c>
      <c r="W6525" s="11">
        <v>0.21816499463936198</v>
      </c>
      <c r="X6525" s="11">
        <v>0.03504451187708676</v>
      </c>
      <c r="Y6525" s="11">
        <v>0.15226779995742745</v>
      </c>
      <c r="Z6525" s="11">
        <v>0.37534322575500534</v>
      </c>
    </row>
    <row r="6526" ht="22.5" customHeight="1">
      <c r="Q6526" s="9" t="s">
        <v>6564</v>
      </c>
      <c r="R6526" s="10">
        <v>0.7714504680878755</v>
      </c>
      <c r="S6526" s="10">
        <v>0.03802572078771424</v>
      </c>
      <c r="T6526" s="10">
        <v>19.235676614030165</v>
      </c>
      <c r="U6526" s="11">
        <v>0.09387759869630044</v>
      </c>
      <c r="V6526" s="11">
        <v>0.3463159978439568</v>
      </c>
      <c r="W6526" s="11">
        <v>0.10731223962068337</v>
      </c>
      <c r="X6526" s="11">
        <v>0.2204582247926872</v>
      </c>
      <c r="Y6526" s="11">
        <v>0.16454315275721498</v>
      </c>
      <c r="Z6526" s="11">
        <v>0.06749278628915728</v>
      </c>
    </row>
    <row r="6527" ht="22.5" customHeight="1">
      <c r="Q6527" s="9" t="s">
        <v>6565</v>
      </c>
      <c r="R6527" s="10">
        <v>0.522331348251574</v>
      </c>
      <c r="S6527" s="10">
        <v>0.021629013697868932</v>
      </c>
      <c r="T6527" s="10">
        <v>19.234745807373272</v>
      </c>
      <c r="U6527" s="11">
        <v>0.04272778617592797</v>
      </c>
      <c r="V6527" s="11">
        <v>0.050179156021835564</v>
      </c>
      <c r="W6527" s="11">
        <v>0.17923862568513863</v>
      </c>
      <c r="X6527" s="11">
        <v>0.29410298734613377</v>
      </c>
      <c r="Y6527" s="11">
        <v>0.1586813670340154</v>
      </c>
      <c r="Z6527" s="11">
        <v>0.27507007773694875</v>
      </c>
    </row>
    <row r="6528" ht="22.5" customHeight="1">
      <c r="Q6528" s="9" t="s">
        <v>6566</v>
      </c>
      <c r="R6528" s="10">
        <v>0.7121522379488247</v>
      </c>
      <c r="S6528" s="10">
        <v>0.03494701965947888</v>
      </c>
      <c r="T6528" s="10">
        <v>19.23346381174204</v>
      </c>
      <c r="U6528" s="11">
        <v>0.18704882669448794</v>
      </c>
      <c r="V6528" s="11">
        <v>0.17234554834132967</v>
      </c>
      <c r="W6528" s="11">
        <v>0.27392789054011324</v>
      </c>
      <c r="X6528" s="11">
        <v>7.845078726009481E-4</v>
      </c>
      <c r="Y6528" s="11">
        <v>0.11852034840306189</v>
      </c>
      <c r="Z6528" s="11">
        <v>0.24737287814840642</v>
      </c>
    </row>
    <row r="6529" ht="22.5" customHeight="1">
      <c r="Q6529" s="9" t="s">
        <v>6567</v>
      </c>
      <c r="R6529" s="10">
        <v>0.2744158444121578</v>
      </c>
      <c r="S6529" s="10">
        <v>0.01218885826469678</v>
      </c>
      <c r="T6529" s="10">
        <v>19.231977214068404</v>
      </c>
      <c r="U6529" s="11">
        <v>0.18487758158291664</v>
      </c>
      <c r="V6529" s="11">
        <v>0.01648522873268415</v>
      </c>
      <c r="W6529" s="11">
        <v>0.044790612992206914</v>
      </c>
      <c r="X6529" s="11">
        <v>0.586129751608918</v>
      </c>
      <c r="Y6529" s="11">
        <v>0.012637253105634452</v>
      </c>
      <c r="Z6529" s="11">
        <v>0.15507957197763986</v>
      </c>
    </row>
    <row r="6530" ht="22.5" customHeight="1">
      <c r="Q6530" s="9" t="s">
        <v>6568</v>
      </c>
      <c r="R6530" s="10">
        <v>0.2894386472806656</v>
      </c>
      <c r="S6530" s="10">
        <v>0.01297028334990966</v>
      </c>
      <c r="T6530" s="10">
        <v>19.231549577704712</v>
      </c>
      <c r="U6530" s="11">
        <v>0.3114882042734727</v>
      </c>
      <c r="V6530" s="11">
        <v>0.034880631058087405</v>
      </c>
      <c r="W6530" s="11">
        <v>0.07191735137375592</v>
      </c>
      <c r="X6530" s="11">
        <v>0.10563831755451303</v>
      </c>
      <c r="Y6530" s="11">
        <v>0.31284032684193896</v>
      </c>
      <c r="Z6530" s="11">
        <v>0.16323516889823214</v>
      </c>
    </row>
    <row r="6531" ht="22.5" customHeight="1">
      <c r="Q6531" s="9" t="s">
        <v>6569</v>
      </c>
      <c r="R6531" s="10">
        <v>0.5628333529147966</v>
      </c>
      <c r="S6531" s="10">
        <v>0.02718650206076253</v>
      </c>
      <c r="T6531" s="10">
        <v>19.231357963825232</v>
      </c>
      <c r="U6531" s="11">
        <v>0.03376505170573804</v>
      </c>
      <c r="V6531" s="11">
        <v>0.248714539156862</v>
      </c>
      <c r="W6531" s="11">
        <v>0.055125546746048804</v>
      </c>
      <c r="X6531" s="11">
        <v>0.23134965727763934</v>
      </c>
      <c r="Y6531" s="11">
        <v>0.2030166119398507</v>
      </c>
      <c r="Z6531" s="11">
        <v>0.22802859317386107</v>
      </c>
    </row>
    <row r="6532" ht="22.5" customHeight="1">
      <c r="Q6532" s="9" t="s">
        <v>6570</v>
      </c>
      <c r="R6532" s="10">
        <v>0.6523957171261008</v>
      </c>
      <c r="S6532" s="10">
        <v>0.031846575123835374</v>
      </c>
      <c r="T6532" s="10">
        <v>19.229562825666516</v>
      </c>
      <c r="U6532" s="11">
        <v>0.10187947246046962</v>
      </c>
      <c r="V6532" s="11">
        <v>0.29144981486114196</v>
      </c>
      <c r="W6532" s="11">
        <v>0.07655694127104277</v>
      </c>
      <c r="X6532" s="11">
        <v>0.21221343550882577</v>
      </c>
      <c r="Y6532" s="11">
        <v>0.18283795105413425</v>
      </c>
      <c r="Z6532" s="11">
        <v>0.13506238484438565</v>
      </c>
    </row>
    <row r="6533" ht="22.5" customHeight="1">
      <c r="Q6533" s="9" t="s">
        <v>6571</v>
      </c>
      <c r="R6533" s="10">
        <v>0.6707565838347137</v>
      </c>
      <c r="S6533" s="10">
        <v>0.032802081891416104</v>
      </c>
      <c r="T6533" s="10">
        <v>19.22916313430017</v>
      </c>
      <c r="U6533" s="11">
        <v>0.10628273178309783</v>
      </c>
      <c r="V6533" s="11">
        <v>0.13550213764798974</v>
      </c>
      <c r="W6533" s="11">
        <v>0.26596929058779</v>
      </c>
      <c r="X6533" s="11">
        <v>0.08725101702362285</v>
      </c>
      <c r="Y6533" s="11">
        <v>0.2411386733747854</v>
      </c>
      <c r="Z6533" s="11">
        <v>0.16385614958271408</v>
      </c>
    </row>
    <row r="6534" ht="22.5" customHeight="1">
      <c r="Q6534" s="9" t="s">
        <v>6572</v>
      </c>
      <c r="R6534" s="10">
        <v>0.74956516111296</v>
      </c>
      <c r="S6534" s="10">
        <v>0.036901076296840994</v>
      </c>
      <c r="T6534" s="10">
        <v>19.228847294454226</v>
      </c>
      <c r="U6534" s="11">
        <v>2.659372115527528E-4</v>
      </c>
      <c r="V6534" s="11">
        <v>0.1250763178973359</v>
      </c>
      <c r="W6534" s="11">
        <v>0.3086245827404824</v>
      </c>
      <c r="X6534" s="11">
        <v>0.3499534506179561</v>
      </c>
      <c r="Y6534" s="11">
        <v>0.19972165265648464</v>
      </c>
      <c r="Z6534" s="11">
        <v>0.016358058876188384</v>
      </c>
    </row>
    <row r="6535" ht="22.5" customHeight="1">
      <c r="Q6535" s="9" t="s">
        <v>6573</v>
      </c>
      <c r="R6535" s="10">
        <v>0.7624325840648658</v>
      </c>
      <c r="S6535" s="10">
        <v>0.037574207758380725</v>
      </c>
      <c r="T6535" s="10">
        <v>19.22682145982788</v>
      </c>
      <c r="U6535" s="11">
        <v>0.31825104262193293</v>
      </c>
      <c r="V6535" s="11">
        <v>0.16963086326545523</v>
      </c>
      <c r="W6535" s="11">
        <v>0.30116921575615296</v>
      </c>
      <c r="X6535" s="11">
        <v>0.05153008414476357</v>
      </c>
      <c r="Y6535" s="11">
        <v>0.10105369112286576</v>
      </c>
      <c r="Z6535" s="11">
        <v>0.05836510308882955</v>
      </c>
    </row>
    <row r="6536" ht="22.5" customHeight="1">
      <c r="Q6536" s="9" t="s">
        <v>6574</v>
      </c>
      <c r="R6536" s="10">
        <v>0.580809341817485</v>
      </c>
      <c r="S6536" s="10">
        <v>0.028128145242248128</v>
      </c>
      <c r="T6536" s="10">
        <v>19.226626468253443</v>
      </c>
      <c r="U6536" s="11">
        <v>0.06291295844506523</v>
      </c>
      <c r="V6536" s="11">
        <v>0.2562727906948172</v>
      </c>
      <c r="W6536" s="11">
        <v>0.0501648143885243</v>
      </c>
      <c r="X6536" s="11">
        <v>0.28237959687005676</v>
      </c>
      <c r="Y6536" s="11">
        <v>0.2284059970925651</v>
      </c>
      <c r="Z6536" s="11">
        <v>0.11986384250897152</v>
      </c>
    </row>
    <row r="6537" ht="22.5" customHeight="1">
      <c r="Q6537" s="9" t="s">
        <v>6575</v>
      </c>
      <c r="R6537" s="10">
        <v>0.26044542634830337</v>
      </c>
      <c r="S6537" s="10">
        <v>0.011465959117499556</v>
      </c>
      <c r="T6537" s="10">
        <v>19.226078175340387</v>
      </c>
      <c r="U6537" s="11">
        <v>0.25395912656986774</v>
      </c>
      <c r="V6537" s="11">
        <v>0.011777462031392598</v>
      </c>
      <c r="W6537" s="11">
        <v>0.06832823286979106</v>
      </c>
      <c r="X6537" s="11">
        <v>0.2446819305405537</v>
      </c>
      <c r="Y6537" s="11">
        <v>0.1902919534578995</v>
      </c>
      <c r="Z6537" s="11">
        <v>0.2309612945304953</v>
      </c>
    </row>
    <row r="6538" ht="22.5" customHeight="1">
      <c r="Q6538" s="9" t="s">
        <v>6576</v>
      </c>
      <c r="R6538" s="10">
        <v>0.31431783297804544</v>
      </c>
      <c r="S6538" s="10">
        <v>0.014269203783996072</v>
      </c>
      <c r="T6538" s="10">
        <v>19.224466699796693</v>
      </c>
      <c r="U6538" s="11">
        <v>0.26278165980042206</v>
      </c>
      <c r="V6538" s="11">
        <v>0.031147522598991735</v>
      </c>
      <c r="W6538" s="11">
        <v>0.09671650119670848</v>
      </c>
      <c r="X6538" s="11">
        <v>0.12412111468925048</v>
      </c>
      <c r="Y6538" s="11">
        <v>0.28029666776506246</v>
      </c>
      <c r="Z6538" s="11">
        <v>0.20493653394956493</v>
      </c>
    </row>
    <row r="6539" ht="22.5" customHeight="1">
      <c r="Q6539" s="9" t="s">
        <v>6577</v>
      </c>
      <c r="R6539" s="10">
        <v>0.6373268955867398</v>
      </c>
      <c r="S6539" s="10">
        <v>0.031071396934159057</v>
      </c>
      <c r="T6539" s="10">
        <v>19.224333455379817</v>
      </c>
      <c r="U6539" s="11">
        <v>0.2584676830042568</v>
      </c>
      <c r="V6539" s="11">
        <v>0.12312030123287078</v>
      </c>
      <c r="W6539" s="11">
        <v>0.25499633141090755</v>
      </c>
      <c r="X6539" s="11">
        <v>0.10564982409862977</v>
      </c>
      <c r="Y6539" s="11">
        <v>0.0857203976759323</v>
      </c>
      <c r="Z6539" s="11">
        <v>0.17204546257740264</v>
      </c>
    </row>
    <row r="6540" ht="22.5" customHeight="1">
      <c r="Q6540" s="9" t="s">
        <v>6578</v>
      </c>
      <c r="R6540" s="10">
        <v>0.8935903492247701</v>
      </c>
      <c r="S6540" s="10">
        <v>0.044402578278690444</v>
      </c>
      <c r="T6540" s="10">
        <v>19.223891546730805</v>
      </c>
      <c r="U6540" s="11">
        <v>0.06070733012651043</v>
      </c>
      <c r="V6540" s="11">
        <v>0.4026893168374059</v>
      </c>
      <c r="W6540" s="11">
        <v>0.13989594435918834</v>
      </c>
      <c r="X6540" s="11">
        <v>0.28935690142877324</v>
      </c>
      <c r="Y6540" s="11">
        <v>0.03863679891417632</v>
      </c>
      <c r="Z6540" s="11">
        <v>0.0687137083339459</v>
      </c>
    </row>
    <row r="6541" ht="22.5" customHeight="1">
      <c r="Q6541" s="9" t="s">
        <v>6579</v>
      </c>
      <c r="R6541" s="10">
        <v>0.690830632912873</v>
      </c>
      <c r="S6541" s="10">
        <v>0.033855876877019304</v>
      </c>
      <c r="T6541" s="10">
        <v>19.223564501873643</v>
      </c>
      <c r="U6541" s="11">
        <v>0.2964298135940414</v>
      </c>
      <c r="V6541" s="11">
        <v>0.14409531828149444</v>
      </c>
      <c r="W6541" s="11">
        <v>0.27342676276848116</v>
      </c>
      <c r="X6541" s="11">
        <v>0.056149857862395944</v>
      </c>
      <c r="Y6541" s="11">
        <v>0.13363493242706254</v>
      </c>
      <c r="Z6541" s="11">
        <v>0.09626331506652437</v>
      </c>
    </row>
    <row r="6542" ht="22.5" customHeight="1">
      <c r="Q6542" s="9" t="s">
        <v>6580</v>
      </c>
      <c r="R6542" s="10">
        <v>0.3864935469364978</v>
      </c>
      <c r="S6542" s="10">
        <v>0.018024872387483553</v>
      </c>
      <c r="T6542" s="10">
        <v>19.22307905919503</v>
      </c>
      <c r="U6542" s="11">
        <v>0.07267894686433364</v>
      </c>
      <c r="V6542" s="11">
        <v>0.15367101441252748</v>
      </c>
      <c r="W6542" s="11">
        <v>0.030859877286623878</v>
      </c>
      <c r="X6542" s="11">
        <v>0.11994369340370116</v>
      </c>
      <c r="Y6542" s="11">
        <v>0.297909502975193</v>
      </c>
      <c r="Z6542" s="11">
        <v>0.3249369650576209</v>
      </c>
    </row>
    <row r="6543" ht="22.5" customHeight="1">
      <c r="Q6543" s="9" t="s">
        <v>6581</v>
      </c>
      <c r="R6543" s="10">
        <v>1.0365206659212902</v>
      </c>
      <c r="S6543" s="10">
        <v>0.05184267426326948</v>
      </c>
      <c r="T6543" s="10">
        <v>19.222015069298322</v>
      </c>
      <c r="U6543" s="11">
        <v>0.1301305306522656</v>
      </c>
      <c r="V6543" s="11">
        <v>0.4514503175066522</v>
      </c>
      <c r="W6543" s="11">
        <v>0.21744036540996187</v>
      </c>
      <c r="X6543" s="11">
        <v>0.10532120111210144</v>
      </c>
      <c r="Y6543" s="11">
        <v>0.0025669636330036007</v>
      </c>
      <c r="Z6543" s="11">
        <v>0.09309062168601549</v>
      </c>
    </row>
    <row r="6544" ht="22.5" customHeight="1">
      <c r="Q6544" s="9" t="s">
        <v>6582</v>
      </c>
      <c r="R6544" s="10">
        <v>0.693388200268975</v>
      </c>
      <c r="S6544" s="10">
        <v>0.033992308231799793</v>
      </c>
      <c r="T6544" s="10">
        <v>19.22164849216478</v>
      </c>
      <c r="U6544" s="11">
        <v>0.2943889327102506</v>
      </c>
      <c r="V6544" s="11">
        <v>0.14773027034729888</v>
      </c>
      <c r="W6544" s="11">
        <v>0.27075719592771474</v>
      </c>
      <c r="X6544" s="11">
        <v>0.019203803512687773</v>
      </c>
      <c r="Y6544" s="11">
        <v>0.21268099860514234</v>
      </c>
      <c r="Z6544" s="11">
        <v>0.055238798896905764</v>
      </c>
    </row>
    <row r="6545" ht="22.5" customHeight="1">
      <c r="Q6545" s="9" t="s">
        <v>6583</v>
      </c>
      <c r="R6545" s="10">
        <v>0.522331348251574</v>
      </c>
      <c r="S6545" s="10">
        <v>0.02503815762306989</v>
      </c>
      <c r="T6545" s="10">
        <v>19.220060813485876</v>
      </c>
      <c r="U6545" s="11">
        <v>0.22545953277087885</v>
      </c>
      <c r="V6545" s="11">
        <v>0.22662537739625432</v>
      </c>
      <c r="W6545" s="11">
        <v>0.04720231194736632</v>
      </c>
      <c r="X6545" s="11">
        <v>0.1719234793861276</v>
      </c>
      <c r="Y6545" s="11">
        <v>0.17572064875870796</v>
      </c>
      <c r="Z6545" s="11">
        <v>0.15306864974066509</v>
      </c>
    </row>
    <row r="6546" ht="22.5" customHeight="1">
      <c r="Q6546" s="9" t="s">
        <v>6584</v>
      </c>
      <c r="R6546" s="10">
        <v>0.2876108772047175</v>
      </c>
      <c r="S6546" s="10">
        <v>0.012883140469827461</v>
      </c>
      <c r="T6546" s="10">
        <v>19.219760724073954</v>
      </c>
      <c r="U6546" s="11">
        <v>0.19348454928630765</v>
      </c>
      <c r="V6546" s="11">
        <v>0.018405887700975457</v>
      </c>
      <c r="W6546" s="11">
        <v>0.09129417084256314</v>
      </c>
      <c r="X6546" s="11">
        <v>0.24365378666392642</v>
      </c>
      <c r="Y6546" s="11">
        <v>0.10159414605711165</v>
      </c>
      <c r="Z6546" s="11">
        <v>0.3515674594491157</v>
      </c>
    </row>
    <row r="6547" ht="22.5" customHeight="1">
      <c r="Q6547" s="9" t="s">
        <v>6585</v>
      </c>
      <c r="R6547" s="10">
        <v>0.83988812317054</v>
      </c>
      <c r="S6547" s="10">
        <v>0.04161896316323378</v>
      </c>
      <c r="T6547" s="10">
        <v>19.21931884831676</v>
      </c>
      <c r="U6547" s="11">
        <v>0.06852991771918292</v>
      </c>
      <c r="V6547" s="11">
        <v>0.1995326793560849</v>
      </c>
      <c r="W6547" s="11">
        <v>0.3339358482964196</v>
      </c>
      <c r="X6547" s="11">
        <v>0.1447400919971614</v>
      </c>
      <c r="Y6547" s="11">
        <v>0.019074266803882536</v>
      </c>
      <c r="Z6547" s="11">
        <v>0.2341871958272686</v>
      </c>
    </row>
    <row r="6548" ht="22.5" customHeight="1">
      <c r="Q6548" s="9" t="s">
        <v>6586</v>
      </c>
      <c r="R6548" s="10">
        <v>0.725566303351182</v>
      </c>
      <c r="S6548" s="10">
        <v>0.035670946037055735</v>
      </c>
      <c r="T6548" s="10">
        <v>19.21917917845524</v>
      </c>
      <c r="U6548" s="11">
        <v>0.14195671678025162</v>
      </c>
      <c r="V6548" s="11">
        <v>0.3181042322731267</v>
      </c>
      <c r="W6548" s="11">
        <v>0.12781378494647316</v>
      </c>
      <c r="X6548" s="11">
        <v>0.05487463529629096</v>
      </c>
      <c r="Y6548" s="11">
        <v>0.09412481692162059</v>
      </c>
      <c r="Z6548" s="11">
        <v>0.263125813782237</v>
      </c>
    </row>
    <row r="6549" ht="22.5" customHeight="1">
      <c r="Q6549" s="9" t="s">
        <v>6587</v>
      </c>
      <c r="R6549" s="10">
        <v>0.48596307716543874</v>
      </c>
      <c r="S6549" s="10">
        <v>0.023204110307186113</v>
      </c>
      <c r="T6549" s="10">
        <v>19.21914140475913</v>
      </c>
      <c r="U6549" s="11">
        <v>0.16950358564452303</v>
      </c>
      <c r="V6549" s="11">
        <v>0.04618252828465895</v>
      </c>
      <c r="W6549" s="11">
        <v>0.19083196956422058</v>
      </c>
      <c r="X6549" s="11">
        <v>0.3042870461636284</v>
      </c>
      <c r="Y6549" s="11">
        <v>0.24601902745789925</v>
      </c>
      <c r="Z6549" s="11">
        <v>0.043175842885069704</v>
      </c>
    </row>
    <row r="6550" ht="22.5" customHeight="1">
      <c r="Q6550" s="9" t="s">
        <v>6588</v>
      </c>
      <c r="R6550" s="10">
        <v>0.2901748548620817</v>
      </c>
      <c r="S6550" s="10">
        <v>0.013016971396365365</v>
      </c>
      <c r="T6550" s="10">
        <v>19.219129184837595</v>
      </c>
      <c r="U6550" s="11">
        <v>0.31127337668868194</v>
      </c>
      <c r="V6550" s="11">
        <v>0.09168289880044769</v>
      </c>
      <c r="W6550" s="11">
        <v>0.024051594924894976</v>
      </c>
      <c r="X6550" s="11">
        <v>0.08198519027903953</v>
      </c>
      <c r="Y6550" s="11">
        <v>0.2030029495273381</v>
      </c>
      <c r="Z6550" s="11">
        <v>0.28800398977959774</v>
      </c>
    </row>
    <row r="6551" ht="22.5" customHeight="1">
      <c r="Q6551" s="9" t="s">
        <v>6589</v>
      </c>
      <c r="R6551" s="10">
        <v>0.6198168151224813</v>
      </c>
      <c r="S6551" s="10">
        <v>0.030169018809947927</v>
      </c>
      <c r="T6551" s="10">
        <v>19.218948377972854</v>
      </c>
      <c r="U6551" s="11">
        <v>0.13277458636856965</v>
      </c>
      <c r="V6551" s="11">
        <v>0.27035153088122116</v>
      </c>
      <c r="W6551" s="11">
        <v>0.08742364847173174</v>
      </c>
      <c r="X6551" s="11">
        <v>0.067036953964482</v>
      </c>
      <c r="Y6551" s="11">
        <v>0.25135101701942697</v>
      </c>
      <c r="Z6551" s="11">
        <v>0.19106226329456844</v>
      </c>
    </row>
    <row r="6552" ht="22.5" customHeight="1">
      <c r="Q6552" s="9" t="s">
        <v>6590</v>
      </c>
      <c r="R6552" s="10">
        <v>0.6092546705445129</v>
      </c>
      <c r="S6552" s="10">
        <v>0.02962031359644228</v>
      </c>
      <c r="T6552" s="10">
        <v>19.21838770177256</v>
      </c>
      <c r="U6552" s="11">
        <v>0.2542076785933404</v>
      </c>
      <c r="V6552" s="11">
        <v>0.2707076699487446</v>
      </c>
      <c r="W6552" s="11">
        <v>0.06599787967371341</v>
      </c>
      <c r="X6552" s="11">
        <v>0.2093998309092703</v>
      </c>
      <c r="Y6552" s="11">
        <v>0.08257045605304633</v>
      </c>
      <c r="Z6552" s="11">
        <v>0.11711648482188482</v>
      </c>
    </row>
    <row r="6553" ht="22.5" customHeight="1">
      <c r="Q6553" s="9" t="s">
        <v>6591</v>
      </c>
      <c r="R6553" s="10">
        <v>0.5387674443737394</v>
      </c>
      <c r="S6553" s="10">
        <v>0.025953430076877882</v>
      </c>
      <c r="T6553" s="10">
        <v>19.217785198192175</v>
      </c>
      <c r="U6553" s="11">
        <v>0.19193463087289223</v>
      </c>
      <c r="V6553" s="11">
        <v>0.06512325056629042</v>
      </c>
      <c r="W6553" s="11">
        <v>0.21737418773741923</v>
      </c>
      <c r="X6553" s="11">
        <v>0.2684192316794715</v>
      </c>
      <c r="Y6553" s="11">
        <v>0.19191121202298983</v>
      </c>
      <c r="Z6553" s="11">
        <v>0.06523748712093676</v>
      </c>
    </row>
    <row r="6554" ht="22.5" customHeight="1">
      <c r="Q6554" s="9" t="s">
        <v>6592</v>
      </c>
      <c r="R6554" s="10">
        <v>0.8745408726161433</v>
      </c>
      <c r="S6554" s="10">
        <v>0.04342563271664744</v>
      </c>
      <c r="T6554" s="10">
        <v>19.217702089950613</v>
      </c>
      <c r="U6554" s="11">
        <v>0.32533487583800447</v>
      </c>
      <c r="V6554" s="11">
        <v>0.2286611315637838</v>
      </c>
      <c r="W6554" s="11">
        <v>0.33491831671255007</v>
      </c>
      <c r="X6554" s="11">
        <v>0.0011635472121758845</v>
      </c>
      <c r="Y6554" s="11">
        <v>0.008121200255537489</v>
      </c>
      <c r="Z6554" s="11">
        <v>0.10180092841794847</v>
      </c>
    </row>
    <row r="6555" ht="22.5" customHeight="1">
      <c r="Q6555" s="9" t="s">
        <v>6593</v>
      </c>
      <c r="R6555" s="10">
        <v>0.7324719809277292</v>
      </c>
      <c r="S6555" s="10">
        <v>0.0360349612115745</v>
      </c>
      <c r="T6555" s="10">
        <v>19.216670634442252</v>
      </c>
      <c r="U6555" s="11">
        <v>5.940116661470763E-4</v>
      </c>
      <c r="V6555" s="11">
        <v>0.13548004849555426</v>
      </c>
      <c r="W6555" s="11">
        <v>0.2994794990095425</v>
      </c>
      <c r="X6555" s="11">
        <v>0.24981743514818475</v>
      </c>
      <c r="Y6555" s="11">
        <v>0.18613939507568905</v>
      </c>
      <c r="Z6555" s="11">
        <v>0.12848961060488237</v>
      </c>
    </row>
    <row r="6556" ht="22.5" customHeight="1">
      <c r="Q6556" s="9" t="s">
        <v>6594</v>
      </c>
      <c r="R6556" s="10">
        <v>0.6395230704879721</v>
      </c>
      <c r="S6556" s="10">
        <v>0.031198084399482663</v>
      </c>
      <c r="T6556" s="10">
        <v>19.216662882606776</v>
      </c>
      <c r="U6556" s="11">
        <v>0.21278148689951046</v>
      </c>
      <c r="V6556" s="11">
        <v>0.1179882515807422</v>
      </c>
      <c r="W6556" s="11">
        <v>0.2498996459070954</v>
      </c>
      <c r="X6556" s="11">
        <v>0.07521326552967526</v>
      </c>
      <c r="Y6556" s="11">
        <v>0.3404809872057535</v>
      </c>
      <c r="Z6556" s="11">
        <v>0.0036363628772231736</v>
      </c>
    </row>
    <row r="6557" ht="22.5" customHeight="1">
      <c r="Q6557" s="9" t="s">
        <v>6595</v>
      </c>
      <c r="R6557" s="10">
        <v>0.7800966640562131</v>
      </c>
      <c r="S6557" s="10">
        <v>0.03851333017990373</v>
      </c>
      <c r="T6557" s="10">
        <v>19.216636437282066</v>
      </c>
      <c r="U6557" s="11">
        <v>0.17073193847157045</v>
      </c>
      <c r="V6557" s="11">
        <v>0.17920427730459043</v>
      </c>
      <c r="W6557" s="11">
        <v>0.30447424449043686</v>
      </c>
      <c r="X6557" s="11">
        <v>0.02116407553862234</v>
      </c>
      <c r="Y6557" s="11">
        <v>0.2612789147977561</v>
      </c>
      <c r="Z6557" s="11">
        <v>0.06314654939702373</v>
      </c>
    </row>
    <row r="6558" ht="22.5" customHeight="1">
      <c r="Q6558" s="9" t="s">
        <v>6596</v>
      </c>
      <c r="R6558" s="10">
        <v>0.5698973390478257</v>
      </c>
      <c r="S6558" s="10">
        <v>0.027575118084154526</v>
      </c>
      <c r="T6558" s="10">
        <v>19.216502987608973</v>
      </c>
      <c r="U6558" s="11">
        <v>0.19204858422577867</v>
      </c>
      <c r="V6558" s="11">
        <v>0.08755753902068497</v>
      </c>
      <c r="W6558" s="11">
        <v>0.23144055416445958</v>
      </c>
      <c r="X6558" s="11">
        <v>0.2046163701081512</v>
      </c>
      <c r="Y6558" s="11">
        <v>0.10768189692558186</v>
      </c>
      <c r="Z6558" s="11">
        <v>0.1766550555553438</v>
      </c>
    </row>
    <row r="6559" ht="22.5" customHeight="1">
      <c r="Q6559" s="9" t="s">
        <v>6597</v>
      </c>
      <c r="R6559" s="10">
        <v>0.36323125113400956</v>
      </c>
      <c r="S6559" s="10">
        <v>0.016820968746948637</v>
      </c>
      <c r="T6559" s="10">
        <v>19.215971208117516</v>
      </c>
      <c r="U6559" s="11">
        <v>0.26084811743336983</v>
      </c>
      <c r="V6559" s="11">
        <v>0.022918283094623626</v>
      </c>
      <c r="W6559" s="11">
        <v>0.12858313829675624</v>
      </c>
      <c r="X6559" s="11">
        <v>0.2478654063373673</v>
      </c>
      <c r="Y6559" s="11">
        <v>0.23050935529389166</v>
      </c>
      <c r="Z6559" s="11">
        <v>0.10927569954399119</v>
      </c>
    </row>
    <row r="6560" ht="22.5" customHeight="1">
      <c r="Q6560" s="9" t="s">
        <v>6598</v>
      </c>
      <c r="R6560" s="10">
        <v>0.513812830975748</v>
      </c>
      <c r="S6560" s="10">
        <v>0.024658211805598525</v>
      </c>
      <c r="T6560" s="10">
        <v>19.215214578867847</v>
      </c>
      <c r="U6560" s="11">
        <v>0.06502931639788377</v>
      </c>
      <c r="V6560" s="11">
        <v>0.07254182925334329</v>
      </c>
      <c r="W6560" s="11">
        <v>0.20467584379829878</v>
      </c>
      <c r="X6560" s="11">
        <v>0.204868191531173</v>
      </c>
      <c r="Y6560" s="11">
        <v>0.2182316059407192</v>
      </c>
      <c r="Z6560" s="11">
        <v>0.234653213078582</v>
      </c>
    </row>
    <row r="6561" ht="22.5" customHeight="1">
      <c r="Q6561" s="9" t="s">
        <v>6599</v>
      </c>
      <c r="R6561" s="10">
        <v>0.37404094448750635</v>
      </c>
      <c r="S6561" s="10">
        <v>0.01738421026882063</v>
      </c>
      <c r="T6561" s="10">
        <v>19.215192368365678</v>
      </c>
      <c r="U6561" s="11">
        <v>0.2333155017436979</v>
      </c>
      <c r="V6561" s="11">
        <v>0.15053568035168433</v>
      </c>
      <c r="W6561" s="11">
        <v>0.014931134637455396</v>
      </c>
      <c r="X6561" s="11">
        <v>0.23630043645897877</v>
      </c>
      <c r="Y6561" s="11">
        <v>0.10347396582688383</v>
      </c>
      <c r="Z6561" s="11">
        <v>0.2614432809812998</v>
      </c>
    </row>
    <row r="6562" ht="22.5" customHeight="1">
      <c r="Q6562" s="9" t="s">
        <v>6600</v>
      </c>
      <c r="R6562" s="10">
        <v>0.47643896628440274</v>
      </c>
      <c r="S6562" s="10">
        <v>0.022715262356995253</v>
      </c>
      <c r="T6562" s="10">
        <v>19.213467994570607</v>
      </c>
      <c r="U6562" s="11">
        <v>0.16311416049371463</v>
      </c>
      <c r="V6562" s="11">
        <v>0.0624372540192127</v>
      </c>
      <c r="W6562" s="11">
        <v>0.1864697597082512</v>
      </c>
      <c r="X6562" s="11">
        <v>0.16780182272237082</v>
      </c>
      <c r="Y6562" s="11">
        <v>0.23071485358361776</v>
      </c>
      <c r="Z6562" s="11">
        <v>0.18946214947283277</v>
      </c>
    </row>
    <row r="6563" ht="22.5" customHeight="1">
      <c r="Q6563" s="9" t="s">
        <v>6601</v>
      </c>
      <c r="R6563" s="10">
        <v>0.5517922255056755</v>
      </c>
      <c r="S6563" s="10">
        <v>0.02663717324307451</v>
      </c>
      <c r="T6563" s="10">
        <v>19.213458606713765</v>
      </c>
      <c r="U6563" s="11">
        <v>0.21809405570596024</v>
      </c>
      <c r="V6563" s="11">
        <v>0.10350772090488625</v>
      </c>
      <c r="W6563" s="11">
        <v>0.21293466908578682</v>
      </c>
      <c r="X6563" s="11">
        <v>0.03623641469089159</v>
      </c>
      <c r="Y6563" s="11">
        <v>0.23776884376085386</v>
      </c>
      <c r="Z6563" s="11">
        <v>0.19145829585162125</v>
      </c>
    </row>
    <row r="6564" ht="22.5" customHeight="1">
      <c r="Q6564" s="9" t="s">
        <v>6602</v>
      </c>
      <c r="R6564" s="10">
        <v>0.5448752251963287</v>
      </c>
      <c r="S6564" s="10">
        <v>0.0262774794308381</v>
      </c>
      <c r="T6564" s="10">
        <v>19.213228822998495</v>
      </c>
      <c r="U6564" s="11">
        <v>0.16263226656335156</v>
      </c>
      <c r="V6564" s="11">
        <v>0.2341272553738045</v>
      </c>
      <c r="W6564" s="11">
        <v>0.057383721079390014</v>
      </c>
      <c r="X6564" s="11">
        <v>0.12163682236674454</v>
      </c>
      <c r="Y6564" s="11">
        <v>0.3053412277747468</v>
      </c>
      <c r="Z6564" s="11">
        <v>0.11887870684196267</v>
      </c>
    </row>
    <row r="6565" ht="22.5" customHeight="1">
      <c r="Q6565" s="9" t="s">
        <v>6603</v>
      </c>
      <c r="R6565" s="10">
        <v>0.47480386579630884</v>
      </c>
      <c r="S6565" s="10">
        <v>0.02263046562135035</v>
      </c>
      <c r="T6565" s="10">
        <v>19.213209002032205</v>
      </c>
      <c r="U6565" s="11">
        <v>0.24238678990401516</v>
      </c>
      <c r="V6565" s="11">
        <v>0.2037232482105129</v>
      </c>
      <c r="W6565" s="11">
        <v>0.0454564594875898</v>
      </c>
      <c r="X6565" s="11">
        <v>0.13311445526580273</v>
      </c>
      <c r="Y6565" s="11">
        <v>0.11918815739903588</v>
      </c>
      <c r="Z6565" s="11">
        <v>0.25613088973304354</v>
      </c>
    </row>
    <row r="6566" ht="22.5" customHeight="1">
      <c r="Q6566" s="9" t="s">
        <v>6604</v>
      </c>
      <c r="R6566" s="10">
        <v>0.522331348251574</v>
      </c>
      <c r="S6566" s="10">
        <v>0.02294022694298719</v>
      </c>
      <c r="T6566" s="10">
        <v>19.212922874865356</v>
      </c>
      <c r="U6566" s="11">
        <v>0.16268418484828132</v>
      </c>
      <c r="V6566" s="11">
        <v>0.20578029877601572</v>
      </c>
      <c r="W6566" s="11">
        <v>0.03123761443269432</v>
      </c>
      <c r="X6566" s="11">
        <v>0.23123291371941856</v>
      </c>
      <c r="Y6566" s="11">
        <v>0.22370652936096266</v>
      </c>
      <c r="Z6566" s="11">
        <v>0.1453584588626273</v>
      </c>
    </row>
    <row r="6567" ht="22.5" customHeight="1">
      <c r="Q6567" s="9" t="s">
        <v>6605</v>
      </c>
      <c r="R6567" s="10">
        <v>0.6681189173894231</v>
      </c>
      <c r="S6567" s="10">
        <v>0.03269298942956222</v>
      </c>
      <c r="T6567" s="10">
        <v>19.21264859375186</v>
      </c>
      <c r="U6567" s="11">
        <v>0.2548320912481576</v>
      </c>
      <c r="V6567" s="11">
        <v>0.13257405638497227</v>
      </c>
      <c r="W6567" s="11">
        <v>0.26670602228665824</v>
      </c>
      <c r="X6567" s="11">
        <v>0.08208523045353318</v>
      </c>
      <c r="Y6567" s="11">
        <v>0.14568847003534885</v>
      </c>
      <c r="Z6567" s="11">
        <v>0.11811412959132989</v>
      </c>
    </row>
    <row r="6568" ht="22.5" customHeight="1">
      <c r="Q6568" s="9" t="s">
        <v>6606</v>
      </c>
      <c r="R6568" s="10">
        <v>0.7763757503171828</v>
      </c>
      <c r="S6568" s="10">
        <v>0.03833051527560896</v>
      </c>
      <c r="T6568" s="10">
        <v>19.21121448596242</v>
      </c>
      <c r="U6568" s="11">
        <v>0.09224748101968752</v>
      </c>
      <c r="V6568" s="11">
        <v>0.1613043037341689</v>
      </c>
      <c r="W6568" s="11">
        <v>0.3136894258885301</v>
      </c>
      <c r="X6568" s="11">
        <v>0.14787232831326708</v>
      </c>
      <c r="Y6568" s="11">
        <v>0.18152210481619163</v>
      </c>
      <c r="Z6568" s="11">
        <v>0.10336435622815478</v>
      </c>
    </row>
    <row r="6569" ht="22.5" customHeight="1">
      <c r="Q6569" s="9" t="s">
        <v>6607</v>
      </c>
      <c r="R6569" s="10">
        <v>0.42605101866752354</v>
      </c>
      <c r="S6569" s="10">
        <v>0.02009806892337454</v>
      </c>
      <c r="T6569" s="10">
        <v>19.208363755710725</v>
      </c>
      <c r="U6569" s="11">
        <v>0.2936195114967925</v>
      </c>
      <c r="V6569" s="11">
        <v>0.04873443940506234</v>
      </c>
      <c r="W6569" s="11">
        <v>0.1636547741812162</v>
      </c>
      <c r="X6569" s="11">
        <v>0.1753109373517088</v>
      </c>
      <c r="Y6569" s="11">
        <v>0.12138191024338105</v>
      </c>
      <c r="Z6569" s="11">
        <v>0.19729842732183916</v>
      </c>
    </row>
    <row r="6570" ht="22.5" customHeight="1">
      <c r="Q6570" s="9" t="s">
        <v>6608</v>
      </c>
      <c r="R6570" s="10">
        <v>0.5560408136058547</v>
      </c>
      <c r="S6570" s="10">
        <v>0.026866082967954223</v>
      </c>
      <c r="T6570" s="10">
        <v>19.207891757848973</v>
      </c>
      <c r="U6570" s="11">
        <v>0.17624415017882883</v>
      </c>
      <c r="V6570" s="11">
        <v>0.0835040063212775</v>
      </c>
      <c r="W6570" s="11">
        <v>0.2259525579442184</v>
      </c>
      <c r="X6570" s="11">
        <v>0.22141692363148702</v>
      </c>
      <c r="Y6570" s="11">
        <v>0.08243669614847203</v>
      </c>
      <c r="Z6570" s="11">
        <v>0.21044566577571625</v>
      </c>
    </row>
    <row r="6571" ht="22.5" customHeight="1">
      <c r="Q6571" s="9" t="s">
        <v>6609</v>
      </c>
      <c r="R6571" s="10">
        <v>0.5407247830081714</v>
      </c>
      <c r="S6571" s="10">
        <v>0.02607065898103875</v>
      </c>
      <c r="T6571" s="10">
        <v>19.2064490342323</v>
      </c>
      <c r="U6571" s="11">
        <v>0.19950651000534544</v>
      </c>
      <c r="V6571" s="11">
        <v>0.23555799809842592</v>
      </c>
      <c r="W6571" s="11">
        <v>0.04857092011970569</v>
      </c>
      <c r="X6571" s="11">
        <v>0.18228379657862892</v>
      </c>
      <c r="Y6571" s="11">
        <v>0.22534523458228262</v>
      </c>
      <c r="Z6571" s="11">
        <v>0.10873554061561133</v>
      </c>
    </row>
    <row r="6572" ht="22.5" customHeight="1">
      <c r="Q6572" s="9" t="s">
        <v>6610</v>
      </c>
      <c r="R6572" s="10">
        <v>0.5020836869660388</v>
      </c>
      <c r="S6572" s="10">
        <v>0.024059248424582277</v>
      </c>
      <c r="T6572" s="10">
        <v>19.20607322437844</v>
      </c>
      <c r="U6572" s="11">
        <v>0.29434737961498564</v>
      </c>
      <c r="V6572" s="11">
        <v>0.2176339887691681</v>
      </c>
      <c r="W6572" s="11">
        <v>0.04149637693473135</v>
      </c>
      <c r="X6572" s="11">
        <v>0.2162426098639928</v>
      </c>
      <c r="Y6572" s="11">
        <v>0.05787674627566868</v>
      </c>
      <c r="Z6572" s="11">
        <v>0.17240289854145333</v>
      </c>
    </row>
    <row r="6573" ht="22.5" customHeight="1">
      <c r="Q6573" s="9" t="s">
        <v>6611</v>
      </c>
      <c r="R6573" s="10">
        <v>0.7945842531763084</v>
      </c>
      <c r="S6573" s="10">
        <v>0.03928897506631857</v>
      </c>
      <c r="T6573" s="10">
        <v>19.20600504092035</v>
      </c>
      <c r="U6573" s="11">
        <v>0.12071086385935792</v>
      </c>
      <c r="V6573" s="11">
        <v>0.16233083767485923</v>
      </c>
      <c r="W6573" s="11">
        <v>0.32311267410776867</v>
      </c>
      <c r="X6573" s="11">
        <v>0.171848889377653</v>
      </c>
      <c r="Y6573" s="11">
        <v>0.15633845501167887</v>
      </c>
      <c r="Z6573" s="11">
        <v>0.06565827996868231</v>
      </c>
    </row>
    <row r="6574" ht="22.5" customHeight="1">
      <c r="Q6574" s="9" t="s">
        <v>6612</v>
      </c>
      <c r="R6574" s="10">
        <v>0.3763791392373483</v>
      </c>
      <c r="S6574" s="10">
        <v>0.017514555505116557</v>
      </c>
      <c r="T6574" s="10">
        <v>19.205690897441347</v>
      </c>
      <c r="U6574" s="11">
        <v>0.29066949900640954</v>
      </c>
      <c r="V6574" s="11">
        <v>0.06478704735405431</v>
      </c>
      <c r="W6574" s="11">
        <v>0.13001671654105787</v>
      </c>
      <c r="X6574" s="11">
        <v>0.02827019388786402</v>
      </c>
      <c r="Y6574" s="11">
        <v>0.12173670592936665</v>
      </c>
      <c r="Z6574" s="11">
        <v>0.3645198372812475</v>
      </c>
    </row>
    <row r="6575" ht="22.5" customHeight="1">
      <c r="Q6575" s="9" t="s">
        <v>6613</v>
      </c>
      <c r="R6575" s="10">
        <v>0.3387244144254285</v>
      </c>
      <c r="S6575" s="10">
        <v>0.015554019218267882</v>
      </c>
      <c r="T6575" s="10">
        <v>19.205609189075883</v>
      </c>
      <c r="U6575" s="11">
        <v>0.1576944272262715</v>
      </c>
      <c r="V6575" s="11">
        <v>0.12692856814070613</v>
      </c>
      <c r="W6575" s="11">
        <v>0.0023246802981072763</v>
      </c>
      <c r="X6575" s="11">
        <v>0.36133971508984103</v>
      </c>
      <c r="Y6575" s="11">
        <v>0.08670862828139286</v>
      </c>
      <c r="Z6575" s="11">
        <v>0.26500398096368116</v>
      </c>
    </row>
    <row r="6576" ht="22.5" customHeight="1">
      <c r="Q6576" s="9" t="s">
        <v>6614</v>
      </c>
      <c r="R6576" s="10">
        <v>0.7366886768957607</v>
      </c>
      <c r="S6576" s="10">
        <v>0.03627660794289981</v>
      </c>
      <c r="T6576" s="10">
        <v>19.204901351095565</v>
      </c>
      <c r="U6576" s="11">
        <v>0.11093084872048746</v>
      </c>
      <c r="V6576" s="11">
        <v>0.13246310875039452</v>
      </c>
      <c r="W6576" s="11">
        <v>0.3018722558571793</v>
      </c>
      <c r="X6576" s="11">
        <v>0.22340114865349148</v>
      </c>
      <c r="Y6576" s="11">
        <v>0.20545212069609076</v>
      </c>
      <c r="Z6576" s="11">
        <v>0.025880517322356435</v>
      </c>
    </row>
    <row r="6577" ht="22.5" customHeight="1">
      <c r="Q6577" s="9" t="s">
        <v>6615</v>
      </c>
      <c r="R6577" s="10">
        <v>0.24994822496620425</v>
      </c>
      <c r="S6577" s="10">
        <v>0.010934238128281929</v>
      </c>
      <c r="T6577" s="10">
        <v>19.200992561444508</v>
      </c>
      <c r="U6577" s="11">
        <v>0.08254244356165932</v>
      </c>
      <c r="V6577" s="11">
        <v>0.050498249765525416</v>
      </c>
      <c r="W6577" s="11">
        <v>0.028118572891439056</v>
      </c>
      <c r="X6577" s="11">
        <v>0.16517819067618222</v>
      </c>
      <c r="Y6577" s="11">
        <v>0.3511828728313235</v>
      </c>
      <c r="Z6577" s="11">
        <v>0.3224796702738705</v>
      </c>
    </row>
    <row r="6578" ht="22.5" customHeight="1">
      <c r="Q6578" s="9" t="s">
        <v>6616</v>
      </c>
      <c r="R6578" s="10">
        <v>0.878060670641198</v>
      </c>
      <c r="S6578" s="10">
        <v>0.04364694556548755</v>
      </c>
      <c r="T6578" s="10">
        <v>19.200900768274334</v>
      </c>
      <c r="U6578" s="11">
        <v>0.08617322218790725</v>
      </c>
      <c r="V6578" s="11">
        <v>0.2154885057207652</v>
      </c>
      <c r="W6578" s="11">
        <v>0.34154767089467225</v>
      </c>
      <c r="X6578" s="11">
        <v>0.02594698422151204</v>
      </c>
      <c r="Y6578" s="11">
        <v>0.2741065777076168</v>
      </c>
      <c r="Z6578" s="11">
        <v>0.056737039267526344</v>
      </c>
    </row>
    <row r="6579" ht="22.5" customHeight="1">
      <c r="Q6579" s="9" t="s">
        <v>6617</v>
      </c>
      <c r="R6579" s="10">
        <v>0.32192537620890155</v>
      </c>
      <c r="S6579" s="10">
        <v>0.014683073976149883</v>
      </c>
      <c r="T6579" s="10">
        <v>19.200705292831778</v>
      </c>
      <c r="U6579" s="11">
        <v>0.02891120024692006</v>
      </c>
      <c r="V6579" s="11">
        <v>0.023253695617328943</v>
      </c>
      <c r="W6579" s="11">
        <v>0.10843694380600001</v>
      </c>
      <c r="X6579" s="11">
        <v>0.26303371479860505</v>
      </c>
      <c r="Y6579" s="11">
        <v>0.22987278260688832</v>
      </c>
      <c r="Z6579" s="11">
        <v>0.3464916629242576</v>
      </c>
    </row>
    <row r="6580" ht="22.5" customHeight="1">
      <c r="Q6580" s="9" t="s">
        <v>6618</v>
      </c>
      <c r="R6580" s="10">
        <v>0.8757959998118867</v>
      </c>
      <c r="S6580" s="10">
        <v>0.043529465330253314</v>
      </c>
      <c r="T6580" s="10">
        <v>19.200695286992236</v>
      </c>
      <c r="U6580" s="11">
        <v>0.08135743634072307</v>
      </c>
      <c r="V6580" s="11">
        <v>0.19134419763199978</v>
      </c>
      <c r="W6580" s="11">
        <v>0.35558697839331227</v>
      </c>
      <c r="X6580" s="11">
        <v>0.19584029418444018</v>
      </c>
      <c r="Y6580" s="11">
        <v>0.09909613159939651</v>
      </c>
      <c r="Z6580" s="11">
        <v>0.07677496185012828</v>
      </c>
    </row>
    <row r="6581" ht="22.5" customHeight="1">
      <c r="Q6581" s="9" t="s">
        <v>6619</v>
      </c>
      <c r="R6581" s="10">
        <v>0.5720951099830043</v>
      </c>
      <c r="S6581" s="10">
        <v>0.027713335089327606</v>
      </c>
      <c r="T6581" s="10">
        <v>19.199966668317515</v>
      </c>
      <c r="U6581" s="11">
        <v>0.13765062870909764</v>
      </c>
      <c r="V6581" s="11">
        <v>0.08691076315190846</v>
      </c>
      <c r="W6581" s="11">
        <v>0.2320716769586377</v>
      </c>
      <c r="X6581" s="11">
        <v>0.20199994895262588</v>
      </c>
      <c r="Y6581" s="11">
        <v>0.17559657465732403</v>
      </c>
      <c r="Z6581" s="11">
        <v>0.16577040757040618</v>
      </c>
    </row>
    <row r="6582" ht="22.5" customHeight="1">
      <c r="Q6582" s="9" t="s">
        <v>6620</v>
      </c>
      <c r="R6582" s="10">
        <v>0.2909496316443229</v>
      </c>
      <c r="S6582" s="10">
        <v>0.013070346136747742</v>
      </c>
      <c r="T6582" s="10">
        <v>19.19992240593913</v>
      </c>
      <c r="U6582" s="11">
        <v>0.11823344009412584</v>
      </c>
      <c r="V6582" s="11">
        <v>0.08330440576050495</v>
      </c>
      <c r="W6582" s="11">
        <v>0.004392193278271919</v>
      </c>
      <c r="X6582" s="11">
        <v>0.2948147149867433</v>
      </c>
      <c r="Y6582" s="11">
        <v>0.3541194927056871</v>
      </c>
      <c r="Z6582" s="11">
        <v>0.14513575317466698</v>
      </c>
    </row>
    <row r="6583" ht="22.5" customHeight="1">
      <c r="Q6583" s="9" t="s">
        <v>6621</v>
      </c>
      <c r="R6583" s="10">
        <v>0.34369329005830873</v>
      </c>
      <c r="S6583" s="10">
        <v>0.015817754428256003</v>
      </c>
      <c r="T6583" s="10">
        <v>19.199519845611402</v>
      </c>
      <c r="U6583" s="11">
        <v>0.31329285373568405</v>
      </c>
      <c r="V6583" s="11">
        <v>0.012586605012616119</v>
      </c>
      <c r="W6583" s="11">
        <v>0.11533039800421073</v>
      </c>
      <c r="X6583" s="11">
        <v>0.3148394707657119</v>
      </c>
      <c r="Y6583" s="11">
        <v>0.2019060831915159</v>
      </c>
      <c r="Z6583" s="11">
        <v>0.04204458929026134</v>
      </c>
    </row>
    <row r="6584" ht="22.5" customHeight="1">
      <c r="Q6584" s="9" t="s">
        <v>6622</v>
      </c>
      <c r="R6584" s="10">
        <v>0.6623027924953464</v>
      </c>
      <c r="S6584" s="10">
        <v>0.03241366938778943</v>
      </c>
      <c r="T6584" s="10">
        <v>19.19877644984478</v>
      </c>
      <c r="U6584" s="11">
        <v>0.06167323225818212</v>
      </c>
      <c r="V6584" s="11">
        <v>0.12073921181299775</v>
      </c>
      <c r="W6584" s="11">
        <v>0.2709508163518426</v>
      </c>
      <c r="X6584" s="11">
        <v>0.2568010852392884</v>
      </c>
      <c r="Y6584" s="11">
        <v>0.023259379935353878</v>
      </c>
      <c r="Z6584" s="11">
        <v>0.2665762744023353</v>
      </c>
    </row>
    <row r="6585" ht="22.5" customHeight="1">
      <c r="Q6585" s="9" t="s">
        <v>6623</v>
      </c>
      <c r="R6585" s="10">
        <v>0.8062508489545163</v>
      </c>
      <c r="S6585" s="10">
        <v>0.039912001838897496</v>
      </c>
      <c r="T6585" s="10">
        <v>19.19850705678567</v>
      </c>
      <c r="U6585" s="11">
        <v>0.1366181022102021</v>
      </c>
      <c r="V6585" s="11">
        <v>0.3536743056365914</v>
      </c>
      <c r="W6585" s="11">
        <v>0.1519199100690159</v>
      </c>
      <c r="X6585" s="11">
        <v>0.05646544106378617</v>
      </c>
      <c r="Y6585" s="11">
        <v>0.0675239536785415</v>
      </c>
      <c r="Z6585" s="11">
        <v>0.23379828734186286</v>
      </c>
    </row>
    <row r="6586" ht="22.5" customHeight="1">
      <c r="Q6586" s="9" t="s">
        <v>6624</v>
      </c>
      <c r="R6586" s="10">
        <v>0.3475184697390194</v>
      </c>
      <c r="S6586" s="10">
        <v>0.016017878252807222</v>
      </c>
      <c r="T6586" s="10">
        <v>19.198452184834473</v>
      </c>
      <c r="U6586" s="11">
        <v>0.30757445915252035</v>
      </c>
      <c r="V6586" s="11">
        <v>0.0584154256835892</v>
      </c>
      <c r="W6586" s="11">
        <v>0.08698596300051066</v>
      </c>
      <c r="X6586" s="11">
        <v>0.056459778891935444</v>
      </c>
      <c r="Y6586" s="11">
        <v>0.44649676444003567</v>
      </c>
      <c r="Z6586" s="11">
        <v>0.04406760883140861</v>
      </c>
    </row>
    <row r="6587" ht="22.5" customHeight="1">
      <c r="Q6587" s="9" t="s">
        <v>6625</v>
      </c>
      <c r="R6587" s="10">
        <v>0.8016731572577813</v>
      </c>
      <c r="S6587" s="10">
        <v>0.03967381633561784</v>
      </c>
      <c r="T6587" s="10">
        <v>19.198383911808765</v>
      </c>
      <c r="U6587" s="11">
        <v>0.06042578919379442</v>
      </c>
      <c r="V6587" s="11">
        <v>0.3562491864838258</v>
      </c>
      <c r="W6587" s="11">
        <v>0.12626783833134955</v>
      </c>
      <c r="X6587" s="11">
        <v>0.12708085801778715</v>
      </c>
      <c r="Y6587" s="11">
        <v>0.2625473012930977</v>
      </c>
      <c r="Z6587" s="11">
        <v>0.06742902668014526</v>
      </c>
    </row>
    <row r="6588" ht="22.5" customHeight="1">
      <c r="Q6588" s="9" t="s">
        <v>6626</v>
      </c>
      <c r="R6588" s="10">
        <v>0.5971033526627838</v>
      </c>
      <c r="S6588" s="10">
        <v>0.029018990837202753</v>
      </c>
      <c r="T6588" s="10">
        <v>19.19788857538662</v>
      </c>
      <c r="U6588" s="11">
        <v>0.07205769879010224</v>
      </c>
      <c r="V6588" s="11">
        <v>0.26744377800604896</v>
      </c>
      <c r="W6588" s="11">
        <v>0.0614891527792009</v>
      </c>
      <c r="X6588" s="11">
        <v>0.2682964661858441</v>
      </c>
      <c r="Y6588" s="11">
        <v>0.09639788511809705</v>
      </c>
      <c r="Z6588" s="11">
        <v>0.2343150191207068</v>
      </c>
    </row>
    <row r="6589" ht="22.5" customHeight="1">
      <c r="Q6589" s="9" t="s">
        <v>6627</v>
      </c>
      <c r="R6589" s="10">
        <v>0.8028568248629941</v>
      </c>
      <c r="S6589" s="10">
        <v>0.0397371995262092</v>
      </c>
      <c r="T6589" s="10">
        <v>19.19754874421489</v>
      </c>
      <c r="U6589" s="11">
        <v>0.2739208501432894</v>
      </c>
      <c r="V6589" s="11">
        <v>0.1697170329370405</v>
      </c>
      <c r="W6589" s="11">
        <v>0.3246558187009498</v>
      </c>
      <c r="X6589" s="11">
        <v>0.12978281962105198</v>
      </c>
      <c r="Y6589" s="11">
        <v>0.07565536689658588</v>
      </c>
      <c r="Z6589" s="11">
        <v>0.02626811170108255</v>
      </c>
    </row>
    <row r="6590" ht="22.5" customHeight="1">
      <c r="Q6590" s="9" t="s">
        <v>6628</v>
      </c>
      <c r="R6590" s="10">
        <v>0.7465739572289406</v>
      </c>
      <c r="S6590" s="10">
        <v>0.03680684224096835</v>
      </c>
      <c r="T6590" s="10">
        <v>19.19681000079053</v>
      </c>
      <c r="U6590" s="11">
        <v>0.2870782387979324</v>
      </c>
      <c r="V6590" s="11">
        <v>0.15855180206089475</v>
      </c>
      <c r="W6590" s="11">
        <v>0.29943175818366624</v>
      </c>
      <c r="X6590" s="11">
        <v>0.09438381366055372</v>
      </c>
      <c r="Y6590" s="11">
        <v>0.06900576731591197</v>
      </c>
      <c r="Z6590" s="11">
        <v>0.09154861998104094</v>
      </c>
    </row>
    <row r="6591" ht="22.5" customHeight="1">
      <c r="Q6591" s="9" t="s">
        <v>6629</v>
      </c>
      <c r="R6591" s="10">
        <v>0.5401016961005439</v>
      </c>
      <c r="S6591" s="10">
        <v>0.02605293688782266</v>
      </c>
      <c r="T6591" s="10">
        <v>19.195597726807346</v>
      </c>
      <c r="U6591" s="11">
        <v>0.24364508188688494</v>
      </c>
      <c r="V6591" s="11">
        <v>0.09785280828867224</v>
      </c>
      <c r="W6591" s="11">
        <v>0.20249262402832374</v>
      </c>
      <c r="X6591" s="11">
        <v>0.02301290111612365</v>
      </c>
      <c r="Y6591" s="11">
        <v>0.34905125830568157</v>
      </c>
      <c r="Z6591" s="11">
        <v>0.08394532637431408</v>
      </c>
    </row>
    <row r="6592" ht="22.5" customHeight="1">
      <c r="Q6592" s="9" t="s">
        <v>6630</v>
      </c>
      <c r="R6592" s="10">
        <v>0.668147734349588</v>
      </c>
      <c r="S6592" s="10">
        <v>0.032725356870732</v>
      </c>
      <c r="T6592" s="10">
        <v>19.19452664277508</v>
      </c>
      <c r="U6592" s="11">
        <v>0.23168404062192957</v>
      </c>
      <c r="V6592" s="11">
        <v>0.11166023202670611</v>
      </c>
      <c r="W6592" s="11">
        <v>0.2754265056319522</v>
      </c>
      <c r="X6592" s="11">
        <v>0.253214985375001</v>
      </c>
      <c r="Y6592" s="11">
        <v>0.0314276053998038</v>
      </c>
      <c r="Z6592" s="11">
        <v>0.09658663094460739</v>
      </c>
    </row>
    <row r="6593" ht="22.5" customHeight="1">
      <c r="Q6593" s="9" t="s">
        <v>6631</v>
      </c>
      <c r="R6593" s="10">
        <v>0.7601249680492985</v>
      </c>
      <c r="S6593" s="10">
        <v>0.037517271565727504</v>
      </c>
      <c r="T6593" s="10">
        <v>19.19449197652053</v>
      </c>
      <c r="U6593" s="11">
        <v>0.053966506074876915</v>
      </c>
      <c r="V6593" s="11">
        <v>0.18546759015455266</v>
      </c>
      <c r="W6593" s="11">
        <v>0.2976078369064494</v>
      </c>
      <c r="X6593" s="11">
        <v>0.08169324970311666</v>
      </c>
      <c r="Y6593" s="11">
        <v>0.04054820850400456</v>
      </c>
      <c r="Z6593" s="11">
        <v>0.340716608657</v>
      </c>
    </row>
    <row r="6594" ht="22.5" customHeight="1">
      <c r="Q6594" s="9" t="s">
        <v>6632</v>
      </c>
      <c r="R6594" s="10">
        <v>0.6529081684497114</v>
      </c>
      <c r="S6594" s="10">
        <v>0.0319321986213127</v>
      </c>
      <c r="T6594" s="10">
        <v>19.194048481229053</v>
      </c>
      <c r="U6594" s="11">
        <v>0.06418631638397398</v>
      </c>
      <c r="V6594" s="11">
        <v>0.12234395021886077</v>
      </c>
      <c r="W6594" s="11">
        <v>0.2610329534142441</v>
      </c>
      <c r="X6594" s="11">
        <v>0.12621055674187573</v>
      </c>
      <c r="Y6594" s="11">
        <v>0.2777937113644901</v>
      </c>
      <c r="Z6594" s="11">
        <v>0.1484325118765554</v>
      </c>
    </row>
    <row r="6595" ht="22.5" customHeight="1">
      <c r="Q6595" s="9" t="s">
        <v>6633</v>
      </c>
      <c r="R6595" s="10">
        <v>0.8155539244519989</v>
      </c>
      <c r="S6595" s="10">
        <v>0.04040678806698663</v>
      </c>
      <c r="T6595" s="10">
        <v>19.193654372287167</v>
      </c>
      <c r="U6595" s="11">
        <v>0.16437764885709058</v>
      </c>
      <c r="V6595" s="11">
        <v>0.3553972296862759</v>
      </c>
      <c r="W6595" s="11">
        <v>0.14515388160073942</v>
      </c>
      <c r="X6595" s="11">
        <v>0.020601575467909576</v>
      </c>
      <c r="Y6595" s="11">
        <v>0.2736810693303583</v>
      </c>
      <c r="Z6595" s="11">
        <v>0.04078859505762613</v>
      </c>
    </row>
    <row r="6596" ht="22.5" customHeight="1">
      <c r="Q6596" s="9" t="s">
        <v>6634</v>
      </c>
      <c r="R6596" s="10">
        <v>0.6717352887408921</v>
      </c>
      <c r="S6596" s="10">
        <v>0.032913893763999516</v>
      </c>
      <c r="T6596" s="10">
        <v>19.193575007277627</v>
      </c>
      <c r="U6596" s="11">
        <v>0.11504853512335726</v>
      </c>
      <c r="V6596" s="11">
        <v>0.11879300911356988</v>
      </c>
      <c r="W6596" s="11">
        <v>0.2745652662737045</v>
      </c>
      <c r="X6596" s="11">
        <v>0.19507123757409683</v>
      </c>
      <c r="Y6596" s="11">
        <v>0.16975647195439234</v>
      </c>
      <c r="Z6596" s="11">
        <v>0.1267654799608792</v>
      </c>
    </row>
    <row r="6597" ht="22.5" customHeight="1">
      <c r="Q6597" s="9" t="s">
        <v>6635</v>
      </c>
      <c r="R6597" s="10">
        <v>0.8026849640696945</v>
      </c>
      <c r="S6597" s="10">
        <v>0.03973661721702693</v>
      </c>
      <c r="T6597" s="10">
        <v>19.19350507125926</v>
      </c>
      <c r="U6597" s="11">
        <v>0.2872935785430962</v>
      </c>
      <c r="V6597" s="11">
        <v>0.17555092079722753</v>
      </c>
      <c r="W6597" s="11">
        <v>0.3226612177298989</v>
      </c>
      <c r="X6597" s="11">
        <v>0.1102881525191635</v>
      </c>
      <c r="Y6597" s="11">
        <v>0.043199955256668726</v>
      </c>
      <c r="Z6597" s="11">
        <v>0.061006175153945186</v>
      </c>
    </row>
    <row r="6598" ht="22.5" customHeight="1">
      <c r="Q6598" s="9" t="s">
        <v>6636</v>
      </c>
      <c r="R6598" s="10">
        <v>0.5610845294940932</v>
      </c>
      <c r="S6598" s="10">
        <v>0.027150339281674887</v>
      </c>
      <c r="T6598" s="10">
        <v>19.192560508656292</v>
      </c>
      <c r="U6598" s="11">
        <v>0.20177529153509838</v>
      </c>
      <c r="V6598" s="11">
        <v>0.08426824502578847</v>
      </c>
      <c r="W6598" s="11">
        <v>0.22262193489628732</v>
      </c>
      <c r="X6598" s="11">
        <v>0.14829757350608203</v>
      </c>
      <c r="Y6598" s="11">
        <v>0.28225344331467983</v>
      </c>
      <c r="Z6598" s="11">
        <v>0.06078351172206392</v>
      </c>
    </row>
    <row r="6599" ht="22.5" customHeight="1">
      <c r="Q6599" s="9" t="s">
        <v>6637</v>
      </c>
      <c r="R6599" s="10">
        <v>0.5141170232144718</v>
      </c>
      <c r="S6599" s="10">
        <v>0.02470480912984579</v>
      </c>
      <c r="T6599" s="10">
        <v>19.19128460869964</v>
      </c>
      <c r="U6599" s="11">
        <v>0.2846276300596728</v>
      </c>
      <c r="V6599" s="11">
        <v>0.08414692186097675</v>
      </c>
      <c r="W6599" s="11">
        <v>0.20233207234444495</v>
      </c>
      <c r="X6599" s="11">
        <v>0.10092560950550794</v>
      </c>
      <c r="Y6599" s="11">
        <v>0.11370329404062032</v>
      </c>
      <c r="Z6599" s="11">
        <v>0.21426447218877726</v>
      </c>
    </row>
    <row r="6600" ht="22.5" customHeight="1">
      <c r="Q6600" s="9" t="s">
        <v>6638</v>
      </c>
      <c r="R6600" s="10">
        <v>0.7281904493292325</v>
      </c>
      <c r="S6600" s="10">
        <v>0.035861112545980914</v>
      </c>
      <c r="T6600" s="10">
        <v>19.19043778819853</v>
      </c>
      <c r="U6600" s="11">
        <v>0.07714640759623585</v>
      </c>
      <c r="V6600" s="11">
        <v>0.17265443974512223</v>
      </c>
      <c r="W6600" s="11">
        <v>0.28645869444204974</v>
      </c>
      <c r="X6600" s="11">
        <v>0.10199709899251899</v>
      </c>
      <c r="Y6600" s="11">
        <v>0.0010403964773924965</v>
      </c>
      <c r="Z6600" s="11">
        <v>0.36070296274668057</v>
      </c>
    </row>
    <row r="6601" ht="22.5" customHeight="1">
      <c r="Q6601" s="9" t="s">
        <v>6639</v>
      </c>
      <c r="R6601" s="10">
        <v>0.6117710518257639</v>
      </c>
      <c r="S6601" s="10">
        <v>0.029794709558279436</v>
      </c>
      <c r="T6601" s="10">
        <v>19.190354942288018</v>
      </c>
      <c r="U6601" s="11">
        <v>0.12230504949442556</v>
      </c>
      <c r="V6601" s="11">
        <v>0.12934434285815355</v>
      </c>
      <c r="W6601" s="11">
        <v>0.23556528148526804</v>
      </c>
      <c r="X6601" s="11">
        <v>0.011973984473074609</v>
      </c>
      <c r="Y6601" s="11">
        <v>0.276949563952838</v>
      </c>
      <c r="Z6601" s="11">
        <v>0.22386177773624022</v>
      </c>
    </row>
    <row r="6602" ht="22.5" customHeight="1">
      <c r="Q6602" s="9" t="s">
        <v>6640</v>
      </c>
      <c r="R6602" s="10">
        <v>0.8563251382783719</v>
      </c>
      <c r="S6602" s="10">
        <v>0.042539597477921146</v>
      </c>
      <c r="T6602" s="10">
        <v>19.189771099786732</v>
      </c>
      <c r="U6602" s="11">
        <v>0.09347342311654111</v>
      </c>
      <c r="V6602" s="11">
        <v>0.3740661588893463</v>
      </c>
      <c r="W6602" s="11">
        <v>0.1653710799163822</v>
      </c>
      <c r="X6602" s="11">
        <v>0.02843209111755699</v>
      </c>
      <c r="Y6602" s="11">
        <v>0.17832291911433149</v>
      </c>
      <c r="Z6602" s="11">
        <v>0.16033432784584187</v>
      </c>
    </row>
    <row r="6603" ht="22.5" customHeight="1">
      <c r="Q6603" s="9" t="s">
        <v>6641</v>
      </c>
      <c r="R6603" s="10">
        <v>0.5285001393237694</v>
      </c>
      <c r="S6603" s="10">
        <v>0.025457164059029945</v>
      </c>
      <c r="T6603" s="10">
        <v>19.189102847082168</v>
      </c>
      <c r="U6603" s="11">
        <v>0.2327933273339896</v>
      </c>
      <c r="V6603" s="11">
        <v>0.22866251616330355</v>
      </c>
      <c r="W6603" s="11">
        <v>0.06063786690226585</v>
      </c>
      <c r="X6603" s="11">
        <v>0.0868252944511533</v>
      </c>
      <c r="Y6603" s="11">
        <v>0.18601943157902848</v>
      </c>
      <c r="Z6603" s="11">
        <v>0.20506156357025912</v>
      </c>
    </row>
    <row r="6604" ht="22.5" customHeight="1">
      <c r="Q6604" s="9" t="s">
        <v>6642</v>
      </c>
      <c r="R6604" s="10">
        <v>0.7042808611138772</v>
      </c>
      <c r="S6604" s="10">
        <v>0.034618412110922064</v>
      </c>
      <c r="T6604" s="10">
        <v>19.188657728882298</v>
      </c>
      <c r="U6604" s="11">
        <v>0.1755057158320372</v>
      </c>
      <c r="V6604" s="11">
        <v>0.11649501305621353</v>
      </c>
      <c r="W6604" s="11">
        <v>0.2919936422973361</v>
      </c>
      <c r="X6604" s="11">
        <v>0.2891757708900881</v>
      </c>
      <c r="Y6604" s="11">
        <v>0.07531101743750215</v>
      </c>
      <c r="Z6604" s="11">
        <v>0.05151884048682293</v>
      </c>
    </row>
    <row r="6605" ht="22.5" customHeight="1">
      <c r="Q6605" s="9" t="s">
        <v>6643</v>
      </c>
      <c r="R6605" s="10">
        <v>0.5738309216503619</v>
      </c>
      <c r="S6605" s="10">
        <v>0.027820583309810243</v>
      </c>
      <c r="T6605" s="10">
        <v>19.18834395762362</v>
      </c>
      <c r="U6605" s="11">
        <v>0.17066074342368218</v>
      </c>
      <c r="V6605" s="11">
        <v>0.25064716305681706</v>
      </c>
      <c r="W6605" s="11">
        <v>0.06498110046524717</v>
      </c>
      <c r="X6605" s="11">
        <v>0.11788123922944115</v>
      </c>
      <c r="Y6605" s="11">
        <v>0.256875648383895</v>
      </c>
      <c r="Z6605" s="11">
        <v>0.13895410544091738</v>
      </c>
    </row>
    <row r="6606" ht="22.5" customHeight="1">
      <c r="Q6606" s="9" t="s">
        <v>6644</v>
      </c>
      <c r="R6606" s="10">
        <v>0.789755937660855</v>
      </c>
      <c r="S6606" s="10">
        <v>0.03907401721656685</v>
      </c>
      <c r="T6606" s="10">
        <v>19.18809457203619</v>
      </c>
      <c r="U6606" s="11">
        <v>0.16413050257910122</v>
      </c>
      <c r="V6606" s="11">
        <v>0.3554783338784684</v>
      </c>
      <c r="W6606" s="11">
        <v>0.11707470052082979</v>
      </c>
      <c r="X6606" s="11">
        <v>0.19007102074527832</v>
      </c>
      <c r="Y6606" s="11">
        <v>0.08730363625227068</v>
      </c>
      <c r="Z6606" s="11">
        <v>0.08594180602405177</v>
      </c>
    </row>
    <row r="6607" ht="22.5" customHeight="1">
      <c r="Q6607" s="9" t="s">
        <v>6645</v>
      </c>
      <c r="R6607" s="10">
        <v>0.44136601214624316</v>
      </c>
      <c r="S6607" s="10">
        <v>0.020918155562432712</v>
      </c>
      <c r="T6607" s="10">
        <v>19.18744752367477</v>
      </c>
      <c r="U6607" s="11">
        <v>0.23380124686331918</v>
      </c>
      <c r="V6607" s="11">
        <v>0.18669240397809084</v>
      </c>
      <c r="W6607" s="11">
        <v>0.024272905868140963</v>
      </c>
      <c r="X6607" s="11">
        <v>0.303509588534307</v>
      </c>
      <c r="Y6607" s="11">
        <v>0.011611119363125555</v>
      </c>
      <c r="Z6607" s="11">
        <v>0.2401127353930165</v>
      </c>
    </row>
    <row r="6608" ht="22.5" customHeight="1">
      <c r="Q6608" s="9" t="s">
        <v>6646</v>
      </c>
      <c r="R6608" s="10">
        <v>0.7077655277015356</v>
      </c>
      <c r="S6608" s="10">
        <v>0.03480289133565883</v>
      </c>
      <c r="T6608" s="10">
        <v>19.187070443694633</v>
      </c>
      <c r="U6608" s="11">
        <v>0.28663438996295537</v>
      </c>
      <c r="V6608" s="11">
        <v>0.1347503978690804</v>
      </c>
      <c r="W6608" s="11">
        <v>0.2885420775983197</v>
      </c>
      <c r="X6608" s="11">
        <v>0.1661911442826014</v>
      </c>
      <c r="Y6608" s="11">
        <v>0.037846136233521725</v>
      </c>
      <c r="Z6608" s="11">
        <v>0.08603585405352127</v>
      </c>
    </row>
    <row r="6609" ht="22.5" customHeight="1">
      <c r="Q6609" s="9" t="s">
        <v>6647</v>
      </c>
      <c r="R6609" s="10">
        <v>0.41399480019405077</v>
      </c>
      <c r="S6609" s="10">
        <v>0.019492501500689256</v>
      </c>
      <c r="T6609" s="10">
        <v>19.18659850716576</v>
      </c>
      <c r="U6609" s="11">
        <v>0.307666663329304</v>
      </c>
      <c r="V6609" s="11">
        <v>0.15964164170432182</v>
      </c>
      <c r="W6609" s="11">
        <v>0.025435744349245056</v>
      </c>
      <c r="X6609" s="11">
        <v>0.15075324099725598</v>
      </c>
      <c r="Y6609" s="11">
        <v>0.3323190028464731</v>
      </c>
      <c r="Z6609" s="11">
        <v>0.024183706773400197</v>
      </c>
    </row>
    <row r="6610" ht="22.5" customHeight="1">
      <c r="Q6610" s="9" t="s">
        <v>6648</v>
      </c>
      <c r="R6610" s="10">
        <v>0.5512223148513488</v>
      </c>
      <c r="S6610" s="10">
        <v>0.02664532982123679</v>
      </c>
      <c r="T6610" s="10">
        <v>19.186188284443592</v>
      </c>
      <c r="U6610" s="11">
        <v>0.20485687564533753</v>
      </c>
      <c r="V6610" s="11">
        <v>0.07471857519843633</v>
      </c>
      <c r="W6610" s="11">
        <v>0.2200595245094985</v>
      </c>
      <c r="X6610" s="11">
        <v>0.19401753208185993</v>
      </c>
      <c r="Y6610" s="11">
        <v>0.2691986528400608</v>
      </c>
      <c r="Z6610" s="11">
        <v>0.03714883972480712</v>
      </c>
    </row>
    <row r="6611" ht="22.5" customHeight="1">
      <c r="Q6611" s="9" t="s">
        <v>6649</v>
      </c>
      <c r="R6611" s="10">
        <v>0.5670239063681282</v>
      </c>
      <c r="S6611" s="10">
        <v>0.027469292512475072</v>
      </c>
      <c r="T6611" s="10">
        <v>19.18592938383041</v>
      </c>
      <c r="U6611" s="11">
        <v>0.18129787787783522</v>
      </c>
      <c r="V6611" s="11">
        <v>0.11523658658725551</v>
      </c>
      <c r="W6611" s="11">
        <v>0.21862524439640252</v>
      </c>
      <c r="X6611" s="11">
        <v>0.015504080100038222</v>
      </c>
      <c r="Y6611" s="11">
        <v>0.21026625751347003</v>
      </c>
      <c r="Z6611" s="11">
        <v>0.2590699535249985</v>
      </c>
    </row>
    <row r="6612" ht="22.5" customHeight="1">
      <c r="Q6612" s="9" t="s">
        <v>6650</v>
      </c>
      <c r="R6612" s="10">
        <v>0.7783460869007411</v>
      </c>
      <c r="S6612" s="10">
        <v>0.038484596035889086</v>
      </c>
      <c r="T6612" s="10">
        <v>19.18549661303944</v>
      </c>
      <c r="U6612" s="11">
        <v>0.24164853007410447</v>
      </c>
      <c r="V6612" s="11">
        <v>0.3505521319675136</v>
      </c>
      <c r="W6612" s="11">
        <v>0.10685445845680715</v>
      </c>
      <c r="X6612" s="11">
        <v>0.21818313333207953</v>
      </c>
      <c r="Y6612" s="11">
        <v>0.07388470183159382</v>
      </c>
      <c r="Z6612" s="11">
        <v>0.008877044337901305</v>
      </c>
    </row>
    <row r="6613" ht="22.5" customHeight="1">
      <c r="Q6613" s="9" t="s">
        <v>6651</v>
      </c>
      <c r="R6613" s="10">
        <v>0.7340454443008881</v>
      </c>
      <c r="S6613" s="10">
        <v>0.036175670966233614</v>
      </c>
      <c r="T6613" s="10">
        <v>19.185420083810204</v>
      </c>
      <c r="U6613" s="11">
        <v>0.23083121904765494</v>
      </c>
      <c r="V6613" s="11">
        <v>0.1513402505404975</v>
      </c>
      <c r="W6613" s="11">
        <v>0.2972422082142846</v>
      </c>
      <c r="X6613" s="11">
        <v>0.1376561570787498</v>
      </c>
      <c r="Y6613" s="11">
        <v>0.03902909551547346</v>
      </c>
      <c r="Z6613" s="11">
        <v>0.14390106960333982</v>
      </c>
    </row>
    <row r="6614" ht="22.5" customHeight="1">
      <c r="Q6614" s="9" t="s">
        <v>6652</v>
      </c>
      <c r="R6614" s="10">
        <v>0.5517480850841942</v>
      </c>
      <c r="S6614" s="10">
        <v>0.026674580242816416</v>
      </c>
      <c r="T6614" s="10">
        <v>19.184859908789388</v>
      </c>
      <c r="U6614" s="11">
        <v>0.11980439037741146</v>
      </c>
      <c r="V6614" s="11">
        <v>0.104011378657136</v>
      </c>
      <c r="W6614" s="11">
        <v>0.2157271054159245</v>
      </c>
      <c r="X6614" s="11">
        <v>0.06353380646505023</v>
      </c>
      <c r="Y6614" s="11">
        <v>0.21508448598983432</v>
      </c>
      <c r="Z6614" s="11">
        <v>0.2818388330946435</v>
      </c>
    </row>
    <row r="6615" ht="22.5" customHeight="1">
      <c r="Q6615" s="9" t="s">
        <v>6653</v>
      </c>
      <c r="R6615" s="10">
        <v>0.6422872078707526</v>
      </c>
      <c r="S6615" s="10">
        <v>0.03139458878822902</v>
      </c>
      <c r="T6615" s="10">
        <v>19.18442735254338</v>
      </c>
      <c r="U6615" s="11">
        <v>0.0819104212396215</v>
      </c>
      <c r="V6615" s="11">
        <v>0.28623056810331726</v>
      </c>
      <c r="W6615" s="11">
        <v>0.06785504673938914</v>
      </c>
      <c r="X6615" s="11">
        <v>0.2330711069436521</v>
      </c>
      <c r="Y6615" s="11">
        <v>0.2515818162905835</v>
      </c>
      <c r="Z6615" s="11">
        <v>0.07935104068343635</v>
      </c>
    </row>
    <row r="6616" ht="22.5" customHeight="1">
      <c r="Q6616" s="9" t="s">
        <v>6654</v>
      </c>
      <c r="R6616" s="10">
        <v>0.6698048372700107</v>
      </c>
      <c r="S6616" s="10">
        <v>0.032829491845535366</v>
      </c>
      <c r="T6616" s="10">
        <v>19.18411775099287</v>
      </c>
      <c r="U6616" s="11">
        <v>0.09540585633355286</v>
      </c>
      <c r="V6616" s="11">
        <v>0.12456346608403569</v>
      </c>
      <c r="W6616" s="11">
        <v>0.27240422190576197</v>
      </c>
      <c r="X6616" s="11">
        <v>0.16504526077658008</v>
      </c>
      <c r="Y6616" s="11">
        <v>0.16653170053512736</v>
      </c>
      <c r="Z6616" s="11">
        <v>0.1760494943649421</v>
      </c>
    </row>
    <row r="6617" ht="22.5" customHeight="1">
      <c r="Q6617" s="9" t="s">
        <v>6655</v>
      </c>
      <c r="R6617" s="10">
        <v>0.33119369014324895</v>
      </c>
      <c r="S6617" s="10">
        <v>0.01517919933077539</v>
      </c>
      <c r="T6617" s="10">
        <v>19.18373188188274</v>
      </c>
      <c r="U6617" s="11">
        <v>0.25039506574592124</v>
      </c>
      <c r="V6617" s="11">
        <v>0.12515961593015942</v>
      </c>
      <c r="W6617" s="11">
        <v>0.008083478791287157</v>
      </c>
      <c r="X6617" s="11">
        <v>0.23480304979593428</v>
      </c>
      <c r="Y6617" s="11">
        <v>0.11989662827496066</v>
      </c>
      <c r="Z6617" s="11">
        <v>0.26166216146173715</v>
      </c>
    </row>
    <row r="6618" ht="22.5" customHeight="1">
      <c r="Q6618" s="9" t="s">
        <v>6656</v>
      </c>
      <c r="R6618" s="10">
        <v>0.2961575520514747</v>
      </c>
      <c r="S6618" s="10">
        <v>0.01335295773058352</v>
      </c>
      <c r="T6618" s="10">
        <v>19.18358143715031</v>
      </c>
      <c r="U6618" s="11">
        <v>0.23460977654951803</v>
      </c>
      <c r="V6618" s="11">
        <v>0.1019945717660298</v>
      </c>
      <c r="W6618" s="11">
        <v>0.009216591024381687</v>
      </c>
      <c r="X6618" s="11">
        <v>0.17645237178556444</v>
      </c>
      <c r="Y6618" s="11">
        <v>0.20238580262119185</v>
      </c>
      <c r="Z6618" s="11">
        <v>0.27534088625331415</v>
      </c>
    </row>
    <row r="6619" ht="22.5" customHeight="1">
      <c r="Q6619" s="9" t="s">
        <v>6657</v>
      </c>
      <c r="R6619" s="10">
        <v>0.5721352000148346</v>
      </c>
      <c r="S6619" s="10">
        <v>0.027739401322955014</v>
      </c>
      <c r="T6619" s="10">
        <v>19.183370030934306</v>
      </c>
      <c r="U6619" s="11">
        <v>0.03077662059638442</v>
      </c>
      <c r="V6619" s="11">
        <v>0.06474968022392122</v>
      </c>
      <c r="W6619" s="11">
        <v>0.23263863323578185</v>
      </c>
      <c r="X6619" s="11">
        <v>0.4163302641206304</v>
      </c>
      <c r="Y6619" s="11">
        <v>0.17396318443106817</v>
      </c>
      <c r="Z6619" s="11">
        <v>0.08154161739221384</v>
      </c>
    </row>
    <row r="6620" ht="22.5" customHeight="1">
      <c r="Q6620" s="9" t="s">
        <v>6658</v>
      </c>
      <c r="R6620" s="10">
        <v>0.36240773590415937</v>
      </c>
      <c r="S6620" s="10">
        <v>0.01680701915222126</v>
      </c>
      <c r="T6620" s="10">
        <v>19.182921908049895</v>
      </c>
      <c r="U6620" s="11">
        <v>0.1661689832316027</v>
      </c>
      <c r="V6620" s="11">
        <v>0.02389486942974425</v>
      </c>
      <c r="W6620" s="11">
        <v>0.1262794222680877</v>
      </c>
      <c r="X6620" s="11">
        <v>0.25218096569785153</v>
      </c>
      <c r="Y6620" s="11">
        <v>0.3020906222661946</v>
      </c>
      <c r="Z6620" s="11">
        <v>0.1293851371065192</v>
      </c>
    </row>
    <row r="6621" ht="22.5" customHeight="1">
      <c r="Q6621" s="9" t="s">
        <v>6659</v>
      </c>
      <c r="R6621" s="10">
        <v>0.611183047335994</v>
      </c>
      <c r="S6621" s="10">
        <v>0.029778565934196966</v>
      </c>
      <c r="T6621" s="10">
        <v>19.181012564478856</v>
      </c>
      <c r="U6621" s="11">
        <v>0.12724250506048</v>
      </c>
      <c r="V6621" s="11">
        <v>0.1325077347038387</v>
      </c>
      <c r="W6621" s="11">
        <v>0.23615945647675285</v>
      </c>
      <c r="X6621" s="11">
        <v>0.009982050798091745</v>
      </c>
      <c r="Y6621" s="11">
        <v>0.21754037945332214</v>
      </c>
      <c r="Z6621" s="11">
        <v>0.2765678735075146</v>
      </c>
    </row>
    <row r="6622" ht="22.5" customHeight="1">
      <c r="Q6622" s="9" t="s">
        <v>6660</v>
      </c>
      <c r="R6622" s="10">
        <v>0.25923644290073816</v>
      </c>
      <c r="S6622" s="10">
        <v>0.011430270275464798</v>
      </c>
      <c r="T6622" s="10">
        <v>19.1803376138298</v>
      </c>
      <c r="U6622" s="11">
        <v>0.3940128717096921</v>
      </c>
      <c r="V6622" s="11">
        <v>0.05784207549444614</v>
      </c>
      <c r="W6622" s="11">
        <v>0.005908761222904553</v>
      </c>
      <c r="X6622" s="11">
        <v>0.38002459549642903</v>
      </c>
      <c r="Y6622" s="11">
        <v>0.019179399375924947</v>
      </c>
      <c r="Z6622" s="11">
        <v>0.14303229670060313</v>
      </c>
    </row>
    <row r="6623" ht="22.5" customHeight="1">
      <c r="Q6623" s="9" t="s">
        <v>6661</v>
      </c>
      <c r="R6623" s="10">
        <v>0.5217351552815763</v>
      </c>
      <c r="S6623" s="10">
        <v>0.025116335048138917</v>
      </c>
      <c r="T6623" s="10">
        <v>19.18015324920075</v>
      </c>
      <c r="U6623" s="11">
        <v>0.10336862115846353</v>
      </c>
      <c r="V6623" s="11">
        <v>0.0634678000316243</v>
      </c>
      <c r="W6623" s="11">
        <v>0.21191529473879145</v>
      </c>
      <c r="X6623" s="11">
        <v>0.3116900137665215</v>
      </c>
      <c r="Y6623" s="11">
        <v>0.10562680592379975</v>
      </c>
      <c r="Z6623" s="11">
        <v>0.2039314643807994</v>
      </c>
    </row>
    <row r="6624" ht="22.5" customHeight="1">
      <c r="Q6624" s="9" t="s">
        <v>6662</v>
      </c>
      <c r="R6624" s="10">
        <v>0.47987590077468</v>
      </c>
      <c r="S6624" s="10">
        <v>0.022934720876945022</v>
      </c>
      <c r="T6624" s="10">
        <v>19.179474785623505</v>
      </c>
      <c r="U6624" s="11">
        <v>0.08342988747172733</v>
      </c>
      <c r="V6624" s="11">
        <v>0.20631870743868327</v>
      </c>
      <c r="W6624" s="11">
        <v>0.023800550538657764</v>
      </c>
      <c r="X6624" s="11">
        <v>0.34439686462200947</v>
      </c>
      <c r="Y6624" s="11">
        <v>0.16099306031247515</v>
      </c>
      <c r="Z6624" s="11">
        <v>0.1810609296164469</v>
      </c>
    </row>
    <row r="6625" ht="22.5" customHeight="1">
      <c r="Q6625" s="9" t="s">
        <v>6663</v>
      </c>
      <c r="R6625" s="10">
        <v>0.2376751666043309</v>
      </c>
      <c r="S6625" s="10">
        <v>0.010307229506800995</v>
      </c>
      <c r="T6625" s="10">
        <v>19.178302615062503</v>
      </c>
      <c r="U6625" s="11">
        <v>0.22418400593808918</v>
      </c>
      <c r="V6625" s="11">
        <v>0.013375053358383833</v>
      </c>
      <c r="W6625" s="11">
        <v>0.05055079744586094</v>
      </c>
      <c r="X6625" s="11">
        <v>0.24358697811748697</v>
      </c>
      <c r="Y6625" s="11">
        <v>0.20526953852682073</v>
      </c>
      <c r="Z6625" s="11">
        <v>0.2630336266133584</v>
      </c>
    </row>
    <row r="6626" ht="22.5" customHeight="1">
      <c r="Q6626" s="9" t="s">
        <v>6664</v>
      </c>
      <c r="R6626" s="10">
        <v>0.6672466352725522</v>
      </c>
      <c r="S6626" s="10">
        <v>0.032706331780529105</v>
      </c>
      <c r="T6626" s="10">
        <v>19.17814077963851</v>
      </c>
      <c r="U6626" s="11">
        <v>0.20213763964948864</v>
      </c>
      <c r="V6626" s="11">
        <v>0.29302293692300124</v>
      </c>
      <c r="W6626" s="11">
        <v>0.09576597326818201</v>
      </c>
      <c r="X6626" s="11">
        <v>0.06534011729208745</v>
      </c>
      <c r="Y6626" s="11">
        <v>0.2410467117266247</v>
      </c>
      <c r="Z6626" s="11">
        <v>0.10268662114061601</v>
      </c>
    </row>
    <row r="6627" ht="22.5" customHeight="1">
      <c r="Q6627" s="9" t="s">
        <v>6665</v>
      </c>
      <c r="R6627" s="10">
        <v>0.7356659142033151</v>
      </c>
      <c r="S6627" s="10">
        <v>0.03627628205203041</v>
      </c>
      <c r="T6627" s="10">
        <v>19.176880177674608</v>
      </c>
      <c r="U6627" s="11">
        <v>0.003120691897132816</v>
      </c>
      <c r="V6627" s="11">
        <v>0.13358189076286592</v>
      </c>
      <c r="W6627" s="11">
        <v>0.30143924238823716</v>
      </c>
      <c r="X6627" s="11">
        <v>0.24366318987437185</v>
      </c>
      <c r="Y6627" s="11">
        <v>0.22807189457679847</v>
      </c>
      <c r="Z6627" s="11">
        <v>0.09012309050059396</v>
      </c>
    </row>
    <row r="6628" ht="22.5" customHeight="1">
      <c r="Q6628" s="9" t="s">
        <v>6666</v>
      </c>
      <c r="R6628" s="10">
        <v>0.6139275090736265</v>
      </c>
      <c r="S6628" s="10">
        <v>0.029929538871863007</v>
      </c>
      <c r="T6628" s="10">
        <v>19.17595561798582</v>
      </c>
      <c r="U6628" s="11">
        <v>0.1694533093100786</v>
      </c>
      <c r="V6628" s="11">
        <v>0.09347891878375447</v>
      </c>
      <c r="W6628" s="11">
        <v>0.24981373960989203</v>
      </c>
      <c r="X6628" s="11">
        <v>0.20476548618439688</v>
      </c>
      <c r="Y6628" s="11">
        <v>0.23120742346709333</v>
      </c>
      <c r="Z6628" s="11">
        <v>0.051281122644784856</v>
      </c>
    </row>
    <row r="6629" ht="22.5" customHeight="1">
      <c r="Q6629" s="9" t="s">
        <v>6667</v>
      </c>
      <c r="R6629" s="10">
        <v>0.6981130933031126</v>
      </c>
      <c r="S6629" s="10">
        <v>0.034319916381593915</v>
      </c>
      <c r="T6629" s="10">
        <v>19.17583615256314</v>
      </c>
      <c r="U6629" s="11">
        <v>0.12445072375857244</v>
      </c>
      <c r="V6629" s="11">
        <v>0.31431232271673426</v>
      </c>
      <c r="W6629" s="11">
        <v>0.07553965334430367</v>
      </c>
      <c r="X6629" s="11">
        <v>0.2830791519048373</v>
      </c>
      <c r="Y6629" s="11">
        <v>0.18264874959607577</v>
      </c>
      <c r="Z6629" s="11">
        <v>0.019969398679476676</v>
      </c>
    </row>
    <row r="6630" ht="22.5" customHeight="1">
      <c r="Q6630" s="9" t="s">
        <v>6668</v>
      </c>
      <c r="R6630" s="10">
        <v>0.8140118184685718</v>
      </c>
      <c r="S6630" s="10">
        <v>0.040364512783687655</v>
      </c>
      <c r="T6630" s="10">
        <v>19.175552114712257</v>
      </c>
      <c r="U6630" s="11">
        <v>0.04037718535879584</v>
      </c>
      <c r="V6630" s="11">
        <v>0.3672961797388998</v>
      </c>
      <c r="W6630" s="11">
        <v>0.12718862731831188</v>
      </c>
      <c r="X6630" s="11">
        <v>0.2220911095280009</v>
      </c>
      <c r="Y6630" s="11">
        <v>0.05710715936665332</v>
      </c>
      <c r="Z6630" s="11">
        <v>0.18593973868933844</v>
      </c>
    </row>
    <row r="6631" ht="22.5" customHeight="1">
      <c r="Q6631" s="9" t="s">
        <v>6669</v>
      </c>
      <c r="R6631" s="10">
        <v>0.40013341721523815</v>
      </c>
      <c r="S6631" s="10">
        <v>0.01878111890307403</v>
      </c>
      <c r="T6631" s="10">
        <v>19.17529083724041</v>
      </c>
      <c r="U6631" s="11">
        <v>0.005165530953441923</v>
      </c>
      <c r="V6631" s="11">
        <v>0.15374945233833756</v>
      </c>
      <c r="W6631" s="11">
        <v>0.025907203567346607</v>
      </c>
      <c r="X6631" s="11">
        <v>0.1947774848925265</v>
      </c>
      <c r="Y6631" s="11">
        <v>0.4150988844523019</v>
      </c>
      <c r="Z6631" s="11">
        <v>0.2053014437960455</v>
      </c>
    </row>
    <row r="6632" ht="22.5" customHeight="1">
      <c r="Q6632" s="9" t="s">
        <v>6670</v>
      </c>
      <c r="R6632" s="10">
        <v>0.2355955516160116</v>
      </c>
      <c r="S6632" s="10">
        <v>0.010200581027800795</v>
      </c>
      <c r="T6632" s="10">
        <v>19.174942200148497</v>
      </c>
      <c r="U6632" s="11">
        <v>0.3444291788856085</v>
      </c>
      <c r="V6632" s="11">
        <v>0.01854173504792272</v>
      </c>
      <c r="W6632" s="11">
        <v>0.0355757552445543</v>
      </c>
      <c r="X6632" s="11">
        <v>0.3575793886982857</v>
      </c>
      <c r="Y6632" s="11">
        <v>0.017418850891308235</v>
      </c>
      <c r="Z6632" s="11">
        <v>0.2264550912323205</v>
      </c>
    </row>
    <row r="6633" ht="22.5" customHeight="1">
      <c r="Q6633" s="9" t="s">
        <v>6671</v>
      </c>
      <c r="R6633" s="10">
        <v>0.4226304013165731</v>
      </c>
      <c r="S6633" s="10">
        <v>0.019955383335426877</v>
      </c>
      <c r="T6633" s="10">
        <v>19.17429471962524</v>
      </c>
      <c r="U6633" s="11">
        <v>0.3748440342555548</v>
      </c>
      <c r="V6633" s="11">
        <v>0.15911996638587908</v>
      </c>
      <c r="W6633" s="11">
        <v>0.047965813400546606</v>
      </c>
      <c r="X6633" s="11">
        <v>0.015886684541268833</v>
      </c>
      <c r="Y6633" s="11">
        <v>0.3153201289632267</v>
      </c>
      <c r="Z6633" s="11">
        <v>0.08686337245352402</v>
      </c>
    </row>
    <row r="6634" ht="22.5" customHeight="1">
      <c r="Q6634" s="9" t="s">
        <v>6672</v>
      </c>
      <c r="R6634" s="10">
        <v>0.6834099576491731</v>
      </c>
      <c r="S6634" s="10">
        <v>0.03355674942674614</v>
      </c>
      <c r="T6634" s="10">
        <v>19.173786753503254</v>
      </c>
      <c r="U6634" s="11">
        <v>0.27277704614404025</v>
      </c>
      <c r="V6634" s="11">
        <v>0.30467692027804916</v>
      </c>
      <c r="W6634" s="11">
        <v>0.09627468557501025</v>
      </c>
      <c r="X6634" s="11">
        <v>0.1384964803629525</v>
      </c>
      <c r="Y6634" s="11">
        <v>0.04358559374850176</v>
      </c>
      <c r="Z6634" s="11">
        <v>0.14418927389144606</v>
      </c>
    </row>
    <row r="6635" ht="22.5" customHeight="1">
      <c r="Q6635" s="9" t="s">
        <v>6673</v>
      </c>
      <c r="R6635" s="10">
        <v>0.760967929694795</v>
      </c>
      <c r="S6635" s="10">
        <v>0.03760470033462743</v>
      </c>
      <c r="T6635" s="10">
        <v>19.172282275333227</v>
      </c>
      <c r="U6635" s="11">
        <v>0.23460840802911206</v>
      </c>
      <c r="V6635" s="11">
        <v>0.18410167710218767</v>
      </c>
      <c r="W6635" s="11">
        <v>0.29622896134901733</v>
      </c>
      <c r="X6635" s="11">
        <v>0.0010052227629809157</v>
      </c>
      <c r="Y6635" s="11">
        <v>0.10067578231639501</v>
      </c>
      <c r="Z6635" s="11">
        <v>0.1833799484403072</v>
      </c>
    </row>
    <row r="6636" ht="22.5" customHeight="1">
      <c r="Q6636" s="9" t="s">
        <v>6674</v>
      </c>
      <c r="R6636" s="10">
        <v>0.5292144880211599</v>
      </c>
      <c r="S6636" s="10">
        <v>0.025517872855890102</v>
      </c>
      <c r="T6636" s="10">
        <v>19.171444688354505</v>
      </c>
      <c r="U6636" s="11">
        <v>0.22380493923453706</v>
      </c>
      <c r="V6636" s="11">
        <v>0.06956980715418506</v>
      </c>
      <c r="W6636" s="11">
        <v>0.21481354822750906</v>
      </c>
      <c r="X6636" s="11">
        <v>0.23448871876856356</v>
      </c>
      <c r="Y6636" s="11">
        <v>0.10534751956803554</v>
      </c>
      <c r="Z6636" s="11">
        <v>0.15197546704716963</v>
      </c>
    </row>
    <row r="6637" ht="22.5" customHeight="1">
      <c r="Q6637" s="9" t="s">
        <v>6675</v>
      </c>
      <c r="R6637" s="10">
        <v>0.4294872252133355</v>
      </c>
      <c r="S6637" s="10">
        <v>0.020316300093200873</v>
      </c>
      <c r="T6637" s="10">
        <v>19.171169131513405</v>
      </c>
      <c r="U6637" s="11">
        <v>0.17828567822596583</v>
      </c>
      <c r="V6637" s="11">
        <v>0.03769745395308572</v>
      </c>
      <c r="W6637" s="11">
        <v>0.16634682443095264</v>
      </c>
      <c r="X6637" s="11">
        <v>0.26609753020397564</v>
      </c>
      <c r="Y6637" s="11">
        <v>0.1972553092833642</v>
      </c>
      <c r="Z6637" s="11">
        <v>0.15431720390265585</v>
      </c>
    </row>
    <row r="6638" ht="22.5" customHeight="1">
      <c r="Q6638" s="9" t="s">
        <v>6676</v>
      </c>
      <c r="R6638" s="10">
        <v>0.29077724399871774</v>
      </c>
      <c r="S6638" s="10">
        <v>0.013082093860294377</v>
      </c>
      <c r="T6638" s="10">
        <v>19.169503496673023</v>
      </c>
      <c r="U6638" s="11">
        <v>0.40505870249025727</v>
      </c>
      <c r="V6638" s="11">
        <v>0.08958717040075564</v>
      </c>
      <c r="W6638" s="11">
        <v>0.03150041320350492</v>
      </c>
      <c r="X6638" s="11">
        <v>0.09337723436649456</v>
      </c>
      <c r="Y6638" s="11">
        <v>0.04695384033417191</v>
      </c>
      <c r="Z6638" s="11">
        <v>0.33352263920481573</v>
      </c>
    </row>
    <row r="6639" ht="22.5" customHeight="1">
      <c r="Q6639" s="9" t="s">
        <v>6677</v>
      </c>
      <c r="R6639" s="10">
        <v>0.4914419025481444</v>
      </c>
      <c r="S6639" s="10">
        <v>0.02355031692698229</v>
      </c>
      <c r="T6639" s="10">
        <v>19.169249566697513</v>
      </c>
      <c r="U6639" s="11">
        <v>0.22961556452895246</v>
      </c>
      <c r="V6639" s="11">
        <v>0.2097818757161983</v>
      </c>
      <c r="W6639" s="11">
        <v>0.06532747881110333</v>
      </c>
      <c r="X6639" s="11">
        <v>0.05359115153107793</v>
      </c>
      <c r="Y6639" s="11">
        <v>0.08295485639871691</v>
      </c>
      <c r="Z6639" s="11">
        <v>0.35872907301395107</v>
      </c>
    </row>
    <row r="6640" ht="22.5" customHeight="1">
      <c r="Q6640" s="9" t="s">
        <v>6678</v>
      </c>
      <c r="R6640" s="10">
        <v>0.804695636572055</v>
      </c>
      <c r="S6640" s="10">
        <v>0.03989523029488641</v>
      </c>
      <c r="T6640" s="10">
        <v>19.16759549750162</v>
      </c>
      <c r="U6640" s="11">
        <v>0.08725064979112908</v>
      </c>
      <c r="V6640" s="11">
        <v>0.20421136315318472</v>
      </c>
      <c r="W6640" s="11">
        <v>0.31315135237265523</v>
      </c>
      <c r="X6640" s="11">
        <v>0.044986684906915445</v>
      </c>
      <c r="Y6640" s="11">
        <v>0.05014458858622791</v>
      </c>
      <c r="Z6640" s="11">
        <v>0.30025536118988766</v>
      </c>
    </row>
    <row r="6641" ht="22.5" customHeight="1">
      <c r="Q6641" s="9" t="s">
        <v>6679</v>
      </c>
      <c r="R6641" s="10">
        <v>0.7258309778923475</v>
      </c>
      <c r="S6641" s="10">
        <v>0.035781363297256126</v>
      </c>
      <c r="T6641" s="10">
        <v>19.167267948813457</v>
      </c>
      <c r="U6641" s="11">
        <v>0.056321418041524296</v>
      </c>
      <c r="V6641" s="11">
        <v>0.1363592708293201</v>
      </c>
      <c r="W6641" s="11">
        <v>0.2960222268333419</v>
      </c>
      <c r="X6641" s="11">
        <v>0.18526464337883736</v>
      </c>
      <c r="Y6641" s="11">
        <v>0.2304559373780199</v>
      </c>
      <c r="Z6641" s="11">
        <v>0.0955765035389565</v>
      </c>
    </row>
    <row r="6642" ht="22.5" customHeight="1">
      <c r="Q6642" s="9" t="s">
        <v>6680</v>
      </c>
      <c r="R6642" s="10">
        <v>0.6883370771280776</v>
      </c>
      <c r="S6642" s="10">
        <v>0.03382661674391566</v>
      </c>
      <c r="T6642" s="10">
        <v>19.166477157213567</v>
      </c>
      <c r="U6642" s="11">
        <v>0.17352250679506948</v>
      </c>
      <c r="V6642" s="11">
        <v>0.30891849321145487</v>
      </c>
      <c r="W6642" s="11">
        <v>0.08691431220692435</v>
      </c>
      <c r="X6642" s="11">
        <v>0.175830935491905</v>
      </c>
      <c r="Y6642" s="11">
        <v>0.16568747896360933</v>
      </c>
      <c r="Z6642" s="11">
        <v>0.08912627333103695</v>
      </c>
    </row>
    <row r="6643" ht="22.5" customHeight="1">
      <c r="Q6643" s="9" t="s">
        <v>6681</v>
      </c>
      <c r="R6643" s="10">
        <v>0.5463660671384191</v>
      </c>
      <c r="S6643" s="10">
        <v>0.026419468927204162</v>
      </c>
      <c r="T6643" s="10">
        <v>19.166398406177393</v>
      </c>
      <c r="U6643" s="11">
        <v>0.16728369791644726</v>
      </c>
      <c r="V6643" s="11">
        <v>0.24028151853095453</v>
      </c>
      <c r="W6643" s="11">
        <v>0.04283994910905631</v>
      </c>
      <c r="X6643" s="11">
        <v>0.24519398303245152</v>
      </c>
      <c r="Y6643" s="11">
        <v>0.2016951638056761</v>
      </c>
      <c r="Z6643" s="11">
        <v>0.10270568760541435</v>
      </c>
    </row>
    <row r="6644" ht="22.5" customHeight="1">
      <c r="Q6644" s="9" t="s">
        <v>6682</v>
      </c>
      <c r="R6644" s="10">
        <v>0.860513713972071</v>
      </c>
      <c r="S6644" s="10">
        <v>0.04281117829256489</v>
      </c>
      <c r="T6644" s="10">
        <v>19.165875518884548</v>
      </c>
      <c r="U6644" s="11">
        <v>0.1544679087353783</v>
      </c>
      <c r="V6644" s="11">
        <v>0.21903767594515092</v>
      </c>
      <c r="W6644" s="11">
        <v>0.33650740148128644</v>
      </c>
      <c r="X6644" s="11">
        <v>0.05602420184122149</v>
      </c>
      <c r="Y6644" s="11">
        <v>0.009964293788135096</v>
      </c>
      <c r="Z6644" s="11">
        <v>0.2239985182088277</v>
      </c>
    </row>
    <row r="6645" ht="22.5" customHeight="1">
      <c r="Q6645" s="9" t="s">
        <v>6683</v>
      </c>
      <c r="R6645" s="10">
        <v>0.8507136485932029</v>
      </c>
      <c r="S6645" s="10">
        <v>0.042300450022828416</v>
      </c>
      <c r="T6645" s="10">
        <v>19.16560339560649</v>
      </c>
      <c r="U6645" s="11">
        <v>0.049231747886045264</v>
      </c>
      <c r="V6645" s="11">
        <v>0.19944328575436307</v>
      </c>
      <c r="W6645" s="11">
        <v>0.34060745950630167</v>
      </c>
      <c r="X6645" s="11">
        <v>0.12739709609191843</v>
      </c>
      <c r="Y6645" s="11">
        <v>0.08410942072991325</v>
      </c>
      <c r="Z6645" s="11">
        <v>0.1992109900314582</v>
      </c>
    </row>
    <row r="6646" ht="22.5" customHeight="1">
      <c r="Q6646" s="9" t="s">
        <v>6684</v>
      </c>
      <c r="R6646" s="10">
        <v>0.6060087650558037</v>
      </c>
      <c r="S6646" s="10">
        <v>0.02953327622229813</v>
      </c>
      <c r="T6646" s="10">
        <v>19.16511939939997</v>
      </c>
      <c r="U6646" s="11">
        <v>0.032205854275612435</v>
      </c>
      <c r="V6646" s="11">
        <v>0.26653525673555706</v>
      </c>
      <c r="W6646" s="11">
        <v>0.06881586185510583</v>
      </c>
      <c r="X6646" s="11">
        <v>0.16391928574315748</v>
      </c>
      <c r="Y6646" s="11">
        <v>0.3190851792633632</v>
      </c>
      <c r="Z6646" s="11">
        <v>0.1494385621272041</v>
      </c>
    </row>
    <row r="6647" ht="22.5" customHeight="1">
      <c r="Q6647" s="9" t="s">
        <v>6685</v>
      </c>
      <c r="R6647" s="10">
        <v>0.5189361308432284</v>
      </c>
      <c r="S6647" s="10">
        <v>0.024990070512503355</v>
      </c>
      <c r="T6647" s="10">
        <v>19.165057201563354</v>
      </c>
      <c r="U6647" s="11">
        <v>0.17458730587323168</v>
      </c>
      <c r="V6647" s="11">
        <v>0.2237010598152726</v>
      </c>
      <c r="W6647" s="11">
        <v>0.06955122455464681</v>
      </c>
      <c r="X6647" s="11">
        <v>0.04617800864239464</v>
      </c>
      <c r="Y6647" s="11">
        <v>0.15663712037446723</v>
      </c>
      <c r="Z6647" s="11">
        <v>0.329345280739987</v>
      </c>
    </row>
    <row r="6648" ht="22.5" customHeight="1">
      <c r="Q6648" s="9" t="s">
        <v>6686</v>
      </c>
      <c r="R6648" s="10">
        <v>0.5030867592936773</v>
      </c>
      <c r="S6648" s="10">
        <v>0.024164108663995883</v>
      </c>
      <c r="T6648" s="10">
        <v>19.164239233192525</v>
      </c>
      <c r="U6648" s="11">
        <v>0.16519391386896642</v>
      </c>
      <c r="V6648" s="11">
        <v>0.06981910409960916</v>
      </c>
      <c r="W6648" s="11">
        <v>0.20117582546467092</v>
      </c>
      <c r="X6648" s="11">
        <v>0.1759602148548081</v>
      </c>
      <c r="Y6648" s="11">
        <v>0.1756151183761167</v>
      </c>
      <c r="Z6648" s="11">
        <v>0.2122358233358286</v>
      </c>
    </row>
    <row r="6649" ht="22.5" customHeight="1">
      <c r="Q6649" s="9" t="s">
        <v>6687</v>
      </c>
      <c r="R6649" s="10">
        <v>0.314000695408414</v>
      </c>
      <c r="S6649" s="10">
        <v>0.014298028760572066</v>
      </c>
      <c r="T6649" s="10">
        <v>19.16352946246635</v>
      </c>
      <c r="U6649" s="11">
        <v>0.33054488868504717</v>
      </c>
      <c r="V6649" s="11">
        <v>0.09908015981545025</v>
      </c>
      <c r="W6649" s="11">
        <v>0.03229442676206745</v>
      </c>
      <c r="X6649" s="11">
        <v>0.04342568579590735</v>
      </c>
      <c r="Y6649" s="11">
        <v>0.28011250529437043</v>
      </c>
      <c r="Z6649" s="11">
        <v>0.21454233364715733</v>
      </c>
    </row>
    <row r="6650" ht="22.5" customHeight="1">
      <c r="Q6650" s="9" t="s">
        <v>6688</v>
      </c>
      <c r="R6650" s="10">
        <v>0.9336723636182734</v>
      </c>
      <c r="S6650" s="10">
        <v>0.046634307693426025</v>
      </c>
      <c r="T6650" s="10">
        <v>19.163410111999006</v>
      </c>
      <c r="U6650" s="11">
        <v>0.017722161556381143</v>
      </c>
      <c r="V6650" s="11">
        <v>0.41985931777084207</v>
      </c>
      <c r="W6650" s="11">
        <v>0.16266277803369705</v>
      </c>
      <c r="X6650" s="11">
        <v>0.229403169756077</v>
      </c>
      <c r="Y6650" s="11">
        <v>0.026052750064773235</v>
      </c>
      <c r="Z6650" s="11">
        <v>0.14429982281822962</v>
      </c>
    </row>
    <row r="6651" ht="22.5" customHeight="1">
      <c r="Q6651" s="9" t="s">
        <v>6689</v>
      </c>
      <c r="R6651" s="10">
        <v>0.6357552162827519</v>
      </c>
      <c r="S6651" s="10">
        <v>0.031088527771105674</v>
      </c>
      <c r="T6651" s="10">
        <v>19.16318523247856</v>
      </c>
      <c r="U6651" s="11">
        <v>0.02819314039512591</v>
      </c>
      <c r="V6651" s="11">
        <v>0.12327204756125178</v>
      </c>
      <c r="W6651" s="11">
        <v>0.25583540743781763</v>
      </c>
      <c r="X6651" s="11">
        <v>0.13617093437055802</v>
      </c>
      <c r="Y6651" s="11">
        <v>0.17148251925625688</v>
      </c>
      <c r="Z6651" s="11">
        <v>0.2850459509789897</v>
      </c>
    </row>
    <row r="6652" ht="22.5" customHeight="1">
      <c r="Q6652" s="9" t="s">
        <v>6690</v>
      </c>
      <c r="R6652" s="10">
        <v>0.4412975941470116</v>
      </c>
      <c r="S6652" s="10">
        <v>0.020941797621050723</v>
      </c>
      <c r="T6652" s="10">
        <v>19.162518968458883</v>
      </c>
      <c r="U6652" s="11">
        <v>0.02731411040409073</v>
      </c>
      <c r="V6652" s="11">
        <v>0.17625243198709498</v>
      </c>
      <c r="W6652" s="11">
        <v>0.0576474041356396</v>
      </c>
      <c r="X6652" s="11">
        <v>0.02679947546718164</v>
      </c>
      <c r="Y6652" s="11">
        <v>0.3632729491344578</v>
      </c>
      <c r="Z6652" s="11">
        <v>0.3487136288715353</v>
      </c>
    </row>
    <row r="6653" ht="22.5" customHeight="1">
      <c r="Q6653" s="9" t="s">
        <v>6691</v>
      </c>
      <c r="R6653" s="10">
        <v>0.7436742054390565</v>
      </c>
      <c r="S6653" s="10">
        <v>0.03672193672473781</v>
      </c>
      <c r="T6653" s="10">
        <v>19.16223021442725</v>
      </c>
      <c r="U6653" s="11">
        <v>0.16537848245059958</v>
      </c>
      <c r="V6653" s="11">
        <v>0.3265360184236404</v>
      </c>
      <c r="W6653" s="11">
        <v>0.13124928674546588</v>
      </c>
      <c r="X6653" s="11">
        <v>0.025338833432012268</v>
      </c>
      <c r="Y6653" s="11">
        <v>0.14499356001577884</v>
      </c>
      <c r="Z6653" s="11">
        <v>0.2065038189325031</v>
      </c>
    </row>
    <row r="6654" ht="22.5" customHeight="1">
      <c r="Q6654" s="9" t="s">
        <v>6692</v>
      </c>
      <c r="R6654" s="10">
        <v>0.5558103252970581</v>
      </c>
      <c r="S6654" s="10">
        <v>0.02691810712091087</v>
      </c>
      <c r="T6654" s="10">
        <v>19.162206427819722</v>
      </c>
      <c r="U6654" s="11">
        <v>0.06799694855890528</v>
      </c>
      <c r="V6654" s="11">
        <v>0.1058938000255795</v>
      </c>
      <c r="W6654" s="11">
        <v>0.21490696472081572</v>
      </c>
      <c r="X6654" s="11">
        <v>0.05351514176579453</v>
      </c>
      <c r="Y6654" s="11">
        <v>0.29690637031192324</v>
      </c>
      <c r="Z6654" s="11">
        <v>0.26078077461698185</v>
      </c>
    </row>
    <row r="6655" ht="22.5" customHeight="1">
      <c r="Q6655" s="9" t="s">
        <v>6693</v>
      </c>
      <c r="R6655" s="10">
        <v>0.5307173731769022</v>
      </c>
      <c r="S6655" s="10">
        <v>0.025608814468368928</v>
      </c>
      <c r="T6655" s="10">
        <v>19.16204960534266</v>
      </c>
      <c r="U6655" s="11">
        <v>0.08903647407295283</v>
      </c>
      <c r="V6655" s="11">
        <v>0.07203680041353318</v>
      </c>
      <c r="W6655" s="11">
        <v>0.21176904162123952</v>
      </c>
      <c r="X6655" s="11">
        <v>0.2069408322736798</v>
      </c>
      <c r="Y6655" s="11">
        <v>0.2770148392747824</v>
      </c>
      <c r="Z6655" s="11">
        <v>0.14320201234381233</v>
      </c>
    </row>
    <row r="6656" ht="22.5" customHeight="1">
      <c r="Q6656" s="9" t="s">
        <v>6694</v>
      </c>
      <c r="R6656" s="10">
        <v>0.591093503752229</v>
      </c>
      <c r="S6656" s="10">
        <v>0.02876042212986495</v>
      </c>
      <c r="T6656" s="10">
        <v>19.16152347360615</v>
      </c>
      <c r="U6656" s="11">
        <v>0.01611473700407641</v>
      </c>
      <c r="V6656" s="11">
        <v>0.2563376379830733</v>
      </c>
      <c r="W6656" s="11">
        <v>0.07857372995495181</v>
      </c>
      <c r="X6656" s="11">
        <v>0.08496297918984858</v>
      </c>
      <c r="Y6656" s="11">
        <v>0.3380978454118369</v>
      </c>
      <c r="Z6656" s="11">
        <v>0.22591307045621306</v>
      </c>
    </row>
    <row r="6657" ht="22.5" customHeight="1">
      <c r="Q6657" s="9" t="s">
        <v>6695</v>
      </c>
      <c r="R6657" s="10">
        <v>0.46851464958555733</v>
      </c>
      <c r="S6657" s="10">
        <v>0.02236391771420031</v>
      </c>
      <c r="T6657" s="10">
        <v>19.160983109567848</v>
      </c>
      <c r="U6657" s="11">
        <v>0.20538272935689425</v>
      </c>
      <c r="V6657" s="11">
        <v>0.20153062150559828</v>
      </c>
      <c r="W6657" s="11">
        <v>0.04293910072612236</v>
      </c>
      <c r="X6657" s="11">
        <v>0.12959405541804062</v>
      </c>
      <c r="Y6657" s="11">
        <v>0.15564324484694664</v>
      </c>
      <c r="Z6657" s="11">
        <v>0.2649102481463979</v>
      </c>
    </row>
    <row r="6658" ht="22.5" customHeight="1">
      <c r="Q6658" s="9" t="s">
        <v>6696</v>
      </c>
      <c r="R6658" s="10">
        <v>0.5033456955828638</v>
      </c>
      <c r="S6658" s="10">
        <v>0.024181752877112835</v>
      </c>
      <c r="T6658" s="10">
        <v>19.160963968885977</v>
      </c>
      <c r="U6658" s="11">
        <v>0.3138111022252506</v>
      </c>
      <c r="V6658" s="11">
        <v>0.2173316771067662</v>
      </c>
      <c r="W6658" s="11">
        <v>0.054906032675402505</v>
      </c>
      <c r="X6658" s="11">
        <v>0.12036254689551745</v>
      </c>
      <c r="Y6658" s="11">
        <v>0.052369949165352654</v>
      </c>
      <c r="Z6658" s="11">
        <v>0.24121869193171055</v>
      </c>
    </row>
    <row r="6659" ht="22.5" customHeight="1">
      <c r="Q6659" s="9" t="s">
        <v>6697</v>
      </c>
      <c r="R6659" s="10">
        <v>0.6773797198918168</v>
      </c>
      <c r="S6659" s="10">
        <v>0.033264626239686575</v>
      </c>
      <c r="T6659" s="10">
        <v>19.160886260955092</v>
      </c>
      <c r="U6659" s="11">
        <v>0.27482824048980625</v>
      </c>
      <c r="V6659" s="11">
        <v>0.29298529328947687</v>
      </c>
      <c r="W6659" s="11">
        <v>0.10587132324626268</v>
      </c>
      <c r="X6659" s="11">
        <v>0.006592799758727942</v>
      </c>
      <c r="Y6659" s="11">
        <v>0.25879225011001344</v>
      </c>
      <c r="Z6659" s="11">
        <v>0.0609300931057129</v>
      </c>
    </row>
    <row r="6660" ht="22.5" customHeight="1">
      <c r="Q6660" s="9" t="s">
        <v>6698</v>
      </c>
      <c r="R6660" s="10">
        <v>0.43180539841302923</v>
      </c>
      <c r="S6660" s="10">
        <v>0.02044965208463986</v>
      </c>
      <c r="T6660" s="10">
        <v>19.15951414681143</v>
      </c>
      <c r="U6660" s="11">
        <v>0.26207417382125914</v>
      </c>
      <c r="V6660" s="11">
        <v>0.0345679611388452</v>
      </c>
      <c r="W6660" s="11">
        <v>0.16831269277487784</v>
      </c>
      <c r="X6660" s="11">
        <v>0.3135987568106689</v>
      </c>
      <c r="Y6660" s="11">
        <v>0.08966088082168766</v>
      </c>
      <c r="Z6660" s="11">
        <v>0.1317855346326615</v>
      </c>
    </row>
    <row r="6661" ht="22.5" customHeight="1">
      <c r="Q6661" s="9" t="s">
        <v>6699</v>
      </c>
      <c r="R6661" s="10">
        <v>0.3552592628819375</v>
      </c>
      <c r="S6661" s="10">
        <v>0.016455112486011204</v>
      </c>
      <c r="T6661" s="10">
        <v>19.158742497199288</v>
      </c>
      <c r="U6661" s="11">
        <v>0.21858271813678468</v>
      </c>
      <c r="V6661" s="11">
        <v>0.03582052541175958</v>
      </c>
      <c r="W6661" s="11">
        <v>0.12383479704558065</v>
      </c>
      <c r="X6661" s="11">
        <v>0.13580382901757643</v>
      </c>
      <c r="Y6661" s="11">
        <v>0.26618958350219396</v>
      </c>
      <c r="Z6661" s="11">
        <v>0.21976854688610475</v>
      </c>
    </row>
    <row r="6662" ht="22.5" customHeight="1">
      <c r="Q6662" s="9" t="s">
        <v>6700</v>
      </c>
      <c r="R6662" s="10">
        <v>0.4881113050695727</v>
      </c>
      <c r="S6662" s="10">
        <v>0.023389582352810436</v>
      </c>
      <c r="T6662" s="10">
        <v>19.158585147448292</v>
      </c>
      <c r="U6662" s="11">
        <v>0.23470778354131447</v>
      </c>
      <c r="V6662" s="11">
        <v>0.044130221099306866</v>
      </c>
      <c r="W6662" s="11">
        <v>0.19537720039549933</v>
      </c>
      <c r="X6662" s="11">
        <v>0.34290055918071116</v>
      </c>
      <c r="Y6662" s="11">
        <v>0.11606613742365356</v>
      </c>
      <c r="Z6662" s="11">
        <v>0.06681809835951465</v>
      </c>
    </row>
    <row r="6663" ht="22.5" customHeight="1">
      <c r="Q6663" s="9" t="s">
        <v>6701</v>
      </c>
      <c r="R6663" s="10">
        <v>0.42005873392684145</v>
      </c>
      <c r="S6663" s="10">
        <v>0.01983816015442115</v>
      </c>
      <c r="T6663" s="10">
        <v>19.15796278326452</v>
      </c>
      <c r="U6663" s="11">
        <v>0.07200418276646234</v>
      </c>
      <c r="V6663" s="11">
        <v>0.17142989356638774</v>
      </c>
      <c r="W6663" s="11">
        <v>0.04541314048052584</v>
      </c>
      <c r="X6663" s="11">
        <v>0.06171956964257376</v>
      </c>
      <c r="Y6663" s="11">
        <v>0.28895249692094266</v>
      </c>
      <c r="Z6663" s="11">
        <v>0.36048071662310766</v>
      </c>
    </row>
    <row r="6664" ht="22.5" customHeight="1">
      <c r="Q6664" s="9" t="s">
        <v>6702</v>
      </c>
      <c r="R6664" s="10">
        <v>0.45962993097114196</v>
      </c>
      <c r="S6664" s="10">
        <v>0.021907025321085117</v>
      </c>
      <c r="T6664" s="10">
        <v>19.155039299984548</v>
      </c>
      <c r="U6664" s="11">
        <v>0.22497736422199452</v>
      </c>
      <c r="V6664" s="11">
        <v>0.19528627627619746</v>
      </c>
      <c r="W6664" s="11">
        <v>0.044077374949838224</v>
      </c>
      <c r="X6664" s="11">
        <v>0.09755717610856102</v>
      </c>
      <c r="Y6664" s="11">
        <v>0.18420469979227252</v>
      </c>
      <c r="Z6664" s="11">
        <v>0.25389710865113624</v>
      </c>
    </row>
    <row r="6665" ht="22.5" customHeight="1">
      <c r="Q6665" s="9" t="s">
        <v>6703</v>
      </c>
      <c r="R6665" s="10">
        <v>0.5132700847371907</v>
      </c>
      <c r="S6665" s="10">
        <v>0.024707563187241325</v>
      </c>
      <c r="T6665" s="10">
        <v>19.154866918708578</v>
      </c>
      <c r="U6665" s="11">
        <v>0.1403834348490888</v>
      </c>
      <c r="V6665" s="11">
        <v>0.07196076256086864</v>
      </c>
      <c r="W6665" s="11">
        <v>0.20639892034652896</v>
      </c>
      <c r="X6665" s="11">
        <v>0.18847240069648136</v>
      </c>
      <c r="Y6665" s="11">
        <v>0.17157016916113277</v>
      </c>
      <c r="Z6665" s="11">
        <v>0.2212143123858995</v>
      </c>
    </row>
    <row r="6666" ht="22.5" customHeight="1">
      <c r="Q6666" s="9" t="s">
        <v>6704</v>
      </c>
      <c r="R6666" s="10">
        <v>0.4307800778837426</v>
      </c>
      <c r="S6666" s="10">
        <v>0.020402004273190756</v>
      </c>
      <c r="T6666" s="10">
        <v>19.15400431501953</v>
      </c>
      <c r="U6666" s="11">
        <v>0.07168882297159028</v>
      </c>
      <c r="V6666" s="11">
        <v>0.18061186862174636</v>
      </c>
      <c r="W6666" s="11">
        <v>0.024656148287982148</v>
      </c>
      <c r="X6666" s="11">
        <v>0.2189694074326307</v>
      </c>
      <c r="Y6666" s="11">
        <v>0.2617700340924882</v>
      </c>
      <c r="Z6666" s="11">
        <v>0.24230371859356228</v>
      </c>
    </row>
    <row r="6667" ht="22.5" customHeight="1">
      <c r="Q6667" s="9" t="s">
        <v>6705</v>
      </c>
      <c r="R6667" s="10">
        <v>0.6549311291525645</v>
      </c>
      <c r="S6667" s="10">
        <v>0.03210611567774115</v>
      </c>
      <c r="T6667" s="10">
        <v>19.153083958359062</v>
      </c>
      <c r="U6667" s="11">
        <v>0.23899033569434014</v>
      </c>
      <c r="V6667" s="11">
        <v>0.28729089633651905</v>
      </c>
      <c r="W6667" s="11">
        <v>0.10788934971054251</v>
      </c>
      <c r="X6667" s="11">
        <v>0.05441105759996105</v>
      </c>
      <c r="Y6667" s="11">
        <v>0.026371333154778076</v>
      </c>
      <c r="Z6667" s="11">
        <v>0.28504702750385924</v>
      </c>
    </row>
    <row r="6668" ht="22.5" customHeight="1">
      <c r="Q6668" s="9" t="s">
        <v>6706</v>
      </c>
      <c r="R6668" s="10">
        <v>0.5833579710071315</v>
      </c>
      <c r="S6668" s="10">
        <v>0.028369307149390958</v>
      </c>
      <c r="T6668" s="10">
        <v>19.15302224851115</v>
      </c>
      <c r="U6668" s="11">
        <v>0.08245428312058439</v>
      </c>
      <c r="V6668" s="11">
        <v>0.11603680579264977</v>
      </c>
      <c r="W6668" s="11">
        <v>0.2297477608512426</v>
      </c>
      <c r="X6668" s="11">
        <v>0.06414456782274601</v>
      </c>
      <c r="Y6668" s="11">
        <v>0.19573258537749996</v>
      </c>
      <c r="Z6668" s="11">
        <v>0.31188399703527725</v>
      </c>
    </row>
    <row r="6669" ht="22.5" customHeight="1">
      <c r="Q6669" s="9" t="s">
        <v>6707</v>
      </c>
      <c r="R6669" s="10">
        <v>0.24402513485235816</v>
      </c>
      <c r="S6669" s="10">
        <v>0.010653421655912675</v>
      </c>
      <c r="T6669" s="10">
        <v>19.151136737287004</v>
      </c>
      <c r="U6669" s="11">
        <v>0.1650877575447714</v>
      </c>
      <c r="V6669" s="11">
        <v>0.05782247544280863</v>
      </c>
      <c r="W6669" s="11">
        <v>0.011507253776646539</v>
      </c>
      <c r="X6669" s="11">
        <v>0.2021881011093513</v>
      </c>
      <c r="Y6669" s="11">
        <v>0.2846346257310848</v>
      </c>
      <c r="Z6669" s="11">
        <v>0.27875978639533744</v>
      </c>
    </row>
    <row r="6670" ht="22.5" customHeight="1">
      <c r="Q6670" s="9" t="s">
        <v>6708</v>
      </c>
      <c r="R6670" s="10">
        <v>0.6647182281770617</v>
      </c>
      <c r="S6670" s="10">
        <v>0.03262368300157879</v>
      </c>
      <c r="T6670" s="10">
        <v>19.14922444982159</v>
      </c>
      <c r="U6670" s="11">
        <v>0.15840074160493717</v>
      </c>
      <c r="V6670" s="11">
        <v>0.2907597943440714</v>
      </c>
      <c r="W6670" s="11">
        <v>0.11020104273142774</v>
      </c>
      <c r="X6670" s="11">
        <v>0.01626433385898229</v>
      </c>
      <c r="Y6670" s="11">
        <v>0.17297789508549857</v>
      </c>
      <c r="Z6670" s="11">
        <v>0.25139619237508276</v>
      </c>
    </row>
    <row r="6671" ht="22.5" customHeight="1">
      <c r="Q6671" s="9" t="s">
        <v>6709</v>
      </c>
      <c r="R6671" s="10">
        <v>0.5109897012344775</v>
      </c>
      <c r="S6671" s="10">
        <v>0.0245974953540451</v>
      </c>
      <c r="T6671" s="10">
        <v>19.147872352663033</v>
      </c>
      <c r="U6671" s="11">
        <v>0.09505040355597187</v>
      </c>
      <c r="V6671" s="11">
        <v>0.22526425849186035</v>
      </c>
      <c r="W6671" s="11">
        <v>0.044017982844591394</v>
      </c>
      <c r="X6671" s="11">
        <v>0.2105026078741634</v>
      </c>
      <c r="Y6671" s="11">
        <v>0.1620417958904881</v>
      </c>
      <c r="Z6671" s="11">
        <v>0.26312295134292496</v>
      </c>
    </row>
    <row r="6672" ht="22.5" customHeight="1">
      <c r="Q6672" s="9" t="s">
        <v>6710</v>
      </c>
      <c r="R6672" s="10">
        <v>0.697451639922179</v>
      </c>
      <c r="S6672" s="10">
        <v>0.03433733930998795</v>
      </c>
      <c r="T6672" s="10">
        <v>19.146842857767407</v>
      </c>
      <c r="U6672" s="11">
        <v>0.06726529612588926</v>
      </c>
      <c r="V6672" s="11">
        <v>0.13464167894402798</v>
      </c>
      <c r="W6672" s="11">
        <v>0.2858109910290538</v>
      </c>
      <c r="X6672" s="11">
        <v>0.20596388349398703</v>
      </c>
      <c r="Y6672" s="11">
        <v>0.06318687614301595</v>
      </c>
      <c r="Z6672" s="11">
        <v>0.24313127426402606</v>
      </c>
    </row>
    <row r="6673" ht="22.5" customHeight="1">
      <c r="Q6673" s="9" t="s">
        <v>6711</v>
      </c>
      <c r="R6673" s="10">
        <v>0.563633503190128</v>
      </c>
      <c r="S6673" s="10">
        <v>0.02735078766608998</v>
      </c>
      <c r="T6673" s="10">
        <v>19.145097742078505</v>
      </c>
      <c r="U6673" s="11">
        <v>0.10589545183024372</v>
      </c>
      <c r="V6673" s="11">
        <v>0.23996094901205617</v>
      </c>
      <c r="W6673" s="11">
        <v>0.0790492760180585</v>
      </c>
      <c r="X6673" s="11">
        <v>0.022305753126554893</v>
      </c>
      <c r="Y6673" s="11">
        <v>0.33795013878249625</v>
      </c>
      <c r="Z6673" s="11">
        <v>0.2148384312305904</v>
      </c>
    </row>
    <row r="6674" ht="22.5" customHeight="1">
      <c r="Q6674" s="9" t="s">
        <v>6712</v>
      </c>
      <c r="R6674" s="10">
        <v>0.7541116333794458</v>
      </c>
      <c r="S6674" s="10">
        <v>0.037301130920572356</v>
      </c>
      <c r="T6674" s="10">
        <v>19.144503551381554</v>
      </c>
      <c r="U6674" s="11">
        <v>0.003970751250388673</v>
      </c>
      <c r="V6674" s="11">
        <v>0.3363321215534173</v>
      </c>
      <c r="W6674" s="11">
        <v>0.12116481840162958</v>
      </c>
      <c r="X6674" s="11">
        <v>0.10692817209885953</v>
      </c>
      <c r="Y6674" s="11">
        <v>0.21810952163789754</v>
      </c>
      <c r="Z6674" s="11">
        <v>0.21349461505780742</v>
      </c>
    </row>
    <row r="6675" ht="22.5" customHeight="1">
      <c r="Q6675" s="9" t="s">
        <v>6713</v>
      </c>
      <c r="R6675" s="10">
        <v>0.5760718079685072</v>
      </c>
      <c r="S6675" s="10">
        <v>0.02800343887426541</v>
      </c>
      <c r="T6675" s="10">
        <v>19.14307061984256</v>
      </c>
      <c r="U6675" s="11">
        <v>0.24189659806496622</v>
      </c>
      <c r="V6675" s="11">
        <v>0.25206562509669284</v>
      </c>
      <c r="W6675" s="11">
        <v>0.07689082713812168</v>
      </c>
      <c r="X6675" s="11">
        <v>0.0608977277653574</v>
      </c>
      <c r="Y6675" s="11">
        <v>0.14758090504114937</v>
      </c>
      <c r="Z6675" s="11">
        <v>0.22066831689371258</v>
      </c>
    </row>
    <row r="6676" ht="22.5" customHeight="1">
      <c r="Q6676" s="9" t="s">
        <v>6714</v>
      </c>
      <c r="R6676" s="10">
        <v>0.7066461211024938</v>
      </c>
      <c r="S6676" s="10">
        <v>0.03482522705345889</v>
      </c>
      <c r="T6676" s="10">
        <v>19.14262095345855</v>
      </c>
      <c r="U6676" s="11">
        <v>0.1875284108267513</v>
      </c>
      <c r="V6676" s="11">
        <v>0.149055598180769</v>
      </c>
      <c r="W6676" s="11">
        <v>0.28331188015665004</v>
      </c>
      <c r="X6676" s="11">
        <v>0.06923280928609551</v>
      </c>
      <c r="Y6676" s="11">
        <v>0.14353429915195728</v>
      </c>
      <c r="Z6676" s="11">
        <v>0.16733700239777685</v>
      </c>
    </row>
    <row r="6677" ht="22.5" customHeight="1">
      <c r="Q6677" s="9" t="s">
        <v>6715</v>
      </c>
      <c r="R6677" s="10">
        <v>0.5580996303823949</v>
      </c>
      <c r="S6677" s="10">
        <v>0.027065268376039904</v>
      </c>
      <c r="T6677" s="10">
        <v>19.142600885533927</v>
      </c>
      <c r="U6677" s="11">
        <v>0.18578318151582268</v>
      </c>
      <c r="V6677" s="11">
        <v>0.08111086188466332</v>
      </c>
      <c r="W6677" s="11">
        <v>0.22702952646995203</v>
      </c>
      <c r="X6677" s="11">
        <v>0.1939226774664038</v>
      </c>
      <c r="Y6677" s="11">
        <v>0.1658638749309473</v>
      </c>
      <c r="Z6677" s="11">
        <v>0.1462898777322108</v>
      </c>
    </row>
    <row r="6678" ht="22.5" customHeight="1">
      <c r="Q6678" s="9" t="s">
        <v>6716</v>
      </c>
      <c r="R6678" s="10">
        <v>0.4026502671342507</v>
      </c>
      <c r="S6678" s="10">
        <v>0.018944710190225932</v>
      </c>
      <c r="T6678" s="10">
        <v>19.142560825308976</v>
      </c>
      <c r="U6678" s="11">
        <v>0.22586838609473772</v>
      </c>
      <c r="V6678" s="11">
        <v>0.16312946665601427</v>
      </c>
      <c r="W6678" s="11">
        <v>0.021985211765369786</v>
      </c>
      <c r="X6678" s="11">
        <v>0.1643328359910867</v>
      </c>
      <c r="Y6678" s="11">
        <v>0.2512641652864459</v>
      </c>
      <c r="Z6678" s="11">
        <v>0.17341993420634552</v>
      </c>
    </row>
    <row r="6679" ht="22.5" customHeight="1">
      <c r="Q6679" s="9" t="s">
        <v>6717</v>
      </c>
      <c r="R6679" s="10">
        <v>0.5156929432491351</v>
      </c>
      <c r="S6679" s="10">
        <v>0.024850045224046803</v>
      </c>
      <c r="T6679" s="10">
        <v>19.14253833183443</v>
      </c>
      <c r="U6679" s="11">
        <v>0.22608157809899895</v>
      </c>
      <c r="V6679" s="11">
        <v>0.22478369488154024</v>
      </c>
      <c r="W6679" s="11">
        <v>0.04164912426849572</v>
      </c>
      <c r="X6679" s="11">
        <v>0.18824219249692686</v>
      </c>
      <c r="Y6679" s="11">
        <v>0.19197051641962848</v>
      </c>
      <c r="Z6679" s="11">
        <v>0.12727289383440968</v>
      </c>
    </row>
    <row r="6680" ht="22.5" customHeight="1">
      <c r="Q6680" s="9" t="s">
        <v>6718</v>
      </c>
      <c r="R6680" s="10">
        <v>0.8066397654399448</v>
      </c>
      <c r="S6680" s="10">
        <v>0.040049518918098596</v>
      </c>
      <c r="T6680" s="10">
        <v>19.142296490695074</v>
      </c>
      <c r="U6680" s="11">
        <v>0.07929990271818746</v>
      </c>
      <c r="V6680" s="11">
        <v>0.3612413737766856</v>
      </c>
      <c r="W6680" s="11">
        <v>0.13702361876989858</v>
      </c>
      <c r="X6680" s="11">
        <v>0.1231238053993228</v>
      </c>
      <c r="Y6680" s="11">
        <v>0.08724382549709844</v>
      </c>
      <c r="Z6680" s="11">
        <v>0.2120674738388072</v>
      </c>
    </row>
    <row r="6681" ht="22.5" customHeight="1">
      <c r="Q6681" s="9" t="s">
        <v>6719</v>
      </c>
      <c r="R6681" s="10">
        <v>0.6179402469836834</v>
      </c>
      <c r="S6681" s="10">
        <v>0.030192603923824897</v>
      </c>
      <c r="T6681" s="10">
        <v>19.14178215439154</v>
      </c>
      <c r="U6681" s="11">
        <v>0.07176154609314064</v>
      </c>
      <c r="V6681" s="11">
        <v>0.27734110044313953</v>
      </c>
      <c r="W6681" s="11">
        <v>0.06567904871642562</v>
      </c>
      <c r="X6681" s="11">
        <v>0.22204264819520658</v>
      </c>
      <c r="Y6681" s="11">
        <v>0.19153141667187396</v>
      </c>
      <c r="Z6681" s="11">
        <v>0.17164423988021382</v>
      </c>
    </row>
    <row r="6682" ht="22.5" customHeight="1">
      <c r="Q6682" s="9" t="s">
        <v>6720</v>
      </c>
      <c r="R6682" s="10">
        <v>0.4406280267680036</v>
      </c>
      <c r="S6682" s="10">
        <v>0.020931343588488797</v>
      </c>
      <c r="T6682" s="10">
        <v>19.140100828898973</v>
      </c>
      <c r="U6682" s="11">
        <v>0.3212930098831035</v>
      </c>
      <c r="V6682" s="11">
        <v>0.1767112620998726</v>
      </c>
      <c r="W6682" s="11">
        <v>0.047392706289399844</v>
      </c>
      <c r="X6682" s="11">
        <v>0.030281738173281055</v>
      </c>
      <c r="Y6682" s="11">
        <v>0.2654405295567018</v>
      </c>
      <c r="Z6682" s="11">
        <v>0.15888075399764132</v>
      </c>
    </row>
    <row r="6683" ht="22.5" customHeight="1">
      <c r="Q6683" s="9" t="s">
        <v>6721</v>
      </c>
      <c r="R6683" s="10">
        <v>0.5849582886615396</v>
      </c>
      <c r="S6683" s="10">
        <v>0.028472771297788513</v>
      </c>
      <c r="T6683" s="10">
        <v>19.139629330843064</v>
      </c>
      <c r="U6683" s="11">
        <v>0.1055777786232225</v>
      </c>
      <c r="V6683" s="11">
        <v>0.11607842700983084</v>
      </c>
      <c r="W6683" s="11">
        <v>0.23166242693845948</v>
      </c>
      <c r="X6683" s="11">
        <v>0.07034305943371974</v>
      </c>
      <c r="Y6683" s="11">
        <v>0.15659930721968654</v>
      </c>
      <c r="Z6683" s="11">
        <v>0.31973900077508083</v>
      </c>
    </row>
    <row r="6684" ht="22.5" customHeight="1">
      <c r="Q6684" s="9" t="s">
        <v>6722</v>
      </c>
      <c r="R6684" s="10">
        <v>0.5380939066503228</v>
      </c>
      <c r="S6684" s="10">
        <v>0.026025581386049764</v>
      </c>
      <c r="T6684" s="10">
        <v>19.138627462797473</v>
      </c>
      <c r="U6684" s="11">
        <v>0.260168002203125</v>
      </c>
      <c r="V6684" s="11">
        <v>0.07561624434001685</v>
      </c>
      <c r="W6684" s="11">
        <v>0.21371429224074806</v>
      </c>
      <c r="X6684" s="11">
        <v>0.1472608292170905</v>
      </c>
      <c r="Y6684" s="11">
        <v>0.2552598044221288</v>
      </c>
      <c r="Z6684" s="11">
        <v>0.04798082757689076</v>
      </c>
    </row>
    <row r="6685" ht="22.5" customHeight="1">
      <c r="Q6685" s="9" t="s">
        <v>6723</v>
      </c>
      <c r="R6685" s="10">
        <v>0.5030367104265668</v>
      </c>
      <c r="S6685" s="10">
        <v>0.024194255875876154</v>
      </c>
      <c r="T6685" s="10">
        <v>19.138291039083207</v>
      </c>
      <c r="U6685" s="11">
        <v>0.13481545152207844</v>
      </c>
      <c r="V6685" s="11">
        <v>0.2214174193316392</v>
      </c>
      <c r="W6685" s="11">
        <v>0.036293497527347264</v>
      </c>
      <c r="X6685" s="11">
        <v>0.29392878953307594</v>
      </c>
      <c r="Y6685" s="11">
        <v>0.06085950268235135</v>
      </c>
      <c r="Z6685" s="11">
        <v>0.25268533940350774</v>
      </c>
    </row>
    <row r="6686" ht="22.5" customHeight="1">
      <c r="Q6686" s="9" t="s">
        <v>6724</v>
      </c>
      <c r="R6686" s="10">
        <v>0.42646324830781135</v>
      </c>
      <c r="S6686" s="10">
        <v>0.020194152955759888</v>
      </c>
      <c r="T6686" s="10">
        <v>19.137383437396526</v>
      </c>
      <c r="U6686" s="11">
        <v>0.024467417437215637</v>
      </c>
      <c r="V6686" s="11">
        <v>0.05378564142014636</v>
      </c>
      <c r="W6686" s="11">
        <v>0.1650398241852392</v>
      </c>
      <c r="X6686" s="11">
        <v>0.2945099545194903</v>
      </c>
      <c r="Y6686" s="11">
        <v>0.016346693986325857</v>
      </c>
      <c r="Z6686" s="11">
        <v>0.44585046845158255</v>
      </c>
    </row>
    <row r="6687" ht="22.5" customHeight="1">
      <c r="Q6687" s="9" t="s">
        <v>6725</v>
      </c>
      <c r="R6687" s="10">
        <v>0.659264707964926</v>
      </c>
      <c r="S6687" s="10">
        <v>0.032360371866296735</v>
      </c>
      <c r="T6687" s="10">
        <v>19.13651395983768</v>
      </c>
      <c r="U6687" s="11">
        <v>0.12335297878371772</v>
      </c>
      <c r="V6687" s="11">
        <v>0.14443393275920793</v>
      </c>
      <c r="W6687" s="11">
        <v>0.25924694771830376</v>
      </c>
      <c r="X6687" s="11">
        <v>0.0259902184311285</v>
      </c>
      <c r="Y6687" s="11">
        <v>0.1884988642692751</v>
      </c>
      <c r="Z6687" s="11">
        <v>0.258477058038367</v>
      </c>
    </row>
    <row r="6688" ht="22.5" customHeight="1">
      <c r="Q6688" s="9" t="s">
        <v>6726</v>
      </c>
      <c r="R6688" s="10">
        <v>0.7921313594394412</v>
      </c>
      <c r="S6688" s="10">
        <v>0.03930424585922339</v>
      </c>
      <c r="T6688" s="10">
        <v>19.136135117141325</v>
      </c>
      <c r="U6688" s="11">
        <v>0.3104782870586953</v>
      </c>
      <c r="V6688" s="11">
        <v>0.3519751913105582</v>
      </c>
      <c r="W6688" s="11">
        <v>0.13229935854559977</v>
      </c>
      <c r="X6688" s="11">
        <v>0.08617681129674286</v>
      </c>
      <c r="Y6688" s="11">
        <v>0.03454125870937885</v>
      </c>
      <c r="Z6688" s="11">
        <v>0.08452909307902505</v>
      </c>
    </row>
    <row r="6689" ht="22.5" customHeight="1">
      <c r="Q6689" s="9" t="s">
        <v>6727</v>
      </c>
      <c r="R6689" s="10">
        <v>0.44456651419646925</v>
      </c>
      <c r="S6689" s="10">
        <v>0.021142121678589056</v>
      </c>
      <c r="T6689" s="10">
        <v>19.135568338260953</v>
      </c>
      <c r="U6689" s="11">
        <v>0.27477400862951545</v>
      </c>
      <c r="V6689" s="11">
        <v>0.05555611297245932</v>
      </c>
      <c r="W6689" s="11">
        <v>0.17425249251450167</v>
      </c>
      <c r="X6689" s="11">
        <v>0.17374508485055898</v>
      </c>
      <c r="Y6689" s="11">
        <v>0.08191775275675586</v>
      </c>
      <c r="Z6689" s="11">
        <v>0.23975454827620862</v>
      </c>
    </row>
    <row r="6690" ht="22.5" customHeight="1">
      <c r="Q6690" s="9" t="s">
        <v>6728</v>
      </c>
      <c r="R6690" s="10">
        <v>0.7446272284413944</v>
      </c>
      <c r="S6690" s="10">
        <v>0.03682305882123826</v>
      </c>
      <c r="T6690" s="10">
        <v>19.135488767027415</v>
      </c>
      <c r="U6690" s="11">
        <v>0.271402171614823</v>
      </c>
      <c r="V6690" s="11">
        <v>0.14312866471772503</v>
      </c>
      <c r="W6690" s="11">
        <v>0.3062999215517747</v>
      </c>
      <c r="X6690" s="11">
        <v>0.19060531652087764</v>
      </c>
      <c r="Y6690" s="11">
        <v>0.01268217328644792</v>
      </c>
      <c r="Z6690" s="11">
        <v>0.07588175230835167</v>
      </c>
    </row>
    <row r="6691" ht="22.5" customHeight="1">
      <c r="Q6691" s="9" t="s">
        <v>6729</v>
      </c>
      <c r="R6691" s="10">
        <v>0.522331348251574</v>
      </c>
      <c r="S6691" s="10">
        <v>0.03189027181702341</v>
      </c>
      <c r="T6691" s="10">
        <v>19.13305137103989</v>
      </c>
      <c r="U6691" s="11">
        <v>0.038624033219388725</v>
      </c>
      <c r="V6691" s="11">
        <v>0.2873778539046362</v>
      </c>
      <c r="W6691" s="11">
        <v>0.10282051424224048</v>
      </c>
      <c r="X6691" s="11">
        <v>0.06377455937286954</v>
      </c>
      <c r="Y6691" s="11">
        <v>0.17798420380531935</v>
      </c>
      <c r="Z6691" s="11">
        <v>0.32941883545554573</v>
      </c>
    </row>
    <row r="6692" ht="22.5" customHeight="1">
      <c r="Q6692" s="9" t="s">
        <v>6730</v>
      </c>
      <c r="R6692" s="10">
        <v>0.6810575573620731</v>
      </c>
      <c r="S6692" s="10">
        <v>0.03350530553126875</v>
      </c>
      <c r="T6692" s="10">
        <v>19.13301631479849</v>
      </c>
      <c r="U6692" s="11">
        <v>0.06625195306943679</v>
      </c>
      <c r="V6692" s="11">
        <v>0.3089978665255691</v>
      </c>
      <c r="W6692" s="11">
        <v>0.07786494286668043</v>
      </c>
      <c r="X6692" s="11">
        <v>0.2790416108643332</v>
      </c>
      <c r="Y6692" s="11">
        <v>0.10610749638222536</v>
      </c>
      <c r="Z6692" s="11">
        <v>0.1617361302917552</v>
      </c>
    </row>
    <row r="6693" ht="22.5" customHeight="1">
      <c r="Q6693" s="9" t="s">
        <v>6731</v>
      </c>
      <c r="R6693" s="10">
        <v>0.6502577646158443</v>
      </c>
      <c r="S6693" s="10">
        <v>0.03189958763762967</v>
      </c>
      <c r="T6693" s="10">
        <v>19.13058474448637</v>
      </c>
      <c r="U6693" s="11">
        <v>0.043768677451446754</v>
      </c>
      <c r="V6693" s="11">
        <v>0.29389868215732173</v>
      </c>
      <c r="W6693" s="11">
        <v>0.08187235731938944</v>
      </c>
      <c r="X6693" s="11">
        <v>0.2185257145781621</v>
      </c>
      <c r="Y6693" s="11">
        <v>0.08523867987017057</v>
      </c>
      <c r="Z6693" s="11">
        <v>0.27669588862350947</v>
      </c>
    </row>
    <row r="6694" ht="22.5" customHeight="1">
      <c r="Q6694" s="9" t="s">
        <v>6732</v>
      </c>
      <c r="R6694" s="10">
        <v>0.7563144014020949</v>
      </c>
      <c r="S6694" s="10">
        <v>0.037445812463614205</v>
      </c>
      <c r="T6694" s="10">
        <v>19.129359313491513</v>
      </c>
      <c r="U6694" s="11">
        <v>0.012854526139385685</v>
      </c>
      <c r="V6694" s="11">
        <v>0.1676452076748846</v>
      </c>
      <c r="W6694" s="11">
        <v>0.30458823764591286</v>
      </c>
      <c r="X6694" s="11">
        <v>0.12963310786512147</v>
      </c>
      <c r="Y6694" s="11">
        <v>0.10537796686715335</v>
      </c>
      <c r="Z6694" s="11">
        <v>0.27990095380754204</v>
      </c>
    </row>
    <row r="6695" ht="22.5" customHeight="1">
      <c r="Q6695" s="9" t="s">
        <v>6733</v>
      </c>
      <c r="R6695" s="10">
        <v>0.9406402596717245</v>
      </c>
      <c r="S6695" s="10">
        <v>0.04708468310752003</v>
      </c>
      <c r="T6695" s="10">
        <v>19.128094323478216</v>
      </c>
      <c r="U6695" s="11">
        <v>0.042462758000972683</v>
      </c>
      <c r="V6695" s="11">
        <v>0.25207975326852</v>
      </c>
      <c r="W6695" s="11">
        <v>0.36547813716270994</v>
      </c>
      <c r="X6695" s="11">
        <v>0.06355556320336264</v>
      </c>
      <c r="Y6695" s="11">
        <v>0.015884486663142898</v>
      </c>
      <c r="Z6695" s="11">
        <v>0.26053930170129186</v>
      </c>
    </row>
    <row r="6696" ht="22.5" customHeight="1">
      <c r="Q6696" s="9" t="s">
        <v>6734</v>
      </c>
      <c r="R6696" s="10">
        <v>0.4961663463891298</v>
      </c>
      <c r="S6696" s="10">
        <v>0.02384800470580473</v>
      </c>
      <c r="T6696" s="10">
        <v>19.1280718037638</v>
      </c>
      <c r="U6696" s="11">
        <v>0.23818175490992263</v>
      </c>
      <c r="V6696" s="11">
        <v>0.2087521924920078</v>
      </c>
      <c r="W6696" s="11">
        <v>0.06362555646520884</v>
      </c>
      <c r="X6696" s="11">
        <v>0.013236764326833619</v>
      </c>
      <c r="Y6696" s="11">
        <v>0.23580295291825043</v>
      </c>
      <c r="Z6696" s="11">
        <v>0.24040077888777667</v>
      </c>
    </row>
    <row r="6697" ht="22.5" customHeight="1">
      <c r="Q6697" s="9" t="s">
        <v>6735</v>
      </c>
      <c r="R6697" s="10">
        <v>0.7743968942295469</v>
      </c>
      <c r="S6697" s="10">
        <v>0.038394688282635286</v>
      </c>
      <c r="T6697" s="10">
        <v>19.12756495959603</v>
      </c>
      <c r="U6697" s="11">
        <v>0.10569062916536813</v>
      </c>
      <c r="V6697" s="11">
        <v>0.3481774581541663</v>
      </c>
      <c r="W6697" s="11">
        <v>0.11851186609120472</v>
      </c>
      <c r="X6697" s="11">
        <v>0.12918828593050746</v>
      </c>
      <c r="Y6697" s="11">
        <v>0.17240392884491376</v>
      </c>
      <c r="Z6697" s="11">
        <v>0.12602783181383956</v>
      </c>
    </row>
    <row r="6698" ht="22.5" customHeight="1">
      <c r="Q6698" s="9" t="s">
        <v>6736</v>
      </c>
      <c r="R6698" s="10">
        <v>0.4905463743571505</v>
      </c>
      <c r="S6698" s="10">
        <v>0.02355537227111906</v>
      </c>
      <c r="T6698" s="10">
        <v>19.127117549721753</v>
      </c>
      <c r="U6698" s="11">
        <v>0.1467626429405945</v>
      </c>
      <c r="V6698" s="11">
        <v>0.21566892796397624</v>
      </c>
      <c r="W6698" s="11">
        <v>0.038367140663373336</v>
      </c>
      <c r="X6698" s="11">
        <v>0.2358139325039026</v>
      </c>
      <c r="Y6698" s="11">
        <v>0.08656270131284048</v>
      </c>
      <c r="Z6698" s="11">
        <v>0.2768246546153128</v>
      </c>
    </row>
    <row r="6699" ht="22.5" customHeight="1">
      <c r="Q6699" s="9" t="s">
        <v>6737</v>
      </c>
      <c r="R6699" s="10">
        <v>0.4699208313145693</v>
      </c>
      <c r="S6699" s="10">
        <v>0.022477186727562236</v>
      </c>
      <c r="T6699" s="10">
        <v>19.126985797888434</v>
      </c>
      <c r="U6699" s="11">
        <v>0.10919096775030783</v>
      </c>
      <c r="V6699" s="11">
        <v>0.20482678191231085</v>
      </c>
      <c r="W6699" s="11">
        <v>0.04067026893178489</v>
      </c>
      <c r="X6699" s="11">
        <v>0.17312677974044277</v>
      </c>
      <c r="Y6699" s="11">
        <v>0.145438126607909</v>
      </c>
      <c r="Z6699" s="11">
        <v>0.3267470750572447</v>
      </c>
    </row>
    <row r="6700" ht="22.5" customHeight="1">
      <c r="Q6700" s="9" t="s">
        <v>6738</v>
      </c>
      <c r="R6700" s="10">
        <v>0.2936901077611859</v>
      </c>
      <c r="S6700" s="10">
        <v>0.013264671740996568</v>
      </c>
      <c r="T6700" s="10">
        <v>19.12524581947373</v>
      </c>
      <c r="U6700" s="11">
        <v>0.3334304819411162</v>
      </c>
      <c r="V6700" s="11">
        <v>0.03506229459121377</v>
      </c>
      <c r="W6700" s="11">
        <v>0.0744384121178815</v>
      </c>
      <c r="X6700" s="11">
        <v>0.0988936014834334</v>
      </c>
      <c r="Y6700" s="11">
        <v>0.31459176681711853</v>
      </c>
      <c r="Z6700" s="11">
        <v>0.14358344304923648</v>
      </c>
    </row>
    <row r="6701" ht="22.5" customHeight="1">
      <c r="Q6701" s="9" t="s">
        <v>6739</v>
      </c>
      <c r="R6701" s="10">
        <v>0.8462598473977558</v>
      </c>
      <c r="S6701" s="10">
        <v>0.042157717606297704</v>
      </c>
      <c r="T6701" s="10">
        <v>19.124845773845053</v>
      </c>
      <c r="U6701" s="11">
        <v>0.2315715103477968</v>
      </c>
      <c r="V6701" s="11">
        <v>0.3800554014630252</v>
      </c>
      <c r="W6701" s="11">
        <v>0.1347918407404272</v>
      </c>
      <c r="X6701" s="11">
        <v>0.12826751271705272</v>
      </c>
      <c r="Y6701" s="11">
        <v>0.12407806248228374</v>
      </c>
      <c r="Z6701" s="11">
        <v>0.0012356722494144161</v>
      </c>
    </row>
    <row r="6702" ht="22.5" customHeight="1">
      <c r="Q6702" s="9" t="s">
        <v>6740</v>
      </c>
      <c r="R6702" s="10">
        <v>0.7151480334798799</v>
      </c>
      <c r="S6702" s="10">
        <v>0.03530292056105753</v>
      </c>
      <c r="T6702" s="10">
        <v>19.12442434648402</v>
      </c>
      <c r="U6702" s="11">
        <v>0.2587949870685644</v>
      </c>
      <c r="V6702" s="11">
        <v>0.31202571943153834</v>
      </c>
      <c r="W6702" s="11">
        <v>0.13114398723427742</v>
      </c>
      <c r="X6702" s="11">
        <v>0.02067887419626451</v>
      </c>
      <c r="Y6702" s="11">
        <v>0.006704719702766337</v>
      </c>
      <c r="Z6702" s="11">
        <v>0.270651712366589</v>
      </c>
    </row>
    <row r="6703" ht="22.5" customHeight="1">
      <c r="Q6703" s="9" t="s">
        <v>6741</v>
      </c>
      <c r="R6703" s="10">
        <v>0.6754135873907747</v>
      </c>
      <c r="S6703" s="10">
        <v>0.03323026976858922</v>
      </c>
      <c r="T6703" s="10">
        <v>19.12152961187805</v>
      </c>
      <c r="U6703" s="11">
        <v>0.06795232411179854</v>
      </c>
      <c r="V6703" s="11">
        <v>0.29411447065006346</v>
      </c>
      <c r="W6703" s="11">
        <v>0.12732392630235073</v>
      </c>
      <c r="X6703" s="11">
        <v>0.05084002875288589</v>
      </c>
      <c r="Y6703" s="11">
        <v>0.002603494143987373</v>
      </c>
      <c r="Z6703" s="11">
        <v>0.4571657560389142</v>
      </c>
    </row>
    <row r="6704" ht="22.5" customHeight="1">
      <c r="Q6704" s="9" t="s">
        <v>6742</v>
      </c>
      <c r="R6704" s="10">
        <v>0.6762570845874707</v>
      </c>
      <c r="S6704" s="10">
        <v>0.03327632590928761</v>
      </c>
      <c r="T6704" s="10">
        <v>19.120412701868858</v>
      </c>
      <c r="U6704" s="11">
        <v>0.008929107451668966</v>
      </c>
      <c r="V6704" s="11">
        <v>0.11548993122764746</v>
      </c>
      <c r="W6704" s="11">
        <v>0.27882245536441064</v>
      </c>
      <c r="X6704" s="11">
        <v>0.24630884233054043</v>
      </c>
      <c r="Y6704" s="11">
        <v>0.1896665208208577</v>
      </c>
      <c r="Z6704" s="11">
        <v>0.16078314280487466</v>
      </c>
    </row>
    <row r="6705" ht="22.5" customHeight="1">
      <c r="Q6705" s="9" t="s">
        <v>6743</v>
      </c>
      <c r="R6705" s="10">
        <v>0.5832358772900261</v>
      </c>
      <c r="S6705" s="10">
        <v>0.02841141175205629</v>
      </c>
      <c r="T6705" s="10">
        <v>19.120340869746084</v>
      </c>
      <c r="U6705" s="11">
        <v>0.09563649081985466</v>
      </c>
      <c r="V6705" s="11">
        <v>0.258291552893899</v>
      </c>
      <c r="W6705" s="11">
        <v>0.080544356146244</v>
      </c>
      <c r="X6705" s="11">
        <v>0.08762550837274784</v>
      </c>
      <c r="Y6705" s="11">
        <v>0.14024803739881975</v>
      </c>
      <c r="Z6705" s="11">
        <v>0.33765405436843465</v>
      </c>
    </row>
    <row r="6706" ht="22.5" customHeight="1">
      <c r="Q6706" s="9" t="s">
        <v>6744</v>
      </c>
      <c r="R6706" s="10">
        <v>0.6373241843493579</v>
      </c>
      <c r="S6706" s="10">
        <v>0.031241415688149532</v>
      </c>
      <c r="T6706" s="10">
        <v>19.11962602181099</v>
      </c>
      <c r="U6706" s="11">
        <v>0.2687339840992109</v>
      </c>
      <c r="V6706" s="11">
        <v>0.104373952089659</v>
      </c>
      <c r="W6706" s="11">
        <v>0.26145690200851185</v>
      </c>
      <c r="X6706" s="11">
        <v>0.17227529356352853</v>
      </c>
      <c r="Y6706" s="11">
        <v>0.13694066305923852</v>
      </c>
      <c r="Z6706" s="11">
        <v>0.05621920517985115</v>
      </c>
    </row>
    <row r="6707" ht="22.5" customHeight="1">
      <c r="Q6707" s="9" t="s">
        <v>6745</v>
      </c>
      <c r="R6707" s="10">
        <v>0.7007560662399602</v>
      </c>
      <c r="S6707" s="10">
        <v>0.03455988411500768</v>
      </c>
      <c r="T6707" s="10">
        <v>19.11916324838097</v>
      </c>
      <c r="U6707" s="11">
        <v>0.163968855884133</v>
      </c>
      <c r="V6707" s="11">
        <v>0.13461929076762333</v>
      </c>
      <c r="W6707" s="11">
        <v>0.28714198456897544</v>
      </c>
      <c r="X6707" s="11">
        <v>0.15239135381207555</v>
      </c>
      <c r="Y6707" s="11">
        <v>0.10459775891466513</v>
      </c>
      <c r="Z6707" s="11">
        <v>0.15728075605252742</v>
      </c>
    </row>
    <row r="6708" ht="22.5" customHeight="1">
      <c r="Q6708" s="9" t="s">
        <v>6746</v>
      </c>
      <c r="R6708" s="10">
        <v>0.9087796235153982</v>
      </c>
      <c r="S6708" s="10">
        <v>0.04544046075253741</v>
      </c>
      <c r="T6708" s="10">
        <v>19.119076020083824</v>
      </c>
      <c r="U6708" s="11">
        <v>0.045855943599211406</v>
      </c>
      <c r="V6708" s="11">
        <v>0.40020586365478356</v>
      </c>
      <c r="W6708" s="11">
        <v>0.18399600160596247</v>
      </c>
      <c r="X6708" s="11">
        <v>0.074679957159027</v>
      </c>
      <c r="Y6708" s="11">
        <v>0.027688812445976336</v>
      </c>
      <c r="Z6708" s="11">
        <v>0.2675734215350391</v>
      </c>
    </row>
    <row r="6709" ht="22.5" customHeight="1">
      <c r="Q6709" s="9" t="s">
        <v>6747</v>
      </c>
      <c r="R6709" s="10">
        <v>0.44594881883896853</v>
      </c>
      <c r="S6709" s="10">
        <v>0.021232933788279514</v>
      </c>
      <c r="T6709" s="10">
        <v>19.118828461804487</v>
      </c>
      <c r="U6709" s="11">
        <v>0.26186204892963205</v>
      </c>
      <c r="V6709" s="11">
        <v>0.043327191912681313</v>
      </c>
      <c r="W6709" s="11">
        <v>0.1725241566878618</v>
      </c>
      <c r="X6709" s="11">
        <v>0.21258450646012578</v>
      </c>
      <c r="Y6709" s="11">
        <v>0.23341484327735848</v>
      </c>
      <c r="Z6709" s="11">
        <v>0.07628725273234058</v>
      </c>
    </row>
    <row r="6710" ht="22.5" customHeight="1">
      <c r="Q6710" s="9" t="s">
        <v>6748</v>
      </c>
      <c r="R6710" s="10">
        <v>0.572456765420317</v>
      </c>
      <c r="S6710" s="10">
        <v>0.027852500934177203</v>
      </c>
      <c r="T6710" s="10">
        <v>19.117018133439885</v>
      </c>
      <c r="U6710" s="11">
        <v>0.2823574965616129</v>
      </c>
      <c r="V6710" s="11">
        <v>0.25477572635488993</v>
      </c>
      <c r="W6710" s="11">
        <v>0.05342347945342647</v>
      </c>
      <c r="X6710" s="11">
        <v>0.240721219063844</v>
      </c>
      <c r="Y6710" s="11">
        <v>0.03451931237904664</v>
      </c>
      <c r="Z6710" s="11">
        <v>0.13420276618718002</v>
      </c>
    </row>
    <row r="6711" ht="22.5" customHeight="1">
      <c r="Q6711" s="9" t="s">
        <v>6749</v>
      </c>
      <c r="R6711" s="10">
        <v>0.6647801843370941</v>
      </c>
      <c r="S6711" s="10">
        <v>0.03268205019844211</v>
      </c>
      <c r="T6711" s="10">
        <v>19.116921384781307</v>
      </c>
      <c r="U6711" s="11">
        <v>0.2999161907577472</v>
      </c>
      <c r="V6711" s="11">
        <v>0.295927591734472</v>
      </c>
      <c r="W6711" s="11">
        <v>0.09254215346324343</v>
      </c>
      <c r="X6711" s="11">
        <v>0.10215199201267089</v>
      </c>
      <c r="Y6711" s="11">
        <v>0.07883353039350642</v>
      </c>
      <c r="Z6711" s="11">
        <v>0.13062854163836002</v>
      </c>
    </row>
    <row r="6712" ht="22.5" customHeight="1">
      <c r="Q6712" s="9" t="s">
        <v>6750</v>
      </c>
      <c r="R6712" s="10">
        <v>0.6647817749409468</v>
      </c>
      <c r="S6712" s="10">
        <v>0.03268415017601055</v>
      </c>
      <c r="T6712" s="10">
        <v>19.115741776254687</v>
      </c>
      <c r="U6712" s="11">
        <v>0.3373678907151336</v>
      </c>
      <c r="V6712" s="11">
        <v>0.2980320538291015</v>
      </c>
      <c r="W6712" s="11">
        <v>0.07515139160816674</v>
      </c>
      <c r="X6712" s="11">
        <v>0.2135201630633253</v>
      </c>
      <c r="Y6712" s="11">
        <v>0.055059974654359606</v>
      </c>
      <c r="Z6712" s="11">
        <v>0.020868526129913325</v>
      </c>
    </row>
    <row r="6713" ht="22.5" customHeight="1">
      <c r="Q6713" s="9" t="s">
        <v>6751</v>
      </c>
      <c r="R6713" s="10">
        <v>0.7596983096554839</v>
      </c>
      <c r="S6713" s="10">
        <v>0.03765374603898317</v>
      </c>
      <c r="T6713" s="10">
        <v>19.11359121906159</v>
      </c>
      <c r="U6713" s="11">
        <v>0.15726310841645888</v>
      </c>
      <c r="V6713" s="11">
        <v>0.34087178276605906</v>
      </c>
      <c r="W6713" s="11">
        <v>0.11151610032155636</v>
      </c>
      <c r="X6713" s="11">
        <v>0.11721673618322269</v>
      </c>
      <c r="Y6713" s="11">
        <v>0.2084261801904409</v>
      </c>
      <c r="Z6713" s="11">
        <v>0.06470609212226194</v>
      </c>
    </row>
    <row r="6714" ht="22.5" customHeight="1">
      <c r="Q6714" s="9" t="s">
        <v>6752</v>
      </c>
      <c r="R6714" s="10">
        <v>0.7377019551922315</v>
      </c>
      <c r="S6714" s="10">
        <v>0.0365052368803879</v>
      </c>
      <c r="T6714" s="10">
        <v>19.11237988889932</v>
      </c>
      <c r="U6714" s="11">
        <v>0.2758962867208384</v>
      </c>
      <c r="V6714" s="11">
        <v>0.1750409615963334</v>
      </c>
      <c r="W6714" s="11">
        <v>0.289894657906173</v>
      </c>
      <c r="X6714" s="11">
        <v>0.02233199983457841</v>
      </c>
      <c r="Y6714" s="11">
        <v>0.013489822138041984</v>
      </c>
      <c r="Z6714" s="11">
        <v>0.22334627180403485</v>
      </c>
    </row>
    <row r="6715" ht="22.5" customHeight="1">
      <c r="Q6715" s="9" t="s">
        <v>6753</v>
      </c>
      <c r="R6715" s="10">
        <v>0.4796022561099375</v>
      </c>
      <c r="S6715" s="10">
        <v>0.023001723608477735</v>
      </c>
      <c r="T6715" s="10">
        <v>19.111709348073095</v>
      </c>
      <c r="U6715" s="11">
        <v>0.20884133592201617</v>
      </c>
      <c r="V6715" s="11">
        <v>0.07519462854879488</v>
      </c>
      <c r="W6715" s="11">
        <v>0.1782358894846041</v>
      </c>
      <c r="X6715" s="11">
        <v>0.05567128794346488</v>
      </c>
      <c r="Y6715" s="11">
        <v>0.3628856059061952</v>
      </c>
      <c r="Z6715" s="11">
        <v>0.11917125219492473</v>
      </c>
    </row>
    <row r="6716" ht="22.5" customHeight="1">
      <c r="Q6716" s="9" t="s">
        <v>6754</v>
      </c>
      <c r="R6716" s="10">
        <v>0.7550382305845122</v>
      </c>
      <c r="S6716" s="10">
        <v>0.03741478535365074</v>
      </c>
      <c r="T6716" s="10">
        <v>19.111114064289094</v>
      </c>
      <c r="U6716" s="11">
        <v>0.018908574854912763</v>
      </c>
      <c r="V6716" s="11">
        <v>0.3439590628375318</v>
      </c>
      <c r="W6716" s="11">
        <v>0.08468031933583577</v>
      </c>
      <c r="X6716" s="11">
        <v>0.36830625752221513</v>
      </c>
      <c r="Y6716" s="11">
        <v>0.12806565368320252</v>
      </c>
      <c r="Z6716" s="11">
        <v>0.05608013176630202</v>
      </c>
    </row>
    <row r="6717" ht="22.5" customHeight="1">
      <c r="Q6717" s="9" t="s">
        <v>6755</v>
      </c>
      <c r="R6717" s="10">
        <v>0.70206839829078</v>
      </c>
      <c r="S6717" s="10">
        <v>0.034646505375062246</v>
      </c>
      <c r="T6717" s="10">
        <v>19.109240343971937</v>
      </c>
      <c r="U6717" s="11">
        <v>0.2664238728992033</v>
      </c>
      <c r="V6717" s="11">
        <v>0.3130647797580189</v>
      </c>
      <c r="W6717" s="11">
        <v>0.10493680117335907</v>
      </c>
      <c r="X6717" s="11">
        <v>0.08381629150076997</v>
      </c>
      <c r="Y6717" s="11">
        <v>0.09724818778443425</v>
      </c>
      <c r="Z6717" s="11">
        <v>0.13451006688421446</v>
      </c>
    </row>
    <row r="6718" ht="22.5" customHeight="1">
      <c r="Q6718" s="9" t="s">
        <v>6756</v>
      </c>
      <c r="R6718" s="10">
        <v>0.5831300394105076</v>
      </c>
      <c r="S6718" s="10">
        <v>0.02842280992294615</v>
      </c>
      <c r="T6718" s="10">
        <v>19.108949498058976</v>
      </c>
      <c r="U6718" s="11">
        <v>0.29427052610867077</v>
      </c>
      <c r="V6718" s="11">
        <v>0.2587909414986458</v>
      </c>
      <c r="W6718" s="11">
        <v>0.04688318743601241</v>
      </c>
      <c r="X6718" s="11">
        <v>0.27409023891938117</v>
      </c>
      <c r="Y6718" s="11">
        <v>0.10386535661190313</v>
      </c>
      <c r="Z6718" s="11">
        <v>0.022099749425386565</v>
      </c>
    </row>
    <row r="6719" ht="22.5" customHeight="1">
      <c r="Q6719" s="9" t="s">
        <v>6757</v>
      </c>
      <c r="R6719" s="10">
        <v>0.6915196137844735</v>
      </c>
      <c r="S6719" s="10">
        <v>0.03409647657174402</v>
      </c>
      <c r="T6719" s="10">
        <v>19.10812140408643</v>
      </c>
      <c r="U6719" s="11">
        <v>0.04859083328309054</v>
      </c>
      <c r="V6719" s="11">
        <v>0.31404447629170745</v>
      </c>
      <c r="W6719" s="11">
        <v>0.08822358650150691</v>
      </c>
      <c r="X6719" s="11">
        <v>0.22548294020292176</v>
      </c>
      <c r="Y6719" s="11">
        <v>0.10840686130913624</v>
      </c>
      <c r="Z6719" s="11">
        <v>0.2152513024116372</v>
      </c>
    </row>
    <row r="6720" ht="22.5" customHeight="1">
      <c r="Q6720" s="9" t="s">
        <v>6758</v>
      </c>
      <c r="R6720" s="10">
        <v>0.7128493171757352</v>
      </c>
      <c r="S6720" s="10">
        <v>0.03521313458325708</v>
      </c>
      <c r="T6720" s="10">
        <v>19.107907465177988</v>
      </c>
      <c r="U6720" s="11">
        <v>0.04447591984369402</v>
      </c>
      <c r="V6720" s="11">
        <v>0.12056844403023062</v>
      </c>
      <c r="W6720" s="11">
        <v>0.29733403770268635</v>
      </c>
      <c r="X6720" s="11">
        <v>0.3384444638893834</v>
      </c>
      <c r="Y6720" s="11">
        <v>0.037461472184115864</v>
      </c>
      <c r="Z6720" s="11">
        <v>0.1617156623498898</v>
      </c>
    </row>
    <row r="6721" ht="22.5" customHeight="1">
      <c r="Q6721" s="9" t="s">
        <v>6759</v>
      </c>
      <c r="R6721" s="10">
        <v>0.703263586960976</v>
      </c>
      <c r="S6721" s="10">
        <v>0.03471314433138266</v>
      </c>
      <c r="T6721" s="10">
        <v>19.106986697294026</v>
      </c>
      <c r="U6721" s="11">
        <v>0.04576118369306403</v>
      </c>
      <c r="V6721" s="11">
        <v>0.11972251867962144</v>
      </c>
      <c r="W6721" s="11">
        <v>0.29265587832590584</v>
      </c>
      <c r="X6721" s="11">
        <v>0.2856393817931481</v>
      </c>
      <c r="Y6721" s="11">
        <v>0.11252990972483548</v>
      </c>
      <c r="Z6721" s="11">
        <v>0.14369112778342513</v>
      </c>
    </row>
    <row r="6722" ht="22.5" customHeight="1">
      <c r="Q6722" s="9" t="s">
        <v>6760</v>
      </c>
      <c r="R6722" s="10">
        <v>0.4261030403838499</v>
      </c>
      <c r="S6722" s="10">
        <v>0.02020835774864125</v>
      </c>
      <c r="T6722" s="10">
        <v>19.106106749808028</v>
      </c>
      <c r="U6722" s="11">
        <v>0.08417946628041262</v>
      </c>
      <c r="V6722" s="11">
        <v>0.06650764581098491</v>
      </c>
      <c r="W6722" s="11">
        <v>0.15199779395639046</v>
      </c>
      <c r="X6722" s="11">
        <v>0.06497830487962585</v>
      </c>
      <c r="Y6722" s="11">
        <v>0.3832312743129692</v>
      </c>
      <c r="Z6722" s="11">
        <v>0.24910551475961706</v>
      </c>
    </row>
    <row r="6723" ht="22.5" customHeight="1">
      <c r="Q6723" s="9" t="s">
        <v>6761</v>
      </c>
      <c r="R6723" s="10">
        <v>0.603353191862121</v>
      </c>
      <c r="S6723" s="10">
        <v>0.02948786197937077</v>
      </c>
      <c r="T6723" s="10">
        <v>19.104579106353444</v>
      </c>
      <c r="U6723" s="11">
        <v>0.29663134786665285</v>
      </c>
      <c r="V6723" s="11">
        <v>0.2698939195673519</v>
      </c>
      <c r="W6723" s="11">
        <v>0.058960156810432145</v>
      </c>
      <c r="X6723" s="11">
        <v>0.2550519507594627</v>
      </c>
      <c r="Y6723" s="11">
        <v>0.01615542825147576</v>
      </c>
      <c r="Z6723" s="11">
        <v>0.10330719674462471</v>
      </c>
    </row>
    <row r="6724" ht="22.5" customHeight="1">
      <c r="Q6724" s="9" t="s">
        <v>6762</v>
      </c>
      <c r="R6724" s="10">
        <v>0.6035431115705953</v>
      </c>
      <c r="S6724" s="10">
        <v>0.02949891095126451</v>
      </c>
      <c r="T6724" s="10">
        <v>19.103861579894637</v>
      </c>
      <c r="U6724" s="11">
        <v>0.16697774453062186</v>
      </c>
      <c r="V6724" s="11">
        <v>0.10834192521130848</v>
      </c>
      <c r="W6724" s="11">
        <v>0.24034350084248132</v>
      </c>
      <c r="X6724" s="11">
        <v>0.07804782014745038</v>
      </c>
      <c r="Y6724" s="11">
        <v>0.27622883585859015</v>
      </c>
      <c r="Z6724" s="11">
        <v>0.13006017340954784</v>
      </c>
    </row>
    <row r="6725" ht="22.5" customHeight="1">
      <c r="Q6725" s="9" t="s">
        <v>6763</v>
      </c>
      <c r="R6725" s="10">
        <v>0.5997081420661009</v>
      </c>
      <c r="S6725" s="10">
        <v>0.029298397062306768</v>
      </c>
      <c r="T6725" s="10">
        <v>19.103712086221314</v>
      </c>
      <c r="U6725" s="11">
        <v>0.18467891741385803</v>
      </c>
      <c r="V6725" s="11">
        <v>0.08978017403634544</v>
      </c>
      <c r="W6725" s="11">
        <v>0.24740078822972758</v>
      </c>
      <c r="X6725" s="11">
        <v>0.22175317208556905</v>
      </c>
      <c r="Y6725" s="11">
        <v>0.13185205821142376</v>
      </c>
      <c r="Z6725" s="11">
        <v>0.12453489002307606</v>
      </c>
    </row>
    <row r="6726" ht="22.5" customHeight="1">
      <c r="Q6726" s="9" t="s">
        <v>6764</v>
      </c>
      <c r="R6726" s="10">
        <v>0.31817731257827603</v>
      </c>
      <c r="S6726" s="10">
        <v>0.014562309366054387</v>
      </c>
      <c r="T6726" s="10">
        <v>19.10255479304155</v>
      </c>
      <c r="U6726" s="11">
        <v>0.4068247642724283</v>
      </c>
      <c r="V6726" s="11">
        <v>0.02711308439544451</v>
      </c>
      <c r="W6726" s="11">
        <v>0.1042698518411386</v>
      </c>
      <c r="X6726" s="11">
        <v>0.17963514847312254</v>
      </c>
      <c r="Y6726" s="11">
        <v>0.06550728242786373</v>
      </c>
      <c r="Z6726" s="11">
        <v>0.2166498685900023</v>
      </c>
    </row>
    <row r="6727" ht="22.5" customHeight="1">
      <c r="Q6727" s="9" t="s">
        <v>6765</v>
      </c>
      <c r="R6727" s="10">
        <v>0.7554103808793218</v>
      </c>
      <c r="S6727" s="10">
        <v>0.03745110206935394</v>
      </c>
      <c r="T6727" s="10">
        <v>19.102518787150423</v>
      </c>
      <c r="U6727" s="11">
        <v>0.17220026570968752</v>
      </c>
      <c r="V6727" s="11">
        <v>0.3404561710624813</v>
      </c>
      <c r="W6727" s="11">
        <v>0.10146712986709788</v>
      </c>
      <c r="X6727" s="11">
        <v>0.16188251807913018</v>
      </c>
      <c r="Y6727" s="11">
        <v>0.21586427672759775</v>
      </c>
      <c r="Z6727" s="11">
        <v>0.008129638554005472</v>
      </c>
    </row>
    <row r="6728" ht="22.5" customHeight="1">
      <c r="Q6728" s="9" t="s">
        <v>6766</v>
      </c>
      <c r="R6728" s="10">
        <v>0.4855945822251377</v>
      </c>
      <c r="S6728" s="10">
        <v>0.023329421126939462</v>
      </c>
      <c r="T6728" s="10">
        <v>19.100113106132365</v>
      </c>
      <c r="U6728" s="11">
        <v>0.09351561002642104</v>
      </c>
      <c r="V6728" s="11">
        <v>0.057114765888118084</v>
      </c>
      <c r="W6728" s="11">
        <v>0.19457674033419523</v>
      </c>
      <c r="X6728" s="11">
        <v>0.23943375818828885</v>
      </c>
      <c r="Y6728" s="11">
        <v>0.20925614328363246</v>
      </c>
      <c r="Z6728" s="11">
        <v>0.20610298227934426</v>
      </c>
    </row>
    <row r="6729" ht="22.5" customHeight="1">
      <c r="Q6729" s="9" t="s">
        <v>6767</v>
      </c>
      <c r="R6729" s="10">
        <v>0.49198435182879097</v>
      </c>
      <c r="S6729" s="10">
        <v>0.023664053823192283</v>
      </c>
      <c r="T6729" s="10">
        <v>19.10003903835857</v>
      </c>
      <c r="U6729" s="11">
        <v>0.271337823592881</v>
      </c>
      <c r="V6729" s="11">
        <v>0.21074739085580313</v>
      </c>
      <c r="W6729" s="11">
        <v>0.050447496419790176</v>
      </c>
      <c r="X6729" s="11">
        <v>0.0803409190770401</v>
      </c>
      <c r="Y6729" s="11">
        <v>0.197988255567145</v>
      </c>
      <c r="Z6729" s="11">
        <v>0.18913811448734053</v>
      </c>
    </row>
    <row r="6730" ht="22.5" customHeight="1">
      <c r="Q6730" s="9" t="s">
        <v>6768</v>
      </c>
      <c r="R6730" s="10">
        <v>0.45129117146322495</v>
      </c>
      <c r="S6730" s="10">
        <v>0.021534023080987556</v>
      </c>
      <c r="T6730" s="10">
        <v>19.09959740994032</v>
      </c>
      <c r="U6730" s="11">
        <v>0.25737535030219777</v>
      </c>
      <c r="V6730" s="11">
        <v>0.18783690180560775</v>
      </c>
      <c r="W6730" s="11">
        <v>0.04954172677962912</v>
      </c>
      <c r="X6730" s="11">
        <v>0.03794835226372411</v>
      </c>
      <c r="Y6730" s="11">
        <v>0.21728600446803945</v>
      </c>
      <c r="Z6730" s="11">
        <v>0.2500116643808018</v>
      </c>
    </row>
    <row r="6731" ht="22.5" customHeight="1">
      <c r="Q6731" s="9" t="s">
        <v>6769</v>
      </c>
      <c r="R6731" s="10">
        <v>0.8925418259359017</v>
      </c>
      <c r="S6731" s="10">
        <v>0.04463910874820497</v>
      </c>
      <c r="T6731" s="10">
        <v>19.09854049158596</v>
      </c>
      <c r="U6731" s="11">
        <v>0.22742600931467696</v>
      </c>
      <c r="V6731" s="11">
        <v>0.21143742654909783</v>
      </c>
      <c r="W6731" s="11">
        <v>0.3576446860539086</v>
      </c>
      <c r="X6731" s="11">
        <v>0.06108869289990354</v>
      </c>
      <c r="Y6731" s="11">
        <v>0.08896779712957517</v>
      </c>
      <c r="Z6731" s="11">
        <v>0.053435388052837735</v>
      </c>
    </row>
    <row r="6732" ht="22.5" customHeight="1">
      <c r="Q6732" s="9" t="s">
        <v>6770</v>
      </c>
      <c r="R6732" s="10">
        <v>0.806532726880048</v>
      </c>
      <c r="S6732" s="10">
        <v>0.04013642665183379</v>
      </c>
      <c r="T6732" s="10">
        <v>19.09818065094307</v>
      </c>
      <c r="U6732" s="11">
        <v>0.27344181214134045</v>
      </c>
      <c r="V6732" s="11">
        <v>0.3557054764744053</v>
      </c>
      <c r="W6732" s="11">
        <v>0.14109599212695143</v>
      </c>
      <c r="X6732" s="11">
        <v>0.013463504242984307</v>
      </c>
      <c r="Y6732" s="11">
        <v>0.16602365553072007</v>
      </c>
      <c r="Z6732" s="11">
        <v>0.05026955948359851</v>
      </c>
    </row>
    <row r="6733" ht="22.5" customHeight="1">
      <c r="Q6733" s="9" t="s">
        <v>6771</v>
      </c>
      <c r="R6733" s="10">
        <v>0.6150097204648595</v>
      </c>
      <c r="S6733" s="10">
        <v>0.030108614745256473</v>
      </c>
      <c r="T6733" s="10">
        <v>19.097847088944885</v>
      </c>
      <c r="U6733" s="11">
        <v>0.1626770649791283</v>
      </c>
      <c r="V6733" s="11">
        <v>0.10886982576586685</v>
      </c>
      <c r="W6733" s="11">
        <v>0.24840295404110535</v>
      </c>
      <c r="X6733" s="11">
        <v>0.10694822601369224</v>
      </c>
      <c r="Y6733" s="11">
        <v>0.2243407415918441</v>
      </c>
      <c r="Z6733" s="11">
        <v>0.14876118760836313</v>
      </c>
    </row>
    <row r="6734" ht="22.5" customHeight="1">
      <c r="Q6734" s="9" t="s">
        <v>6772</v>
      </c>
      <c r="R6734" s="10">
        <v>0.5620473605314414</v>
      </c>
      <c r="S6734" s="10">
        <v>0.027335895865443632</v>
      </c>
      <c r="T6734" s="10">
        <v>19.09750326461339</v>
      </c>
      <c r="U6734" s="11">
        <v>0.33028890684759155</v>
      </c>
      <c r="V6734" s="11">
        <v>0.24210741217585927</v>
      </c>
      <c r="W6734" s="11">
        <v>0.06522213854594952</v>
      </c>
      <c r="X6734" s="11">
        <v>0.06403736247766623</v>
      </c>
      <c r="Y6734" s="11">
        <v>0.23731217548718403</v>
      </c>
      <c r="Z6734" s="11">
        <v>0.061032004465749363</v>
      </c>
    </row>
    <row r="6735" ht="22.5" customHeight="1">
      <c r="Q6735" s="9" t="s">
        <v>6773</v>
      </c>
      <c r="R6735" s="10">
        <v>0.678069537578061</v>
      </c>
      <c r="S6735" s="10">
        <v>0.033411992387940743</v>
      </c>
      <c r="T6735" s="10">
        <v>19.097021517590097</v>
      </c>
      <c r="U6735" s="11">
        <v>0.2494418228898877</v>
      </c>
      <c r="V6735" s="11">
        <v>0.3067442935016852</v>
      </c>
      <c r="W6735" s="11">
        <v>0.0812615411289185</v>
      </c>
      <c r="X6735" s="11">
        <v>0.22650671178787213</v>
      </c>
      <c r="Y6735" s="11">
        <v>0.021910330256155162</v>
      </c>
      <c r="Z6735" s="11">
        <v>0.11413530043548142</v>
      </c>
    </row>
    <row r="6736" ht="22.5" customHeight="1">
      <c r="Q6736" s="9" t="s">
        <v>6774</v>
      </c>
      <c r="R6736" s="10">
        <v>0.6597414553657425</v>
      </c>
      <c r="S6736" s="10">
        <v>0.03245278500126653</v>
      </c>
      <c r="T6736" s="10">
        <v>19.096710970770484</v>
      </c>
      <c r="U6736" s="11">
        <v>0.14005780986304361</v>
      </c>
      <c r="V6736" s="11">
        <v>0.10253630309928081</v>
      </c>
      <c r="W6736" s="11">
        <v>0.275407561274688</v>
      </c>
      <c r="X6736" s="11">
        <v>0.3019002740771438</v>
      </c>
      <c r="Y6736" s="11">
        <v>0.057061782500809795</v>
      </c>
      <c r="Z6736" s="11">
        <v>0.1230362691850338</v>
      </c>
    </row>
    <row r="6737" ht="22.5" customHeight="1">
      <c r="Q6737" s="9" t="s">
        <v>6775</v>
      </c>
      <c r="R6737" s="10">
        <v>0.7697071088159728</v>
      </c>
      <c r="S6737" s="10">
        <v>0.03821144444810805</v>
      </c>
      <c r="T6737" s="10">
        <v>19.09655914229912</v>
      </c>
      <c r="U6737" s="11">
        <v>0.15440772753438073</v>
      </c>
      <c r="V6737" s="11">
        <v>0.14169140835357635</v>
      </c>
      <c r="W6737" s="11">
        <v>0.32093507173542907</v>
      </c>
      <c r="X6737" s="11">
        <v>0.2635578853499509</v>
      </c>
      <c r="Y6737" s="11">
        <v>0.03929919843383438</v>
      </c>
      <c r="Z6737" s="11">
        <v>0.08010870859282852</v>
      </c>
    </row>
    <row r="6738" ht="22.5" customHeight="1">
      <c r="Q6738" s="9" t="s">
        <v>6776</v>
      </c>
      <c r="R6738" s="10">
        <v>0.5071818334452343</v>
      </c>
      <c r="S6738" s="10">
        <v>0.024464291849159926</v>
      </c>
      <c r="T6738" s="10">
        <v>19.096478914073973</v>
      </c>
      <c r="U6738" s="11">
        <v>0.2541628554510077</v>
      </c>
      <c r="V6738" s="11">
        <v>0.09554410087366318</v>
      </c>
      <c r="W6738" s="11">
        <v>0.19337623111150956</v>
      </c>
      <c r="X6738" s="11">
        <v>0.0035480293968011283</v>
      </c>
      <c r="Y6738" s="11">
        <v>0.20328455006005008</v>
      </c>
      <c r="Z6738" s="11">
        <v>0.25008423310696826</v>
      </c>
    </row>
    <row r="6739" ht="22.5" customHeight="1">
      <c r="Q6739" s="9" t="s">
        <v>6777</v>
      </c>
      <c r="R6739" s="10">
        <v>0.5929849831846795</v>
      </c>
      <c r="S6739" s="10">
        <v>0.028957622402072447</v>
      </c>
      <c r="T6739" s="10">
        <v>19.09635312963758</v>
      </c>
      <c r="U6739" s="11">
        <v>0.12111511666718765</v>
      </c>
      <c r="V6739" s="11">
        <v>0.09937004863471108</v>
      </c>
      <c r="W6739" s="11">
        <v>0.24349154024596123</v>
      </c>
      <c r="X6739" s="11">
        <v>0.2071913395642439</v>
      </c>
      <c r="Y6739" s="11">
        <v>0.05390965055667052</v>
      </c>
      <c r="Z6739" s="11">
        <v>0.2749223043312256</v>
      </c>
    </row>
    <row r="6740" ht="22.5" customHeight="1">
      <c r="Q6740" s="9" t="s">
        <v>6778</v>
      </c>
      <c r="R6740" s="10">
        <v>0.5627827032883584</v>
      </c>
      <c r="S6740" s="10">
        <v>0.02737733480889204</v>
      </c>
      <c r="T6740" s="10">
        <v>19.095456403541547</v>
      </c>
      <c r="U6740" s="11">
        <v>0.15034784184520975</v>
      </c>
      <c r="V6740" s="11">
        <v>0.2521875408912202</v>
      </c>
      <c r="W6740" s="11">
        <v>0.05095963220035567</v>
      </c>
      <c r="X6740" s="11">
        <v>0.2898455813618017</v>
      </c>
      <c r="Y6740" s="11">
        <v>0.016270481986590986</v>
      </c>
      <c r="Z6740" s="11">
        <v>0.24038892171482157</v>
      </c>
    </row>
    <row r="6741" ht="22.5" customHeight="1">
      <c r="Q6741" s="9" t="s">
        <v>6779</v>
      </c>
      <c r="R6741" s="10">
        <v>0.6601188046768488</v>
      </c>
      <c r="S6741" s="10">
        <v>0.032474795046788275</v>
      </c>
      <c r="T6741" s="10">
        <v>19.09538778561677</v>
      </c>
      <c r="U6741" s="11">
        <v>0.11139014238608783</v>
      </c>
      <c r="V6741" s="11">
        <v>0.1479670090980429</v>
      </c>
      <c r="W6741" s="11">
        <v>0.26200984212410555</v>
      </c>
      <c r="X6741" s="11">
        <v>0.07902231731322173</v>
      </c>
      <c r="Y6741" s="11">
        <v>0.020753288482026556</v>
      </c>
      <c r="Z6741" s="11">
        <v>0.3788574005965155</v>
      </c>
    </row>
    <row r="6742" ht="22.5" customHeight="1">
      <c r="Q6742" s="9" t="s">
        <v>6780</v>
      </c>
      <c r="R6742" s="10">
        <v>0.4937454197541812</v>
      </c>
      <c r="S6742" s="10">
        <v>0.02376241147285087</v>
      </c>
      <c r="T6742" s="10">
        <v>19.095091433485038</v>
      </c>
      <c r="U6742" s="11">
        <v>0.1451667349690268</v>
      </c>
      <c r="V6742" s="11">
        <v>0.18628647492294328</v>
      </c>
      <c r="W6742" s="11">
        <v>0.06808268015865374</v>
      </c>
      <c r="X6742" s="11">
        <v>0.014823321194364384</v>
      </c>
      <c r="Y6742" s="11">
        <v>0.5388034818860745</v>
      </c>
      <c r="Z6742" s="11">
        <v>0.04683730686893738</v>
      </c>
    </row>
    <row r="6743" ht="22.5" customHeight="1">
      <c r="Q6743" s="9" t="s">
        <v>6781</v>
      </c>
      <c r="R6743" s="10">
        <v>0.6409626553684302</v>
      </c>
      <c r="S6743" s="10">
        <v>0.03147213753293304</v>
      </c>
      <c r="T6743" s="10">
        <v>19.095069559211588</v>
      </c>
      <c r="U6743" s="11">
        <v>0.08550562549819996</v>
      </c>
      <c r="V6743" s="11">
        <v>0.282600271646303</v>
      </c>
      <c r="W6743" s="11">
        <v>0.08596117121298637</v>
      </c>
      <c r="X6743" s="11">
        <v>0.0827192057415148</v>
      </c>
      <c r="Y6743" s="11">
        <v>0.3148629680053606</v>
      </c>
      <c r="Z6743" s="11">
        <v>0.14835075789563518</v>
      </c>
    </row>
    <row r="6744" ht="22.5" customHeight="1">
      <c r="Q6744" s="9" t="s">
        <v>6782</v>
      </c>
      <c r="R6744" s="10">
        <v>0.25990251467793024</v>
      </c>
      <c r="S6744" s="10">
        <v>0.011516427096284167</v>
      </c>
      <c r="T6744" s="10">
        <v>19.09468213009249</v>
      </c>
      <c r="U6744" s="11">
        <v>0.25624588666247744</v>
      </c>
      <c r="V6744" s="11">
        <v>0.05480061248722888</v>
      </c>
      <c r="W6744" s="11">
        <v>0.028176656361542072</v>
      </c>
      <c r="X6744" s="11">
        <v>0.12359432230419211</v>
      </c>
      <c r="Y6744" s="11">
        <v>0.33581592024010265</v>
      </c>
      <c r="Z6744" s="11">
        <v>0.20136660194445669</v>
      </c>
    </row>
    <row r="6745" ht="22.5" customHeight="1">
      <c r="Q6745" s="9" t="s">
        <v>6783</v>
      </c>
      <c r="R6745" s="10">
        <v>0.7112469704636565</v>
      </c>
      <c r="S6745" s="10">
        <v>0.03515478203756742</v>
      </c>
      <c r="T6745" s="10">
        <v>19.094044438857352</v>
      </c>
      <c r="U6745" s="11">
        <v>0.09000674649042166</v>
      </c>
      <c r="V6745" s="11">
        <v>0.11286956474967086</v>
      </c>
      <c r="W6745" s="11">
        <v>0.2979904437447131</v>
      </c>
      <c r="X6745" s="11">
        <v>0.38094969215104857</v>
      </c>
      <c r="Y6745" s="11">
        <v>0.01134810309693056</v>
      </c>
      <c r="Z6745" s="11">
        <v>0.10683544976721504</v>
      </c>
    </row>
    <row r="6746" ht="22.5" customHeight="1">
      <c r="Q6746" s="9" t="s">
        <v>6784</v>
      </c>
      <c r="R6746" s="10">
        <v>0.4605463516628002</v>
      </c>
      <c r="S6746" s="10">
        <v>0.022025059798699172</v>
      </c>
      <c r="T6746" s="10">
        <v>19.09399363754001</v>
      </c>
      <c r="U6746" s="11">
        <v>0.27426618470661135</v>
      </c>
      <c r="V6746" s="11">
        <v>0.1841351132296282</v>
      </c>
      <c r="W6746" s="11">
        <v>0.03657014622584578</v>
      </c>
      <c r="X6746" s="11">
        <v>0.11792132414045936</v>
      </c>
      <c r="Y6746" s="11">
        <v>0.3820544465556034</v>
      </c>
      <c r="Z6746" s="11">
        <v>0.005052785141851821</v>
      </c>
    </row>
    <row r="6747" ht="22.5" customHeight="1">
      <c r="Q6747" s="9" t="s">
        <v>6785</v>
      </c>
      <c r="R6747" s="10">
        <v>0.6537310427123337</v>
      </c>
      <c r="S6747" s="10">
        <v>0.032143140993031095</v>
      </c>
      <c r="T6747" s="10">
        <v>19.093686047838194</v>
      </c>
      <c r="U6747" s="11">
        <v>0.036442850821738246</v>
      </c>
      <c r="V6747" s="11">
        <v>0.09119502263414742</v>
      </c>
      <c r="W6747" s="11">
        <v>0.27085728368441525</v>
      </c>
      <c r="X6747" s="11">
        <v>0.340819078521636</v>
      </c>
      <c r="Y6747" s="11">
        <v>0.22720299733507243</v>
      </c>
      <c r="Z6747" s="11">
        <v>0.0334827670029907</v>
      </c>
    </row>
    <row r="6748" ht="22.5" customHeight="1">
      <c r="Q6748" s="9" t="s">
        <v>6786</v>
      </c>
      <c r="R6748" s="10">
        <v>0.36647214881728934</v>
      </c>
      <c r="S6748" s="10">
        <v>0.017099091368570737</v>
      </c>
      <c r="T6748" s="10">
        <v>19.092953056989145</v>
      </c>
      <c r="U6748" s="11">
        <v>0.2660057637914751</v>
      </c>
      <c r="V6748" s="11">
        <v>0.14226727203508907</v>
      </c>
      <c r="W6748" s="11">
        <v>0.019508879618506055</v>
      </c>
      <c r="X6748" s="11">
        <v>0.13390758691421334</v>
      </c>
      <c r="Y6748" s="11">
        <v>0.24605133817456684</v>
      </c>
      <c r="Z6748" s="11">
        <v>0.1922591594661496</v>
      </c>
    </row>
    <row r="6749" ht="22.5" customHeight="1">
      <c r="Q6749" s="9" t="s">
        <v>6787</v>
      </c>
      <c r="R6749" s="10">
        <v>0.2971473826191125</v>
      </c>
      <c r="S6749" s="10">
        <v>0.013468702320019892</v>
      </c>
      <c r="T6749" s="10">
        <v>19.092216644872195</v>
      </c>
      <c r="U6749" s="11">
        <v>0.05049837827605847</v>
      </c>
      <c r="V6749" s="11">
        <v>0.0971805230936122</v>
      </c>
      <c r="W6749" s="11">
        <v>0.014324026078123728</v>
      </c>
      <c r="X6749" s="11">
        <v>0.17714519770676745</v>
      </c>
      <c r="Y6749" s="11">
        <v>0.34700122697583974</v>
      </c>
      <c r="Z6749" s="11">
        <v>0.3138506478695983</v>
      </c>
    </row>
    <row r="6750" ht="22.5" customHeight="1">
      <c r="Q6750" s="9" t="s">
        <v>6788</v>
      </c>
      <c r="R6750" s="10">
        <v>0.536660773256532</v>
      </c>
      <c r="S6750" s="10">
        <v>0.026014466171987407</v>
      </c>
      <c r="T6750" s="10">
        <v>19.091714970163043</v>
      </c>
      <c r="U6750" s="11">
        <v>0.1462794365030452</v>
      </c>
      <c r="V6750" s="11">
        <v>0.09495511150527235</v>
      </c>
      <c r="W6750" s="11">
        <v>0.21032346144398267</v>
      </c>
      <c r="X6750" s="11">
        <v>0.057848430985845085</v>
      </c>
      <c r="Y6750" s="11">
        <v>0.2577010525210601</v>
      </c>
      <c r="Z6750" s="11">
        <v>0.2328925070407945</v>
      </c>
    </row>
    <row r="6751" ht="22.5" customHeight="1">
      <c r="Q6751" s="9" t="s">
        <v>6789</v>
      </c>
      <c r="R6751" s="10">
        <v>0.8747932469689466</v>
      </c>
      <c r="S6751" s="10">
        <v>0.04372680862546979</v>
      </c>
      <c r="T6751" s="10">
        <v>19.09110848036369</v>
      </c>
      <c r="U6751" s="11">
        <v>0.20701879220159577</v>
      </c>
      <c r="V6751" s="11">
        <v>0.19472115637036078</v>
      </c>
      <c r="W6751" s="11">
        <v>0.355837457622684</v>
      </c>
      <c r="X6751" s="11">
        <v>0.11225436410386577</v>
      </c>
      <c r="Y6751" s="11">
        <v>0.09651316287617988</v>
      </c>
      <c r="Z6751" s="11">
        <v>0.033655066825313856</v>
      </c>
    </row>
    <row r="6752" ht="22.5" customHeight="1">
      <c r="Q6752" s="9" t="s">
        <v>6790</v>
      </c>
      <c r="R6752" s="10">
        <v>0.5117039028742008</v>
      </c>
      <c r="S6752" s="10">
        <v>0.024708331448919527</v>
      </c>
      <c r="T6752" s="10">
        <v>19.09088454027631</v>
      </c>
      <c r="U6752" s="11">
        <v>0.1786199256268048</v>
      </c>
      <c r="V6752" s="11">
        <v>0.22206959528007028</v>
      </c>
      <c r="W6752" s="11">
        <v>0.06105324020504529</v>
      </c>
      <c r="X6752" s="11">
        <v>0.06124181204069135</v>
      </c>
      <c r="Y6752" s="11">
        <v>0.1928521948230756</v>
      </c>
      <c r="Z6752" s="11">
        <v>0.2841632320243126</v>
      </c>
    </row>
    <row r="6753" ht="22.5" customHeight="1">
      <c r="Q6753" s="9" t="s">
        <v>6791</v>
      </c>
      <c r="R6753" s="10">
        <v>0.5487358323964792</v>
      </c>
      <c r="S6753" s="10">
        <v>0.026648272662789713</v>
      </c>
      <c r="T6753" s="10">
        <v>19.090762048035177</v>
      </c>
      <c r="U6753" s="11">
        <v>0.20792084367412814</v>
      </c>
      <c r="V6753" s="11">
        <v>0.2416581078158826</v>
      </c>
      <c r="W6753" s="11">
        <v>0.04436339838468492</v>
      </c>
      <c r="X6753" s="11">
        <v>0.20924807438084814</v>
      </c>
      <c r="Y6753" s="11">
        <v>0.22045478386735376</v>
      </c>
      <c r="Z6753" s="11">
        <v>0.07635479187710235</v>
      </c>
    </row>
    <row r="6754" ht="22.5" customHeight="1">
      <c r="Q6754" s="9" t="s">
        <v>6792</v>
      </c>
      <c r="R6754" s="10">
        <v>0.642940721536432</v>
      </c>
      <c r="S6754" s="10">
        <v>0.031583182078821034</v>
      </c>
      <c r="T6754" s="10">
        <v>19.09056282016467</v>
      </c>
      <c r="U6754" s="11">
        <v>0.15245839456161983</v>
      </c>
      <c r="V6754" s="11">
        <v>0.2849859118925274</v>
      </c>
      <c r="W6754" s="11">
        <v>0.10321699180083824</v>
      </c>
      <c r="X6754" s="11">
        <v>0.0687612764665994</v>
      </c>
      <c r="Y6754" s="11">
        <v>0.04066276146073488</v>
      </c>
      <c r="Z6754" s="11">
        <v>0.3499146638176801</v>
      </c>
    </row>
    <row r="6755" ht="22.5" customHeight="1">
      <c r="Q6755" s="9" t="s">
        <v>6793</v>
      </c>
      <c r="R6755" s="10">
        <v>0.5272820341070545</v>
      </c>
      <c r="S6755" s="10">
        <v>0.025525451075867758</v>
      </c>
      <c r="T6755" s="10">
        <v>19.090045956826994</v>
      </c>
      <c r="U6755" s="11">
        <v>0.16987729494874965</v>
      </c>
      <c r="V6755" s="11">
        <v>0.04357121551408452</v>
      </c>
      <c r="W6755" s="11">
        <v>0.2119247352117051</v>
      </c>
      <c r="X6755" s="11">
        <v>0.5111783500840476</v>
      </c>
      <c r="Y6755" s="11">
        <v>0.032928069571938494</v>
      </c>
      <c r="Z6755" s="11">
        <v>0.030520334669474885</v>
      </c>
    </row>
    <row r="6756" ht="22.5" customHeight="1">
      <c r="Q6756" s="9" t="s">
        <v>6794</v>
      </c>
      <c r="R6756" s="10">
        <v>0.4728554050360094</v>
      </c>
      <c r="S6756" s="10">
        <v>0.02267487092701065</v>
      </c>
      <c r="T6756" s="10">
        <v>19.089652436362297</v>
      </c>
      <c r="U6756" s="11">
        <v>0.19845530637140835</v>
      </c>
      <c r="V6756" s="11">
        <v>0.028684374595411406</v>
      </c>
      <c r="W6756" s="11">
        <v>0.1828936064920366</v>
      </c>
      <c r="X6756" s="11">
        <v>0.5378504089789021</v>
      </c>
      <c r="Y6756" s="11">
        <v>0.02552066632232006</v>
      </c>
      <c r="Z6756" s="11">
        <v>0.02659563723992151</v>
      </c>
    </row>
    <row r="6757" ht="22.5" customHeight="1">
      <c r="Q6757" s="9" t="s">
        <v>6795</v>
      </c>
      <c r="R6757" s="10">
        <v>0.9806072537924037</v>
      </c>
      <c r="S6757" s="10">
        <v>0.04927836622297127</v>
      </c>
      <c r="T6757" s="10">
        <v>19.08763065594363</v>
      </c>
      <c r="U6757" s="11">
        <v>0.1283066251197397</v>
      </c>
      <c r="V6757" s="11">
        <v>0.2267177341514372</v>
      </c>
      <c r="W6757" s="11">
        <v>0.39950258244530035</v>
      </c>
      <c r="X6757" s="11">
        <v>0.16202533592822435</v>
      </c>
      <c r="Y6757" s="11">
        <v>0.07325497062953491</v>
      </c>
      <c r="Z6757" s="11">
        <v>0.010192751725763503</v>
      </c>
    </row>
    <row r="6758" ht="22.5" customHeight="1">
      <c r="Q6758" s="9" t="s">
        <v>6796</v>
      </c>
      <c r="R6758" s="10">
        <v>0.5814084036391918</v>
      </c>
      <c r="S6758" s="10">
        <v>0.02836532054312329</v>
      </c>
      <c r="T6758" s="10">
        <v>19.086983445721977</v>
      </c>
      <c r="U6758" s="11">
        <v>0.16781856512554616</v>
      </c>
      <c r="V6758" s="11">
        <v>0.09563401175196898</v>
      </c>
      <c r="W6758" s="11">
        <v>0.23766079658035888</v>
      </c>
      <c r="X6758" s="11">
        <v>0.16006928987566</v>
      </c>
      <c r="Y6758" s="11">
        <v>0.12203950983375211</v>
      </c>
      <c r="Z6758" s="11">
        <v>0.21677782683271385</v>
      </c>
    </row>
    <row r="6759" ht="22.5" customHeight="1">
      <c r="Q6759" s="9" t="s">
        <v>6797</v>
      </c>
      <c r="R6759" s="10">
        <v>0.38649847535970894</v>
      </c>
      <c r="S6759" s="10">
        <v>0.01815414720311556</v>
      </c>
      <c r="T6759" s="10">
        <v>19.08646390727976</v>
      </c>
      <c r="U6759" s="11">
        <v>0.1806953454952115</v>
      </c>
      <c r="V6759" s="11">
        <v>0.1606447887933795</v>
      </c>
      <c r="W6759" s="11">
        <v>0.020295902680119528</v>
      </c>
      <c r="X6759" s="11">
        <v>0.20021773674081747</v>
      </c>
      <c r="Y6759" s="11">
        <v>0.11551387256187168</v>
      </c>
      <c r="Z6759" s="11">
        <v>0.32263235372860033</v>
      </c>
    </row>
    <row r="6760" ht="22.5" customHeight="1">
      <c r="Q6760" s="9" t="s">
        <v>6798</v>
      </c>
      <c r="R6760" s="10">
        <v>0.5769798599025432</v>
      </c>
      <c r="S6760" s="10">
        <v>0.028134348418104346</v>
      </c>
      <c r="T6760" s="10">
        <v>19.08627318900333</v>
      </c>
      <c r="U6760" s="11">
        <v>0.11733269615122911</v>
      </c>
      <c r="V6760" s="11">
        <v>0.2563798728252293</v>
      </c>
      <c r="W6760" s="11">
        <v>0.053942608150661424</v>
      </c>
      <c r="X6760" s="11">
        <v>0.19752155651651576</v>
      </c>
      <c r="Y6760" s="11">
        <v>0.2512991400806582</v>
      </c>
      <c r="Z6760" s="11">
        <v>0.12352412627570622</v>
      </c>
    </row>
    <row r="6761" ht="22.5" customHeight="1">
      <c r="Q6761" s="9" t="s">
        <v>6799</v>
      </c>
      <c r="R6761" s="10">
        <v>0.22191501946367165</v>
      </c>
      <c r="S6761" s="10">
        <v>0.00953131165219814</v>
      </c>
      <c r="T6761" s="10">
        <v>19.08604251983701</v>
      </c>
      <c r="U6761" s="11">
        <v>0.1812087314194605</v>
      </c>
      <c r="V6761" s="11">
        <v>0.03299028613270344</v>
      </c>
      <c r="W6761" s="11">
        <v>0.03657692342741782</v>
      </c>
      <c r="X6761" s="11">
        <v>0.18669458130180022</v>
      </c>
      <c r="Y6761" s="11">
        <v>0.09217444777609707</v>
      </c>
      <c r="Z6761" s="11">
        <v>0.4703550299425209</v>
      </c>
    </row>
    <row r="6762" ht="22.5" customHeight="1">
      <c r="Q6762" s="9" t="s">
        <v>6800</v>
      </c>
      <c r="R6762" s="10">
        <v>0.64340711026636</v>
      </c>
      <c r="S6762" s="10">
        <v>0.03161621198429885</v>
      </c>
      <c r="T6762" s="10">
        <v>19.08537020709572</v>
      </c>
      <c r="U6762" s="11">
        <v>0.21223874964634232</v>
      </c>
      <c r="V6762" s="11">
        <v>0.12519328727379136</v>
      </c>
      <c r="W6762" s="11">
        <v>0.25828512551854244</v>
      </c>
      <c r="X6762" s="11">
        <v>0.059451223674653005</v>
      </c>
      <c r="Y6762" s="11">
        <v>0.19090562861956584</v>
      </c>
      <c r="Z6762" s="11">
        <v>0.1539259852671051</v>
      </c>
    </row>
    <row r="6763" ht="22.5" customHeight="1">
      <c r="Q6763" s="9" t="s">
        <v>6801</v>
      </c>
      <c r="R6763" s="10">
        <v>0.6166107114201759</v>
      </c>
      <c r="S6763" s="10">
        <v>0.030213988686839912</v>
      </c>
      <c r="T6763" s="10">
        <v>19.084230069607656</v>
      </c>
      <c r="U6763" s="11">
        <v>0.23896717992065336</v>
      </c>
      <c r="V6763" s="11">
        <v>0.12786933115786922</v>
      </c>
      <c r="W6763" s="11">
        <v>0.24225110768842664</v>
      </c>
      <c r="X6763" s="11">
        <v>0.005354203422869876</v>
      </c>
      <c r="Y6763" s="11">
        <v>0.18094677661846417</v>
      </c>
      <c r="Z6763" s="11">
        <v>0.2046114011917167</v>
      </c>
    </row>
    <row r="6764" ht="22.5" customHeight="1">
      <c r="Q6764" s="9" t="s">
        <v>6802</v>
      </c>
      <c r="R6764" s="10">
        <v>0.5216665984160184</v>
      </c>
      <c r="S6764" s="10">
        <v>0.025243469551073948</v>
      </c>
      <c r="T6764" s="10">
        <v>19.080839796664424</v>
      </c>
      <c r="U6764" s="11">
        <v>0.23789729341585972</v>
      </c>
      <c r="V6764" s="11">
        <v>0.07264441670218354</v>
      </c>
      <c r="W6764" s="11">
        <v>0.2078438434627439</v>
      </c>
      <c r="X6764" s="11">
        <v>0.13911263714488822</v>
      </c>
      <c r="Y6764" s="11">
        <v>0.24422600572162337</v>
      </c>
      <c r="Z6764" s="11">
        <v>0.09827580355270121</v>
      </c>
    </row>
    <row r="6765" ht="22.5" customHeight="1">
      <c r="Q6765" s="9" t="s">
        <v>6803</v>
      </c>
      <c r="R6765" s="10">
        <v>0.7023850436856616</v>
      </c>
      <c r="S6765" s="10">
        <v>0.03471647428125952</v>
      </c>
      <c r="T6765" s="10">
        <v>19.079847749494167</v>
      </c>
      <c r="U6765" s="11">
        <v>0.07598637888027036</v>
      </c>
      <c r="V6765" s="11">
        <v>0.10611857024130064</v>
      </c>
      <c r="W6765" s="11">
        <v>0.2935061631842062</v>
      </c>
      <c r="X6765" s="11">
        <v>0.3284422619915805</v>
      </c>
      <c r="Y6765" s="11">
        <v>0.18652394572926392</v>
      </c>
      <c r="Z6765" s="11">
        <v>0.009422679973378487</v>
      </c>
    </row>
    <row r="6766" ht="22.5" customHeight="1">
      <c r="Q6766" s="9" t="s">
        <v>6804</v>
      </c>
      <c r="R6766" s="10">
        <v>0.850094029524153</v>
      </c>
      <c r="S6766" s="10">
        <v>0.042458720700826104</v>
      </c>
      <c r="T6766" s="10">
        <v>19.079567545905622</v>
      </c>
      <c r="U6766" s="11">
        <v>0.008660431007022358</v>
      </c>
      <c r="V6766" s="11">
        <v>0.3791816454708754</v>
      </c>
      <c r="W6766" s="11">
        <v>0.15588782993026468</v>
      </c>
      <c r="X6766" s="11">
        <v>0.07321768188165788</v>
      </c>
      <c r="Y6766" s="11">
        <v>0.15301955254983637</v>
      </c>
      <c r="Z6766" s="11">
        <v>0.23003285916034333</v>
      </c>
    </row>
    <row r="6767" ht="22.5" customHeight="1">
      <c r="Q6767" s="9" t="s">
        <v>6805</v>
      </c>
      <c r="R6767" s="10">
        <v>0.7069064351935681</v>
      </c>
      <c r="S6767" s="10">
        <v>0.034955204531750085</v>
      </c>
      <c r="T6767" s="10">
        <v>19.078888083398617</v>
      </c>
      <c r="U6767" s="11">
        <v>0.25537048926396516</v>
      </c>
      <c r="V6767" s="11">
        <v>0.14056465893843528</v>
      </c>
      <c r="W6767" s="11">
        <v>0.28821978107994284</v>
      </c>
      <c r="X6767" s="11">
        <v>0.10271966216670872</v>
      </c>
      <c r="Y6767" s="11">
        <v>0.08934856518910293</v>
      </c>
      <c r="Z6767" s="11">
        <v>0.12377684336184516</v>
      </c>
    </row>
    <row r="6768" ht="22.5" customHeight="1">
      <c r="Q6768" s="9" t="s">
        <v>6806</v>
      </c>
      <c r="R6768" s="10">
        <v>0.6658256457397789</v>
      </c>
      <c r="S6768" s="10">
        <v>0.03280301386884776</v>
      </c>
      <c r="T6768" s="10">
        <v>19.078297141901054</v>
      </c>
      <c r="U6768" s="11">
        <v>0.08694415270835922</v>
      </c>
      <c r="V6768" s="11">
        <v>0.29249414976584415</v>
      </c>
      <c r="W6768" s="11">
        <v>0.10736054004659501</v>
      </c>
      <c r="X6768" s="11">
        <v>0.014646773520152586</v>
      </c>
      <c r="Y6768" s="11">
        <v>0.25404325815938483</v>
      </c>
      <c r="Z6768" s="11">
        <v>0.24451112579966416</v>
      </c>
    </row>
    <row r="6769" ht="22.5" customHeight="1">
      <c r="Q6769" s="9" t="s">
        <v>6807</v>
      </c>
      <c r="R6769" s="10">
        <v>0.5738810031191128</v>
      </c>
      <c r="S6769" s="10">
        <v>0.027985124408044834</v>
      </c>
      <c r="T6769" s="10">
        <v>19.07731390915807</v>
      </c>
      <c r="U6769" s="11">
        <v>0.1311561003536759</v>
      </c>
      <c r="V6769" s="11">
        <v>0.11734130682831664</v>
      </c>
      <c r="W6769" s="11">
        <v>0.22395392082346963</v>
      </c>
      <c r="X6769" s="11">
        <v>0.014986641391674521</v>
      </c>
      <c r="Y6769" s="11">
        <v>0.21444707088244214</v>
      </c>
      <c r="Z6769" s="11">
        <v>0.29811495972042124</v>
      </c>
    </row>
    <row r="6770" ht="22.5" customHeight="1">
      <c r="Q6770" s="9" t="s">
        <v>6808</v>
      </c>
      <c r="R6770" s="10">
        <v>0.4594859024803286</v>
      </c>
      <c r="S6770" s="10">
        <v>0.02198961392641347</v>
      </c>
      <c r="T6770" s="10">
        <v>19.07654695003312</v>
      </c>
      <c r="U6770" s="11">
        <v>0.309484371650445</v>
      </c>
      <c r="V6770" s="11">
        <v>0.04726650537144939</v>
      </c>
      <c r="W6770" s="11">
        <v>0.18291250688282798</v>
      </c>
      <c r="X6770" s="11">
        <v>0.2852878710392627</v>
      </c>
      <c r="Y6770" s="11">
        <v>0.003115916072929448</v>
      </c>
      <c r="Z6770" s="11">
        <v>0.17193282898308543</v>
      </c>
    </row>
    <row r="6771" ht="22.5" customHeight="1">
      <c r="Q6771" s="9" t="s">
        <v>6809</v>
      </c>
      <c r="R6771" s="10">
        <v>0.4093762018546018</v>
      </c>
      <c r="S6771" s="10">
        <v>0.019364040693956364</v>
      </c>
      <c r="T6771" s="10">
        <v>19.07536798194637</v>
      </c>
      <c r="U6771" s="11">
        <v>0.22057972298937992</v>
      </c>
      <c r="V6771" s="11">
        <v>0.035833777546254136</v>
      </c>
      <c r="W6771" s="11">
        <v>0.15705296182357728</v>
      </c>
      <c r="X6771" s="11">
        <v>0.22006481620337354</v>
      </c>
      <c r="Y6771" s="11">
        <v>0.2012858225275777</v>
      </c>
      <c r="Z6771" s="11">
        <v>0.16518289890983745</v>
      </c>
    </row>
    <row r="6772" ht="22.5" customHeight="1">
      <c r="Q6772" s="9" t="s">
        <v>6810</v>
      </c>
      <c r="R6772" s="10">
        <v>0.30150401936032456</v>
      </c>
      <c r="S6772" s="10">
        <v>0.013711047726535239</v>
      </c>
      <c r="T6772" s="10">
        <v>19.07250449243431</v>
      </c>
      <c r="U6772" s="11">
        <v>0.22355919319034287</v>
      </c>
      <c r="V6772" s="11">
        <v>0.020593962804680604</v>
      </c>
      <c r="W6772" s="11">
        <v>0.07859424754622679</v>
      </c>
      <c r="X6772" s="11">
        <v>0.22767184389505135</v>
      </c>
      <c r="Y6772" s="11">
        <v>0.3902750567309042</v>
      </c>
      <c r="Z6772" s="11">
        <v>0.05930569583279414</v>
      </c>
    </row>
    <row r="6773" ht="22.5" customHeight="1">
      <c r="Q6773" s="9" t="s">
        <v>6811</v>
      </c>
      <c r="R6773" s="10">
        <v>0.22450424437821148</v>
      </c>
      <c r="S6773" s="10">
        <v>0.009674111053359677</v>
      </c>
      <c r="T6773" s="10">
        <v>19.071958483889418</v>
      </c>
      <c r="U6773" s="11">
        <v>0.17172801419826442</v>
      </c>
      <c r="V6773" s="11">
        <v>0.016157483072515074</v>
      </c>
      <c r="W6773" s="11">
        <v>0.04433033983137524</v>
      </c>
      <c r="X6773" s="11">
        <v>0.24258403317949415</v>
      </c>
      <c r="Y6773" s="11">
        <v>0.15863409557581806</v>
      </c>
      <c r="Z6773" s="11">
        <v>0.3665660341425332</v>
      </c>
    </row>
    <row r="6774" ht="22.5" customHeight="1">
      <c r="Q6774" s="9" t="s">
        <v>6812</v>
      </c>
      <c r="R6774" s="10">
        <v>0.32615350331788273</v>
      </c>
      <c r="S6774" s="10">
        <v>0.015004023630519862</v>
      </c>
      <c r="T6774" s="10">
        <v>19.071784366949043</v>
      </c>
      <c r="U6774" s="11">
        <v>0.006492263221993797</v>
      </c>
      <c r="V6774" s="11">
        <v>0.04649943443173634</v>
      </c>
      <c r="W6774" s="11">
        <v>0.11059589079894172</v>
      </c>
      <c r="X6774" s="11">
        <v>0.13197167007712457</v>
      </c>
      <c r="Y6774" s="11">
        <v>0.16559410825468263</v>
      </c>
      <c r="Z6774" s="11">
        <v>0.538846633215521</v>
      </c>
    </row>
    <row r="6775" ht="22.5" customHeight="1">
      <c r="Q6775" s="9" t="s">
        <v>6813</v>
      </c>
      <c r="R6775" s="10">
        <v>0.6627654782917789</v>
      </c>
      <c r="S6775" s="10">
        <v>0.032654049316923235</v>
      </c>
      <c r="T6775" s="10">
        <v>19.07161565928748</v>
      </c>
      <c r="U6775" s="11">
        <v>0.1788401879093465</v>
      </c>
      <c r="V6775" s="11">
        <v>0.12382572535436517</v>
      </c>
      <c r="W6775" s="11">
        <v>0.26832907844271886</v>
      </c>
      <c r="X6775" s="11">
        <v>0.09020080216945513</v>
      </c>
      <c r="Y6775" s="11">
        <v>0.23668610975211227</v>
      </c>
      <c r="Z6775" s="11">
        <v>0.10211809637200216</v>
      </c>
    </row>
    <row r="6776" ht="22.5" customHeight="1">
      <c r="Q6776" s="9" t="s">
        <v>6814</v>
      </c>
      <c r="R6776" s="10">
        <v>0.4853659352508128</v>
      </c>
      <c r="S6776" s="10">
        <v>0.02335289487358619</v>
      </c>
      <c r="T6776" s="10">
        <v>19.071123201712943</v>
      </c>
      <c r="U6776" s="11">
        <v>0.1797246605436047</v>
      </c>
      <c r="V6776" s="11">
        <v>0.2125944931788445</v>
      </c>
      <c r="W6776" s="11">
        <v>0.030367258999125707</v>
      </c>
      <c r="X6776" s="11">
        <v>0.3059261012538223</v>
      </c>
      <c r="Y6776" s="11">
        <v>0.035314092845742794</v>
      </c>
      <c r="Z6776" s="11">
        <v>0.23607339317885995</v>
      </c>
    </row>
    <row r="6777" ht="22.5" customHeight="1">
      <c r="Q6777" s="9" t="s">
        <v>6815</v>
      </c>
      <c r="R6777" s="10">
        <v>0.5615258911099394</v>
      </c>
      <c r="S6777" s="10">
        <v>0.027350441492931397</v>
      </c>
      <c r="T6777" s="10">
        <v>19.068280533779518</v>
      </c>
      <c r="U6777" s="11">
        <v>0.027890322207273742</v>
      </c>
      <c r="V6777" s="11">
        <v>0.25160720129492403</v>
      </c>
      <c r="W6777" s="11">
        <v>0.06071780558137913</v>
      </c>
      <c r="X6777" s="11">
        <v>0.1786752688139109</v>
      </c>
      <c r="Y6777" s="11">
        <v>0.17255312733477085</v>
      </c>
      <c r="Z6777" s="11">
        <v>0.3085562747677414</v>
      </c>
    </row>
    <row r="6778" ht="22.5" customHeight="1">
      <c r="Q6778" s="9" t="s">
        <v>6816</v>
      </c>
      <c r="R6778" s="10">
        <v>0.41683629935946237</v>
      </c>
      <c r="S6778" s="10">
        <v>0.019764074653829407</v>
      </c>
      <c r="T6778" s="10">
        <v>19.06673122621747</v>
      </c>
      <c r="U6778" s="11">
        <v>0.2896467911482054</v>
      </c>
      <c r="V6778" s="11">
        <v>0.027558949134235962</v>
      </c>
      <c r="W6778" s="11">
        <v>0.1598175557048528</v>
      </c>
      <c r="X6778" s="11">
        <v>0.29830417512341506</v>
      </c>
      <c r="Y6778" s="11">
        <v>0.16307011326128856</v>
      </c>
      <c r="Z6778" s="11">
        <v>0.06160241562800223</v>
      </c>
    </row>
    <row r="6779" ht="22.5" customHeight="1">
      <c r="Q6779" s="9" t="s">
        <v>6817</v>
      </c>
      <c r="R6779" s="10">
        <v>0.5800438370780939</v>
      </c>
      <c r="S6779" s="10">
        <v>0.02832571984918455</v>
      </c>
      <c r="T6779" s="10">
        <v>19.06549383222968</v>
      </c>
      <c r="U6779" s="11">
        <v>0.06855016453522282</v>
      </c>
      <c r="V6779" s="11">
        <v>0.09453397790311281</v>
      </c>
      <c r="W6779" s="11">
        <v>0.23857931612290126</v>
      </c>
      <c r="X6779" s="11">
        <v>0.24195932323983496</v>
      </c>
      <c r="Y6779" s="11">
        <v>0.035707695664393115</v>
      </c>
      <c r="Z6779" s="11">
        <v>0.3206695225345352</v>
      </c>
    </row>
    <row r="6780" ht="22.5" customHeight="1">
      <c r="Q6780" s="9" t="s">
        <v>6818</v>
      </c>
      <c r="R6780" s="10">
        <v>0.7044387807762149</v>
      </c>
      <c r="S6780" s="10">
        <v>0.03485150451236268</v>
      </c>
      <c r="T6780" s="10">
        <v>19.06485215123273</v>
      </c>
      <c r="U6780" s="11">
        <v>0.0850450735069208</v>
      </c>
      <c r="V6780" s="11">
        <v>0.3156139161159068</v>
      </c>
      <c r="W6780" s="11">
        <v>0.0860098488024947</v>
      </c>
      <c r="X6780" s="11">
        <v>0.16997567038006633</v>
      </c>
      <c r="Y6780" s="11">
        <v>0.3203718905072839</v>
      </c>
      <c r="Z6780" s="11">
        <v>0.02298360068732763</v>
      </c>
    </row>
    <row r="6781" ht="22.5" customHeight="1">
      <c r="Q6781" s="9" t="s">
        <v>6819</v>
      </c>
      <c r="R6781" s="10">
        <v>0.646114981596623</v>
      </c>
      <c r="S6781" s="10">
        <v>0.0317951503331048</v>
      </c>
      <c r="T6781" s="10">
        <v>19.063126773945203</v>
      </c>
      <c r="U6781" s="11">
        <v>0.04910252992989421</v>
      </c>
      <c r="V6781" s="11">
        <v>0.12293798483760517</v>
      </c>
      <c r="W6781" s="11">
        <v>0.26337519704048395</v>
      </c>
      <c r="X6781" s="11">
        <v>0.1339053226295879</v>
      </c>
      <c r="Y6781" s="11">
        <v>0.16610792130014376</v>
      </c>
      <c r="Z6781" s="11">
        <v>0.26457104426228484</v>
      </c>
    </row>
    <row r="6782" ht="22.5" customHeight="1">
      <c r="Q6782" s="9" t="s">
        <v>6820</v>
      </c>
      <c r="R6782" s="10">
        <v>0.5922210201734749</v>
      </c>
      <c r="S6782" s="10">
        <v>0.02896970920513089</v>
      </c>
      <c r="T6782" s="10">
        <v>19.06201461199582</v>
      </c>
      <c r="U6782" s="11">
        <v>0.055628612415171086</v>
      </c>
      <c r="V6782" s="11">
        <v>0.09704108001697875</v>
      </c>
      <c r="W6782" s="11">
        <v>0.24322338327472695</v>
      </c>
      <c r="X6782" s="11">
        <v>0.1946326869741304</v>
      </c>
      <c r="Y6782" s="11">
        <v>0.15481811414961935</v>
      </c>
      <c r="Z6782" s="11">
        <v>0.2546561231693736</v>
      </c>
    </row>
    <row r="6783" ht="22.5" customHeight="1">
      <c r="Q6783" s="9" t="s">
        <v>6821</v>
      </c>
      <c r="R6783" s="10">
        <v>0.6827026208780856</v>
      </c>
      <c r="S6783" s="10">
        <v>0.03371725941947399</v>
      </c>
      <c r="T6783" s="10">
        <v>19.061532044531518</v>
      </c>
      <c r="U6783" s="11">
        <v>0.03156856208249848</v>
      </c>
      <c r="V6783" s="11">
        <v>0.3040831392203302</v>
      </c>
      <c r="W6783" s="11">
        <v>0.10886936024156446</v>
      </c>
      <c r="X6783" s="11">
        <v>0.05711140604010042</v>
      </c>
      <c r="Y6783" s="11">
        <v>0.20061198813209855</v>
      </c>
      <c r="Z6783" s="11">
        <v>0.297755544283408</v>
      </c>
    </row>
    <row r="6784" ht="22.5" customHeight="1">
      <c r="Q6784" s="9" t="s">
        <v>6822</v>
      </c>
      <c r="R6784" s="10">
        <v>1.1372538744298422</v>
      </c>
      <c r="S6784" s="10">
        <v>0.05756565716837178</v>
      </c>
      <c r="T6784" s="10">
        <v>19.06091111268864</v>
      </c>
      <c r="U6784" s="11">
        <v>0.10287486983345717</v>
      </c>
      <c r="V6784" s="11">
        <v>0.31154813169760454</v>
      </c>
      <c r="W6784" s="11">
        <v>0.44387984777257494</v>
      </c>
      <c r="X6784" s="11">
        <v>0.031950874385929036</v>
      </c>
      <c r="Y6784" s="11">
        <v>0.08292218724024146</v>
      </c>
      <c r="Z6784" s="11">
        <v>0.02682408907019281</v>
      </c>
    </row>
    <row r="6785" ht="22.5" customHeight="1">
      <c r="Q6785" s="9" t="s">
        <v>6823</v>
      </c>
      <c r="R6785" s="10">
        <v>0.7031173822412788</v>
      </c>
      <c r="S6785" s="10">
        <v>0.034790025429631916</v>
      </c>
      <c r="T6785" s="10">
        <v>19.060560435132015</v>
      </c>
      <c r="U6785" s="11">
        <v>0.1015817022086986</v>
      </c>
      <c r="V6785" s="11">
        <v>0.1647071526343854</v>
      </c>
      <c r="W6785" s="11">
        <v>0.2779085176657975</v>
      </c>
      <c r="X6785" s="11">
        <v>0.027511644381986944</v>
      </c>
      <c r="Y6785" s="11">
        <v>0.09742932938013818</v>
      </c>
      <c r="Z6785" s="11">
        <v>0.33086165372899345</v>
      </c>
    </row>
    <row r="6786" ht="22.5" customHeight="1">
      <c r="Q6786" s="9" t="s">
        <v>6824</v>
      </c>
      <c r="R6786" s="10">
        <v>0.42993809152657814</v>
      </c>
      <c r="S6786" s="10">
        <v>0.020458517975642715</v>
      </c>
      <c r="T6786" s="10">
        <v>19.059938358723077</v>
      </c>
      <c r="U6786" s="11">
        <v>0.17064303858303084</v>
      </c>
      <c r="V6786" s="11">
        <v>0.1831352275143329</v>
      </c>
      <c r="W6786" s="11">
        <v>0.01772640608188126</v>
      </c>
      <c r="X6786" s="11">
        <v>0.30017756152089164</v>
      </c>
      <c r="Y6786" s="11">
        <v>0.09004393676235782</v>
      </c>
      <c r="Z6786" s="11">
        <v>0.23827382953750545</v>
      </c>
    </row>
    <row r="6787" ht="22.5" customHeight="1">
      <c r="Q6787" s="9" t="s">
        <v>6825</v>
      </c>
      <c r="R6787" s="10">
        <v>0.7028112237451526</v>
      </c>
      <c r="S6787" s="10">
        <v>0.03477705985660682</v>
      </c>
      <c r="T6787" s="10">
        <v>19.058863126384566</v>
      </c>
      <c r="U6787" s="11">
        <v>0.07233522631681391</v>
      </c>
      <c r="V6787" s="11">
        <v>0.16277208595850573</v>
      </c>
      <c r="W6787" s="11">
        <v>0.27756388256605397</v>
      </c>
      <c r="X6787" s="11">
        <v>0.018726505990831296</v>
      </c>
      <c r="Y6787" s="11">
        <v>0.1645489469961968</v>
      </c>
      <c r="Z6787" s="11">
        <v>0.3040533521715984</v>
      </c>
    </row>
    <row r="6788" ht="22.5" customHeight="1">
      <c r="Q6788" s="9" t="s">
        <v>6826</v>
      </c>
      <c r="R6788" s="10">
        <v>0.723523068075776</v>
      </c>
      <c r="S6788" s="10">
        <v>0.035863844977857946</v>
      </c>
      <c r="T6788" s="10">
        <v>19.058834001144543</v>
      </c>
      <c r="U6788" s="11">
        <v>0.2739074556710185</v>
      </c>
      <c r="V6788" s="11">
        <v>0.15951128700015976</v>
      </c>
      <c r="W6788" s="11">
        <v>0.2894485332237374</v>
      </c>
      <c r="X6788" s="11">
        <v>0.028958416360967375</v>
      </c>
      <c r="Y6788" s="11">
        <v>0.08898806969105387</v>
      </c>
      <c r="Z6788" s="11">
        <v>0.15918623805306287</v>
      </c>
    </row>
    <row r="6789" ht="22.5" customHeight="1">
      <c r="Q6789" s="9" t="s">
        <v>6827</v>
      </c>
      <c r="R6789" s="10">
        <v>0.7747900184439294</v>
      </c>
      <c r="S6789" s="10">
        <v>0.038555304084242</v>
      </c>
      <c r="T6789" s="10">
        <v>19.05807867157366</v>
      </c>
      <c r="U6789" s="11">
        <v>0.07057357557880717</v>
      </c>
      <c r="V6789" s="11">
        <v>0.3434682806853029</v>
      </c>
      <c r="W6789" s="11">
        <v>0.1324873754865514</v>
      </c>
      <c r="X6789" s="11">
        <v>0.026221140799152203</v>
      </c>
      <c r="Y6789" s="11">
        <v>0.2670633122895026</v>
      </c>
      <c r="Z6789" s="11">
        <v>0.1601863151606837</v>
      </c>
    </row>
    <row r="6790" ht="22.5" customHeight="1">
      <c r="Q6790" s="9" t="s">
        <v>6828</v>
      </c>
      <c r="R6790" s="10">
        <v>0.25385942216783874</v>
      </c>
      <c r="S6790" s="10">
        <v>0.011221808291161922</v>
      </c>
      <c r="T6790" s="10">
        <v>19.057483127409178</v>
      </c>
      <c r="U6790" s="11">
        <v>0.0542414206575516</v>
      </c>
      <c r="V6790" s="11">
        <v>0.06420388495403503</v>
      </c>
      <c r="W6790" s="11">
        <v>0.0019563028505664316</v>
      </c>
      <c r="X6790" s="11">
        <v>0.327948637634334</v>
      </c>
      <c r="Y6790" s="11">
        <v>0.275169885954138</v>
      </c>
      <c r="Z6790" s="11">
        <v>0.27647986794937496</v>
      </c>
    </row>
    <row r="6791" ht="22.5" customHeight="1">
      <c r="Q6791" s="9" t="s">
        <v>6829</v>
      </c>
      <c r="R6791" s="10">
        <v>1.163614589729511</v>
      </c>
      <c r="S6791" s="10">
        <v>0.05895991242634719</v>
      </c>
      <c r="T6791" s="10">
        <v>19.057263545517166</v>
      </c>
      <c r="U6791" s="11">
        <v>0.057230578669584614</v>
      </c>
      <c r="V6791" s="11">
        <v>0.5158552302162643</v>
      </c>
      <c r="W6791" s="11">
        <v>0.24332462288188922</v>
      </c>
      <c r="X6791" s="11">
        <v>0.10421594361718423</v>
      </c>
      <c r="Y6791" s="11">
        <v>0.06015399140053637</v>
      </c>
      <c r="Z6791" s="11">
        <v>0.019219633214541062</v>
      </c>
    </row>
    <row r="6792" ht="22.5" customHeight="1">
      <c r="Q6792" s="9" t="s">
        <v>6830</v>
      </c>
      <c r="R6792" s="10">
        <v>0.8137083232590986</v>
      </c>
      <c r="S6792" s="10">
        <v>0.04059942131285294</v>
      </c>
      <c r="T6792" s="10">
        <v>19.057126881120308</v>
      </c>
      <c r="U6792" s="11">
        <v>0.005181672948157987</v>
      </c>
      <c r="V6792" s="11">
        <v>0.19207287105163384</v>
      </c>
      <c r="W6792" s="11">
        <v>0.32594681674819714</v>
      </c>
      <c r="X6792" s="11">
        <v>0.07600961516514944</v>
      </c>
      <c r="Y6792" s="11">
        <v>0.1443327965279187</v>
      </c>
      <c r="Z6792" s="11">
        <v>0.2564562275589428</v>
      </c>
    </row>
    <row r="6793" ht="22.5" customHeight="1">
      <c r="Q6793" s="9" t="s">
        <v>6831</v>
      </c>
      <c r="R6793" s="10">
        <v>0.503017327090675</v>
      </c>
      <c r="S6793" s="10">
        <v>0.02429749626051393</v>
      </c>
      <c r="T6793" s="10">
        <v>19.05617443568161</v>
      </c>
      <c r="U6793" s="11">
        <v>0.2306644980168654</v>
      </c>
      <c r="V6793" s="11">
        <v>0.22002188065281938</v>
      </c>
      <c r="W6793" s="11">
        <v>0.04520333489358045</v>
      </c>
      <c r="X6793" s="11">
        <v>0.1363535083042146</v>
      </c>
      <c r="Y6793" s="11">
        <v>0.1755415588645838</v>
      </c>
      <c r="Z6793" s="11">
        <v>0.1922152192679363</v>
      </c>
    </row>
    <row r="6794" ht="22.5" customHeight="1">
      <c r="Q6794" s="9" t="s">
        <v>6832</v>
      </c>
      <c r="R6794" s="10">
        <v>0.502959030402913</v>
      </c>
      <c r="S6794" s="10">
        <v>0.024296751972927945</v>
      </c>
      <c r="T6794" s="10">
        <v>19.05435882618194</v>
      </c>
      <c r="U6794" s="11">
        <v>0.18701180794798392</v>
      </c>
      <c r="V6794" s="11">
        <v>0.21570595463507133</v>
      </c>
      <c r="W6794" s="11">
        <v>0.04608673505167313</v>
      </c>
      <c r="X6794" s="11">
        <v>0.11172125566675543</v>
      </c>
      <c r="Y6794" s="11">
        <v>0.3021428727808382</v>
      </c>
      <c r="Z6794" s="11">
        <v>0.13733137391767816</v>
      </c>
    </row>
    <row r="6795" ht="22.5" customHeight="1">
      <c r="Q6795" s="9" t="s">
        <v>6833</v>
      </c>
      <c r="R6795" s="10">
        <v>0.5706023765416469</v>
      </c>
      <c r="S6795" s="10">
        <v>0.027847983350584457</v>
      </c>
      <c r="T6795" s="10">
        <v>19.053529652821734</v>
      </c>
      <c r="U6795" s="11">
        <v>0.2020401964034909</v>
      </c>
      <c r="V6795" s="11">
        <v>0.24901140011660275</v>
      </c>
      <c r="W6795" s="11">
        <v>0.07990071760267524</v>
      </c>
      <c r="X6795" s="11">
        <v>0.018632083155665717</v>
      </c>
      <c r="Y6795" s="11">
        <v>0.20200285275203872</v>
      </c>
      <c r="Z6795" s="11">
        <v>0.24841274996952664</v>
      </c>
    </row>
    <row r="6796" ht="22.5" customHeight="1">
      <c r="Q6796" s="9" t="s">
        <v>6834</v>
      </c>
      <c r="R6796" s="10">
        <v>0.45454438100729516</v>
      </c>
      <c r="S6796" s="10">
        <v>0.021757193402543833</v>
      </c>
      <c r="T6796" s="10">
        <v>19.053210280275717</v>
      </c>
      <c r="U6796" s="11">
        <v>0.03301620671312082</v>
      </c>
      <c r="V6796" s="11">
        <v>0.048071761251256735</v>
      </c>
      <c r="W6796" s="11">
        <v>0.17935479405337232</v>
      </c>
      <c r="X6796" s="11">
        <v>0.26134897478661745</v>
      </c>
      <c r="Y6796" s="11">
        <v>0.23939199759713448</v>
      </c>
      <c r="Z6796" s="11">
        <v>0.23881626559849822</v>
      </c>
    </row>
    <row r="6797" ht="22.5" customHeight="1">
      <c r="Q6797" s="9" t="s">
        <v>6835</v>
      </c>
      <c r="R6797" s="10">
        <v>0.5714250986899987</v>
      </c>
      <c r="S6797" s="10">
        <v>0.027892710896252282</v>
      </c>
      <c r="T6797" s="10">
        <v>19.052472191270656</v>
      </c>
      <c r="U6797" s="11">
        <v>0.18386806394444424</v>
      </c>
      <c r="V6797" s="11">
        <v>0.09689411217060798</v>
      </c>
      <c r="W6797" s="11">
        <v>0.22893407160134854</v>
      </c>
      <c r="X6797" s="11">
        <v>0.08664073211034268</v>
      </c>
      <c r="Y6797" s="11">
        <v>0.2449076293090104</v>
      </c>
      <c r="Z6797" s="11">
        <v>0.15875539086424625</v>
      </c>
    </row>
    <row r="6798" ht="22.5" customHeight="1">
      <c r="Q6798" s="9" t="s">
        <v>6836</v>
      </c>
      <c r="R6798" s="10">
        <v>0.6690603892151263</v>
      </c>
      <c r="S6798" s="10">
        <v>0.033017918382143394</v>
      </c>
      <c r="T6798" s="10">
        <v>19.05209110806125</v>
      </c>
      <c r="U6798" s="11">
        <v>0.11054095777462199</v>
      </c>
      <c r="V6798" s="11">
        <v>0.3053539333080955</v>
      </c>
      <c r="W6798" s="11">
        <v>0.07503758879128522</v>
      </c>
      <c r="X6798" s="11">
        <v>0.26929319709386823</v>
      </c>
      <c r="Y6798" s="11">
        <v>0.06121970108369065</v>
      </c>
      <c r="Z6798" s="11">
        <v>0.17855462194843832</v>
      </c>
    </row>
    <row r="6799" ht="22.5" customHeight="1">
      <c r="Q6799" s="9" t="s">
        <v>6837</v>
      </c>
      <c r="R6799" s="10">
        <v>0.522331348251574</v>
      </c>
      <c r="S6799" s="10">
        <v>0.021483502860292533</v>
      </c>
      <c r="T6799" s="10">
        <v>19.05003313869318</v>
      </c>
      <c r="U6799" s="11">
        <v>0.30004594662699013</v>
      </c>
      <c r="V6799" s="11">
        <v>0.04709323771604633</v>
      </c>
      <c r="W6799" s="11">
        <v>0.1778624037966989</v>
      </c>
      <c r="X6799" s="11">
        <v>0.2104557754921407</v>
      </c>
      <c r="Y6799" s="11">
        <v>0.11537480050874645</v>
      </c>
      <c r="Z6799" s="11">
        <v>0.14916783585937762</v>
      </c>
    </row>
    <row r="6800" ht="22.5" customHeight="1">
      <c r="Q6800" s="9" t="s">
        <v>6838</v>
      </c>
      <c r="R6800" s="10">
        <v>0.5256860265778778</v>
      </c>
      <c r="S6800" s="10">
        <v>0.02549569638595031</v>
      </c>
      <c r="T6800" s="10">
        <v>19.049725852772568</v>
      </c>
      <c r="U6800" s="11">
        <v>0.2813459174266525</v>
      </c>
      <c r="V6800" s="11">
        <v>0.08834429295208718</v>
      </c>
      <c r="W6800" s="11">
        <v>0.2107386579856822</v>
      </c>
      <c r="X6800" s="11">
        <v>0.1292968664466281</v>
      </c>
      <c r="Y6800" s="11">
        <v>0.005706713395629334</v>
      </c>
      <c r="Z6800" s="11">
        <v>0.2845675517933207</v>
      </c>
    </row>
    <row r="6801" ht="22.5" customHeight="1">
      <c r="Q6801" s="9" t="s">
        <v>6839</v>
      </c>
      <c r="R6801" s="10">
        <v>0.6154974353138626</v>
      </c>
      <c r="S6801" s="10">
        <v>0.030214886255483592</v>
      </c>
      <c r="T6801" s="10">
        <v>19.046817864800584</v>
      </c>
      <c r="U6801" s="11">
        <v>0.22981245025527322</v>
      </c>
      <c r="V6801" s="11">
        <v>0.27368554068957857</v>
      </c>
      <c r="W6801" s="11">
        <v>0.08356484502517454</v>
      </c>
      <c r="X6801" s="11">
        <v>0.06396489187073356</v>
      </c>
      <c r="Y6801" s="11">
        <v>0.14639025553739182</v>
      </c>
      <c r="Z6801" s="11">
        <v>0.20258201662184822</v>
      </c>
    </row>
    <row r="6802" ht="22.5" customHeight="1">
      <c r="Q6802" s="9" t="s">
        <v>6840</v>
      </c>
      <c r="R6802" s="10">
        <v>0.6798056009286072</v>
      </c>
      <c r="S6802" s="10">
        <v>0.03359162820313891</v>
      </c>
      <c r="T6802" s="10">
        <v>19.04657901842405</v>
      </c>
      <c r="U6802" s="11">
        <v>0.2891487876423756</v>
      </c>
      <c r="V6802" s="11">
        <v>0.1389819073844527</v>
      </c>
      <c r="W6802" s="11">
        <v>0.2708562513202405</v>
      </c>
      <c r="X6802" s="11">
        <v>0.015073444972820049</v>
      </c>
      <c r="Y6802" s="11">
        <v>0.21156480925152166</v>
      </c>
      <c r="Z6802" s="11">
        <v>0.07437479942858967</v>
      </c>
    </row>
    <row r="6803" ht="22.5" customHeight="1">
      <c r="Q6803" s="9" t="s">
        <v>6841</v>
      </c>
      <c r="R6803" s="10">
        <v>0.7580044189777758</v>
      </c>
      <c r="S6803" s="10">
        <v>0.03769733548746234</v>
      </c>
      <c r="T6803" s="10">
        <v>19.046556200678296</v>
      </c>
      <c r="U6803" s="11">
        <v>0.12162437621198705</v>
      </c>
      <c r="V6803" s="11">
        <v>0.1260037457293987</v>
      </c>
      <c r="W6803" s="11">
        <v>0.3193078556370878</v>
      </c>
      <c r="X6803" s="11">
        <v>0.3220906478706804</v>
      </c>
      <c r="Y6803" s="11">
        <v>0.08618487973227622</v>
      </c>
      <c r="Z6803" s="11">
        <v>0.024788494818569762</v>
      </c>
    </row>
    <row r="6804" ht="22.5" customHeight="1">
      <c r="Q6804" s="9" t="s">
        <v>6842</v>
      </c>
      <c r="R6804" s="10">
        <v>0.5002878732025334</v>
      </c>
      <c r="S6804" s="10">
        <v>0.02416864395368161</v>
      </c>
      <c r="T6804" s="10">
        <v>19.044836528050958</v>
      </c>
      <c r="U6804" s="11">
        <v>0.21771034064178246</v>
      </c>
      <c r="V6804" s="11">
        <v>0.06667167646995001</v>
      </c>
      <c r="W6804" s="11">
        <v>0.2034310995098284</v>
      </c>
      <c r="X6804" s="11">
        <v>0.2351929644648304</v>
      </c>
      <c r="Y6804" s="11">
        <v>0.014650654899747803</v>
      </c>
      <c r="Z6804" s="11">
        <v>0.26234326401386093</v>
      </c>
    </row>
    <row r="6805" ht="22.5" customHeight="1">
      <c r="Q6805" s="9" t="s">
        <v>6843</v>
      </c>
      <c r="R6805" s="10">
        <v>0.7910564610135484</v>
      </c>
      <c r="S6805" s="10">
        <v>0.03943684401315207</v>
      </c>
      <c r="T6805" s="10">
        <v>19.044537660343035</v>
      </c>
      <c r="U6805" s="11">
        <v>0.1987661763945668</v>
      </c>
      <c r="V6805" s="11">
        <v>0.35954674835132344</v>
      </c>
      <c r="W6805" s="11">
        <v>0.1205151405007367</v>
      </c>
      <c r="X6805" s="11">
        <v>0.1681008887068582</v>
      </c>
      <c r="Y6805" s="11">
        <v>0.00947254664843401</v>
      </c>
      <c r="Z6805" s="11">
        <v>0.1435984993980811</v>
      </c>
    </row>
    <row r="6806" ht="22.5" customHeight="1">
      <c r="Q6806" s="9" t="s">
        <v>6844</v>
      </c>
      <c r="R6806" s="10">
        <v>0.4594949819158984</v>
      </c>
      <c r="S6806" s="10">
        <v>0.02202726105974868</v>
      </c>
      <c r="T6806" s="10">
        <v>19.04435511877865</v>
      </c>
      <c r="U6806" s="11">
        <v>0.24920115642088814</v>
      </c>
      <c r="V6806" s="11">
        <v>0.1953103724281764</v>
      </c>
      <c r="W6806" s="11">
        <v>0.025550399197773334</v>
      </c>
      <c r="X6806" s="11">
        <v>0.20406520267366746</v>
      </c>
      <c r="Y6806" s="11">
        <v>0.2230942072636111</v>
      </c>
      <c r="Z6806" s="11">
        <v>0.10277866201588362</v>
      </c>
    </row>
    <row r="6807" ht="22.5" customHeight="1">
      <c r="Q6807" s="9" t="s">
        <v>6845</v>
      </c>
      <c r="R6807" s="10">
        <v>0.5227960233416108</v>
      </c>
      <c r="S6807" s="10">
        <v>0.025352322248268153</v>
      </c>
      <c r="T6807" s="10">
        <v>19.043463498677767</v>
      </c>
      <c r="U6807" s="11">
        <v>0.2497814793383982</v>
      </c>
      <c r="V6807" s="11">
        <v>0.06131214431112012</v>
      </c>
      <c r="W6807" s="11">
        <v>0.21385242302635238</v>
      </c>
      <c r="X6807" s="11">
        <v>0.24732239790236119</v>
      </c>
      <c r="Y6807" s="11">
        <v>0.12958766422438492</v>
      </c>
      <c r="Z6807" s="11">
        <v>0.09814389119738318</v>
      </c>
    </row>
    <row r="6808" ht="22.5" customHeight="1">
      <c r="Q6808" s="9" t="s">
        <v>6846</v>
      </c>
      <c r="R6808" s="10">
        <v>0.6280664561244226</v>
      </c>
      <c r="S6808" s="10">
        <v>0.030881158310925083</v>
      </c>
      <c r="T6808" s="10">
        <v>19.04288855371003</v>
      </c>
      <c r="U6808" s="11">
        <v>0.22000540366329682</v>
      </c>
      <c r="V6808" s="11">
        <v>0.2812804121604336</v>
      </c>
      <c r="W6808" s="11">
        <v>0.07720048667564423</v>
      </c>
      <c r="X6808" s="11">
        <v>0.10853316308624913</v>
      </c>
      <c r="Y6808" s="11">
        <v>0.17675614761182454</v>
      </c>
      <c r="Z6808" s="11">
        <v>0.1362243868025517</v>
      </c>
    </row>
    <row r="6809" ht="22.5" customHeight="1">
      <c r="Q6809" s="9" t="s">
        <v>6847</v>
      </c>
      <c r="R6809" s="10">
        <v>0.40747732323907604</v>
      </c>
      <c r="S6809" s="10">
        <v>0.019298635787399522</v>
      </c>
      <c r="T6809" s="10">
        <v>19.041621764736842</v>
      </c>
      <c r="U6809" s="11">
        <v>0.17335012316374837</v>
      </c>
      <c r="V6809" s="11">
        <v>0.1692565395224817</v>
      </c>
      <c r="W6809" s="11">
        <v>0.01986313312300379</v>
      </c>
      <c r="X6809" s="11">
        <v>0.18889759939827086</v>
      </c>
      <c r="Y6809" s="11">
        <v>0.23509081375355184</v>
      </c>
      <c r="Z6809" s="11">
        <v>0.21354179103894344</v>
      </c>
    </row>
    <row r="6810" ht="22.5" customHeight="1">
      <c r="Q6810" s="9" t="s">
        <v>6848</v>
      </c>
      <c r="R6810" s="10">
        <v>0.7377783472088018</v>
      </c>
      <c r="S6810" s="10">
        <v>0.036651039874188204</v>
      </c>
      <c r="T6810" s="10">
        <v>19.03843245932615</v>
      </c>
      <c r="U6810" s="11">
        <v>0.05409849909321414</v>
      </c>
      <c r="V6810" s="11">
        <v>0.12845434837740782</v>
      </c>
      <c r="W6810" s="11">
        <v>0.3096686258286512</v>
      </c>
      <c r="X6810" s="11">
        <v>0.3070921217399946</v>
      </c>
      <c r="Y6810" s="11">
        <v>0.056779482403775484</v>
      </c>
      <c r="Z6810" s="11">
        <v>0.1439069225569568</v>
      </c>
    </row>
    <row r="6811" ht="22.5" customHeight="1">
      <c r="Q6811" s="9" t="s">
        <v>6849</v>
      </c>
      <c r="R6811" s="10">
        <v>0.3318588008124698</v>
      </c>
      <c r="S6811" s="10">
        <v>0.015331078455165409</v>
      </c>
      <c r="T6811" s="10">
        <v>19.03706915765835</v>
      </c>
      <c r="U6811" s="11">
        <v>0.13617869495954385</v>
      </c>
      <c r="V6811" s="11">
        <v>0.051855071533552476</v>
      </c>
      <c r="W6811" s="11">
        <v>0.10064007903656012</v>
      </c>
      <c r="X6811" s="11">
        <v>0.038703204005733474</v>
      </c>
      <c r="Y6811" s="11">
        <v>0.3562027298142917</v>
      </c>
      <c r="Z6811" s="11">
        <v>0.3164202206503184</v>
      </c>
    </row>
    <row r="6812" ht="22.5" customHeight="1">
      <c r="Q6812" s="9" t="s">
        <v>6850</v>
      </c>
      <c r="R6812" s="10">
        <v>0.4479084709285305</v>
      </c>
      <c r="S6812" s="10">
        <v>0.021428210311048836</v>
      </c>
      <c r="T6812" s="10">
        <v>19.03604944171209</v>
      </c>
      <c r="U6812" s="11">
        <v>0.05629997490327478</v>
      </c>
      <c r="V6812" s="11">
        <v>0.050021830081969816</v>
      </c>
      <c r="W6812" s="11">
        <v>0.17822459383156872</v>
      </c>
      <c r="X6812" s="11">
        <v>0.2460790337062671</v>
      </c>
      <c r="Y6812" s="11">
        <v>0.17072411128358428</v>
      </c>
      <c r="Z6812" s="11">
        <v>0.29865045619333525</v>
      </c>
    </row>
    <row r="6813" ht="22.5" customHeight="1">
      <c r="Q6813" s="9" t="s">
        <v>6851</v>
      </c>
      <c r="R6813" s="10">
        <v>0.4169000619454125</v>
      </c>
      <c r="S6813" s="10">
        <v>0.019800516646791156</v>
      </c>
      <c r="T6813" s="10">
        <v>19.034859982125386</v>
      </c>
      <c r="U6813" s="11">
        <v>0.13956243583754224</v>
      </c>
      <c r="V6813" s="11">
        <v>0.1759389540701673</v>
      </c>
      <c r="W6813" s="11">
        <v>0.01582019950736175</v>
      </c>
      <c r="X6813" s="11">
        <v>0.33814911561042976</v>
      </c>
      <c r="Y6813" s="11">
        <v>0.04185100615808275</v>
      </c>
      <c r="Z6813" s="11">
        <v>0.2886782888164161</v>
      </c>
    </row>
    <row r="6814" ht="22.5" customHeight="1">
      <c r="Q6814" s="9" t="s">
        <v>6852</v>
      </c>
      <c r="R6814" s="10">
        <v>0.31772307920970877</v>
      </c>
      <c r="S6814" s="10">
        <v>0.014590663511985064</v>
      </c>
      <c r="T6814" s="10">
        <v>19.03430087203241</v>
      </c>
      <c r="U6814" s="11">
        <v>0.2212824293363028</v>
      </c>
      <c r="V6814" s="11">
        <v>0.02366375761587865</v>
      </c>
      <c r="W6814" s="11">
        <v>0.10738619362771773</v>
      </c>
      <c r="X6814" s="11">
        <v>0.17279833656627702</v>
      </c>
      <c r="Y6814" s="11">
        <v>0.21803762263077</v>
      </c>
      <c r="Z6814" s="11">
        <v>0.25683166022305376</v>
      </c>
    </row>
    <row r="6815" ht="22.5" customHeight="1">
      <c r="Q6815" s="9" t="s">
        <v>6853</v>
      </c>
      <c r="R6815" s="10">
        <v>0.653353879127613</v>
      </c>
      <c r="S6815" s="10">
        <v>0.03222495798929328</v>
      </c>
      <c r="T6815" s="10">
        <v>19.033504382888548</v>
      </c>
      <c r="U6815" s="11">
        <v>0.09505439363524643</v>
      </c>
      <c r="V6815" s="11">
        <v>0.12351304763085555</v>
      </c>
      <c r="W6815" s="11">
        <v>0.26360520299117157</v>
      </c>
      <c r="X6815" s="11">
        <v>0.08507729639737219</v>
      </c>
      <c r="Y6815" s="11">
        <v>0.28257417038109234</v>
      </c>
      <c r="Z6815" s="11">
        <v>0.15017588896426193</v>
      </c>
    </row>
    <row r="6816" ht="22.5" customHeight="1">
      <c r="Q6816" s="9" t="s">
        <v>6854</v>
      </c>
      <c r="R6816" s="10">
        <v>0.3784572515089285</v>
      </c>
      <c r="S6816" s="10">
        <v>0.017782258723304696</v>
      </c>
      <c r="T6816" s="10">
        <v>19.03342296248116</v>
      </c>
      <c r="U6816" s="11">
        <v>0.14700802706340185</v>
      </c>
      <c r="V6816" s="11">
        <v>0.04775169076046521</v>
      </c>
      <c r="W6816" s="11">
        <v>0.1423139697243306</v>
      </c>
      <c r="X6816" s="11">
        <v>0.20504705367728981</v>
      </c>
      <c r="Y6816" s="11">
        <v>0.00277927246453093</v>
      </c>
      <c r="Z6816" s="11">
        <v>0.4550999863099816</v>
      </c>
    </row>
    <row r="6817" ht="22.5" customHeight="1">
      <c r="Q6817" s="9" t="s">
        <v>6855</v>
      </c>
      <c r="R6817" s="10">
        <v>0.7399260171189667</v>
      </c>
      <c r="S6817" s="10">
        <v>0.036774655970098255</v>
      </c>
      <c r="T6817" s="10">
        <v>19.03283657332054</v>
      </c>
      <c r="U6817" s="11">
        <v>0.12028531866055468</v>
      </c>
      <c r="V6817" s="11">
        <v>0.332235597864346</v>
      </c>
      <c r="W6817" s="11">
        <v>0.11520545141775755</v>
      </c>
      <c r="X6817" s="11">
        <v>0.06463613055573326</v>
      </c>
      <c r="Y6817" s="11">
        <v>0.20643112201919986</v>
      </c>
      <c r="Z6817" s="11">
        <v>0.16120637948240873</v>
      </c>
    </row>
    <row r="6818" ht="22.5" customHeight="1">
      <c r="Q6818" s="9" t="s">
        <v>6856</v>
      </c>
      <c r="R6818" s="10">
        <v>0.643442969367597</v>
      </c>
      <c r="S6818" s="10">
        <v>0.03170686052228943</v>
      </c>
      <c r="T6818" s="10">
        <v>19.03193691924768</v>
      </c>
      <c r="U6818" s="11">
        <v>0.12724726281019824</v>
      </c>
      <c r="V6818" s="11">
        <v>0.11216752180832244</v>
      </c>
      <c r="W6818" s="11">
        <v>0.25944789349277053</v>
      </c>
      <c r="X6818" s="11">
        <v>0.11052432688309424</v>
      </c>
      <c r="Y6818" s="11">
        <v>0.33196496981404144</v>
      </c>
      <c r="Z6818" s="11">
        <v>0.05864802519157329</v>
      </c>
    </row>
    <row r="6819" ht="22.5" customHeight="1">
      <c r="Q6819" s="9" t="s">
        <v>6857</v>
      </c>
      <c r="R6819" s="10">
        <v>0.2748025817464789</v>
      </c>
      <c r="S6819" s="10">
        <v>0.01233790332249463</v>
      </c>
      <c r="T6819" s="10">
        <v>19.03099543002446</v>
      </c>
      <c r="U6819" s="11">
        <v>0.17392105277786662</v>
      </c>
      <c r="V6819" s="11">
        <v>0.061171584324277134</v>
      </c>
      <c r="W6819" s="11">
        <v>0.03434863079583794</v>
      </c>
      <c r="X6819" s="11">
        <v>0.10694620227676817</v>
      </c>
      <c r="Y6819" s="11">
        <v>0.4015546617977662</v>
      </c>
      <c r="Z6819" s="11">
        <v>0.22205786802748384</v>
      </c>
    </row>
    <row r="6820" ht="22.5" customHeight="1">
      <c r="Q6820" s="9" t="s">
        <v>6858</v>
      </c>
      <c r="R6820" s="10">
        <v>0.8431881804817674</v>
      </c>
      <c r="S6820" s="10">
        <v>0.042204244846769656</v>
      </c>
      <c r="T6820" s="10">
        <v>19.030980968807548</v>
      </c>
      <c r="U6820" s="11">
        <v>0.17095538743420782</v>
      </c>
      <c r="V6820" s="11">
        <v>0.3828109441990384</v>
      </c>
      <c r="W6820" s="11">
        <v>0.13063514813532093</v>
      </c>
      <c r="X6820" s="11">
        <v>0.1311363807848826</v>
      </c>
      <c r="Y6820" s="11">
        <v>0.15020791094791772</v>
      </c>
      <c r="Z6820" s="11">
        <v>0.03425422849863253</v>
      </c>
    </row>
    <row r="6821" ht="22.5" customHeight="1">
      <c r="Q6821" s="9" t="s">
        <v>6859</v>
      </c>
      <c r="R6821" s="10">
        <v>0.522331348251574</v>
      </c>
      <c r="S6821" s="10">
        <v>0.023249527056065426</v>
      </c>
      <c r="T6821" s="10">
        <v>19.0295170362703</v>
      </c>
      <c r="U6821" s="11">
        <v>0.2629487253891491</v>
      </c>
      <c r="V6821" s="11">
        <v>0.04677345781427448</v>
      </c>
      <c r="W6821" s="11">
        <v>0.19262474386412756</v>
      </c>
      <c r="X6821" s="11">
        <v>0.2489038817402779</v>
      </c>
      <c r="Y6821" s="11">
        <v>0.20925538112528405</v>
      </c>
      <c r="Z6821" s="11">
        <v>0.03949381006688688</v>
      </c>
    </row>
    <row r="6822" ht="22.5" customHeight="1">
      <c r="Q6822" s="9" t="s">
        <v>6860</v>
      </c>
      <c r="R6822" s="10">
        <v>0.501950849405013</v>
      </c>
      <c r="S6822" s="10">
        <v>0.024275910090250926</v>
      </c>
      <c r="T6822" s="10">
        <v>19.02918768802534</v>
      </c>
      <c r="U6822" s="11">
        <v>0.27318416159241327</v>
      </c>
      <c r="V6822" s="11">
        <v>0.2191724971868939</v>
      </c>
      <c r="W6822" s="11">
        <v>0.02707028146491492</v>
      </c>
      <c r="X6822" s="11">
        <v>0.3264403829143639</v>
      </c>
      <c r="Y6822" s="11">
        <v>0.04602022940771459</v>
      </c>
      <c r="Z6822" s="11">
        <v>0.10811244743369941</v>
      </c>
    </row>
    <row r="6823" ht="22.5" customHeight="1">
      <c r="Q6823" s="9" t="s">
        <v>6861</v>
      </c>
      <c r="R6823" s="10">
        <v>0.6051677404260228</v>
      </c>
      <c r="S6823" s="10">
        <v>0.029700051272563237</v>
      </c>
      <c r="T6823" s="10">
        <v>19.02918399834959</v>
      </c>
      <c r="U6823" s="11">
        <v>0.18840673852715026</v>
      </c>
      <c r="V6823" s="11">
        <v>0.11224211841282188</v>
      </c>
      <c r="W6823" s="11">
        <v>0.24655093315223556</v>
      </c>
      <c r="X6823" s="11">
        <v>0.11107383135847276</v>
      </c>
      <c r="Y6823" s="11">
        <v>0.07566605670552266</v>
      </c>
      <c r="Z6823" s="11">
        <v>0.26606032184379697</v>
      </c>
    </row>
    <row r="6824" ht="22.5" customHeight="1">
      <c r="Q6824" s="9" t="s">
        <v>6862</v>
      </c>
      <c r="R6824" s="10">
        <v>0.5036050460470716</v>
      </c>
      <c r="S6824" s="10">
        <v>0.0243634256966099</v>
      </c>
      <c r="T6824" s="10">
        <v>19.028729860086173</v>
      </c>
      <c r="U6824" s="11">
        <v>0.2646791848033278</v>
      </c>
      <c r="V6824" s="11">
        <v>0.06950165537859337</v>
      </c>
      <c r="W6824" s="11">
        <v>0.19867284311177333</v>
      </c>
      <c r="X6824" s="11">
        <v>0.11426725563357967</v>
      </c>
      <c r="Y6824" s="11">
        <v>0.25835932639634596</v>
      </c>
      <c r="Z6824" s="11">
        <v>0.09451973467637989</v>
      </c>
    </row>
    <row r="6825" ht="22.5" customHeight="1">
      <c r="Q6825" s="9" t="s">
        <v>6863</v>
      </c>
      <c r="R6825" s="10">
        <v>0.5504653818077959</v>
      </c>
      <c r="S6825" s="10">
        <v>0.026828112805109577</v>
      </c>
      <c r="T6825" s="10">
        <v>19.027256427465694</v>
      </c>
      <c r="U6825" s="11">
        <v>0.2525131599915552</v>
      </c>
      <c r="V6825" s="11">
        <v>0.07902067740195996</v>
      </c>
      <c r="W6825" s="11">
        <v>0.22108871518716816</v>
      </c>
      <c r="X6825" s="11">
        <v>0.13313272995021133</v>
      </c>
      <c r="Y6825" s="11">
        <v>0.26164350941809544</v>
      </c>
      <c r="Z6825" s="11">
        <v>0.05260120805100996</v>
      </c>
    </row>
    <row r="6826" ht="22.5" customHeight="1">
      <c r="Q6826" s="9" t="s">
        <v>6864</v>
      </c>
      <c r="R6826" s="10">
        <v>0.6248397451644127</v>
      </c>
      <c r="S6826" s="10">
        <v>0.030738829451967743</v>
      </c>
      <c r="T6826" s="10">
        <v>19.026090309596164</v>
      </c>
      <c r="U6826" s="11">
        <v>0.31575266873119534</v>
      </c>
      <c r="V6826" s="11">
        <v>0.08870224903468656</v>
      </c>
      <c r="W6826" s="11">
        <v>0.2601786720443136</v>
      </c>
      <c r="X6826" s="11">
        <v>0.2433687889769861</v>
      </c>
      <c r="Y6826" s="11">
        <v>0.08879705984779973</v>
      </c>
      <c r="Z6826" s="11">
        <v>0.0032005613650188595</v>
      </c>
    </row>
    <row r="6827" ht="22.5" customHeight="1">
      <c r="Q6827" s="9" t="s">
        <v>6865</v>
      </c>
      <c r="R6827" s="10">
        <v>0.7786045139060175</v>
      </c>
      <c r="S6827" s="10">
        <v>0.038821417041618456</v>
      </c>
      <c r="T6827" s="10">
        <v>19.02569690112541</v>
      </c>
      <c r="U6827" s="11">
        <v>0.022492187970752184</v>
      </c>
      <c r="V6827" s="11">
        <v>0.12724079357502144</v>
      </c>
      <c r="W6827" s="11">
        <v>0.3287492590631102</v>
      </c>
      <c r="X6827" s="11">
        <v>0.3952887305185784</v>
      </c>
      <c r="Y6827" s="11">
        <v>0.08663292734491543</v>
      </c>
      <c r="Z6827" s="11">
        <v>0.039596101527622385</v>
      </c>
    </row>
    <row r="6828" ht="22.5" customHeight="1">
      <c r="Q6828" s="9" t="s">
        <v>6866</v>
      </c>
      <c r="R6828" s="10">
        <v>0.6421727167272515</v>
      </c>
      <c r="S6828" s="10">
        <v>0.0316506082823073</v>
      </c>
      <c r="T6828" s="10">
        <v>19.02562855526117</v>
      </c>
      <c r="U6828" s="11">
        <v>0.21649369645770275</v>
      </c>
      <c r="V6828" s="11">
        <v>0.28606351899532323</v>
      </c>
      <c r="W6828" s="11">
        <v>0.09134935865959277</v>
      </c>
      <c r="X6828" s="11">
        <v>0.04862772343756004</v>
      </c>
      <c r="Y6828" s="11">
        <v>0.1688049609124513</v>
      </c>
      <c r="Z6828" s="11">
        <v>0.18866074153736986</v>
      </c>
    </row>
    <row r="6829" ht="22.5" customHeight="1">
      <c r="Q6829" s="9" t="s">
        <v>6867</v>
      </c>
      <c r="R6829" s="10">
        <v>0.5674214323202762</v>
      </c>
      <c r="S6829" s="10">
        <v>0.027722230800884765</v>
      </c>
      <c r="T6829" s="10">
        <v>19.025216120177575</v>
      </c>
      <c r="U6829" s="11">
        <v>0.1409533807418334</v>
      </c>
      <c r="V6829" s="11">
        <v>0.09547834185146618</v>
      </c>
      <c r="W6829" s="11">
        <v>0.2300817455664576</v>
      </c>
      <c r="X6829" s="11">
        <v>0.11256427096288336</v>
      </c>
      <c r="Y6829" s="11">
        <v>0.19378361421066267</v>
      </c>
      <c r="Z6829" s="11">
        <v>0.22713864666669678</v>
      </c>
    </row>
    <row r="6830" ht="22.5" customHeight="1">
      <c r="Q6830" s="9" t="s">
        <v>6868</v>
      </c>
      <c r="R6830" s="10">
        <v>0.9827225677511355</v>
      </c>
      <c r="S6830" s="10">
        <v>0.04955193769066375</v>
      </c>
      <c r="T6830" s="10">
        <v>19.02493851272252</v>
      </c>
      <c r="U6830" s="11">
        <v>0.10088052459695586</v>
      </c>
      <c r="V6830" s="11">
        <v>0.26044939028712855</v>
      </c>
      <c r="W6830" s="11">
        <v>0.3871605945027538</v>
      </c>
      <c r="X6830" s="11">
        <v>0.030184535885538325</v>
      </c>
      <c r="Y6830" s="11">
        <v>0.04058790892905836</v>
      </c>
      <c r="Z6830" s="11">
        <v>0.18073704579856525</v>
      </c>
    </row>
    <row r="6831" ht="22.5" customHeight="1">
      <c r="Q6831" s="9" t="s">
        <v>6869</v>
      </c>
      <c r="R6831" s="10">
        <v>0.4455189305222976</v>
      </c>
      <c r="S6831" s="10">
        <v>0.02131665348007723</v>
      </c>
      <c r="T6831" s="10">
        <v>19.023573794137054</v>
      </c>
      <c r="U6831" s="11">
        <v>0.19641279308678578</v>
      </c>
      <c r="V6831" s="11">
        <v>0.05350388755537698</v>
      </c>
      <c r="W6831" s="11">
        <v>0.17513997696217756</v>
      </c>
      <c r="X6831" s="11">
        <v>0.15398238839127548</v>
      </c>
      <c r="Y6831" s="11">
        <v>0.20304881887294693</v>
      </c>
      <c r="Z6831" s="11">
        <v>0.21791213513143728</v>
      </c>
    </row>
    <row r="6832" ht="22.5" customHeight="1">
      <c r="Q6832" s="9" t="s">
        <v>6870</v>
      </c>
      <c r="R6832" s="10">
        <v>0.42871560979015066</v>
      </c>
      <c r="S6832" s="10">
        <v>0.020434470655571864</v>
      </c>
      <c r="T6832" s="10">
        <v>19.022543639228534</v>
      </c>
      <c r="U6832" s="11">
        <v>0.28997017774303696</v>
      </c>
      <c r="V6832" s="11">
        <v>0.043252292292576024</v>
      </c>
      <c r="W6832" s="11">
        <v>0.1687112607671449</v>
      </c>
      <c r="X6832" s="11">
        <v>0.21582263289143327</v>
      </c>
      <c r="Y6832" s="11">
        <v>0.08645564803449456</v>
      </c>
      <c r="Z6832" s="11">
        <v>0.1957879882713142</v>
      </c>
    </row>
    <row r="6833" ht="22.5" customHeight="1">
      <c r="Q6833" s="9" t="s">
        <v>6871</v>
      </c>
      <c r="R6833" s="10">
        <v>0.626245370120513</v>
      </c>
      <c r="S6833" s="10">
        <v>0.03081890075731101</v>
      </c>
      <c r="T6833" s="10">
        <v>19.02226736563409</v>
      </c>
      <c r="U6833" s="11">
        <v>0.11106566048161805</v>
      </c>
      <c r="V6833" s="11">
        <v>0.11502235963471913</v>
      </c>
      <c r="W6833" s="11">
        <v>0.2529228217371694</v>
      </c>
      <c r="X6833" s="11">
        <v>0.08597886474441023</v>
      </c>
      <c r="Y6833" s="11">
        <v>0.2640100558719751</v>
      </c>
      <c r="Z6833" s="11">
        <v>0.17100023753010804</v>
      </c>
    </row>
    <row r="6834" ht="22.5" customHeight="1">
      <c r="Q6834" s="9" t="s">
        <v>6872</v>
      </c>
      <c r="R6834" s="10">
        <v>0.7117770936433497</v>
      </c>
      <c r="S6834" s="10">
        <v>0.03531569526193221</v>
      </c>
      <c r="T6834" s="10">
        <v>19.022054886952127</v>
      </c>
      <c r="U6834" s="11">
        <v>0.2901417946284536</v>
      </c>
      <c r="V6834" s="11">
        <v>0.31652357861422253</v>
      </c>
      <c r="W6834" s="11">
        <v>0.10698552581829215</v>
      </c>
      <c r="X6834" s="11">
        <v>0.03398610511140867</v>
      </c>
      <c r="Y6834" s="11">
        <v>0.19070737014010383</v>
      </c>
      <c r="Z6834" s="11">
        <v>0.06165562568751913</v>
      </c>
    </row>
    <row r="6835" ht="22.5" customHeight="1">
      <c r="Q6835" s="9" t="s">
        <v>6873</v>
      </c>
      <c r="R6835" s="10">
        <v>0.5742767223401487</v>
      </c>
      <c r="S6835" s="10">
        <v>0.02808858427151021</v>
      </c>
      <c r="T6835" s="10">
        <v>19.02113389467111</v>
      </c>
      <c r="U6835" s="11">
        <v>0.006896037831722473</v>
      </c>
      <c r="V6835" s="11">
        <v>0.09081069284233882</v>
      </c>
      <c r="W6835" s="11">
        <v>0.23646848264639822</v>
      </c>
      <c r="X6835" s="11">
        <v>0.2279376754337966</v>
      </c>
      <c r="Y6835" s="11">
        <v>0.1312774130720194</v>
      </c>
      <c r="Z6835" s="11">
        <v>0.30660969817372463</v>
      </c>
    </row>
    <row r="6836" ht="22.5" customHeight="1">
      <c r="Q6836" s="9" t="s">
        <v>6874</v>
      </c>
      <c r="R6836" s="10">
        <v>0.6315092974441815</v>
      </c>
      <c r="S6836" s="10">
        <v>0.031098753655648584</v>
      </c>
      <c r="T6836" s="10">
        <v>19.020353805617653</v>
      </c>
      <c r="U6836" s="11">
        <v>0.3600299657050262</v>
      </c>
      <c r="V6836" s="11">
        <v>0.2749925074146149</v>
      </c>
      <c r="W6836" s="11">
        <v>0.0865726103427822</v>
      </c>
      <c r="X6836" s="11">
        <v>0.018381263291059276</v>
      </c>
      <c r="Y6836" s="11">
        <v>0.23418969273544157</v>
      </c>
      <c r="Z6836" s="11">
        <v>0.02583396051107581</v>
      </c>
    </row>
    <row r="6837" ht="22.5" customHeight="1">
      <c r="Q6837" s="9" t="s">
        <v>6875</v>
      </c>
      <c r="R6837" s="10">
        <v>0.5950016242850251</v>
      </c>
      <c r="S6837" s="10">
        <v>0.02918314440638887</v>
      </c>
      <c r="T6837" s="10">
        <v>19.01788294490714</v>
      </c>
      <c r="U6837" s="11">
        <v>0.3039390818827289</v>
      </c>
      <c r="V6837" s="11">
        <v>0.09819479032401199</v>
      </c>
      <c r="W6837" s="11">
        <v>0.24346670572970927</v>
      </c>
      <c r="X6837" s="11">
        <v>0.1268572673583728</v>
      </c>
      <c r="Y6837" s="11">
        <v>0.1023493222938172</v>
      </c>
      <c r="Z6837" s="11">
        <v>0.1251928324113597</v>
      </c>
    </row>
    <row r="6838" ht="22.5" customHeight="1">
      <c r="Q6838" s="9" t="s">
        <v>6876</v>
      </c>
      <c r="R6838" s="10">
        <v>0.5804589280962111</v>
      </c>
      <c r="S6838" s="10">
        <v>0.028419800108138413</v>
      </c>
      <c r="T6838" s="10">
        <v>19.016985553724673</v>
      </c>
      <c r="U6838" s="11">
        <v>0.07788381011980673</v>
      </c>
      <c r="V6838" s="11">
        <v>0.08821453180246593</v>
      </c>
      <c r="W6838" s="11">
        <v>0.2385035595089198</v>
      </c>
      <c r="X6838" s="11">
        <v>0.19168174647425248</v>
      </c>
      <c r="Y6838" s="11">
        <v>0.2163866677019257</v>
      </c>
      <c r="Z6838" s="11">
        <v>0.18732968439262934</v>
      </c>
    </row>
    <row r="6839" ht="22.5" customHeight="1">
      <c r="Q6839" s="9" t="s">
        <v>6877</v>
      </c>
      <c r="R6839" s="10">
        <v>0.6629783087162041</v>
      </c>
      <c r="S6839" s="10">
        <v>0.03275952501473396</v>
      </c>
      <c r="T6839" s="10">
        <v>19.01670761209183</v>
      </c>
      <c r="U6839" s="11">
        <v>0.0920020875376537</v>
      </c>
      <c r="V6839" s="11">
        <v>0.10373726601146332</v>
      </c>
      <c r="W6839" s="11">
        <v>0.2779306609961438</v>
      </c>
      <c r="X6839" s="11">
        <v>0.27036977559831166</v>
      </c>
      <c r="Y6839" s="11">
        <v>0.13118207940444193</v>
      </c>
      <c r="Z6839" s="11">
        <v>0.12477813045198552</v>
      </c>
    </row>
    <row r="6840" ht="22.5" customHeight="1">
      <c r="Q6840" s="9" t="s">
        <v>6878</v>
      </c>
      <c r="R6840" s="10">
        <v>0.42702090794009806</v>
      </c>
      <c r="S6840" s="10">
        <v>0.020354158620928858</v>
      </c>
      <c r="T6840" s="10">
        <v>19.014340761899618</v>
      </c>
      <c r="U6840" s="11">
        <v>0.21843353515407954</v>
      </c>
      <c r="V6840" s="11">
        <v>0.1812418716025314</v>
      </c>
      <c r="W6840" s="11">
        <v>0.018690181867985045</v>
      </c>
      <c r="X6840" s="11">
        <v>0.23559438088617785</v>
      </c>
      <c r="Y6840" s="11">
        <v>0.15712796393204465</v>
      </c>
      <c r="Z6840" s="11">
        <v>0.18891206655718146</v>
      </c>
    </row>
    <row r="6841" ht="22.5" customHeight="1">
      <c r="Q6841" s="9" t="s">
        <v>6879</v>
      </c>
      <c r="R6841" s="10">
        <v>0.6941791244790072</v>
      </c>
      <c r="S6841" s="10">
        <v>0.034405322455978875</v>
      </c>
      <c r="T6841" s="10">
        <v>19.01389313575015</v>
      </c>
      <c r="U6841" s="11">
        <v>0.08057227317658296</v>
      </c>
      <c r="V6841" s="11">
        <v>0.152680958896711</v>
      </c>
      <c r="W6841" s="11">
        <v>0.277773009403243</v>
      </c>
      <c r="X6841" s="11">
        <v>0.0331938402531774</v>
      </c>
      <c r="Y6841" s="11">
        <v>0.18701140652378292</v>
      </c>
      <c r="Z6841" s="11">
        <v>0.2687685117465027</v>
      </c>
    </row>
    <row r="6842" ht="22.5" customHeight="1">
      <c r="Q6842" s="9" t="s">
        <v>6880</v>
      </c>
      <c r="R6842" s="10">
        <v>0.6297539242463346</v>
      </c>
      <c r="S6842" s="10">
        <v>0.031019425788386873</v>
      </c>
      <c r="T6842" s="10">
        <v>19.012406234390323</v>
      </c>
      <c r="U6842" s="11">
        <v>0.23709594649147483</v>
      </c>
      <c r="V6842" s="11">
        <v>0.2830374532921366</v>
      </c>
      <c r="W6842" s="11">
        <v>0.08417738263248051</v>
      </c>
      <c r="X6842" s="11">
        <v>0.0985010586153995</v>
      </c>
      <c r="Y6842" s="11">
        <v>0.07887942906183329</v>
      </c>
      <c r="Z6842" s="11">
        <v>0.21830872990667535</v>
      </c>
    </row>
    <row r="6843" ht="22.5" customHeight="1">
      <c r="Q6843" s="9" t="s">
        <v>6881</v>
      </c>
      <c r="R6843" s="10">
        <v>0.5192955751912007</v>
      </c>
      <c r="S6843" s="10">
        <v>0.0252104088539972</v>
      </c>
      <c r="T6843" s="10">
        <v>19.011812857418484</v>
      </c>
      <c r="U6843" s="11">
        <v>0.3198658791869265</v>
      </c>
      <c r="V6843" s="11">
        <v>0.08410054066512089</v>
      </c>
      <c r="W6843" s="11">
        <v>0.19982120868127234</v>
      </c>
      <c r="X6843" s="11">
        <v>0.036523682441273395</v>
      </c>
      <c r="Y6843" s="11">
        <v>0.292178981659985</v>
      </c>
      <c r="Z6843" s="11">
        <v>0.06750970736542193</v>
      </c>
    </row>
    <row r="6844" ht="22.5" customHeight="1">
      <c r="Q6844" s="9" t="s">
        <v>6882</v>
      </c>
      <c r="R6844" s="10">
        <v>0.677613105759147</v>
      </c>
      <c r="S6844" s="10">
        <v>0.033539715769455025</v>
      </c>
      <c r="T6844" s="10">
        <v>19.010689003507537</v>
      </c>
      <c r="U6844" s="11">
        <v>0.18718303351306317</v>
      </c>
      <c r="V6844" s="11">
        <v>0.3082731193635234</v>
      </c>
      <c r="W6844" s="11">
        <v>0.07659984502715442</v>
      </c>
      <c r="X6844" s="11">
        <v>0.19568634875166252</v>
      </c>
      <c r="Y6844" s="11">
        <v>0.16155938760228908</v>
      </c>
      <c r="Z6844" s="11">
        <v>0.07069826574230731</v>
      </c>
    </row>
    <row r="6845" ht="22.5" customHeight="1">
      <c r="Q6845" s="9" t="s">
        <v>6883</v>
      </c>
      <c r="R6845" s="10">
        <v>0.6197715424936884</v>
      </c>
      <c r="S6845" s="10">
        <v>0.030497752139736354</v>
      </c>
      <c r="T6845" s="10">
        <v>19.01030409838921</v>
      </c>
      <c r="U6845" s="11">
        <v>0.06204218714366334</v>
      </c>
      <c r="V6845" s="11">
        <v>0.12356259782422555</v>
      </c>
      <c r="W6845" s="11">
        <v>0.24933820376782204</v>
      </c>
      <c r="X6845" s="11">
        <v>0.06889329284421353</v>
      </c>
      <c r="Y6845" s="11">
        <v>0.1930043332752039</v>
      </c>
      <c r="Z6845" s="11">
        <v>0.3031593851448717</v>
      </c>
    </row>
    <row r="6846" ht="22.5" customHeight="1">
      <c r="Q6846" s="9" t="s">
        <v>6884</v>
      </c>
      <c r="R6846" s="10">
        <v>0.522331348251574</v>
      </c>
      <c r="S6846" s="10">
        <v>0.030753101483482932</v>
      </c>
      <c r="T6846" s="10">
        <v>19.010027188752375</v>
      </c>
      <c r="U6846" s="11">
        <v>0.314528314799514</v>
      </c>
      <c r="V6846" s="11">
        <v>0.2738463063259962</v>
      </c>
      <c r="W6846" s="11">
        <v>0.09199405416526543</v>
      </c>
      <c r="X6846" s="11">
        <v>0.0037959615475684372</v>
      </c>
      <c r="Y6846" s="11">
        <v>0.1676623108077277</v>
      </c>
      <c r="Z6846" s="11">
        <v>0.14817305235392822</v>
      </c>
    </row>
    <row r="6847" ht="22.5" customHeight="1">
      <c r="Q6847" s="9" t="s">
        <v>6885</v>
      </c>
      <c r="R6847" s="10">
        <v>0.3452254351181183</v>
      </c>
      <c r="S6847" s="10">
        <v>0.016056450252681025</v>
      </c>
      <c r="T6847" s="10">
        <v>19.00952142688907</v>
      </c>
      <c r="U6847" s="11">
        <v>0.010787733010445352</v>
      </c>
      <c r="V6847" s="11">
        <v>0.05826040090311908</v>
      </c>
      <c r="W6847" s="11">
        <v>0.1151595261122435</v>
      </c>
      <c r="X6847" s="11">
        <v>0.05658616511546484</v>
      </c>
      <c r="Y6847" s="11">
        <v>0.2609349134933437</v>
      </c>
      <c r="Z6847" s="11">
        <v>0.4982712613653835</v>
      </c>
    </row>
    <row r="6848" ht="22.5" customHeight="1">
      <c r="Q6848" s="9" t="s">
        <v>6886</v>
      </c>
      <c r="R6848" s="10">
        <v>0.5041811560525031</v>
      </c>
      <c r="S6848" s="10">
        <v>0.02442201864140041</v>
      </c>
      <c r="T6848" s="10">
        <v>19.006666192024742</v>
      </c>
      <c r="U6848" s="11">
        <v>0.22962333552054698</v>
      </c>
      <c r="V6848" s="11">
        <v>0.07931018968340921</v>
      </c>
      <c r="W6848" s="11">
        <v>0.2014657815302431</v>
      </c>
      <c r="X6848" s="11">
        <v>0.09442812703258203</v>
      </c>
      <c r="Y6848" s="11">
        <v>0.14763410915028957</v>
      </c>
      <c r="Z6848" s="11">
        <v>0.24753845708292907</v>
      </c>
    </row>
    <row r="6849" ht="22.5" customHeight="1">
      <c r="Q6849" s="9" t="s">
        <v>6887</v>
      </c>
      <c r="R6849" s="10">
        <v>0.5443524829040466</v>
      </c>
      <c r="S6849" s="10">
        <v>0.02654071128629901</v>
      </c>
      <c r="T6849" s="10">
        <v>19.002975371063478</v>
      </c>
      <c r="U6849" s="11">
        <v>0.16201013711988507</v>
      </c>
      <c r="V6849" s="11">
        <v>0.24317154960247603</v>
      </c>
      <c r="W6849" s="11">
        <v>0.04288732972704876</v>
      </c>
      <c r="X6849" s="11">
        <v>0.22260540665743764</v>
      </c>
      <c r="Y6849" s="11">
        <v>0.1845206654594589</v>
      </c>
      <c r="Z6849" s="11">
        <v>0.14480491143369345</v>
      </c>
    </row>
    <row r="6850" ht="22.5" customHeight="1">
      <c r="Q6850" s="9" t="s">
        <v>6888</v>
      </c>
      <c r="R6850" s="10">
        <v>0.7250098288996487</v>
      </c>
      <c r="S6850" s="10">
        <v>0.0360480817074637</v>
      </c>
      <c r="T6850" s="10">
        <v>19.002670778950726</v>
      </c>
      <c r="U6850" s="11">
        <v>0.04236738593150414</v>
      </c>
      <c r="V6850" s="11">
        <v>0.16526399014321622</v>
      </c>
      <c r="W6850" s="11">
        <v>0.2887494969099316</v>
      </c>
      <c r="X6850" s="11">
        <v>0.020798194004342525</v>
      </c>
      <c r="Y6850" s="11">
        <v>0.21778802439353034</v>
      </c>
      <c r="Z6850" s="11">
        <v>0.26503290861747525</v>
      </c>
    </row>
    <row r="6851" ht="22.5" customHeight="1">
      <c r="Q6851" s="9" t="s">
        <v>6889</v>
      </c>
      <c r="R6851" s="10">
        <v>0.4885931524970034</v>
      </c>
      <c r="S6851" s="10">
        <v>0.02360905599973333</v>
      </c>
      <c r="T6851" s="10">
        <v>19.000893237835108</v>
      </c>
      <c r="U6851" s="11">
        <v>0.15657418748731738</v>
      </c>
      <c r="V6851" s="11">
        <v>0.20904415924081257</v>
      </c>
      <c r="W6851" s="11">
        <v>0.02128865890448603</v>
      </c>
      <c r="X6851" s="11">
        <v>0.2980542725759411</v>
      </c>
      <c r="Y6851" s="11">
        <v>0.2742257247056114</v>
      </c>
      <c r="Z6851" s="11">
        <v>0.04081299708583154</v>
      </c>
    </row>
    <row r="6852" ht="22.5" customHeight="1">
      <c r="Q6852" s="9" t="s">
        <v>6890</v>
      </c>
      <c r="R6852" s="10">
        <v>0.6241145381992241</v>
      </c>
      <c r="S6852" s="10">
        <v>0.03074156125104747</v>
      </c>
      <c r="T6852" s="10">
        <v>19.000809146585595</v>
      </c>
      <c r="U6852" s="11">
        <v>0.32428486621447444</v>
      </c>
      <c r="V6852" s="11">
        <v>0.27428011068530167</v>
      </c>
      <c r="W6852" s="11">
        <v>0.09247709817294257</v>
      </c>
      <c r="X6852" s="11">
        <v>0.008318301088414203</v>
      </c>
      <c r="Y6852" s="11">
        <v>0.1342895107483353</v>
      </c>
      <c r="Z6852" s="11">
        <v>0.16635011309053152</v>
      </c>
    </row>
    <row r="6853" ht="22.5" customHeight="1">
      <c r="Q6853" s="9" t="s">
        <v>6891</v>
      </c>
      <c r="R6853" s="10">
        <v>0.6970983421671482</v>
      </c>
      <c r="S6853" s="10">
        <v>0.03458283530023892</v>
      </c>
      <c r="T6853" s="10">
        <v>19.000707618747743</v>
      </c>
      <c r="U6853" s="11">
        <v>0.07886131377437597</v>
      </c>
      <c r="V6853" s="11">
        <v>0.3159570020890273</v>
      </c>
      <c r="W6853" s="11">
        <v>0.09231056324965797</v>
      </c>
      <c r="X6853" s="11">
        <v>0.1304237425663261</v>
      </c>
      <c r="Y6853" s="11">
        <v>0.2323737359808371</v>
      </c>
      <c r="Z6853" s="11">
        <v>0.15007364233977566</v>
      </c>
    </row>
    <row r="6854" ht="22.5" customHeight="1">
      <c r="Q6854" s="9" t="s">
        <v>6892</v>
      </c>
      <c r="R6854" s="10">
        <v>0.2836221736819751</v>
      </c>
      <c r="S6854" s="10">
        <v>0.01282191120675666</v>
      </c>
      <c r="T6854" s="10">
        <v>19.00045708892411</v>
      </c>
      <c r="U6854" s="11">
        <v>0.2849636218072696</v>
      </c>
      <c r="V6854" s="11">
        <v>0.005361201079599385</v>
      </c>
      <c r="W6854" s="11">
        <v>0.07205969821157025</v>
      </c>
      <c r="X6854" s="11">
        <v>0.3342807376579919</v>
      </c>
      <c r="Y6854" s="11">
        <v>0.2778176180556517</v>
      </c>
      <c r="Z6854" s="11">
        <v>0.02551712318791717</v>
      </c>
    </row>
    <row r="6855" ht="22.5" customHeight="1">
      <c r="Q6855" s="9" t="s">
        <v>6893</v>
      </c>
      <c r="R6855" s="10">
        <v>0.6012504842609017</v>
      </c>
      <c r="S6855" s="10">
        <v>0.029539012438240284</v>
      </c>
      <c r="T6855" s="10">
        <v>19.000313075271407</v>
      </c>
      <c r="U6855" s="11">
        <v>0.21714052687932653</v>
      </c>
      <c r="V6855" s="11">
        <v>0.11502637096309537</v>
      </c>
      <c r="W6855" s="11">
        <v>0.24384922358376593</v>
      </c>
      <c r="X6855" s="11">
        <v>0.08881977610261833</v>
      </c>
      <c r="Y6855" s="11">
        <v>0.05255347194702221</v>
      </c>
      <c r="Z6855" s="11">
        <v>0.28261063052417174</v>
      </c>
    </row>
    <row r="6856" ht="22.5" customHeight="1">
      <c r="Q6856" s="9" t="s">
        <v>6894</v>
      </c>
      <c r="R6856" s="10">
        <v>0.7109706645949084</v>
      </c>
      <c r="S6856" s="10">
        <v>0.035315619474006646</v>
      </c>
      <c r="T6856" s="10">
        <v>18.99926079701824</v>
      </c>
      <c r="U6856" s="11">
        <v>0.1442436181759678</v>
      </c>
      <c r="V6856" s="11">
        <v>0.3184072266937518</v>
      </c>
      <c r="W6856" s="11">
        <v>0.0943760687184188</v>
      </c>
      <c r="X6856" s="11">
        <v>0.09949034273310332</v>
      </c>
      <c r="Y6856" s="11">
        <v>0.31651077774095066</v>
      </c>
      <c r="Z6856" s="11">
        <v>0.026971965937807686</v>
      </c>
    </row>
    <row r="6857" ht="22.5" customHeight="1">
      <c r="Q6857" s="9" t="s">
        <v>6895</v>
      </c>
      <c r="R6857" s="10">
        <v>0.38322679711631086</v>
      </c>
      <c r="S6857" s="10">
        <v>0.018067147000265408</v>
      </c>
      <c r="T6857" s="10">
        <v>18.99728812253915</v>
      </c>
      <c r="U6857" s="11">
        <v>0.23092492130099795</v>
      </c>
      <c r="V6857" s="11">
        <v>0.15454033845470913</v>
      </c>
      <c r="W6857" s="11">
        <v>0.005000131561189757</v>
      </c>
      <c r="X6857" s="11">
        <v>0.34467774458310096</v>
      </c>
      <c r="Y6857" s="11">
        <v>0.07798455440301522</v>
      </c>
      <c r="Z6857" s="11">
        <v>0.18687230969698704</v>
      </c>
    </row>
    <row r="6858" ht="22.5" customHeight="1">
      <c r="Q6858" s="9" t="s">
        <v>6896</v>
      </c>
      <c r="R6858" s="10">
        <v>0.533880169908311</v>
      </c>
      <c r="S6858" s="10">
        <v>0.02599779464896107</v>
      </c>
      <c r="T6858" s="10">
        <v>18.997002498750316</v>
      </c>
      <c r="U6858" s="11">
        <v>0.2621755349281589</v>
      </c>
      <c r="V6858" s="11">
        <v>0.2372165337243885</v>
      </c>
      <c r="W6858" s="11">
        <v>0.04455246280386536</v>
      </c>
      <c r="X6858" s="11">
        <v>0.1858672257478886</v>
      </c>
      <c r="Y6858" s="11">
        <v>0.13454640769737025</v>
      </c>
      <c r="Z6858" s="11">
        <v>0.13564183509832836</v>
      </c>
    </row>
    <row r="6859" ht="22.5" customHeight="1">
      <c r="Q6859" s="9" t="s">
        <v>6897</v>
      </c>
      <c r="R6859" s="10">
        <v>0.5119306334241925</v>
      </c>
      <c r="S6859" s="10">
        <v>0.024844130510153332</v>
      </c>
      <c r="T6859" s="10">
        <v>18.99565908460042</v>
      </c>
      <c r="U6859" s="11">
        <v>0.28043178831761617</v>
      </c>
      <c r="V6859" s="11">
        <v>0.08235306558503423</v>
      </c>
      <c r="W6859" s="11">
        <v>0.20576721595698289</v>
      </c>
      <c r="X6859" s="11">
        <v>0.11835058469774558</v>
      </c>
      <c r="Y6859" s="11">
        <v>0.04181176960287586</v>
      </c>
      <c r="Z6859" s="11">
        <v>0.2712855758397453</v>
      </c>
    </row>
    <row r="6860" ht="22.5" customHeight="1">
      <c r="Q6860" s="9" t="s">
        <v>6898</v>
      </c>
      <c r="R6860" s="10">
        <v>0.551505351229999</v>
      </c>
      <c r="S6860" s="10">
        <v>0.026927537489043692</v>
      </c>
      <c r="T6860" s="10">
        <v>18.995623028586287</v>
      </c>
      <c r="U6860" s="11">
        <v>0.21530917511611247</v>
      </c>
      <c r="V6860" s="11">
        <v>0.08822309616207392</v>
      </c>
      <c r="W6860" s="11">
        <v>0.21855457023195526</v>
      </c>
      <c r="X6860" s="11">
        <v>0.07691463133270525</v>
      </c>
      <c r="Y6860" s="11">
        <v>0.3050479860403789</v>
      </c>
      <c r="Z6860" s="11">
        <v>0.09595054111677422</v>
      </c>
    </row>
    <row r="6861" ht="22.5" customHeight="1">
      <c r="Q6861" s="9" t="s">
        <v>6899</v>
      </c>
      <c r="R6861" s="10">
        <v>0.6042107695080201</v>
      </c>
      <c r="S6861" s="10">
        <v>0.029702517305866104</v>
      </c>
      <c r="T6861" s="10">
        <v>18.99538559974481</v>
      </c>
      <c r="U6861" s="11">
        <v>0.13897659761871775</v>
      </c>
      <c r="V6861" s="11">
        <v>0.11085856797540684</v>
      </c>
      <c r="W6861" s="11">
        <v>0.24726521454442038</v>
      </c>
      <c r="X6861" s="11">
        <v>0.1180199439357035</v>
      </c>
      <c r="Y6861" s="11">
        <v>0.10012967889585847</v>
      </c>
      <c r="Z6861" s="11">
        <v>0.2847499970298932</v>
      </c>
    </row>
    <row r="6862" ht="22.5" customHeight="1">
      <c r="Q6862" s="9" t="s">
        <v>6900</v>
      </c>
      <c r="R6862" s="10">
        <v>0.4124476164998861</v>
      </c>
      <c r="S6862" s="10">
        <v>0.019610758292798305</v>
      </c>
      <c r="T6862" s="10">
        <v>18.992004844435858</v>
      </c>
      <c r="U6862" s="11">
        <v>0.10904514496590234</v>
      </c>
      <c r="V6862" s="11">
        <v>0.1619770813563604</v>
      </c>
      <c r="W6862" s="11">
        <v>0.018985595995558838</v>
      </c>
      <c r="X6862" s="11">
        <v>0.2135840780781051</v>
      </c>
      <c r="Y6862" s="11">
        <v>0.40408864470785927</v>
      </c>
      <c r="Z6862" s="11">
        <v>0.09231945489621417</v>
      </c>
    </row>
    <row r="6863" ht="22.5" customHeight="1">
      <c r="Q6863" s="9" t="s">
        <v>6901</v>
      </c>
      <c r="R6863" s="10">
        <v>0.5477628289333232</v>
      </c>
      <c r="S6863" s="10">
        <v>0.026735900403760417</v>
      </c>
      <c r="T6863" s="10">
        <v>18.991798341001676</v>
      </c>
      <c r="U6863" s="11">
        <v>0.2000330917232772</v>
      </c>
      <c r="V6863" s="11">
        <v>0.07976144236716808</v>
      </c>
      <c r="W6863" s="11">
        <v>0.22178360096390992</v>
      </c>
      <c r="X6863" s="11">
        <v>0.13629483948280352</v>
      </c>
      <c r="Y6863" s="11">
        <v>0.24753283901899284</v>
      </c>
      <c r="Z6863" s="11">
        <v>0.11459418644384843</v>
      </c>
    </row>
    <row r="6864" ht="22.5" customHeight="1">
      <c r="Q6864" s="9" t="s">
        <v>6902</v>
      </c>
      <c r="R6864" s="10">
        <v>0.8122325822568869</v>
      </c>
      <c r="S6864" s="10">
        <v>0.040663871766692346</v>
      </c>
      <c r="T6864" s="10">
        <v>18.99063096321832</v>
      </c>
      <c r="U6864" s="11">
        <v>0.02736716290043752</v>
      </c>
      <c r="V6864" s="11">
        <v>0.36424010481220864</v>
      </c>
      <c r="W6864" s="11">
        <v>0.13592527515190422</v>
      </c>
      <c r="X6864" s="11">
        <v>0.05122763980576685</v>
      </c>
      <c r="Y6864" s="11">
        <v>0.2853284775398883</v>
      </c>
      <c r="Z6864" s="11">
        <v>0.13591133978979422</v>
      </c>
    </row>
    <row r="6865" ht="22.5" customHeight="1">
      <c r="Q6865" s="9" t="s">
        <v>6903</v>
      </c>
      <c r="R6865" s="10">
        <v>0.4011663351149937</v>
      </c>
      <c r="S6865" s="10">
        <v>0.019018975475518732</v>
      </c>
      <c r="T6865" s="10">
        <v>18.98978920183623</v>
      </c>
      <c r="U6865" s="11">
        <v>0.09766635902212618</v>
      </c>
      <c r="V6865" s="11">
        <v>0.052893179524114264</v>
      </c>
      <c r="W6865" s="11">
        <v>0.1549642686616989</v>
      </c>
      <c r="X6865" s="11">
        <v>0.17960208015965512</v>
      </c>
      <c r="Y6865" s="11">
        <v>0.06778518653165463</v>
      </c>
      <c r="Z6865" s="11">
        <v>0.4470889261007509</v>
      </c>
    </row>
    <row r="6866" ht="22.5" customHeight="1">
      <c r="Q6866" s="9" t="s">
        <v>6904</v>
      </c>
      <c r="R6866" s="10">
        <v>0.2682281355574276</v>
      </c>
      <c r="S6866" s="10">
        <v>0.012018974081465314</v>
      </c>
      <c r="T6866" s="10">
        <v>18.98898641518684</v>
      </c>
      <c r="U6866" s="11">
        <v>0.14179455988301237</v>
      </c>
      <c r="V6866" s="11">
        <v>0.08373101383493908</v>
      </c>
      <c r="W6866" s="11">
        <v>0.015601756271801817</v>
      </c>
      <c r="X6866" s="11">
        <v>0.12442193113559918</v>
      </c>
      <c r="Y6866" s="11">
        <v>0.2599919760318384</v>
      </c>
      <c r="Z6866" s="11">
        <v>0.3744587628428092</v>
      </c>
    </row>
    <row r="6867" ht="22.5" customHeight="1">
      <c r="Q6867" s="9" t="s">
        <v>6905</v>
      </c>
      <c r="R6867" s="10">
        <v>0.6797626977891302</v>
      </c>
      <c r="S6867" s="10">
        <v>0.0336913362297693</v>
      </c>
      <c r="T6867" s="10">
        <v>18.988938088595095</v>
      </c>
      <c r="U6867" s="11">
        <v>0.3212695934294124</v>
      </c>
      <c r="V6867" s="11">
        <v>0.30764891746607703</v>
      </c>
      <c r="W6867" s="11">
        <v>0.0842696432223433</v>
      </c>
      <c r="X6867" s="11">
        <v>0.14671460371588377</v>
      </c>
      <c r="Y6867" s="11">
        <v>0.07725745011076615</v>
      </c>
      <c r="Z6867" s="11">
        <v>0.06283979205551742</v>
      </c>
    </row>
    <row r="6868" ht="22.5" customHeight="1">
      <c r="Q6868" s="9" t="s">
        <v>6906</v>
      </c>
      <c r="R6868" s="10">
        <v>0.6688394359775206</v>
      </c>
      <c r="S6868" s="10">
        <v>0.03311817102479633</v>
      </c>
      <c r="T6868" s="10">
        <v>18.987746500454207</v>
      </c>
      <c r="U6868" s="11">
        <v>0.30359152442287973</v>
      </c>
      <c r="V6868" s="11">
        <v>0.3012024724723743</v>
      </c>
      <c r="W6868" s="11">
        <v>0.0940944314784536</v>
      </c>
      <c r="X6868" s="11">
        <v>0.1072835904939864</v>
      </c>
      <c r="Y6868" s="11">
        <v>0.01074010464272703</v>
      </c>
      <c r="Z6868" s="11">
        <v>0.18308787648957886</v>
      </c>
    </row>
    <row r="6869" ht="22.5" customHeight="1">
      <c r="Q6869" s="9" t="s">
        <v>6907</v>
      </c>
      <c r="R6869" s="10">
        <v>0.518688382731735</v>
      </c>
      <c r="S6869" s="10">
        <v>0.025211703019683618</v>
      </c>
      <c r="T6869" s="10">
        <v>18.986753189897843</v>
      </c>
      <c r="U6869" s="11">
        <v>0.2553174454833831</v>
      </c>
      <c r="V6869" s="11">
        <v>0.07079466892646472</v>
      </c>
      <c r="W6869" s="11">
        <v>0.2093499067298671</v>
      </c>
      <c r="X6869" s="11">
        <v>0.14062266101905016</v>
      </c>
      <c r="Y6869" s="11">
        <v>0.2045317704583189</v>
      </c>
      <c r="Z6869" s="11">
        <v>0.11938354738291618</v>
      </c>
    </row>
    <row r="6870" ht="22.5" customHeight="1">
      <c r="Q6870" s="9" t="s">
        <v>6908</v>
      </c>
      <c r="R6870" s="10">
        <v>0.7127006133055627</v>
      </c>
      <c r="S6870" s="10">
        <v>0.0354306139524717</v>
      </c>
      <c r="T6870" s="10">
        <v>18.98642270799922</v>
      </c>
      <c r="U6870" s="11">
        <v>0.231866743192193</v>
      </c>
      <c r="V6870" s="11">
        <v>0.32178756763306354</v>
      </c>
      <c r="W6870" s="11">
        <v>0.09637380226244333</v>
      </c>
      <c r="X6870" s="11">
        <v>0.0958175884816492</v>
      </c>
      <c r="Y6870" s="11">
        <v>0.19982693176671099</v>
      </c>
      <c r="Z6870" s="11">
        <v>0.054327366663939926</v>
      </c>
    </row>
    <row r="6871" ht="22.5" customHeight="1">
      <c r="Q6871" s="9" t="s">
        <v>6909</v>
      </c>
      <c r="R6871" s="10">
        <v>0.846246620555718</v>
      </c>
      <c r="S6871" s="10">
        <v>0.04246694286693549</v>
      </c>
      <c r="T6871" s="10">
        <v>18.985275749233573</v>
      </c>
      <c r="U6871" s="11">
        <v>0.2545137647785483</v>
      </c>
      <c r="V6871" s="11">
        <v>0.19537306018381118</v>
      </c>
      <c r="W6871" s="11">
        <v>0.3430461163009937</v>
      </c>
      <c r="X6871" s="11">
        <v>0.04546658835669208</v>
      </c>
      <c r="Y6871" s="11">
        <v>0.061437239565455604</v>
      </c>
      <c r="Z6871" s="11">
        <v>0.10016323081449907</v>
      </c>
    </row>
    <row r="6872" ht="22.5" customHeight="1">
      <c r="Q6872" s="9" t="s">
        <v>6910</v>
      </c>
      <c r="R6872" s="10">
        <v>0.6485967388742954</v>
      </c>
      <c r="S6872" s="10">
        <v>0.03205710531986604</v>
      </c>
      <c r="T6872" s="10">
        <v>18.984768986523033</v>
      </c>
      <c r="U6872" s="11">
        <v>0.18022774521096074</v>
      </c>
      <c r="V6872" s="11">
        <v>0.10065742710143971</v>
      </c>
      <c r="W6872" s="11">
        <v>0.27124557801459737</v>
      </c>
      <c r="X6872" s="11">
        <v>0.2144257006822716</v>
      </c>
      <c r="Y6872" s="11">
        <v>0.15864603810425412</v>
      </c>
      <c r="Z6872" s="11">
        <v>0.07479751088647646</v>
      </c>
    </row>
    <row r="6873" ht="22.5" customHeight="1">
      <c r="Q6873" s="9" t="s">
        <v>6911</v>
      </c>
      <c r="R6873" s="10">
        <v>0.33251878900509474</v>
      </c>
      <c r="S6873" s="10">
        <v>0.015408223727437277</v>
      </c>
      <c r="T6873" s="10">
        <v>18.984588631342973</v>
      </c>
      <c r="U6873" s="11">
        <v>0.2975997889275008</v>
      </c>
      <c r="V6873" s="11">
        <v>0.017379071559306132</v>
      </c>
      <c r="W6873" s="11">
        <v>0.11764621748253079</v>
      </c>
      <c r="X6873" s="11">
        <v>0.2604226443412571</v>
      </c>
      <c r="Y6873" s="11">
        <v>0.10018227202379996</v>
      </c>
      <c r="Z6873" s="11">
        <v>0.20677000566560497</v>
      </c>
    </row>
    <row r="6874" ht="22.5" customHeight="1">
      <c r="Q6874" s="9" t="s">
        <v>6912</v>
      </c>
      <c r="R6874" s="10">
        <v>0.5583782192623825</v>
      </c>
      <c r="S6874" s="10">
        <v>0.027305942293085635</v>
      </c>
      <c r="T6874" s="10">
        <v>18.98408096297945</v>
      </c>
      <c r="U6874" s="11">
        <v>0.21430220442393993</v>
      </c>
      <c r="V6874" s="11">
        <v>0.24634396867965844</v>
      </c>
      <c r="W6874" s="11">
        <v>0.04223165016486962</v>
      </c>
      <c r="X6874" s="11">
        <v>0.2134285926992578</v>
      </c>
      <c r="Y6874" s="11">
        <v>0.2670056061293684</v>
      </c>
      <c r="Z6874" s="11">
        <v>0.016687977902905847</v>
      </c>
    </row>
    <row r="6875" ht="22.5" customHeight="1">
      <c r="Q6875" s="9" t="s">
        <v>6913</v>
      </c>
      <c r="R6875" s="10">
        <v>0.6830257790417971</v>
      </c>
      <c r="S6875" s="10">
        <v>0.03387297907132559</v>
      </c>
      <c r="T6875" s="10">
        <v>18.983443342488176</v>
      </c>
      <c r="U6875" s="11">
        <v>0.07187394339480602</v>
      </c>
      <c r="V6875" s="11">
        <v>0.12174691798458272</v>
      </c>
      <c r="W6875" s="11">
        <v>0.28435131481673326</v>
      </c>
      <c r="X6875" s="11">
        <v>0.1831506049307205</v>
      </c>
      <c r="Y6875" s="11">
        <v>0.16112425389741736</v>
      </c>
      <c r="Z6875" s="11">
        <v>0.17775296497574028</v>
      </c>
    </row>
    <row r="6876" ht="22.5" customHeight="1">
      <c r="Q6876" s="9" t="s">
        <v>6914</v>
      </c>
      <c r="R6876" s="10">
        <v>0.33341702193954953</v>
      </c>
      <c r="S6876" s="10">
        <v>0.015457013779498359</v>
      </c>
      <c r="T6876" s="10">
        <v>18.982775465253685</v>
      </c>
      <c r="U6876" s="11">
        <v>0.12594812391153165</v>
      </c>
      <c r="V6876" s="11">
        <v>0.02819052639416089</v>
      </c>
      <c r="W6876" s="11">
        <v>0.10572775043306382</v>
      </c>
      <c r="X6876" s="11">
        <v>0.181544093551643</v>
      </c>
      <c r="Y6876" s="11">
        <v>0.38843983811672517</v>
      </c>
      <c r="Z6876" s="11">
        <v>0.17014966759287553</v>
      </c>
    </row>
    <row r="6877" ht="22.5" customHeight="1">
      <c r="Q6877" s="9" t="s">
        <v>6915</v>
      </c>
      <c r="R6877" s="10">
        <v>0.5860949395255574</v>
      </c>
      <c r="S6877" s="10">
        <v>0.02876833319988907</v>
      </c>
      <c r="T6877" s="10">
        <v>18.982501896483285</v>
      </c>
      <c r="U6877" s="11">
        <v>0.046631077236719685</v>
      </c>
      <c r="V6877" s="11">
        <v>0.26520327651326875</v>
      </c>
      <c r="W6877" s="11">
        <v>0.048712667853531115</v>
      </c>
      <c r="X6877" s="11">
        <v>0.3770940684335262</v>
      </c>
      <c r="Y6877" s="11">
        <v>0.012522461354569275</v>
      </c>
      <c r="Z6877" s="11">
        <v>0.24983644860838494</v>
      </c>
    </row>
    <row r="6878" ht="22.5" customHeight="1">
      <c r="Q6878" s="9" t="s">
        <v>6916</v>
      </c>
      <c r="R6878" s="10">
        <v>0.8606452838697666</v>
      </c>
      <c r="S6878" s="10">
        <v>0.04323214834690327</v>
      </c>
      <c r="T6878" s="10">
        <v>18.982292466355066</v>
      </c>
      <c r="U6878" s="11">
        <v>0.08009479337387078</v>
      </c>
      <c r="V6878" s="11">
        <v>0.39009485499843527</v>
      </c>
      <c r="W6878" s="11">
        <v>0.14290722439902365</v>
      </c>
      <c r="X6878" s="11">
        <v>0.08752659772465503</v>
      </c>
      <c r="Y6878" s="11">
        <v>0.2008260754960697</v>
      </c>
      <c r="Z6878" s="11">
        <v>0.09855045400794547</v>
      </c>
    </row>
    <row r="6879" ht="22.5" customHeight="1">
      <c r="Q6879" s="9" t="s">
        <v>6917</v>
      </c>
      <c r="R6879" s="10">
        <v>0.5867033677020274</v>
      </c>
      <c r="S6879" s="10">
        <v>0.02880211067380349</v>
      </c>
      <c r="T6879" s="10">
        <v>18.98136473030335</v>
      </c>
      <c r="U6879" s="11">
        <v>0.21301037337239373</v>
      </c>
      <c r="V6879" s="11">
        <v>0.25993786047693307</v>
      </c>
      <c r="W6879" s="11">
        <v>0.0622550544497823</v>
      </c>
      <c r="X6879" s="11">
        <v>0.11001862141988092</v>
      </c>
      <c r="Y6879" s="11">
        <v>0.27330447887995635</v>
      </c>
      <c r="Z6879" s="11">
        <v>0.08147361140105372</v>
      </c>
    </row>
    <row r="6880" ht="22.5" customHeight="1">
      <c r="Q6880" s="9" t="s">
        <v>6918</v>
      </c>
      <c r="R6880" s="10">
        <v>0.4673161476193099</v>
      </c>
      <c r="S6880" s="10">
        <v>0.022513472943039653</v>
      </c>
      <c r="T6880" s="10">
        <v>18.980463329689012</v>
      </c>
      <c r="U6880" s="11">
        <v>0.21398504896466183</v>
      </c>
      <c r="V6880" s="11">
        <v>0.20283457548025938</v>
      </c>
      <c r="W6880" s="11">
        <v>0.033389504252687906</v>
      </c>
      <c r="X6880" s="11">
        <v>0.1580390797722062</v>
      </c>
      <c r="Y6880" s="11">
        <v>0.19700121458253636</v>
      </c>
      <c r="Z6880" s="11">
        <v>0.19475057694764839</v>
      </c>
    </row>
    <row r="6881" ht="22.5" customHeight="1">
      <c r="Q6881" s="9" t="s">
        <v>6919</v>
      </c>
      <c r="R6881" s="10">
        <v>0.6214852842135971</v>
      </c>
      <c r="S6881" s="10">
        <v>0.030637494160307917</v>
      </c>
      <c r="T6881" s="10">
        <v>18.979531458122125</v>
      </c>
      <c r="U6881" s="11">
        <v>0.05572608035676084</v>
      </c>
      <c r="V6881" s="11">
        <v>0.27347078897879207</v>
      </c>
      <c r="W6881" s="11">
        <v>0.09659727698530284</v>
      </c>
      <c r="X6881" s="11">
        <v>0.0043436093673992916</v>
      </c>
      <c r="Y6881" s="11">
        <v>0.26978210193044544</v>
      </c>
      <c r="Z6881" s="11">
        <v>0.3000801423812996</v>
      </c>
    </row>
    <row r="6882" ht="22.5" customHeight="1">
      <c r="Q6882" s="9" t="s">
        <v>6920</v>
      </c>
      <c r="R6882" s="10">
        <v>0.3064640913899111</v>
      </c>
      <c r="S6882" s="10">
        <v>0.01403982783782852</v>
      </c>
      <c r="T6882" s="10">
        <v>18.97915661557884</v>
      </c>
      <c r="U6882" s="11">
        <v>0.32573631885498805</v>
      </c>
      <c r="V6882" s="11">
        <v>0.10687273836704778</v>
      </c>
      <c r="W6882" s="11">
        <v>0.009741336237581643</v>
      </c>
      <c r="X6882" s="11">
        <v>0.15918890195022115</v>
      </c>
      <c r="Y6882" s="11">
        <v>0.19282452348094425</v>
      </c>
      <c r="Z6882" s="11">
        <v>0.20563618110921703</v>
      </c>
    </row>
    <row r="6883" ht="22.5" customHeight="1">
      <c r="Q6883" s="9" t="s">
        <v>6921</v>
      </c>
      <c r="R6883" s="10">
        <v>0.41747952212492556</v>
      </c>
      <c r="S6883" s="10">
        <v>0.01988987319615415</v>
      </c>
      <c r="T6883" s="10">
        <v>18.97847806279197</v>
      </c>
      <c r="U6883" s="11">
        <v>0.18478496569859817</v>
      </c>
      <c r="V6883" s="11">
        <v>0.05693435540413628</v>
      </c>
      <c r="W6883" s="11">
        <v>0.16153139353431806</v>
      </c>
      <c r="X6883" s="11">
        <v>0.10920050605946374</v>
      </c>
      <c r="Y6883" s="11">
        <v>0.14810913764025505</v>
      </c>
      <c r="Z6883" s="11">
        <v>0.3394396416632288</v>
      </c>
    </row>
    <row r="6884" ht="22.5" customHeight="1">
      <c r="Q6884" s="9" t="s">
        <v>6922</v>
      </c>
      <c r="R6884" s="10">
        <v>0.8832445080728791</v>
      </c>
      <c r="S6884" s="10">
        <v>0.044434391636761654</v>
      </c>
      <c r="T6884" s="10">
        <v>18.977293871066355</v>
      </c>
      <c r="U6884" s="11">
        <v>0.2502320250736669</v>
      </c>
      <c r="V6884" s="11">
        <v>0.3958244457362214</v>
      </c>
      <c r="W6884" s="11">
        <v>0.16049884370824608</v>
      </c>
      <c r="X6884" s="11">
        <v>0.0223230361843429</v>
      </c>
      <c r="Y6884" s="11">
        <v>0.0984812423094108</v>
      </c>
      <c r="Z6884" s="11">
        <v>0.072640406988112</v>
      </c>
    </row>
    <row r="6885" ht="22.5" customHeight="1">
      <c r="Q6885" s="9" t="s">
        <v>6923</v>
      </c>
      <c r="R6885" s="10">
        <v>0.31511781756566637</v>
      </c>
      <c r="S6885" s="10">
        <v>0.014497372430998485</v>
      </c>
      <c r="T6885" s="10">
        <v>18.977081459079137</v>
      </c>
      <c r="U6885" s="11">
        <v>0.14284964998817776</v>
      </c>
      <c r="V6885" s="11">
        <v>0.11493584741616902</v>
      </c>
      <c r="W6885" s="11">
        <v>0.015375725502711032</v>
      </c>
      <c r="X6885" s="11">
        <v>0.12995237134947193</v>
      </c>
      <c r="Y6885" s="11">
        <v>0.2764520999621251</v>
      </c>
      <c r="Z6885" s="11">
        <v>0.3204343057813451</v>
      </c>
    </row>
    <row r="6886" ht="22.5" customHeight="1">
      <c r="Q6886" s="9" t="s">
        <v>6924</v>
      </c>
      <c r="R6886" s="10">
        <v>0.7990405756081331</v>
      </c>
      <c r="S6886" s="10">
        <v>0.04000007191067286</v>
      </c>
      <c r="T6886" s="10">
        <v>18.97598027581558</v>
      </c>
      <c r="U6886" s="11">
        <v>0.1511126331459109</v>
      </c>
      <c r="V6886" s="11">
        <v>0.17961616528807806</v>
      </c>
      <c r="W6886" s="11">
        <v>0.3264685810867602</v>
      </c>
      <c r="X6886" s="11">
        <v>0.09660338161754067</v>
      </c>
      <c r="Y6886" s="11">
        <v>0.022336042123788848</v>
      </c>
      <c r="Z6886" s="11">
        <v>0.2238631967379212</v>
      </c>
    </row>
    <row r="6887" ht="22.5" customHeight="1">
      <c r="Q6887" s="9" t="s">
        <v>6925</v>
      </c>
      <c r="R6887" s="10">
        <v>0.5038261178601475</v>
      </c>
      <c r="S6887" s="10">
        <v>0.02444293150721752</v>
      </c>
      <c r="T6887" s="10">
        <v>18.975879293495904</v>
      </c>
      <c r="U6887" s="11">
        <v>0.36441242329909834</v>
      </c>
      <c r="V6887" s="11">
        <v>0.21981013073719943</v>
      </c>
      <c r="W6887" s="11">
        <v>0.040124233748346054</v>
      </c>
      <c r="X6887" s="11">
        <v>0.16885731626707498</v>
      </c>
      <c r="Y6887" s="11">
        <v>0.097454256689272</v>
      </c>
      <c r="Z6887" s="11">
        <v>0.10934163925900917</v>
      </c>
    </row>
    <row r="6888" ht="22.5" customHeight="1">
      <c r="Q6888" s="9" t="s">
        <v>6926</v>
      </c>
      <c r="R6888" s="10">
        <v>0.5547400429798688</v>
      </c>
      <c r="S6888" s="10">
        <v>0.027126444442502274</v>
      </c>
      <c r="T6888" s="10">
        <v>18.975580971215063</v>
      </c>
      <c r="U6888" s="11">
        <v>0.1383930270259685</v>
      </c>
      <c r="V6888" s="11">
        <v>0.0841532730829527</v>
      </c>
      <c r="W6888" s="11">
        <v>0.22717653863963638</v>
      </c>
      <c r="X6888" s="11">
        <v>0.15166332890390063</v>
      </c>
      <c r="Y6888" s="11">
        <v>0.19878497537239076</v>
      </c>
      <c r="Z6888" s="11">
        <v>0.19982885697515101</v>
      </c>
    </row>
    <row r="6889" ht="22.5" customHeight="1">
      <c r="Q6889" s="9" t="s">
        <v>6927</v>
      </c>
      <c r="R6889" s="10">
        <v>0.6214595897620917</v>
      </c>
      <c r="S6889" s="10">
        <v>0.030643894107201742</v>
      </c>
      <c r="T6889" s="10">
        <v>18.97472911660534</v>
      </c>
      <c r="U6889" s="11">
        <v>0.26355887345523665</v>
      </c>
      <c r="V6889" s="11">
        <v>0.27388618678233145</v>
      </c>
      <c r="W6889" s="11">
        <v>0.08130739002514453</v>
      </c>
      <c r="X6889" s="11">
        <v>0.03485038489815158</v>
      </c>
      <c r="Y6889" s="11">
        <v>0.2624226138295944</v>
      </c>
      <c r="Z6889" s="11">
        <v>0.0839745510095415</v>
      </c>
    </row>
    <row r="6890" ht="22.5" customHeight="1">
      <c r="Q6890" s="9" t="s">
        <v>6928</v>
      </c>
      <c r="R6890" s="10">
        <v>0.8333323049320117</v>
      </c>
      <c r="S6890" s="10">
        <v>0.04181136926843546</v>
      </c>
      <c r="T6890" s="10">
        <v>18.974080945273414</v>
      </c>
      <c r="U6890" s="11">
        <v>0.07902656755478173</v>
      </c>
      <c r="V6890" s="11">
        <v>0.37561295751807094</v>
      </c>
      <c r="W6890" s="11">
        <v>0.13263759938769878</v>
      </c>
      <c r="X6890" s="11">
        <v>0.07331137482101456</v>
      </c>
      <c r="Y6890" s="11">
        <v>0.3007395169589131</v>
      </c>
      <c r="Z6890" s="11">
        <v>0.038671983759520946</v>
      </c>
    </row>
    <row r="6891" ht="22.5" customHeight="1">
      <c r="Q6891" s="9" t="s">
        <v>6929</v>
      </c>
      <c r="R6891" s="10">
        <v>0.5821407333911562</v>
      </c>
      <c r="S6891" s="10">
        <v>0.02857540031784149</v>
      </c>
      <c r="T6891" s="10">
        <v>18.972288309559126</v>
      </c>
      <c r="U6891" s="11">
        <v>0.055839863654849366</v>
      </c>
      <c r="V6891" s="11">
        <v>0.25976345783705895</v>
      </c>
      <c r="W6891" s="11">
        <v>0.0740673586016284</v>
      </c>
      <c r="X6891" s="11">
        <v>0.07902051808112508</v>
      </c>
      <c r="Y6891" s="11">
        <v>0.2418466490071634</v>
      </c>
      <c r="Z6891" s="11">
        <v>0.28946215281817483</v>
      </c>
    </row>
    <row r="6892" ht="22.5" customHeight="1">
      <c r="Q6892" s="9" t="s">
        <v>6930</v>
      </c>
      <c r="R6892" s="10">
        <v>0.6894556591733942</v>
      </c>
      <c r="S6892" s="10">
        <v>0.03423308105418183</v>
      </c>
      <c r="T6892" s="10">
        <v>18.971580680847254</v>
      </c>
      <c r="U6892" s="11">
        <v>0.019421581687710354</v>
      </c>
      <c r="V6892" s="11">
        <v>0.14294960493644582</v>
      </c>
      <c r="W6892" s="11">
        <v>0.2802553020039517</v>
      </c>
      <c r="X6892" s="11">
        <v>0.08262957837426697</v>
      </c>
      <c r="Y6892" s="11">
        <v>0.2002416644029932</v>
      </c>
      <c r="Z6892" s="11">
        <v>0.274502268594632</v>
      </c>
    </row>
    <row r="6893" ht="22.5" customHeight="1">
      <c r="Q6893" s="9" t="s">
        <v>6931</v>
      </c>
      <c r="R6893" s="10">
        <v>0.3576233383744732</v>
      </c>
      <c r="S6893" s="10">
        <v>0.016742752928299902</v>
      </c>
      <c r="T6893" s="10">
        <v>18.97079528884414</v>
      </c>
      <c r="U6893" s="11">
        <v>0.18770570094924083</v>
      </c>
      <c r="V6893" s="11">
        <v>0.03713881225628261</v>
      </c>
      <c r="W6893" s="11">
        <v>0.13200514148724551</v>
      </c>
      <c r="X6893" s="11">
        <v>0.1437878172294366</v>
      </c>
      <c r="Y6893" s="11">
        <v>0.16781981305165045</v>
      </c>
      <c r="Z6893" s="11">
        <v>0.331542715026144</v>
      </c>
    </row>
    <row r="6894" ht="22.5" customHeight="1">
      <c r="Q6894" s="9" t="s">
        <v>6932</v>
      </c>
      <c r="R6894" s="10">
        <v>0.522331348251574</v>
      </c>
      <c r="S6894" s="10">
        <v>0.01603936451620924</v>
      </c>
      <c r="T6894" s="10">
        <v>18.97059475137796</v>
      </c>
      <c r="U6894" s="11">
        <v>0.1972320854204922</v>
      </c>
      <c r="V6894" s="11">
        <v>0.13366825492830528</v>
      </c>
      <c r="W6894" s="11">
        <v>0.0026238586817634727</v>
      </c>
      <c r="X6894" s="11">
        <v>0.2748195062170075</v>
      </c>
      <c r="Y6894" s="11">
        <v>0.17046507503184546</v>
      </c>
      <c r="Z6894" s="11">
        <v>0.2211912197205861</v>
      </c>
    </row>
    <row r="6895" ht="22.5" customHeight="1">
      <c r="Q6895" s="9" t="s">
        <v>6933</v>
      </c>
      <c r="R6895" s="10">
        <v>0.5823397264842572</v>
      </c>
      <c r="S6895" s="10">
        <v>0.02858888858440197</v>
      </c>
      <c r="T6895" s="10">
        <v>18.97029766942939</v>
      </c>
      <c r="U6895" s="11">
        <v>0.2699284072678618</v>
      </c>
      <c r="V6895" s="11">
        <v>0.2613696966044746</v>
      </c>
      <c r="W6895" s="11">
        <v>0.06129763164702803</v>
      </c>
      <c r="X6895" s="11">
        <v>0.1373939116782382</v>
      </c>
      <c r="Y6895" s="11">
        <v>0.1297302887425777</v>
      </c>
      <c r="Z6895" s="11">
        <v>0.14028006405981952</v>
      </c>
    </row>
    <row r="6896" ht="22.5" customHeight="1">
      <c r="Q6896" s="9" t="s">
        <v>6934</v>
      </c>
      <c r="R6896" s="10">
        <v>0.44858471918863685</v>
      </c>
      <c r="S6896" s="10">
        <v>0.021538927787949812</v>
      </c>
      <c r="T6896" s="10">
        <v>18.969594179020557</v>
      </c>
      <c r="U6896" s="11">
        <v>0.13382655983467978</v>
      </c>
      <c r="V6896" s="11">
        <v>0.1940414586607655</v>
      </c>
      <c r="W6896" s="11">
        <v>0.02313162817442316</v>
      </c>
      <c r="X6896" s="11">
        <v>0.23099938157862998</v>
      </c>
      <c r="Y6896" s="11">
        <v>0.20105017426384728</v>
      </c>
      <c r="Z6896" s="11">
        <v>0.2169507974876543</v>
      </c>
    </row>
    <row r="6897" ht="22.5" customHeight="1">
      <c r="Q6897" s="9" t="s">
        <v>6935</v>
      </c>
      <c r="R6897" s="10">
        <v>0.555879075720959</v>
      </c>
      <c r="S6897" s="10">
        <v>0.027195394727006227</v>
      </c>
      <c r="T6897" s="10">
        <v>18.96935421969324</v>
      </c>
      <c r="U6897" s="11">
        <v>0.07781433836308076</v>
      </c>
      <c r="V6897" s="11">
        <v>0.246048844778946</v>
      </c>
      <c r="W6897" s="11">
        <v>0.0641634970945778</v>
      </c>
      <c r="X6897" s="11">
        <v>0.0864304579178654</v>
      </c>
      <c r="Y6897" s="11">
        <v>0.2797496356969352</v>
      </c>
      <c r="Z6897" s="11">
        <v>0.245793226148595</v>
      </c>
    </row>
    <row r="6898" ht="22.5" customHeight="1">
      <c r="Q6898" s="9" t="s">
        <v>6936</v>
      </c>
      <c r="R6898" s="10">
        <v>0.4795176396044736</v>
      </c>
      <c r="S6898" s="10">
        <v>0.02317127837299571</v>
      </c>
      <c r="T6898" s="10">
        <v>18.96820850923342</v>
      </c>
      <c r="U6898" s="11">
        <v>0.2092810119810162</v>
      </c>
      <c r="V6898" s="11">
        <v>0.06907863466131345</v>
      </c>
      <c r="W6898" s="11">
        <v>0.18996880609118003</v>
      </c>
      <c r="X6898" s="11">
        <v>0.09757542861204935</v>
      </c>
      <c r="Y6898" s="11">
        <v>0.212630274979513</v>
      </c>
      <c r="Z6898" s="11">
        <v>0.22146584367492797</v>
      </c>
    </row>
    <row r="6899" ht="22.5" customHeight="1">
      <c r="Q6899" s="9" t="s">
        <v>6937</v>
      </c>
      <c r="R6899" s="10">
        <v>0.6602931327814633</v>
      </c>
      <c r="S6899" s="10">
        <v>0.03270303272960936</v>
      </c>
      <c r="T6899" s="10">
        <v>18.96744983592452</v>
      </c>
      <c r="U6899" s="11">
        <v>0.0604521430132968</v>
      </c>
      <c r="V6899" s="11">
        <v>0.11416496581607163</v>
      </c>
      <c r="W6899" s="11">
        <v>0.27379877206592207</v>
      </c>
      <c r="X6899" s="11">
        <v>0.16963765774087325</v>
      </c>
      <c r="Y6899" s="11">
        <v>0.2184538483216313</v>
      </c>
      <c r="Z6899" s="11">
        <v>0.16349261304220483</v>
      </c>
    </row>
    <row r="6900" ht="22.5" customHeight="1">
      <c r="Q6900" s="9" t="s">
        <v>6938</v>
      </c>
      <c r="R6900" s="10">
        <v>0.5956072756080251</v>
      </c>
      <c r="S6900" s="10">
        <v>0.029297423051921182</v>
      </c>
      <c r="T6900" s="10">
        <v>18.964373577272386</v>
      </c>
      <c r="U6900" s="11">
        <v>0.12884637886414052</v>
      </c>
      <c r="V6900" s="11">
        <v>0.09049464196808978</v>
      </c>
      <c r="W6900" s="11">
        <v>0.24566362650690554</v>
      </c>
      <c r="X6900" s="11">
        <v>0.1721207164673917</v>
      </c>
      <c r="Y6900" s="11">
        <v>0.23615474570366862</v>
      </c>
      <c r="Z6900" s="11">
        <v>0.1267198904898039</v>
      </c>
    </row>
    <row r="6901" ht="22.5" customHeight="1">
      <c r="Q6901" s="9" t="s">
        <v>6939</v>
      </c>
      <c r="R6901" s="10">
        <v>0.5701584539496172</v>
      </c>
      <c r="S6901" s="10">
        <v>0.027956373758357803</v>
      </c>
      <c r="T6901" s="10">
        <v>18.963777581887623</v>
      </c>
      <c r="U6901" s="11">
        <v>0.20507406721762947</v>
      </c>
      <c r="V6901" s="11">
        <v>0.2581114745642012</v>
      </c>
      <c r="W6901" s="11">
        <v>0.052736177177550886</v>
      </c>
      <c r="X6901" s="11">
        <v>0.24715833308546512</v>
      </c>
      <c r="Y6901" s="11">
        <v>0.01858161165897257</v>
      </c>
      <c r="Z6901" s="11">
        <v>0.2183383362961809</v>
      </c>
    </row>
    <row r="6902" ht="22.5" customHeight="1">
      <c r="Q6902" s="9" t="s">
        <v>6940</v>
      </c>
      <c r="R6902" s="10">
        <v>0.35272806660554523</v>
      </c>
      <c r="S6902" s="10">
        <v>0.016491515842316264</v>
      </c>
      <c r="T6902" s="10">
        <v>18.962966751855724</v>
      </c>
      <c r="U6902" s="11">
        <v>0.3528025721441959</v>
      </c>
      <c r="V6902" s="11">
        <v>0.13028936122113155</v>
      </c>
      <c r="W6902" s="11">
        <v>0.03609039072711665</v>
      </c>
      <c r="X6902" s="11">
        <v>0.01790544206899095</v>
      </c>
      <c r="Y6902" s="11">
        <v>0.20043589953688992</v>
      </c>
      <c r="Z6902" s="11">
        <v>0.2624763343016751</v>
      </c>
    </row>
    <row r="6903" ht="22.5" customHeight="1">
      <c r="Q6903" s="9" t="s">
        <v>6941</v>
      </c>
      <c r="R6903" s="10">
        <v>0.8315819896313914</v>
      </c>
      <c r="S6903" s="10">
        <v>0.04174557291003687</v>
      </c>
      <c r="T6903" s="10">
        <v>18.96205835615857</v>
      </c>
      <c r="U6903" s="11">
        <v>0.3597788061924794</v>
      </c>
      <c r="V6903" s="11">
        <v>0.18319157949677023</v>
      </c>
      <c r="W6903" s="11">
        <v>0.33972179787249446</v>
      </c>
      <c r="X6903" s="11">
        <v>0.06435616067534915</v>
      </c>
      <c r="Y6903" s="11">
        <v>0.02135389465358652</v>
      </c>
      <c r="Z6903" s="11">
        <v>0.031597761109320034</v>
      </c>
    </row>
    <row r="6904" ht="22.5" customHeight="1">
      <c r="Q6904" s="9" t="s">
        <v>6942</v>
      </c>
      <c r="R6904" s="10">
        <v>0.522331348251574</v>
      </c>
      <c r="S6904" s="10">
        <v>0.020619517760608434</v>
      </c>
      <c r="T6904" s="10">
        <v>18.961224897329707</v>
      </c>
      <c r="U6904" s="11">
        <v>0.2299375720322483</v>
      </c>
      <c r="V6904" s="11">
        <v>0.1820623046982549</v>
      </c>
      <c r="W6904" s="11">
        <v>0.021191584208117613</v>
      </c>
      <c r="X6904" s="11">
        <v>0.1918253945251614</v>
      </c>
      <c r="Y6904" s="11">
        <v>0.2223114465362672</v>
      </c>
      <c r="Z6904" s="11">
        <v>0.15267169799995065</v>
      </c>
    </row>
    <row r="6905" ht="22.5" customHeight="1">
      <c r="Q6905" s="9" t="s">
        <v>6943</v>
      </c>
      <c r="R6905" s="10">
        <v>0.5458861638557034</v>
      </c>
      <c r="S6905" s="10">
        <v>0.02668016608368605</v>
      </c>
      <c r="T6905" s="10">
        <v>18.96113248579192</v>
      </c>
      <c r="U6905" s="11">
        <v>0.2744266673590861</v>
      </c>
      <c r="V6905" s="11">
        <v>0.10113983972954359</v>
      </c>
      <c r="W6905" s="11">
        <v>0.21743023871176867</v>
      </c>
      <c r="X6905" s="11">
        <v>0.03887765848165232</v>
      </c>
      <c r="Y6905" s="11">
        <v>0.10427343886149251</v>
      </c>
      <c r="Z6905" s="11">
        <v>0.2638521568564569</v>
      </c>
    </row>
    <row r="6906" ht="22.5" customHeight="1">
      <c r="Q6906" s="9" t="s">
        <v>6944</v>
      </c>
      <c r="R6906" s="10">
        <v>0.6794935571124846</v>
      </c>
      <c r="S6906" s="10">
        <v>0.03372710549414239</v>
      </c>
      <c r="T6906" s="10">
        <v>18.96081942826519</v>
      </c>
      <c r="U6906" s="11">
        <v>0.23198420971253483</v>
      </c>
      <c r="V6906" s="11">
        <v>0.31142947014410993</v>
      </c>
      <c r="W6906" s="11">
        <v>0.07344802066542733</v>
      </c>
      <c r="X6906" s="11">
        <v>0.25208483494743855</v>
      </c>
      <c r="Y6906" s="11">
        <v>0.0420386833453232</v>
      </c>
      <c r="Z6906" s="11">
        <v>0.08901478118516615</v>
      </c>
    </row>
    <row r="6907" ht="22.5" customHeight="1">
      <c r="Q6907" s="9" t="s">
        <v>6945</v>
      </c>
      <c r="R6907" s="10">
        <v>0.48591532999908904</v>
      </c>
      <c r="S6907" s="10">
        <v>0.023517899010158806</v>
      </c>
      <c r="T6907" s="10">
        <v>18.960678834723765</v>
      </c>
      <c r="U6907" s="11">
        <v>0.18866535830402467</v>
      </c>
      <c r="V6907" s="11">
        <v>0.061212634873136926</v>
      </c>
      <c r="W6907" s="11">
        <v>0.19660005136675943</v>
      </c>
      <c r="X6907" s="11">
        <v>0.17223678608901177</v>
      </c>
      <c r="Y6907" s="11">
        <v>0.17816131814208394</v>
      </c>
      <c r="Z6907" s="11">
        <v>0.20312385122498333</v>
      </c>
    </row>
    <row r="6908" ht="22.5" customHeight="1">
      <c r="Q6908" s="9" t="s">
        <v>6946</v>
      </c>
      <c r="R6908" s="10">
        <v>0.35352736981796257</v>
      </c>
      <c r="S6908" s="10">
        <v>0.016537331942218014</v>
      </c>
      <c r="T6908" s="10">
        <v>18.958763778427958</v>
      </c>
      <c r="U6908" s="11">
        <v>0.43484582825207</v>
      </c>
      <c r="V6908" s="11">
        <v>0.04543232962562698</v>
      </c>
      <c r="W6908" s="11">
        <v>0.10985356988703583</v>
      </c>
      <c r="X6908" s="11">
        <v>0.053452414503924926</v>
      </c>
      <c r="Y6908" s="11">
        <v>0.2917567615522183</v>
      </c>
      <c r="Z6908" s="11">
        <v>0.06465909617912403</v>
      </c>
    </row>
    <row r="6909" ht="22.5" customHeight="1">
      <c r="Q6909" s="9" t="s">
        <v>6947</v>
      </c>
      <c r="R6909" s="10">
        <v>0.6211135071589087</v>
      </c>
      <c r="S6909" s="10">
        <v>0.030654044224708455</v>
      </c>
      <c r="T6909" s="10">
        <v>18.957156285776694</v>
      </c>
      <c r="U6909" s="11">
        <v>0.10155496361287407</v>
      </c>
      <c r="V6909" s="11">
        <v>0.28156277677526614</v>
      </c>
      <c r="W6909" s="11">
        <v>0.07170412621553311</v>
      </c>
      <c r="X6909" s="11">
        <v>0.1395277103804081</v>
      </c>
      <c r="Y6909" s="11">
        <v>0.2091785708159712</v>
      </c>
      <c r="Z6909" s="11">
        <v>0.1964718521999473</v>
      </c>
    </row>
    <row r="6910" ht="22.5" customHeight="1">
      <c r="Q6910" s="9" t="s">
        <v>6948</v>
      </c>
      <c r="R6910" s="10">
        <v>0.5027311070571249</v>
      </c>
      <c r="S6910" s="10">
        <v>0.024409349250388682</v>
      </c>
      <c r="T6910" s="10">
        <v>18.957125907392086</v>
      </c>
      <c r="U6910" s="11">
        <v>0.24032741604627636</v>
      </c>
      <c r="V6910" s="11">
        <v>0.22298228560200722</v>
      </c>
      <c r="W6910" s="11">
        <v>0.03826100587166158</v>
      </c>
      <c r="X6910" s="11">
        <v>0.19349193786788538</v>
      </c>
      <c r="Y6910" s="11">
        <v>0.11354040164572785</v>
      </c>
      <c r="Z6910" s="11">
        <v>0.19139695296644157</v>
      </c>
    </row>
    <row r="6911" ht="22.5" customHeight="1">
      <c r="Q6911" s="9" t="s">
        <v>6949</v>
      </c>
      <c r="R6911" s="10">
        <v>0.7673476371356317</v>
      </c>
      <c r="S6911" s="10">
        <v>0.03836837251074819</v>
      </c>
      <c r="T6911" s="10">
        <v>18.956958284636094</v>
      </c>
      <c r="U6911" s="11">
        <v>0.1477564693311178</v>
      </c>
      <c r="V6911" s="11">
        <v>0.15690621456421194</v>
      </c>
      <c r="W6911" s="11">
        <v>0.3164489406505104</v>
      </c>
      <c r="X6911" s="11">
        <v>0.09402127479826128</v>
      </c>
      <c r="Y6911" s="11">
        <v>0.17319995656441903</v>
      </c>
      <c r="Z6911" s="11">
        <v>0.11166714409147957</v>
      </c>
    </row>
    <row r="6912" ht="22.5" customHeight="1">
      <c r="Q6912" s="9" t="s">
        <v>6950</v>
      </c>
      <c r="R6912" s="10">
        <v>0.5660503016009465</v>
      </c>
      <c r="S6912" s="10">
        <v>0.027750130958449616</v>
      </c>
      <c r="T6912" s="10">
        <v>18.95667816445997</v>
      </c>
      <c r="U6912" s="11">
        <v>0.11769850365367544</v>
      </c>
      <c r="V6912" s="11">
        <v>0.24850538705687217</v>
      </c>
      <c r="W6912" s="11">
        <v>0.0697722699005831</v>
      </c>
      <c r="X6912" s="11">
        <v>0.049116021070479424</v>
      </c>
      <c r="Y6912" s="11">
        <v>0.3087543878472775</v>
      </c>
      <c r="Z6912" s="11">
        <v>0.20615343047111243</v>
      </c>
    </row>
    <row r="6913" ht="22.5" customHeight="1">
      <c r="Q6913" s="9" t="s">
        <v>6951</v>
      </c>
      <c r="R6913" s="10">
        <v>0.6190194471327752</v>
      </c>
      <c r="S6913" s="10">
        <v>0.03054566300311269</v>
      </c>
      <c r="T6913" s="10">
        <v>18.95586444051882</v>
      </c>
      <c r="U6913" s="11">
        <v>0.2584190272271312</v>
      </c>
      <c r="V6913" s="11">
        <v>0.2806558512549121</v>
      </c>
      <c r="W6913" s="11">
        <v>0.05417771409931976</v>
      </c>
      <c r="X6913" s="11">
        <v>0.25228414322669435</v>
      </c>
      <c r="Y6913" s="11">
        <v>0.11817742188149331</v>
      </c>
      <c r="Z6913" s="11">
        <v>0.036285842310449436</v>
      </c>
    </row>
    <row r="6914" ht="22.5" customHeight="1">
      <c r="Q6914" s="9" t="s">
        <v>6952</v>
      </c>
      <c r="R6914" s="10">
        <v>0.6477763316760631</v>
      </c>
      <c r="S6914" s="10">
        <v>0.032062949810691126</v>
      </c>
      <c r="T6914" s="10">
        <v>18.95572101957397</v>
      </c>
      <c r="U6914" s="11">
        <v>0.2689086843127853</v>
      </c>
      <c r="V6914" s="11">
        <v>0.1360987967723549</v>
      </c>
      <c r="W6914" s="11">
        <v>0.25991067539002893</v>
      </c>
      <c r="X6914" s="11">
        <v>0.013520213310508074</v>
      </c>
      <c r="Y6914" s="11">
        <v>0.09810116365704748</v>
      </c>
      <c r="Z6914" s="11">
        <v>0.22346046655727544</v>
      </c>
    </row>
    <row r="6915" ht="22.5" customHeight="1">
      <c r="Q6915" s="9" t="s">
        <v>6953</v>
      </c>
      <c r="R6915" s="10">
        <v>0.6238964633721602</v>
      </c>
      <c r="S6915" s="10">
        <v>0.03080349958333992</v>
      </c>
      <c r="T6915" s="10">
        <v>18.955523601868947</v>
      </c>
      <c r="U6915" s="11">
        <v>0.19858574952960797</v>
      </c>
      <c r="V6915" s="11">
        <v>0.2808476836474218</v>
      </c>
      <c r="W6915" s="11">
        <v>0.08646225559971836</v>
      </c>
      <c r="X6915" s="11">
        <v>0.06973881943273813</v>
      </c>
      <c r="Y6915" s="11">
        <v>0.10125313884049301</v>
      </c>
      <c r="Z6915" s="11">
        <v>0.2631123529500207</v>
      </c>
    </row>
    <row r="6916" ht="22.5" customHeight="1">
      <c r="Q6916" s="9" t="s">
        <v>6954</v>
      </c>
      <c r="R6916" s="10">
        <v>0.631001693106279</v>
      </c>
      <c r="S6916" s="10">
        <v>0.031182753712898775</v>
      </c>
      <c r="T6916" s="10">
        <v>18.952838435875872</v>
      </c>
      <c r="U6916" s="11">
        <v>0.2925861642564654</v>
      </c>
      <c r="V6916" s="11">
        <v>0.2791337298168759</v>
      </c>
      <c r="W6916" s="11">
        <v>0.09787409831209172</v>
      </c>
      <c r="X6916" s="11">
        <v>0.0037731329527126998</v>
      </c>
      <c r="Y6916" s="11">
        <v>0.09209391109124247</v>
      </c>
      <c r="Z6916" s="11">
        <v>0.23453896357061182</v>
      </c>
    </row>
    <row r="6917" ht="22.5" customHeight="1">
      <c r="Q6917" s="9" t="s">
        <v>6955</v>
      </c>
      <c r="R6917" s="10">
        <v>0.29397450030363514</v>
      </c>
      <c r="S6917" s="10">
        <v>0.013400466028085005</v>
      </c>
      <c r="T6917" s="10">
        <v>18.952661778429913</v>
      </c>
      <c r="U6917" s="11">
        <v>0.3423041957595086</v>
      </c>
      <c r="V6917" s="11">
        <v>0.10115514420851383</v>
      </c>
      <c r="W6917" s="11">
        <v>0.017630677869087074</v>
      </c>
      <c r="X6917" s="11">
        <v>0.1234090067977923</v>
      </c>
      <c r="Y6917" s="11">
        <v>0.09445103002639012</v>
      </c>
      <c r="Z6917" s="11">
        <v>0.321049945338708</v>
      </c>
    </row>
    <row r="6918" ht="22.5" customHeight="1">
      <c r="Q6918" s="9" t="s">
        <v>6956</v>
      </c>
      <c r="R6918" s="10">
        <v>0.522331348251574</v>
      </c>
      <c r="S6918" s="10">
        <v>0.029897193194617252</v>
      </c>
      <c r="T6918" s="10">
        <v>18.951858871212995</v>
      </c>
      <c r="U6918" s="11">
        <v>0.0726464085714728</v>
      </c>
      <c r="V6918" s="11">
        <v>0.27367418054274234</v>
      </c>
      <c r="W6918" s="11">
        <v>0.05135601131184706</v>
      </c>
      <c r="X6918" s="11">
        <v>0.2560706197698862</v>
      </c>
      <c r="Y6918" s="11">
        <v>0.26295265286727126</v>
      </c>
      <c r="Z6918" s="11">
        <v>0.08330012693678027</v>
      </c>
    </row>
    <row r="6919" ht="22.5" customHeight="1">
      <c r="Q6919" s="9" t="s">
        <v>6957</v>
      </c>
      <c r="R6919" s="10">
        <v>0.5188049702801443</v>
      </c>
      <c r="S6919" s="10">
        <v>0.02526607741975585</v>
      </c>
      <c r="T6919" s="10">
        <v>18.95050673381381</v>
      </c>
      <c r="U6919" s="11">
        <v>0.006730342682585673</v>
      </c>
      <c r="V6919" s="11">
        <v>0.2311361869333157</v>
      </c>
      <c r="W6919" s="11">
        <v>0.041066501405387215</v>
      </c>
      <c r="X6919" s="11">
        <v>0.22262119120278623</v>
      </c>
      <c r="Y6919" s="11">
        <v>0.2402105021015157</v>
      </c>
      <c r="Z6919" s="11">
        <v>0.25823527567440935</v>
      </c>
    </row>
    <row r="6920" ht="22.5" customHeight="1">
      <c r="Q6920" s="9" t="s">
        <v>6958</v>
      </c>
      <c r="R6920" s="10">
        <v>0.7369181158405775</v>
      </c>
      <c r="S6920" s="10">
        <v>0.03677856578483426</v>
      </c>
      <c r="T6920" s="10">
        <v>18.949029168721786</v>
      </c>
      <c r="U6920" s="11">
        <v>0.20618877698674515</v>
      </c>
      <c r="V6920" s="11">
        <v>0.15196411551087516</v>
      </c>
      <c r="W6920" s="11">
        <v>0.29883231509746166</v>
      </c>
      <c r="X6920" s="11">
        <v>0.029252135833477664</v>
      </c>
      <c r="Y6920" s="11">
        <v>0.2534829358054562</v>
      </c>
      <c r="Z6920" s="11">
        <v>0.06027972076598418</v>
      </c>
    </row>
    <row r="6921" ht="22.5" customHeight="1">
      <c r="Q6921" s="9" t="s">
        <v>6959</v>
      </c>
      <c r="R6921" s="10">
        <v>0.4297888220774677</v>
      </c>
      <c r="S6921" s="10">
        <v>0.020570585468785294</v>
      </c>
      <c r="T6921" s="10">
        <v>18.948844342274572</v>
      </c>
      <c r="U6921" s="11">
        <v>0.21956208014015333</v>
      </c>
      <c r="V6921" s="11">
        <v>0.18157601516149552</v>
      </c>
      <c r="W6921" s="11">
        <v>0.014899598686659994</v>
      </c>
      <c r="X6921" s="11">
        <v>0.2542280573645361</v>
      </c>
      <c r="Y6921" s="11">
        <v>0.1970891322229323</v>
      </c>
      <c r="Z6921" s="11">
        <v>0.13264511642422283</v>
      </c>
    </row>
    <row r="6922" ht="22.5" customHeight="1">
      <c r="Q6922" s="9" t="s">
        <v>6960</v>
      </c>
      <c r="R6922" s="10">
        <v>0.9730336782355226</v>
      </c>
      <c r="S6922" s="10">
        <v>0.0492444276867608</v>
      </c>
      <c r="T6922" s="10">
        <v>18.946989985759657</v>
      </c>
      <c r="U6922" s="11">
        <v>0.03601624344310862</v>
      </c>
      <c r="V6922" s="11">
        <v>0.23737628158073865</v>
      </c>
      <c r="W6922" s="11">
        <v>0.39008587473638723</v>
      </c>
      <c r="X6922" s="11">
        <v>0.02002479517125416</v>
      </c>
      <c r="Y6922" s="11">
        <v>0.3006673403160052</v>
      </c>
      <c r="Z6922" s="11">
        <v>0.015829464752506104</v>
      </c>
    </row>
    <row r="6923" ht="22.5" customHeight="1">
      <c r="Q6923" s="9" t="s">
        <v>6961</v>
      </c>
      <c r="R6923" s="10">
        <v>0.5917090174230593</v>
      </c>
      <c r="S6923" s="10">
        <v>0.029119451902189824</v>
      </c>
      <c r="T6923" s="10">
        <v>18.946408032548508</v>
      </c>
      <c r="U6923" s="11">
        <v>0.04601751545117552</v>
      </c>
      <c r="V6923" s="11">
        <v>0.09027660534746851</v>
      </c>
      <c r="W6923" s="11">
        <v>0.2471276336714202</v>
      </c>
      <c r="X6923" s="11">
        <v>0.24998754284379723</v>
      </c>
      <c r="Y6923" s="11">
        <v>0.099386691963945</v>
      </c>
      <c r="Z6923" s="11">
        <v>0.26720401072219346</v>
      </c>
    </row>
    <row r="6924" ht="22.5" customHeight="1">
      <c r="Q6924" s="9" t="s">
        <v>6962</v>
      </c>
      <c r="R6924" s="10">
        <v>0.8433744071682112</v>
      </c>
      <c r="S6924" s="10">
        <v>0.042402594808178824</v>
      </c>
      <c r="T6924" s="10">
        <v>18.946350118489736</v>
      </c>
      <c r="U6924" s="11">
        <v>0.06990018175427504</v>
      </c>
      <c r="V6924" s="11">
        <v>0.20108648126068718</v>
      </c>
      <c r="W6924" s="11">
        <v>0.338193759043825</v>
      </c>
      <c r="X6924" s="11">
        <v>0.004997302368790875</v>
      </c>
      <c r="Y6924" s="11">
        <v>0.22784177872142972</v>
      </c>
      <c r="Z6924" s="11">
        <v>0.15798049685099222</v>
      </c>
    </row>
    <row r="6925" ht="22.5" customHeight="1">
      <c r="Q6925" s="9" t="s">
        <v>6963</v>
      </c>
      <c r="R6925" s="10">
        <v>0.6363496583597112</v>
      </c>
      <c r="S6925" s="10">
        <v>0.03147570789848251</v>
      </c>
      <c r="T6925" s="10">
        <v>18.94634618808564</v>
      </c>
      <c r="U6925" s="11">
        <v>0.035361734939738425</v>
      </c>
      <c r="V6925" s="11">
        <v>0.10357361808837526</v>
      </c>
      <c r="W6925" s="11">
        <v>0.26390716626811117</v>
      </c>
      <c r="X6925" s="11">
        <v>0.1901860440833907</v>
      </c>
      <c r="Y6925" s="11">
        <v>0.24567686327584087</v>
      </c>
      <c r="Z6925" s="11">
        <v>0.16129457334454342</v>
      </c>
    </row>
    <row r="6926" ht="22.5" customHeight="1">
      <c r="Q6926" s="9" t="s">
        <v>6964</v>
      </c>
      <c r="R6926" s="10">
        <v>0.2808021753619307</v>
      </c>
      <c r="S6926" s="10">
        <v>0.012709895720309559</v>
      </c>
      <c r="T6926" s="10">
        <v>18.94603863485245</v>
      </c>
      <c r="U6926" s="11">
        <v>0.2525728149755319</v>
      </c>
      <c r="V6926" s="11">
        <v>0.019241582510494924</v>
      </c>
      <c r="W6926" s="11">
        <v>0.08145978693028934</v>
      </c>
      <c r="X6926" s="11">
        <v>0.16355984769637413</v>
      </c>
      <c r="Y6926" s="11">
        <v>0.25782779566437775</v>
      </c>
      <c r="Z6926" s="11">
        <v>0.22533817222293193</v>
      </c>
    </row>
    <row r="6927" ht="22.5" customHeight="1">
      <c r="Q6927" s="9" t="s">
        <v>6965</v>
      </c>
      <c r="R6927" s="10">
        <v>0.769654976999859</v>
      </c>
      <c r="S6927" s="10">
        <v>0.03851356617747732</v>
      </c>
      <c r="T6927" s="10">
        <v>18.94540156674871</v>
      </c>
      <c r="U6927" s="11">
        <v>0.09743433234114764</v>
      </c>
      <c r="V6927" s="11">
        <v>0.354869049840428</v>
      </c>
      <c r="W6927" s="11">
        <v>0.10791779137858942</v>
      </c>
      <c r="X6927" s="11">
        <v>0.22648756303247078</v>
      </c>
      <c r="Y6927" s="11">
        <v>0.0019445207510466974</v>
      </c>
      <c r="Z6927" s="11">
        <v>0.21134674265631734</v>
      </c>
    </row>
    <row r="6928" ht="22.5" customHeight="1">
      <c r="Q6928" s="9" t="s">
        <v>6966</v>
      </c>
      <c r="R6928" s="10">
        <v>0.2797771732282932</v>
      </c>
      <c r="S6928" s="10">
        <v>0.012656573088345962</v>
      </c>
      <c r="T6928" s="10">
        <v>18.944873272930213</v>
      </c>
      <c r="U6928" s="11">
        <v>0.2997613816304546</v>
      </c>
      <c r="V6928" s="11">
        <v>0.07034748843281323</v>
      </c>
      <c r="W6928" s="11">
        <v>0.041391087242464646</v>
      </c>
      <c r="X6928" s="11">
        <v>0.02123827426871035</v>
      </c>
      <c r="Y6928" s="11">
        <v>0.28693280696518453</v>
      </c>
      <c r="Z6928" s="11">
        <v>0.28032896146037267</v>
      </c>
    </row>
    <row r="6929" ht="22.5" customHeight="1">
      <c r="Q6929" s="9" t="s">
        <v>6967</v>
      </c>
      <c r="R6929" s="10">
        <v>0.8141447648411224</v>
      </c>
      <c r="S6929" s="10">
        <v>0.04086586411001865</v>
      </c>
      <c r="T6929" s="10">
        <v>18.943555500428868</v>
      </c>
      <c r="U6929" s="11">
        <v>0.06153144862257495</v>
      </c>
      <c r="V6929" s="11">
        <v>0.2033823859967147</v>
      </c>
      <c r="W6929" s="11">
        <v>0.3250591405205918</v>
      </c>
      <c r="X6929" s="11">
        <v>0.04339802314295098</v>
      </c>
      <c r="Y6929" s="11">
        <v>0.016424253533976547</v>
      </c>
      <c r="Z6929" s="11">
        <v>0.35020474818319086</v>
      </c>
    </row>
    <row r="6930" ht="22.5" customHeight="1">
      <c r="Q6930" s="9" t="s">
        <v>6968</v>
      </c>
      <c r="R6930" s="10">
        <v>0.3298698113454647</v>
      </c>
      <c r="S6930" s="10">
        <v>0.015302468910379471</v>
      </c>
      <c r="T6930" s="10">
        <v>18.942682585608765</v>
      </c>
      <c r="U6930" s="11">
        <v>0.091077386622141</v>
      </c>
      <c r="V6930" s="11">
        <v>0.12673057697613627</v>
      </c>
      <c r="W6930" s="11">
        <v>0.035325685530092354</v>
      </c>
      <c r="X6930" s="11">
        <v>0.06573122459363788</v>
      </c>
      <c r="Y6930" s="11">
        <v>0.1389466123573903</v>
      </c>
      <c r="Z6930" s="11">
        <v>0.5421885139206021</v>
      </c>
    </row>
    <row r="6931" ht="22.5" customHeight="1">
      <c r="Q6931" s="9" t="s">
        <v>6969</v>
      </c>
      <c r="R6931" s="10">
        <v>0.28226615137391253</v>
      </c>
      <c r="S6931" s="10">
        <v>0.012790118301294348</v>
      </c>
      <c r="T6931" s="10">
        <v>18.941666188450768</v>
      </c>
      <c r="U6931" s="11">
        <v>0.09132546962888596</v>
      </c>
      <c r="V6931" s="11">
        <v>0.04816742523005275</v>
      </c>
      <c r="W6931" s="11">
        <v>0.0541468352305152</v>
      </c>
      <c r="X6931" s="11">
        <v>0.11419278498645073</v>
      </c>
      <c r="Y6931" s="11">
        <v>0.4407318185526524</v>
      </c>
      <c r="Z6931" s="11">
        <v>0.251435666371443</v>
      </c>
    </row>
    <row r="6932" ht="22.5" customHeight="1">
      <c r="Q6932" s="9" t="s">
        <v>6970</v>
      </c>
      <c r="R6932" s="10">
        <v>0.549363303056755</v>
      </c>
      <c r="S6932" s="10">
        <v>0.02689181940204321</v>
      </c>
      <c r="T6932" s="10">
        <v>18.94119901080602</v>
      </c>
      <c r="U6932" s="11">
        <v>0.12501054229875128</v>
      </c>
      <c r="V6932" s="11">
        <v>0.07623362286155572</v>
      </c>
      <c r="W6932" s="11">
        <v>0.22598560562010425</v>
      </c>
      <c r="X6932" s="11">
        <v>0.1859792145778812</v>
      </c>
      <c r="Y6932" s="11">
        <v>0.2217885177118712</v>
      </c>
      <c r="Z6932" s="11">
        <v>0.16500249692983643</v>
      </c>
    </row>
    <row r="6933" ht="22.5" customHeight="1">
      <c r="Q6933" s="9" t="s">
        <v>6971</v>
      </c>
      <c r="R6933" s="10">
        <v>0.4222497709185806</v>
      </c>
      <c r="S6933" s="10">
        <v>0.020180974352422727</v>
      </c>
      <c r="T6933" s="10">
        <v>18.941095917536387</v>
      </c>
      <c r="U6933" s="11">
        <v>0.15658424565672696</v>
      </c>
      <c r="V6933" s="11">
        <v>0.16955777196005925</v>
      </c>
      <c r="W6933" s="11">
        <v>0.0276744648939961</v>
      </c>
      <c r="X6933" s="11">
        <v>0.13303988389912527</v>
      </c>
      <c r="Y6933" s="11">
        <v>0.38710037768585526</v>
      </c>
      <c r="Z6933" s="11">
        <v>0.12604325590423712</v>
      </c>
    </row>
    <row r="6934" ht="22.5" customHeight="1">
      <c r="Q6934" s="9" t="s">
        <v>6972</v>
      </c>
      <c r="R6934" s="10">
        <v>0.559902141149036</v>
      </c>
      <c r="S6934" s="10">
        <v>0.02744859826330182</v>
      </c>
      <c r="T6934" s="10">
        <v>18.94093593275158</v>
      </c>
      <c r="U6934" s="11">
        <v>0.2852949252497105</v>
      </c>
      <c r="V6934" s="11">
        <v>0.24862928988334973</v>
      </c>
      <c r="W6934" s="11">
        <v>0.07314236896052245</v>
      </c>
      <c r="X6934" s="11">
        <v>0.07262458511132042</v>
      </c>
      <c r="Y6934" s="11">
        <v>0.03178057071866784</v>
      </c>
      <c r="Z6934" s="11">
        <v>0.2885282600764291</v>
      </c>
    </row>
    <row r="6935" ht="22.5" customHeight="1">
      <c r="Q6935" s="9" t="s">
        <v>6973</v>
      </c>
      <c r="R6935" s="10">
        <v>0.62772430337559</v>
      </c>
      <c r="S6935" s="10">
        <v>0.03103021813596789</v>
      </c>
      <c r="T6935" s="10">
        <v>18.940385813606134</v>
      </c>
      <c r="U6935" s="11">
        <v>0.009435109332707298</v>
      </c>
      <c r="V6935" s="11">
        <v>0.1051662101491882</v>
      </c>
      <c r="W6935" s="11">
        <v>0.2532263318075354</v>
      </c>
      <c r="X6935" s="11">
        <v>0.14169659344260385</v>
      </c>
      <c r="Y6935" s="11">
        <v>0.38974956044171966</v>
      </c>
      <c r="Z6935" s="11">
        <v>0.10072619482624573</v>
      </c>
    </row>
    <row r="6936" ht="22.5" customHeight="1">
      <c r="Q6936" s="9" t="s">
        <v>6974</v>
      </c>
      <c r="R6936" s="10">
        <v>0.6781568829340928</v>
      </c>
      <c r="S6936" s="10">
        <v>0.033693107226203986</v>
      </c>
      <c r="T6936" s="10">
        <v>18.940279940633733</v>
      </c>
      <c r="U6936" s="11">
        <v>0.22840862976934076</v>
      </c>
      <c r="V6936" s="11">
        <v>0.10306618683532427</v>
      </c>
      <c r="W6936" s="11">
        <v>0.2873523522422008</v>
      </c>
      <c r="X6936" s="11">
        <v>0.30364341714241316</v>
      </c>
      <c r="Y6936" s="11">
        <v>0.002780813072475483</v>
      </c>
      <c r="Z6936" s="11">
        <v>0.07474860093824558</v>
      </c>
    </row>
    <row r="6937" ht="22.5" customHeight="1">
      <c r="Q6937" s="9" t="s">
        <v>6975</v>
      </c>
      <c r="R6937" s="10">
        <v>0.4744604896653124</v>
      </c>
      <c r="S6937" s="10">
        <v>0.022938777315592424</v>
      </c>
      <c r="T6937" s="10">
        <v>18.940002062358914</v>
      </c>
      <c r="U6937" s="11">
        <v>0.19452042322197616</v>
      </c>
      <c r="V6937" s="11">
        <v>0.20644686289252615</v>
      </c>
      <c r="W6937" s="11">
        <v>0.044364141964711994</v>
      </c>
      <c r="X6937" s="11">
        <v>0.0894081089155814</v>
      </c>
      <c r="Y6937" s="11">
        <v>0.20693915690660175</v>
      </c>
      <c r="Z6937" s="11">
        <v>0.2583213060986025</v>
      </c>
    </row>
    <row r="6938" ht="22.5" customHeight="1">
      <c r="Q6938" s="9" t="s">
        <v>6976</v>
      </c>
      <c r="R6938" s="10">
        <v>0.5409214246955479</v>
      </c>
      <c r="S6938" s="10">
        <v>0.026447980457436748</v>
      </c>
      <c r="T6938" s="10">
        <v>18.93987427515271</v>
      </c>
      <c r="U6938" s="11">
        <v>0.14297983464954642</v>
      </c>
      <c r="V6938" s="11">
        <v>0.243202410472859</v>
      </c>
      <c r="W6938" s="11">
        <v>0.037742024191493515</v>
      </c>
      <c r="X6938" s="11">
        <v>0.2678714603176732</v>
      </c>
      <c r="Y6938" s="11">
        <v>0.15132011230852604</v>
      </c>
      <c r="Z6938" s="11">
        <v>0.15688415805990183</v>
      </c>
    </row>
    <row r="6939" ht="22.5" customHeight="1">
      <c r="Q6939" s="9" t="s">
        <v>6977</v>
      </c>
      <c r="R6939" s="10">
        <v>0.9264602729790731</v>
      </c>
      <c r="S6939" s="10">
        <v>0.0468041282919129</v>
      </c>
      <c r="T6939" s="10">
        <v>18.939788119763808</v>
      </c>
      <c r="U6939" s="11">
        <v>0.26333787901688127</v>
      </c>
      <c r="V6939" s="11">
        <v>0.2079505565287317</v>
      </c>
      <c r="W6939" s="11">
        <v>0.38269292811680045</v>
      </c>
      <c r="X6939" s="11">
        <v>0.11636174483266272</v>
      </c>
      <c r="Y6939" s="11">
        <v>0.010423325427977291</v>
      </c>
      <c r="Z6939" s="11">
        <v>0.01923356607694666</v>
      </c>
    </row>
    <row r="6940" ht="22.5" customHeight="1">
      <c r="Q6940" s="9" t="s">
        <v>6978</v>
      </c>
      <c r="R6940" s="10">
        <v>0.7230409487744073</v>
      </c>
      <c r="S6940" s="10">
        <v>0.03606720815596031</v>
      </c>
      <c r="T6940" s="10">
        <v>18.93800445603747</v>
      </c>
      <c r="U6940" s="11">
        <v>0.24914941668509405</v>
      </c>
      <c r="V6940" s="11">
        <v>0.32956009706702677</v>
      </c>
      <c r="W6940" s="11">
        <v>0.1044842078711027</v>
      </c>
      <c r="X6940" s="11">
        <v>0.11623280373818651</v>
      </c>
      <c r="Y6940" s="11">
        <v>0.03152428931033159</v>
      </c>
      <c r="Z6940" s="11">
        <v>0.1690491853282582</v>
      </c>
    </row>
    <row r="6941" ht="22.5" customHeight="1">
      <c r="Q6941" s="9" t="s">
        <v>6979</v>
      </c>
      <c r="R6941" s="10">
        <v>0.522331348251574</v>
      </c>
      <c r="S6941" s="10">
        <v>0.012605202763382199</v>
      </c>
      <c r="T6941" s="10">
        <v>18.935962040577742</v>
      </c>
      <c r="U6941" s="11">
        <v>0.31486222025679295</v>
      </c>
      <c r="V6941" s="11">
        <v>0.07097642353428807</v>
      </c>
      <c r="W6941" s="11">
        <v>0.026519575047476436</v>
      </c>
      <c r="X6941" s="11">
        <v>0.09044956536511187</v>
      </c>
      <c r="Y6941" s="11">
        <v>0.3325340748207919</v>
      </c>
      <c r="Z6941" s="11">
        <v>0.16465814097553874</v>
      </c>
    </row>
    <row r="6942" ht="22.5" customHeight="1">
      <c r="Q6942" s="9" t="s">
        <v>6980</v>
      </c>
      <c r="R6942" s="10">
        <v>0.7611705188033645</v>
      </c>
      <c r="S6942" s="10">
        <v>0.038085383590324005</v>
      </c>
      <c r="T6942" s="10">
        <v>18.93562440018552</v>
      </c>
      <c r="U6942" s="11">
        <v>0.09846337043509439</v>
      </c>
      <c r="V6942" s="11">
        <v>0.34732814107191756</v>
      </c>
      <c r="W6942" s="11">
        <v>0.11613072225976069</v>
      </c>
      <c r="X6942" s="11">
        <v>0.09365889923452837</v>
      </c>
      <c r="Y6942" s="11">
        <v>0.15430645103254562</v>
      </c>
      <c r="Z6942" s="11">
        <v>0.19011241596615328</v>
      </c>
    </row>
    <row r="6943" ht="22.5" customHeight="1">
      <c r="Q6943" s="9" t="s">
        <v>6981</v>
      </c>
      <c r="R6943" s="10">
        <v>0.6621604245960142</v>
      </c>
      <c r="S6943" s="10">
        <v>0.03285740611845723</v>
      </c>
      <c r="T6943" s="10">
        <v>18.935165556069975</v>
      </c>
      <c r="U6943" s="11">
        <v>0.11367936565648053</v>
      </c>
      <c r="V6943" s="11">
        <v>0.12413092801123408</v>
      </c>
      <c r="W6943" s="11">
        <v>0.27230327199087667</v>
      </c>
      <c r="X6943" s="11">
        <v>0.09482373822993155</v>
      </c>
      <c r="Y6943" s="11">
        <v>0.21187342800899392</v>
      </c>
      <c r="Z6943" s="11">
        <v>0.18318926810248323</v>
      </c>
    </row>
    <row r="6944" ht="22.5" customHeight="1">
      <c r="Q6944" s="9" t="s">
        <v>6982</v>
      </c>
      <c r="R6944" s="10">
        <v>0.8496890413677451</v>
      </c>
      <c r="S6944" s="10">
        <v>0.042762277786862556</v>
      </c>
      <c r="T6944" s="10">
        <v>18.934656507387874</v>
      </c>
      <c r="U6944" s="11">
        <v>0.15905212660987267</v>
      </c>
      <c r="V6944" s="11">
        <v>0.16681235787200235</v>
      </c>
      <c r="W6944" s="11">
        <v>0.35741592213382484</v>
      </c>
      <c r="X6944" s="11">
        <v>0.19528923224899955</v>
      </c>
      <c r="Y6944" s="11">
        <v>0.1065628423664497</v>
      </c>
      <c r="Z6944" s="11">
        <v>0.014867518768850665</v>
      </c>
    </row>
    <row r="6945" ht="22.5" customHeight="1">
      <c r="Q6945" s="9" t="s">
        <v>6983</v>
      </c>
      <c r="R6945" s="10">
        <v>0.6968686533591798</v>
      </c>
      <c r="S6945" s="10">
        <v>0.034691916079951146</v>
      </c>
      <c r="T6945" s="10">
        <v>18.934343431632815</v>
      </c>
      <c r="U6945" s="11">
        <v>0.13480546960026216</v>
      </c>
      <c r="V6945" s="11">
        <v>0.31212155933993335</v>
      </c>
      <c r="W6945" s="11">
        <v>0.1109334235810605</v>
      </c>
      <c r="X6945" s="11">
        <v>0.00973070195145785</v>
      </c>
      <c r="Y6945" s="11">
        <v>0.20953915826241917</v>
      </c>
      <c r="Z6945" s="11">
        <v>0.2228696872648671</v>
      </c>
    </row>
    <row r="6946" ht="22.5" customHeight="1">
      <c r="Q6946" s="9" t="s">
        <v>6984</v>
      </c>
      <c r="R6946" s="10">
        <v>0.22973415443384826</v>
      </c>
      <c r="S6946" s="10">
        <v>0.010020724152075883</v>
      </c>
      <c r="T6946" s="10">
        <v>18.934175969163178</v>
      </c>
      <c r="U6946" s="11">
        <v>0.1624178329849499</v>
      </c>
      <c r="V6946" s="11">
        <v>0.05043237998686443</v>
      </c>
      <c r="W6946" s="11">
        <v>0.012940094292280104</v>
      </c>
      <c r="X6946" s="11">
        <v>0.18878499762566264</v>
      </c>
      <c r="Y6946" s="11">
        <v>0.2537267774254346</v>
      </c>
      <c r="Z6946" s="11">
        <v>0.3316979176848082</v>
      </c>
    </row>
    <row r="6947" ht="22.5" customHeight="1">
      <c r="Q6947" s="9" t="s">
        <v>6985</v>
      </c>
      <c r="R6947" s="10">
        <v>0.7528740893358092</v>
      </c>
      <c r="S6947" s="10">
        <v>0.03765162193427685</v>
      </c>
      <c r="T6947" s="10">
        <v>18.933423122652552</v>
      </c>
      <c r="U6947" s="11">
        <v>0.26339732982495034</v>
      </c>
      <c r="V6947" s="11">
        <v>0.15924558388431023</v>
      </c>
      <c r="W6947" s="11">
        <v>0.3076155587270069</v>
      </c>
      <c r="X6947" s="11">
        <v>0.037703804210788124</v>
      </c>
      <c r="Y6947" s="11">
        <v>0.13171980441741743</v>
      </c>
      <c r="Z6947" s="11">
        <v>0.10031791893552695</v>
      </c>
    </row>
    <row r="6948" ht="22.5" customHeight="1">
      <c r="Q6948" s="9" t="s">
        <v>6986</v>
      </c>
      <c r="R6948" s="10">
        <v>0.531130780319284</v>
      </c>
      <c r="S6948" s="10">
        <v>0.025942023895535352</v>
      </c>
      <c r="T6948" s="10">
        <v>18.931860609526616</v>
      </c>
      <c r="U6948" s="11">
        <v>0.1833334743835042</v>
      </c>
      <c r="V6948" s="11">
        <v>0.07699465148882127</v>
      </c>
      <c r="W6948" s="11">
        <v>0.2149700187819082</v>
      </c>
      <c r="X6948" s="11">
        <v>0.12313544081256553</v>
      </c>
      <c r="Y6948" s="11">
        <v>0.24939590290376268</v>
      </c>
      <c r="Z6948" s="11">
        <v>0.15217051162943815</v>
      </c>
    </row>
    <row r="6949" ht="22.5" customHeight="1">
      <c r="Q6949" s="9" t="s">
        <v>6987</v>
      </c>
      <c r="R6949" s="10">
        <v>0.3165721816536119</v>
      </c>
      <c r="S6949" s="10">
        <v>0.01460892000231501</v>
      </c>
      <c r="T6949" s="10">
        <v>18.931733599046662</v>
      </c>
      <c r="U6949" s="11">
        <v>0.15905581848363895</v>
      </c>
      <c r="V6949" s="11">
        <v>0.11552566053618983</v>
      </c>
      <c r="W6949" s="11">
        <v>0.014358881941367226</v>
      </c>
      <c r="X6949" s="11">
        <v>0.13119605399763487</v>
      </c>
      <c r="Y6949" s="11">
        <v>0.2822118150365456</v>
      </c>
      <c r="Z6949" s="11">
        <v>0.2976517700046235</v>
      </c>
    </row>
    <row r="6950" ht="22.5" customHeight="1">
      <c r="Q6950" s="9" t="s">
        <v>6988</v>
      </c>
      <c r="R6950" s="10">
        <v>0.5876399119151167</v>
      </c>
      <c r="S6950" s="10">
        <v>0.028927213330073476</v>
      </c>
      <c r="T6950" s="10">
        <v>18.931651164122886</v>
      </c>
      <c r="U6950" s="11">
        <v>0.2145632045398936</v>
      </c>
      <c r="V6950" s="11">
        <v>0.26101020956951787</v>
      </c>
      <c r="W6950" s="11">
        <v>0.06796368321445209</v>
      </c>
      <c r="X6950" s="11">
        <v>0.07061159087514236</v>
      </c>
      <c r="Y6950" s="11">
        <v>0.26018094405233466</v>
      </c>
      <c r="Z6950" s="11">
        <v>0.12567036774865936</v>
      </c>
    </row>
    <row r="6951" ht="22.5" customHeight="1">
      <c r="Q6951" s="9" t="s">
        <v>6989</v>
      </c>
      <c r="R6951" s="10">
        <v>0.5001902850704165</v>
      </c>
      <c r="S6951" s="10">
        <v>0.0243084026877948</v>
      </c>
      <c r="T6951" s="10">
        <v>18.931325557704255</v>
      </c>
      <c r="U6951" s="11">
        <v>0.22085597257291786</v>
      </c>
      <c r="V6951" s="11">
        <v>0.2172314902005248</v>
      </c>
      <c r="W6951" s="11">
        <v>0.05404384316878616</v>
      </c>
      <c r="X6951" s="11">
        <v>0.049421625948916206</v>
      </c>
      <c r="Y6951" s="11">
        <v>0.23237318223180659</v>
      </c>
      <c r="Z6951" s="11">
        <v>0.2260738858770485</v>
      </c>
    </row>
    <row r="6952" ht="22.5" customHeight="1">
      <c r="Q6952" s="9" t="s">
        <v>6990</v>
      </c>
      <c r="R6952" s="10">
        <v>0.3056319317371075</v>
      </c>
      <c r="S6952" s="10">
        <v>0.014032423834632742</v>
      </c>
      <c r="T6952" s="10">
        <v>18.929868058967426</v>
      </c>
      <c r="U6952" s="11">
        <v>0.3211950915141316</v>
      </c>
      <c r="V6952" s="11">
        <v>0.10125332626797462</v>
      </c>
      <c r="W6952" s="11">
        <v>0.009756427667724896</v>
      </c>
      <c r="X6952" s="11">
        <v>0.15790520764465069</v>
      </c>
      <c r="Y6952" s="11">
        <v>0.2705254401948295</v>
      </c>
      <c r="Z6952" s="11">
        <v>0.13936450671068873</v>
      </c>
    </row>
    <row r="6953" ht="22.5" customHeight="1">
      <c r="Q6953" s="9" t="s">
        <v>6991</v>
      </c>
      <c r="R6953" s="10">
        <v>0.7529645036838114</v>
      </c>
      <c r="S6953" s="10">
        <v>0.037664043569596815</v>
      </c>
      <c r="T6953" s="10">
        <v>18.929579410834446</v>
      </c>
      <c r="U6953" s="11">
        <v>0.10854578288470927</v>
      </c>
      <c r="V6953" s="11">
        <v>0.1665617471238462</v>
      </c>
      <c r="W6953" s="11">
        <v>0.30470429568815854</v>
      </c>
      <c r="X6953" s="11">
        <v>0.02060513445665191</v>
      </c>
      <c r="Y6953" s="11">
        <v>0.21366985407375835</v>
      </c>
      <c r="Z6953" s="11">
        <v>0.18591318577287552</v>
      </c>
    </row>
    <row r="6954" ht="22.5" customHeight="1">
      <c r="Q6954" s="9" t="s">
        <v>6992</v>
      </c>
      <c r="R6954" s="10">
        <v>1.0687654039824617</v>
      </c>
      <c r="S6954" s="10">
        <v>0.05434859048618829</v>
      </c>
      <c r="T6954" s="10">
        <v>18.92901719767514</v>
      </c>
      <c r="U6954" s="11">
        <v>0.10681016573562348</v>
      </c>
      <c r="V6954" s="11">
        <v>0.48338553731253775</v>
      </c>
      <c r="W6954" s="11">
        <v>0.2093820104483234</v>
      </c>
      <c r="X6954" s="11">
        <v>0.10063305897347664</v>
      </c>
      <c r="Y6954" s="11">
        <v>0.004981893519828695</v>
      </c>
      <c r="Z6954" s="11">
        <v>0.09480733401020995</v>
      </c>
    </row>
    <row r="6955" ht="22.5" customHeight="1">
      <c r="Q6955" s="9" t="s">
        <v>6993</v>
      </c>
      <c r="R6955" s="10">
        <v>0.4927984968520585</v>
      </c>
      <c r="S6955" s="10">
        <v>0.023923060321583058</v>
      </c>
      <c r="T6955" s="10">
        <v>18.927281491806042</v>
      </c>
      <c r="U6955" s="11">
        <v>0.18678500109489532</v>
      </c>
      <c r="V6955" s="11">
        <v>0.0744617397314654</v>
      </c>
      <c r="W6955" s="11">
        <v>0.20001091325503473</v>
      </c>
      <c r="X6955" s="11">
        <v>0.1737783692975989</v>
      </c>
      <c r="Y6955" s="11">
        <v>0.009443571239884973</v>
      </c>
      <c r="Z6955" s="11">
        <v>0.3555204053811208</v>
      </c>
    </row>
    <row r="6956" ht="22.5" customHeight="1">
      <c r="Q6956" s="9" t="s">
        <v>6994</v>
      </c>
      <c r="R6956" s="10">
        <v>0.8155413175869327</v>
      </c>
      <c r="S6956" s="10">
        <v>0.04097864434146558</v>
      </c>
      <c r="T6956" s="10">
        <v>18.925499612054658</v>
      </c>
      <c r="U6956" s="11">
        <v>0.18245801571394166</v>
      </c>
      <c r="V6956" s="11">
        <v>0.17468702361346927</v>
      </c>
      <c r="W6956" s="11">
        <v>0.3379038124211821</v>
      </c>
      <c r="X6956" s="11">
        <v>0.10966037893493287</v>
      </c>
      <c r="Y6956" s="11">
        <v>0.055677121703768255</v>
      </c>
      <c r="Z6956" s="11">
        <v>0.13961364761270584</v>
      </c>
    </row>
    <row r="6957" ht="22.5" customHeight="1">
      <c r="Q6957" s="9" t="s">
        <v>6995</v>
      </c>
      <c r="R6957" s="10">
        <v>0.5965187206778861</v>
      </c>
      <c r="S6957" s="10">
        <v>0.02940642543874196</v>
      </c>
      <c r="T6957" s="10">
        <v>18.92507206757241</v>
      </c>
      <c r="U6957" s="11">
        <v>0.044850248663628585</v>
      </c>
      <c r="V6957" s="11">
        <v>0.0860658216180842</v>
      </c>
      <c r="W6957" s="11">
        <v>0.24950488832910947</v>
      </c>
      <c r="X6957" s="11">
        <v>0.2515250757019412</v>
      </c>
      <c r="Y6957" s="11">
        <v>0.17372100627628168</v>
      </c>
      <c r="Z6957" s="11">
        <v>0.19433295941095488</v>
      </c>
    </row>
    <row r="6958" ht="22.5" customHeight="1">
      <c r="Q6958" s="9" t="s">
        <v>6996</v>
      </c>
      <c r="R6958" s="10">
        <v>0.5898033628673423</v>
      </c>
      <c r="S6958" s="10">
        <v>0.029051995098224724</v>
      </c>
      <c r="T6958" s="10">
        <v>18.924805715010567</v>
      </c>
      <c r="U6958" s="11">
        <v>0.2633610946879227</v>
      </c>
      <c r="V6958" s="11">
        <v>0.0890047878473716</v>
      </c>
      <c r="W6958" s="11">
        <v>0.23968244490165302</v>
      </c>
      <c r="X6958" s="11">
        <v>0.11637736487296013</v>
      </c>
      <c r="Y6958" s="11">
        <v>0.2827578182345805</v>
      </c>
      <c r="Z6958" s="11">
        <v>0.008816489455512099</v>
      </c>
    </row>
    <row r="6959" ht="22.5" customHeight="1">
      <c r="Q6959" s="9" t="s">
        <v>6997</v>
      </c>
      <c r="R6959" s="10">
        <v>0.6925240210510133</v>
      </c>
      <c r="S6959" s="10">
        <v>0.0344811414765069</v>
      </c>
      <c r="T6959" s="10">
        <v>18.9240840966822</v>
      </c>
      <c r="U6959" s="11">
        <v>0.03221963489379113</v>
      </c>
      <c r="V6959" s="11">
        <v>0.3119046757433518</v>
      </c>
      <c r="W6959" s="11">
        <v>0.09743939477949475</v>
      </c>
      <c r="X6959" s="11">
        <v>0.07440452826016954</v>
      </c>
      <c r="Y6959" s="11">
        <v>0.31131612911980516</v>
      </c>
      <c r="Z6959" s="11">
        <v>0.17271563720338753</v>
      </c>
    </row>
    <row r="6960" ht="22.5" customHeight="1">
      <c r="Q6960" s="9" t="s">
        <v>6998</v>
      </c>
      <c r="R6960" s="10">
        <v>0.64110454014744</v>
      </c>
      <c r="S6960" s="10">
        <v>0.031764305663438415</v>
      </c>
      <c r="T6960" s="10">
        <v>18.923899880466386</v>
      </c>
      <c r="U6960" s="11">
        <v>0.046851384683975476</v>
      </c>
      <c r="V6960" s="11">
        <v>0.10385212971674879</v>
      </c>
      <c r="W6960" s="11">
        <v>0.2648134999579549</v>
      </c>
      <c r="X6960" s="11">
        <v>0.17440212967903243</v>
      </c>
      <c r="Y6960" s="11">
        <v>0.2974205066544653</v>
      </c>
      <c r="Z6960" s="11">
        <v>0.11266034930782311</v>
      </c>
    </row>
    <row r="6961" ht="22.5" customHeight="1">
      <c r="Q6961" s="9" t="s">
        <v>6999</v>
      </c>
      <c r="R6961" s="10">
        <v>0.4358743347883667</v>
      </c>
      <c r="S6961" s="10">
        <v>0.020919814626747406</v>
      </c>
      <c r="T6961" s="10">
        <v>18.923415042225777</v>
      </c>
      <c r="U6961" s="11">
        <v>0.11734028167063486</v>
      </c>
      <c r="V6961" s="11">
        <v>0.1745978386182492</v>
      </c>
      <c r="W6961" s="11">
        <v>0.019467979404556184</v>
      </c>
      <c r="X6961" s="11">
        <v>0.23098848445503922</v>
      </c>
      <c r="Y6961" s="11">
        <v>0.4142558231606528</v>
      </c>
      <c r="Z6961" s="11">
        <v>0.04334959269086789</v>
      </c>
    </row>
    <row r="6962" ht="22.5" customHeight="1">
      <c r="Q6962" s="9" t="s">
        <v>7000</v>
      </c>
      <c r="R6962" s="10">
        <v>0.7918747136271465</v>
      </c>
      <c r="S6962" s="10">
        <v>0.03973300757784961</v>
      </c>
      <c r="T6962" s="10">
        <v>18.923176458615284</v>
      </c>
      <c r="U6962" s="11">
        <v>0.1427981356709026</v>
      </c>
      <c r="V6962" s="11">
        <v>0.159092533557045</v>
      </c>
      <c r="W6962" s="11">
        <v>0.3276589151370372</v>
      </c>
      <c r="X6962" s="11">
        <v>0.09742818752372986</v>
      </c>
      <c r="Y6962" s="11">
        <v>0.23290471660859388</v>
      </c>
      <c r="Z6962" s="11">
        <v>0.040117511502691494</v>
      </c>
    </row>
    <row r="6963" ht="22.5" customHeight="1">
      <c r="Q6963" s="9" t="s">
        <v>7001</v>
      </c>
      <c r="R6963" s="10">
        <v>0.696126278726621</v>
      </c>
      <c r="S6963" s="10">
        <v>0.03467479673603916</v>
      </c>
      <c r="T6963" s="10">
        <v>18.922281901790583</v>
      </c>
      <c r="U6963" s="11">
        <v>0.058805409948589855</v>
      </c>
      <c r="V6963" s="11">
        <v>0.1107903993064408</v>
      </c>
      <c r="W6963" s="11">
        <v>0.293694926905415</v>
      </c>
      <c r="X6963" s="11">
        <v>0.2576827819718941</v>
      </c>
      <c r="Y6963" s="11">
        <v>0.19596752468818893</v>
      </c>
      <c r="Z6963" s="11">
        <v>0.08305895717947152</v>
      </c>
    </row>
    <row r="6964" ht="22.5" customHeight="1">
      <c r="Q6964" s="9" t="s">
        <v>7002</v>
      </c>
      <c r="R6964" s="10">
        <v>0.5106951217721012</v>
      </c>
      <c r="S6964" s="10">
        <v>0.02487737661973432</v>
      </c>
      <c r="T6964" s="10">
        <v>18.920609233319073</v>
      </c>
      <c r="U6964" s="11">
        <v>0.020711055841490748</v>
      </c>
      <c r="V6964" s="11">
        <v>0.22264450149884357</v>
      </c>
      <c r="W6964" s="11">
        <v>0.03363460595064703</v>
      </c>
      <c r="X6964" s="11">
        <v>0.24069025932104868</v>
      </c>
      <c r="Y6964" s="11">
        <v>0.3385169958650255</v>
      </c>
      <c r="Z6964" s="11">
        <v>0.14380258152294434</v>
      </c>
    </row>
    <row r="6965" ht="22.5" customHeight="1">
      <c r="Q6965" s="9" t="s">
        <v>7003</v>
      </c>
      <c r="R6965" s="10">
        <v>0.5178853784198633</v>
      </c>
      <c r="S6965" s="10">
        <v>0.025260276380235994</v>
      </c>
      <c r="T6965" s="10">
        <v>18.91845406702548</v>
      </c>
      <c r="U6965" s="11">
        <v>0.23598890215657964</v>
      </c>
      <c r="V6965" s="11">
        <v>0.06941003253376589</v>
      </c>
      <c r="W6965" s="11">
        <v>0.20689389011387807</v>
      </c>
      <c r="X6965" s="11">
        <v>0.12514254813322453</v>
      </c>
      <c r="Y6965" s="11">
        <v>0.2924621435002506</v>
      </c>
      <c r="Z6965" s="11">
        <v>0.07010248356230112</v>
      </c>
    </row>
    <row r="6966" ht="22.5" customHeight="1">
      <c r="Q6966" s="9" t="s">
        <v>7004</v>
      </c>
      <c r="R6966" s="10">
        <v>0.36284679859153024</v>
      </c>
      <c r="S6966" s="10">
        <v>0.01706551365640967</v>
      </c>
      <c r="T6966" s="10">
        <v>18.918082695405513</v>
      </c>
      <c r="U6966" s="11">
        <v>0.21789194278211158</v>
      </c>
      <c r="V6966" s="11">
        <v>0.02188879977464399</v>
      </c>
      <c r="W6966" s="11">
        <v>0.13524435698365625</v>
      </c>
      <c r="X6966" s="11">
        <v>0.24983549500834162</v>
      </c>
      <c r="Y6966" s="11">
        <v>0.17871184722825584</v>
      </c>
      <c r="Z6966" s="11">
        <v>0.19642755822299082</v>
      </c>
    </row>
    <row r="6967" ht="22.5" customHeight="1">
      <c r="Q6967" s="9" t="s">
        <v>7005</v>
      </c>
      <c r="R6967" s="10">
        <v>0.49637561746843767</v>
      </c>
      <c r="S6967" s="10">
        <v>0.024123857438325385</v>
      </c>
      <c r="T6967" s="10">
        <v>18.91801999888282</v>
      </c>
      <c r="U6967" s="11">
        <v>0.14283680741935637</v>
      </c>
      <c r="V6967" s="11">
        <v>0.05741390099961933</v>
      </c>
      <c r="W6967" s="11">
        <v>0.20469414241241943</v>
      </c>
      <c r="X6967" s="11">
        <v>0.26949241284784176</v>
      </c>
      <c r="Y6967" s="11">
        <v>0.08372635385753155</v>
      </c>
      <c r="Z6967" s="11">
        <v>0.24183638246323144</v>
      </c>
    </row>
    <row r="6968" ht="22.5" customHeight="1">
      <c r="Q6968" s="9" t="s">
        <v>7006</v>
      </c>
      <c r="R6968" s="10">
        <v>0.6620513966078996</v>
      </c>
      <c r="S6968" s="10">
        <v>0.032882951208483446</v>
      </c>
      <c r="T6968" s="10">
        <v>18.917140151563313</v>
      </c>
      <c r="U6968" s="11">
        <v>0.06821494340721991</v>
      </c>
      <c r="V6968" s="11">
        <v>0.13729861064540352</v>
      </c>
      <c r="W6968" s="11">
        <v>0.2673455557686262</v>
      </c>
      <c r="X6968" s="11">
        <v>0.03412770618731067</v>
      </c>
      <c r="Y6968" s="11">
        <v>0.23428256592524424</v>
      </c>
      <c r="Z6968" s="11">
        <v>0.2587306180661955</v>
      </c>
    </row>
    <row r="6969" ht="22.5" customHeight="1">
      <c r="Q6969" s="9" t="s">
        <v>7007</v>
      </c>
      <c r="R6969" s="10">
        <v>0.5137168627898323</v>
      </c>
      <c r="S6969" s="10">
        <v>0.025041797721213333</v>
      </c>
      <c r="T6969" s="10">
        <v>18.91704693343716</v>
      </c>
      <c r="U6969" s="11">
        <v>0.03879372813479882</v>
      </c>
      <c r="V6969" s="11">
        <v>0.05707735881091793</v>
      </c>
      <c r="W6969" s="11">
        <v>0.21053032523773707</v>
      </c>
      <c r="X6969" s="11">
        <v>0.2894748295584496</v>
      </c>
      <c r="Y6969" s="11">
        <v>0.2240059030650615</v>
      </c>
      <c r="Z6969" s="11">
        <v>0.1801178551930351</v>
      </c>
    </row>
    <row r="6970" ht="22.5" customHeight="1">
      <c r="Q6970" s="9" t="s">
        <v>7008</v>
      </c>
      <c r="R6970" s="10">
        <v>0.7484613281022925</v>
      </c>
      <c r="S6970" s="10">
        <v>0.037451153421306324</v>
      </c>
      <c r="T6970" s="10">
        <v>18.91694282770052</v>
      </c>
      <c r="U6970" s="11">
        <v>0.01793444524418989</v>
      </c>
      <c r="V6970" s="11">
        <v>0.3442406184610262</v>
      </c>
      <c r="W6970" s="11">
        <v>0.10332615879586218</v>
      </c>
      <c r="X6970" s="11">
        <v>0.1599319191483887</v>
      </c>
      <c r="Y6970" s="11">
        <v>0.18439739369377803</v>
      </c>
      <c r="Z6970" s="11">
        <v>0.1901694646567549</v>
      </c>
    </row>
    <row r="6971" ht="22.5" customHeight="1">
      <c r="Q6971" s="9" t="s">
        <v>7009</v>
      </c>
      <c r="R6971" s="10">
        <v>0.4456112836412439</v>
      </c>
      <c r="S6971" s="10">
        <v>0.02144191528699371</v>
      </c>
      <c r="T6971" s="10">
        <v>18.91674685830331</v>
      </c>
      <c r="U6971" s="11">
        <v>0.10866803987297982</v>
      </c>
      <c r="V6971" s="11">
        <v>0.06923218582996005</v>
      </c>
      <c r="W6971" s="11">
        <v>0.17235645650584303</v>
      </c>
      <c r="X6971" s="11">
        <v>0.06747121145271741</v>
      </c>
      <c r="Y6971" s="11">
        <v>0.2395976377704857</v>
      </c>
      <c r="Z6971" s="11">
        <v>0.3426744685680139</v>
      </c>
    </row>
    <row r="6972" ht="22.5" customHeight="1">
      <c r="Q6972" s="9" t="s">
        <v>7010</v>
      </c>
      <c r="R6972" s="10">
        <v>0.3988067499713404</v>
      </c>
      <c r="S6972" s="10">
        <v>0.018967791775673173</v>
      </c>
      <c r="T6972" s="10">
        <v>18.916632690555055</v>
      </c>
      <c r="U6972" s="11">
        <v>0.20494713568506698</v>
      </c>
      <c r="V6972" s="11">
        <v>0.1657722456731411</v>
      </c>
      <c r="W6972" s="11">
        <v>0.015479810732551579</v>
      </c>
      <c r="X6972" s="11">
        <v>0.1970212514367558</v>
      </c>
      <c r="Y6972" s="11">
        <v>0.21941436223672425</v>
      </c>
      <c r="Z6972" s="11">
        <v>0.19736519423576013</v>
      </c>
    </row>
    <row r="6973" ht="22.5" customHeight="1">
      <c r="Q6973" s="9" t="s">
        <v>7011</v>
      </c>
      <c r="R6973" s="10">
        <v>0.6930134723728403</v>
      </c>
      <c r="S6973" s="10">
        <v>0.03452178826463424</v>
      </c>
      <c r="T6973" s="10">
        <v>18.915980463324324</v>
      </c>
      <c r="U6973" s="11">
        <v>0.007221987538053351</v>
      </c>
      <c r="V6973" s="11">
        <v>0.11883813638544374</v>
      </c>
      <c r="W6973" s="11">
        <v>0.29097945403321307</v>
      </c>
      <c r="X6973" s="11">
        <v>0.22274329409892699</v>
      </c>
      <c r="Y6973" s="11">
        <v>0.18845593375843597</v>
      </c>
      <c r="Z6973" s="11">
        <v>0.17176119418592686</v>
      </c>
    </row>
    <row r="6974" ht="22.5" customHeight="1">
      <c r="Q6974" s="9" t="s">
        <v>7012</v>
      </c>
      <c r="R6974" s="10">
        <v>0.6844430061352885</v>
      </c>
      <c r="S6974" s="10">
        <v>0.03407219788791476</v>
      </c>
      <c r="T6974" s="10">
        <v>18.91404271175207</v>
      </c>
      <c r="U6974" s="11">
        <v>0.29711422645893076</v>
      </c>
      <c r="V6974" s="11">
        <v>0.3090680781630578</v>
      </c>
      <c r="W6974" s="11">
        <v>0.09572200823043148</v>
      </c>
      <c r="X6974" s="11">
        <v>0.05894493048639544</v>
      </c>
      <c r="Y6974" s="11">
        <v>0.12575516470824438</v>
      </c>
      <c r="Z6974" s="11">
        <v>0.11339559195294022</v>
      </c>
    </row>
    <row r="6975" ht="22.5" customHeight="1">
      <c r="Q6975" s="9" t="s">
        <v>7013</v>
      </c>
      <c r="R6975" s="10">
        <v>0.30290769749302754</v>
      </c>
      <c r="S6975" s="10">
        <v>0.01390044678778314</v>
      </c>
      <c r="T6975" s="10">
        <v>18.913614900788122</v>
      </c>
      <c r="U6975" s="11">
        <v>0.22296137955354814</v>
      </c>
      <c r="V6975" s="11">
        <v>0.11232994691575716</v>
      </c>
      <c r="W6975" s="11">
        <v>0.014005093235376924</v>
      </c>
      <c r="X6975" s="11">
        <v>0.19607513960547787</v>
      </c>
      <c r="Y6975" s="11">
        <v>0.029523895188297282</v>
      </c>
      <c r="Z6975" s="11">
        <v>0.42510454550154264</v>
      </c>
    </row>
    <row r="6976" ht="22.5" customHeight="1">
      <c r="Q6976" s="9" t="s">
        <v>7014</v>
      </c>
      <c r="R6976" s="10">
        <v>0.6195271879523351</v>
      </c>
      <c r="S6976" s="10">
        <v>0.03064421007847671</v>
      </c>
      <c r="T6976" s="10">
        <v>18.911474189356646</v>
      </c>
      <c r="U6976" s="11">
        <v>0.22474452439857015</v>
      </c>
      <c r="V6976" s="11">
        <v>0.10318718203201255</v>
      </c>
      <c r="W6976" s="11">
        <v>0.25772085147365426</v>
      </c>
      <c r="X6976" s="11">
        <v>0.13637787363400666</v>
      </c>
      <c r="Y6976" s="11">
        <v>0.12417539757085748</v>
      </c>
      <c r="Z6976" s="11">
        <v>0.15379417089089897</v>
      </c>
    </row>
    <row r="6977" ht="22.5" customHeight="1">
      <c r="Q6977" s="9" t="s">
        <v>7015</v>
      </c>
      <c r="R6977" s="10">
        <v>0.6157686007592003</v>
      </c>
      <c r="S6977" s="10">
        <v>0.030445686393992494</v>
      </c>
      <c r="T6977" s="10">
        <v>18.91133585586726</v>
      </c>
      <c r="U6977" s="11">
        <v>0.23863850582058893</v>
      </c>
      <c r="V6977" s="11">
        <v>0.09401663972607884</v>
      </c>
      <c r="W6977" s="11">
        <v>0.2540556767125665</v>
      </c>
      <c r="X6977" s="11">
        <v>0.14080489130471244</v>
      </c>
      <c r="Y6977" s="11">
        <v>0.2495063235558356</v>
      </c>
      <c r="Z6977" s="11">
        <v>0.022977962880217643</v>
      </c>
    </row>
    <row r="6978" ht="22.5" customHeight="1">
      <c r="Q6978" s="9" t="s">
        <v>7016</v>
      </c>
      <c r="R6978" s="10">
        <v>0.522331348251574</v>
      </c>
      <c r="S6978" s="10">
        <v>0.03592153892772938</v>
      </c>
      <c r="T6978" s="10">
        <v>18.909187964305286</v>
      </c>
      <c r="U6978" s="11">
        <v>0.11665215616645576</v>
      </c>
      <c r="V6978" s="11">
        <v>0.14606883020424563</v>
      </c>
      <c r="W6978" s="11">
        <v>0.2965752454566739</v>
      </c>
      <c r="X6978" s="11">
        <v>0.07962214534076163</v>
      </c>
      <c r="Y6978" s="11">
        <v>0.16558624597017707</v>
      </c>
      <c r="Z6978" s="11">
        <v>0.195495376861686</v>
      </c>
    </row>
    <row r="6979" ht="22.5" customHeight="1">
      <c r="Q6979" s="9" t="s">
        <v>7017</v>
      </c>
      <c r="R6979" s="10">
        <v>0.6717526263428883</v>
      </c>
      <c r="S6979" s="10">
        <v>0.03341132038394633</v>
      </c>
      <c r="T6979" s="10">
        <v>18.90834061878131</v>
      </c>
      <c r="U6979" s="11">
        <v>0.0842297216631201</v>
      </c>
      <c r="V6979" s="11">
        <v>0.11758577924105659</v>
      </c>
      <c r="W6979" s="11">
        <v>0.2791872299349205</v>
      </c>
      <c r="X6979" s="11">
        <v>0.14406977266667378</v>
      </c>
      <c r="Y6979" s="11">
        <v>0.24010938692529307</v>
      </c>
      <c r="Z6979" s="11">
        <v>0.13481810956893592</v>
      </c>
    </row>
    <row r="6980" ht="22.5" customHeight="1">
      <c r="Q6980" s="9" t="s">
        <v>7018</v>
      </c>
      <c r="R6980" s="10">
        <v>0.584577090138157</v>
      </c>
      <c r="S6980" s="10">
        <v>0.028802211098769563</v>
      </c>
      <c r="T6980" s="10">
        <v>18.90747513344284</v>
      </c>
      <c r="U6980" s="11">
        <v>0.12415764094068615</v>
      </c>
      <c r="V6980" s="11">
        <v>0.10761024410144704</v>
      </c>
      <c r="W6980" s="11">
        <v>0.2357207904622818</v>
      </c>
      <c r="X6980" s="11">
        <v>0.048825064715178994</v>
      </c>
      <c r="Y6980" s="11">
        <v>0.2442361514194822</v>
      </c>
      <c r="Z6980" s="11">
        <v>0.23945010836092384</v>
      </c>
    </row>
    <row r="6981" ht="22.5" customHeight="1">
      <c r="Q6981" s="9" t="s">
        <v>7019</v>
      </c>
      <c r="R6981" s="10">
        <v>0.6258916621779159</v>
      </c>
      <c r="S6981" s="10">
        <v>0.03098803724338545</v>
      </c>
      <c r="T6981" s="10">
        <v>18.907027172331716</v>
      </c>
      <c r="U6981" s="11">
        <v>0.24992408725233317</v>
      </c>
      <c r="V6981" s="11">
        <v>0.08166001681701138</v>
      </c>
      <c r="W6981" s="11">
        <v>0.26503160662129316</v>
      </c>
      <c r="X6981" s="11">
        <v>0.32129020618953</v>
      </c>
      <c r="Y6981" s="11">
        <v>0.04064753265849557</v>
      </c>
      <c r="Z6981" s="11">
        <v>0.041446550461336634</v>
      </c>
    </row>
    <row r="6982" ht="22.5" customHeight="1">
      <c r="Q6982" s="9" t="s">
        <v>7020</v>
      </c>
      <c r="R6982" s="10">
        <v>0.4146832457943146</v>
      </c>
      <c r="S6982" s="10">
        <v>0.019818098248567027</v>
      </c>
      <c r="T6982" s="10">
        <v>18.906115061842858</v>
      </c>
      <c r="U6982" s="11">
        <v>0.18967659158047248</v>
      </c>
      <c r="V6982" s="11">
        <v>0.17432224207666447</v>
      </c>
      <c r="W6982" s="11">
        <v>0.03241817339591752</v>
      </c>
      <c r="X6982" s="11">
        <v>0.08846893811296536</v>
      </c>
      <c r="Y6982" s="11">
        <v>0.23471643561843547</v>
      </c>
      <c r="Z6982" s="11">
        <v>0.2803976192155445</v>
      </c>
    </row>
    <row r="6983" ht="22.5" customHeight="1">
      <c r="Q6983" s="9" t="s">
        <v>7021</v>
      </c>
      <c r="R6983" s="10">
        <v>0.5006077867041475</v>
      </c>
      <c r="S6983" s="10">
        <v>0.024363480228585064</v>
      </c>
      <c r="T6983" s="10">
        <v>18.905664641610926</v>
      </c>
      <c r="U6983" s="11">
        <v>0.32746417242429343</v>
      </c>
      <c r="V6983" s="11">
        <v>0.05652155574155049</v>
      </c>
      <c r="W6983" s="11">
        <v>0.20265916029001954</v>
      </c>
      <c r="X6983" s="11">
        <v>0.18644300078356033</v>
      </c>
      <c r="Y6983" s="11">
        <v>0.181467754707713</v>
      </c>
      <c r="Z6983" s="11">
        <v>0.04544435605286316</v>
      </c>
    </row>
    <row r="6984" ht="22.5" customHeight="1">
      <c r="Q6984" s="9" t="s">
        <v>7022</v>
      </c>
      <c r="R6984" s="10">
        <v>0.5249704768340958</v>
      </c>
      <c r="S6984" s="10">
        <v>0.025652464970297034</v>
      </c>
      <c r="T6984" s="10">
        <v>18.905414251443</v>
      </c>
      <c r="U6984" s="11">
        <v>0.11351444760601755</v>
      </c>
      <c r="V6984" s="11">
        <v>0.23631976460592138</v>
      </c>
      <c r="W6984" s="11">
        <v>0.03463592716273294</v>
      </c>
      <c r="X6984" s="11">
        <v>0.2840335960719603</v>
      </c>
      <c r="Y6984" s="11">
        <v>0.12434256724514396</v>
      </c>
      <c r="Z6984" s="11">
        <v>0.20715369730822392</v>
      </c>
    </row>
    <row r="6985" ht="22.5" customHeight="1">
      <c r="Q6985" s="9" t="s">
        <v>7023</v>
      </c>
      <c r="R6985" s="10">
        <v>0.5542491401111491</v>
      </c>
      <c r="S6985" s="10">
        <v>0.027203223613591707</v>
      </c>
      <c r="T6985" s="10">
        <v>18.903977977603056</v>
      </c>
      <c r="U6985" s="11">
        <v>0.2271193283984503</v>
      </c>
      <c r="V6985" s="11">
        <v>0.09948704280007716</v>
      </c>
      <c r="W6985" s="11">
        <v>0.2216358183525448</v>
      </c>
      <c r="X6985" s="11">
        <v>0.02874775704160927</v>
      </c>
      <c r="Y6985" s="11">
        <v>0.2082559734140585</v>
      </c>
      <c r="Z6985" s="11">
        <v>0.2147540799932599</v>
      </c>
    </row>
    <row r="6986" ht="22.5" customHeight="1">
      <c r="Q6986" s="9" t="s">
        <v>7024</v>
      </c>
      <c r="R6986" s="10">
        <v>0.6918061761843013</v>
      </c>
      <c r="S6986" s="10">
        <v>0.03448010553437053</v>
      </c>
      <c r="T6986" s="10">
        <v>18.90383356090852</v>
      </c>
      <c r="U6986" s="11">
        <v>0.2766329426197217</v>
      </c>
      <c r="V6986" s="11">
        <v>0.31360908862878706</v>
      </c>
      <c r="W6986" s="11">
        <v>0.10114269009016742</v>
      </c>
      <c r="X6986" s="11">
        <v>0.06824232968744988</v>
      </c>
      <c r="Y6986" s="11">
        <v>0.05890438577807688</v>
      </c>
      <c r="Z6986" s="11">
        <v>0.1814685631957971</v>
      </c>
    </row>
    <row r="6987" ht="22.5" customHeight="1">
      <c r="Q6987" s="9" t="s">
        <v>7025</v>
      </c>
      <c r="R6987" s="10">
        <v>0.8571789410644554</v>
      </c>
      <c r="S6987" s="10">
        <v>0.04322904864015714</v>
      </c>
      <c r="T6987" s="10">
        <v>18.903468079224535</v>
      </c>
      <c r="U6987" s="11">
        <v>0.05644647471614675</v>
      </c>
      <c r="V6987" s="11">
        <v>0.18142686257207827</v>
      </c>
      <c r="W6987" s="11">
        <v>0.3561534763243151</v>
      </c>
      <c r="X6987" s="11">
        <v>0.123557194464034</v>
      </c>
      <c r="Y6987" s="11">
        <v>0.19675621566605275</v>
      </c>
      <c r="Z6987" s="11">
        <v>0.08565977625737299</v>
      </c>
    </row>
    <row r="6988" ht="22.5" customHeight="1">
      <c r="Q6988" s="9" t="s">
        <v>7026</v>
      </c>
      <c r="R6988" s="10">
        <v>0.522331348251574</v>
      </c>
      <c r="S6988" s="10">
        <v>0.027140583063189398</v>
      </c>
      <c r="T6988" s="10">
        <v>18.90322434627773</v>
      </c>
      <c r="U6988" s="11">
        <v>0.13103387074078043</v>
      </c>
      <c r="V6988" s="11">
        <v>0.24765099896834106</v>
      </c>
      <c r="W6988" s="11">
        <v>0.03942056214845813</v>
      </c>
      <c r="X6988" s="11">
        <v>0.23999795902185422</v>
      </c>
      <c r="Y6988" s="11">
        <v>0.24631316880195386</v>
      </c>
      <c r="Z6988" s="11">
        <v>0.09558344031861242</v>
      </c>
    </row>
    <row r="6989" ht="22.5" customHeight="1">
      <c r="Q6989" s="9" t="s">
        <v>7027</v>
      </c>
      <c r="R6989" s="10">
        <v>0.737394033784895</v>
      </c>
      <c r="S6989" s="10">
        <v>0.03689381089401765</v>
      </c>
      <c r="T6989" s="10">
        <v>18.902737800338695</v>
      </c>
      <c r="U6989" s="11">
        <v>0.09387578623418798</v>
      </c>
      <c r="V6989" s="11">
        <v>0.3379635643844624</v>
      </c>
      <c r="W6989" s="11">
        <v>0.11370580080373881</v>
      </c>
      <c r="X6989" s="11">
        <v>0.13508974266167373</v>
      </c>
      <c r="Y6989" s="11">
        <v>0.010293894505482818</v>
      </c>
      <c r="Z6989" s="11">
        <v>0.3090712114104541</v>
      </c>
    </row>
    <row r="6990" ht="22.5" customHeight="1">
      <c r="Q6990" s="9" t="s">
        <v>7028</v>
      </c>
      <c r="R6990" s="10">
        <v>0.6205654190016066</v>
      </c>
      <c r="S6990" s="10">
        <v>0.030716170328109523</v>
      </c>
      <c r="T6990" s="10">
        <v>18.900970166528516</v>
      </c>
      <c r="U6990" s="11">
        <v>0.046898615208055335</v>
      </c>
      <c r="V6990" s="11">
        <v>0.09876290842263134</v>
      </c>
      <c r="W6990" s="11">
        <v>0.26003844716346197</v>
      </c>
      <c r="X6990" s="11">
        <v>0.2120481486050365</v>
      </c>
      <c r="Y6990" s="11">
        <v>0.16024456793645808</v>
      </c>
      <c r="Z6990" s="11">
        <v>0.22200731266435683</v>
      </c>
    </row>
    <row r="6991" ht="22.5" customHeight="1">
      <c r="Q6991" s="9" t="s">
        <v>7029</v>
      </c>
      <c r="R6991" s="10">
        <v>0.957488152121977</v>
      </c>
      <c r="S6991" s="10">
        <v>0.04854202216336678</v>
      </c>
      <c r="T6991" s="10">
        <v>18.900905055710226</v>
      </c>
      <c r="U6991" s="11">
        <v>0.030708371444495078</v>
      </c>
      <c r="V6991" s="11">
        <v>0.2059920053023307</v>
      </c>
      <c r="W6991" s="11">
        <v>0.40144050016674876</v>
      </c>
      <c r="X6991" s="11">
        <v>0.20865204861280784</v>
      </c>
      <c r="Y6991" s="11">
        <v>0.09869967377441362</v>
      </c>
      <c r="Z6991" s="11">
        <v>0.054507400699204026</v>
      </c>
    </row>
    <row r="6992" ht="22.5" customHeight="1">
      <c r="Q6992" s="9" t="s">
        <v>7030</v>
      </c>
      <c r="R6992" s="10">
        <v>0.6073913871792282</v>
      </c>
      <c r="S6992" s="10">
        <v>0.030019936332126684</v>
      </c>
      <c r="T6992" s="10">
        <v>18.900486027081218</v>
      </c>
      <c r="U6992" s="11">
        <v>0.15406207073862274</v>
      </c>
      <c r="V6992" s="11">
        <v>0.27352139843416057</v>
      </c>
      <c r="W6992" s="11">
        <v>0.08816637825379724</v>
      </c>
      <c r="X6992" s="11">
        <v>0.056842844200700605</v>
      </c>
      <c r="Y6992" s="11">
        <v>0.07359792156585905</v>
      </c>
      <c r="Z6992" s="11">
        <v>0.3538093868068598</v>
      </c>
    </row>
    <row r="6993" ht="22.5" customHeight="1">
      <c r="Q6993" s="9" t="s">
        <v>7031</v>
      </c>
      <c r="R6993" s="10">
        <v>0.49217739241606584</v>
      </c>
      <c r="S6993" s="10">
        <v>0.023928838914955813</v>
      </c>
      <c r="T6993" s="10">
        <v>18.896754415169283</v>
      </c>
      <c r="U6993" s="11">
        <v>0.03429112493568708</v>
      </c>
      <c r="V6993" s="11">
        <v>0.2193916927609616</v>
      </c>
      <c r="W6993" s="11">
        <v>0.03867366160684021</v>
      </c>
      <c r="X6993" s="11">
        <v>0.19357845875961116</v>
      </c>
      <c r="Y6993" s="11">
        <v>0.20601351507798465</v>
      </c>
      <c r="Z6993" s="11">
        <v>0.30805154685891534</v>
      </c>
    </row>
    <row r="6994" ht="22.5" customHeight="1">
      <c r="Q6994" s="9" t="s">
        <v>7032</v>
      </c>
      <c r="R6994" s="10">
        <v>0.6021299364091518</v>
      </c>
      <c r="S6994" s="10">
        <v>0.029747502281049356</v>
      </c>
      <c r="T6994" s="10">
        <v>18.896710422886716</v>
      </c>
      <c r="U6994" s="11">
        <v>0.22742037009268953</v>
      </c>
      <c r="V6994" s="11">
        <v>0.2727084287108756</v>
      </c>
      <c r="W6994" s="11">
        <v>0.04946938772403955</v>
      </c>
      <c r="X6994" s="11">
        <v>0.23195671261484144</v>
      </c>
      <c r="Y6994" s="11">
        <v>0.1866708792669062</v>
      </c>
      <c r="Z6994" s="11">
        <v>0.031774221590647786</v>
      </c>
    </row>
    <row r="6995" ht="22.5" customHeight="1">
      <c r="Q6995" s="9" t="s">
        <v>7033</v>
      </c>
      <c r="R6995" s="10">
        <v>0.522331348251574</v>
      </c>
      <c r="S6995" s="10">
        <v>0.028910183356259514</v>
      </c>
      <c r="T6995" s="10">
        <v>18.895886418608622</v>
      </c>
      <c r="U6995" s="11">
        <v>0.07946939191413038</v>
      </c>
      <c r="V6995" s="11">
        <v>0.10376104279743777</v>
      </c>
      <c r="W6995" s="11">
        <v>0.23935901489259312</v>
      </c>
      <c r="X6995" s="11">
        <v>0.0904276148816154</v>
      </c>
      <c r="Y6995" s="11">
        <v>0.22410440223602088</v>
      </c>
      <c r="Z6995" s="11">
        <v>0.26287853327820254</v>
      </c>
    </row>
    <row r="6996" ht="22.5" customHeight="1">
      <c r="Q6996" s="9" t="s">
        <v>7034</v>
      </c>
      <c r="R6996" s="10">
        <v>0.496187407843976</v>
      </c>
      <c r="S6996" s="10">
        <v>0.024142442947732747</v>
      </c>
      <c r="T6996" s="10">
        <v>18.895660593735286</v>
      </c>
      <c r="U6996" s="11">
        <v>0.01102717600969405</v>
      </c>
      <c r="V6996" s="11">
        <v>0.21902772026947892</v>
      </c>
      <c r="W6996" s="11">
        <v>0.04357412166586135</v>
      </c>
      <c r="X6996" s="11">
        <v>0.15193321109245345</v>
      </c>
      <c r="Y6996" s="11">
        <v>0.2779409501077705</v>
      </c>
      <c r="Z6996" s="11">
        <v>0.2964968208547418</v>
      </c>
    </row>
    <row r="6997" ht="22.5" customHeight="1">
      <c r="Q6997" s="9" t="s">
        <v>7035</v>
      </c>
      <c r="R6997" s="10">
        <v>0.41296104645119014</v>
      </c>
      <c r="S6997" s="10">
        <v>0.019739844624042387</v>
      </c>
      <c r="T6997" s="10">
        <v>18.893818748549705</v>
      </c>
      <c r="U6997" s="11">
        <v>0.31204924027144876</v>
      </c>
      <c r="V6997" s="11">
        <v>0.06025296457593726</v>
      </c>
      <c r="W6997" s="11">
        <v>0.15627231850951412</v>
      </c>
      <c r="X6997" s="11">
        <v>0.053794454865497686</v>
      </c>
      <c r="Y6997" s="11">
        <v>0.13360874446056345</v>
      </c>
      <c r="Z6997" s="11">
        <v>0.2840222773170387</v>
      </c>
    </row>
    <row r="6998" ht="22.5" customHeight="1">
      <c r="Q6998" s="9" t="s">
        <v>7036</v>
      </c>
      <c r="R6998" s="10">
        <v>0.5018595681708093</v>
      </c>
      <c r="S6998" s="10">
        <v>0.024445461812333345</v>
      </c>
      <c r="T6998" s="10">
        <v>18.893468723008116</v>
      </c>
      <c r="U6998" s="11">
        <v>0.20655528832462408</v>
      </c>
      <c r="V6998" s="11">
        <v>0.22251273104959474</v>
      </c>
      <c r="W6998" s="11">
        <v>0.03382882417071796</v>
      </c>
      <c r="X6998" s="11">
        <v>0.19773379866587285</v>
      </c>
      <c r="Y6998" s="11">
        <v>0.18936499299274845</v>
      </c>
      <c r="Z6998" s="11">
        <v>0.15000436479644189</v>
      </c>
    </row>
    <row r="6999" ht="22.5" customHeight="1">
      <c r="Q6999" s="9" t="s">
        <v>7037</v>
      </c>
      <c r="R6999" s="10">
        <v>0.6020793824745709</v>
      </c>
      <c r="S6999" s="10">
        <v>0.029749964461060954</v>
      </c>
      <c r="T6999" s="10">
        <v>18.89344719084501</v>
      </c>
      <c r="U6999" s="11">
        <v>0.11662421287404395</v>
      </c>
      <c r="V6999" s="11">
        <v>0.27444081558384525</v>
      </c>
      <c r="W6999" s="11">
        <v>0.06576538089349174</v>
      </c>
      <c r="X6999" s="11">
        <v>0.14596793010830708</v>
      </c>
      <c r="Y6999" s="11">
        <v>0.17800226963565804</v>
      </c>
      <c r="Z6999" s="11">
        <v>0.21919939090465382</v>
      </c>
    </row>
    <row r="7000" ht="22.5" customHeight="1">
      <c r="Q7000" s="9" t="s">
        <v>7038</v>
      </c>
      <c r="R7000" s="10">
        <v>0.6641397952650033</v>
      </c>
      <c r="S7000" s="10">
        <v>0.03303713684453923</v>
      </c>
      <c r="T7000" s="10">
        <v>18.89206677327937</v>
      </c>
      <c r="U7000" s="11">
        <v>0.15745046892955605</v>
      </c>
      <c r="V7000" s="11">
        <v>0.13779558724712784</v>
      </c>
      <c r="W7000" s="11">
        <v>0.27218570639762685</v>
      </c>
      <c r="X7000" s="11">
        <v>0.08120753765032278</v>
      </c>
      <c r="Y7000" s="11">
        <v>0.029855607601188064</v>
      </c>
      <c r="Z7000" s="11">
        <v>0.32150509217417833</v>
      </c>
    </row>
    <row r="7001" ht="22.5" customHeight="1">
      <c r="Q7001" s="9" t="s">
        <v>7039</v>
      </c>
      <c r="R7001" s="10">
        <v>0.522331348251574</v>
      </c>
      <c r="S7001" s="10">
        <v>0.018672303991837964</v>
      </c>
      <c r="T7001" s="10">
        <v>18.89057524100494</v>
      </c>
      <c r="U7001" s="11">
        <v>0.0841693463788363</v>
      </c>
      <c r="V7001" s="11">
        <v>0.030647369810446076</v>
      </c>
      <c r="W7001" s="11">
        <v>0.134831254170039</v>
      </c>
      <c r="X7001" s="11">
        <v>0.25518582733373074</v>
      </c>
      <c r="Y7001" s="11">
        <v>0.44885358163585176</v>
      </c>
      <c r="Z7001" s="11">
        <v>0.046312620671096115</v>
      </c>
    </row>
    <row r="7002" ht="22.5" customHeight="1">
      <c r="Q7002" s="9" t="s">
        <v>7040</v>
      </c>
      <c r="R7002" s="10">
        <v>0.7390733774227554</v>
      </c>
      <c r="S7002" s="10">
        <v>0.037006554243793406</v>
      </c>
      <c r="T7002" s="10">
        <v>18.890528764644472</v>
      </c>
      <c r="U7002" s="11">
        <v>0.12316803795131788</v>
      </c>
      <c r="V7002" s="11">
        <v>0.12000246377023692</v>
      </c>
      <c r="W7002" s="11">
        <v>0.315594553539465</v>
      </c>
      <c r="X7002" s="11">
        <v>0.32931861649680927</v>
      </c>
      <c r="Y7002" s="11">
        <v>0.018185478666331755</v>
      </c>
      <c r="Z7002" s="11">
        <v>0.09373084957583915</v>
      </c>
    </row>
    <row r="7003" ht="22.5" customHeight="1">
      <c r="Q7003" s="9" t="s">
        <v>7041</v>
      </c>
      <c r="R7003" s="10">
        <v>0.6218768616850179</v>
      </c>
      <c r="S7003" s="10">
        <v>0.03080318881654249</v>
      </c>
      <c r="T7003" s="10">
        <v>18.890150144861877</v>
      </c>
      <c r="U7003" s="11">
        <v>0.28466530721960387</v>
      </c>
      <c r="V7003" s="11">
        <v>0.28365782444394183</v>
      </c>
      <c r="W7003" s="11">
        <v>0.05338377638848219</v>
      </c>
      <c r="X7003" s="11">
        <v>0.2803454618203831</v>
      </c>
      <c r="Y7003" s="11">
        <v>0.044005074519762245</v>
      </c>
      <c r="Z7003" s="11">
        <v>0.05394255560782672</v>
      </c>
    </row>
    <row r="7004" ht="22.5" customHeight="1">
      <c r="Q7004" s="9" t="s">
        <v>7042</v>
      </c>
      <c r="R7004" s="10">
        <v>0.43451408162217836</v>
      </c>
      <c r="S7004" s="10">
        <v>0.020885203220869075</v>
      </c>
      <c r="T7004" s="10">
        <v>18.889645336463328</v>
      </c>
      <c r="U7004" s="11">
        <v>0.2659722323415179</v>
      </c>
      <c r="V7004" s="11">
        <v>0.18552709442281784</v>
      </c>
      <c r="W7004" s="11">
        <v>0.032154170101526894</v>
      </c>
      <c r="X7004" s="11">
        <v>0.10929594860455286</v>
      </c>
      <c r="Y7004" s="11">
        <v>0.18248320198582746</v>
      </c>
      <c r="Z7004" s="11">
        <v>0.224567352543757</v>
      </c>
    </row>
    <row r="7005" ht="22.5" customHeight="1">
      <c r="Q7005" s="9" t="s">
        <v>7043</v>
      </c>
      <c r="R7005" s="10">
        <v>0.5889655408242183</v>
      </c>
      <c r="S7005" s="10">
        <v>0.029063543484574773</v>
      </c>
      <c r="T7005" s="10">
        <v>18.888458701382266</v>
      </c>
      <c r="U7005" s="11">
        <v>0.1365820972722595</v>
      </c>
      <c r="V7005" s="11">
        <v>0.266169723018288</v>
      </c>
      <c r="W7005" s="11">
        <v>0.04745030215162491</v>
      </c>
      <c r="X7005" s="11">
        <v>0.2306459092657898</v>
      </c>
      <c r="Y7005" s="11">
        <v>0.2454034983806306</v>
      </c>
      <c r="Z7005" s="11">
        <v>0.07374846991140728</v>
      </c>
    </row>
    <row r="7006" ht="22.5" customHeight="1">
      <c r="Q7006" s="9" t="s">
        <v>7044</v>
      </c>
      <c r="R7006" s="10">
        <v>0.6419718978200181</v>
      </c>
      <c r="S7006" s="10">
        <v>0.03187151154943882</v>
      </c>
      <c r="T7006" s="10">
        <v>18.887459946361325</v>
      </c>
      <c r="U7006" s="11">
        <v>0.00463650213744672</v>
      </c>
      <c r="V7006" s="11">
        <v>0.2945480800054522</v>
      </c>
      <c r="W7006" s="11">
        <v>0.07262552800495033</v>
      </c>
      <c r="X7006" s="11">
        <v>0.18668840275574233</v>
      </c>
      <c r="Y7006" s="11">
        <v>0.2060604177017699</v>
      </c>
      <c r="Z7006" s="11">
        <v>0.2354410693946386</v>
      </c>
    </row>
    <row r="7007" ht="22.5" customHeight="1">
      <c r="Q7007" s="9" t="s">
        <v>7045</v>
      </c>
      <c r="R7007" s="10">
        <v>0.7553387400680656</v>
      </c>
      <c r="S7007" s="10">
        <v>0.03787435547469605</v>
      </c>
      <c r="T7007" s="10">
        <v>18.887152826824607</v>
      </c>
      <c r="U7007" s="11">
        <v>0.13841173227657283</v>
      </c>
      <c r="V7007" s="11">
        <v>0.35035728347355216</v>
      </c>
      <c r="W7007" s="11">
        <v>0.09052111909773927</v>
      </c>
      <c r="X7007" s="11">
        <v>0.23752100291667513</v>
      </c>
      <c r="Y7007" s="11">
        <v>0.10967457282043673</v>
      </c>
      <c r="Z7007" s="11">
        <v>0.07351428941502403</v>
      </c>
    </row>
    <row r="7008" ht="22.5" customHeight="1">
      <c r="Q7008" s="9" t="s">
        <v>7046</v>
      </c>
      <c r="R7008" s="10">
        <v>0.6512878613752011</v>
      </c>
      <c r="S7008" s="10">
        <v>0.032367463593716284</v>
      </c>
      <c r="T7008" s="10">
        <v>18.885874687254596</v>
      </c>
      <c r="U7008" s="11">
        <v>0.10612365784324601</v>
      </c>
      <c r="V7008" s="11">
        <v>0.30033725054804766</v>
      </c>
      <c r="W7008" s="11">
        <v>0.07577231421885963</v>
      </c>
      <c r="X7008" s="11">
        <v>0.195917947106707</v>
      </c>
      <c r="Y7008" s="11">
        <v>0.08160040418235023</v>
      </c>
      <c r="Z7008" s="11">
        <v>0.24024842610078945</v>
      </c>
    </row>
    <row r="7009" ht="22.5" customHeight="1">
      <c r="Q7009" s="9" t="s">
        <v>7047</v>
      </c>
      <c r="R7009" s="10">
        <v>0.9740092499158612</v>
      </c>
      <c r="S7009" s="10">
        <v>0.049455579727001105</v>
      </c>
      <c r="T7009" s="10">
        <v>18.885821480036622</v>
      </c>
      <c r="U7009" s="11">
        <v>0.2184355075052316</v>
      </c>
      <c r="V7009" s="11">
        <v>0.24486415862189936</v>
      </c>
      <c r="W7009" s="11">
        <v>0.39392463569227515</v>
      </c>
      <c r="X7009" s="11">
        <v>0.021130046776506886</v>
      </c>
      <c r="Y7009" s="11">
        <v>0.013272709469078332</v>
      </c>
      <c r="Z7009" s="11">
        <v>0.10837294193500872</v>
      </c>
    </row>
    <row r="7010" ht="22.5" customHeight="1">
      <c r="Q7010" s="9" t="s">
        <v>7048</v>
      </c>
      <c r="R7010" s="10">
        <v>0.7093382252081575</v>
      </c>
      <c r="S7010" s="10">
        <v>0.03544144243844341</v>
      </c>
      <c r="T7010" s="10">
        <v>18.88575010372955</v>
      </c>
      <c r="U7010" s="11">
        <v>0.1754722362102864</v>
      </c>
      <c r="V7010" s="11">
        <v>0.13986512461265277</v>
      </c>
      <c r="W7010" s="11">
        <v>0.2957256647408672</v>
      </c>
      <c r="X7010" s="11">
        <v>0.1296295834467667</v>
      </c>
      <c r="Y7010" s="11">
        <v>0.03149586667192136</v>
      </c>
      <c r="Z7010" s="11">
        <v>0.22781152431750554</v>
      </c>
    </row>
    <row r="7011" ht="22.5" customHeight="1">
      <c r="Q7011" s="9" t="s">
        <v>7049</v>
      </c>
      <c r="R7011" s="10">
        <v>0.522331348251574</v>
      </c>
      <c r="S7011" s="10">
        <v>0.020579323776515678</v>
      </c>
      <c r="T7011" s="10">
        <v>18.884995909597233</v>
      </c>
      <c r="U7011" s="11">
        <v>0.3904783392614867</v>
      </c>
      <c r="V7011" s="11">
        <v>0.07387368910076428</v>
      </c>
      <c r="W7011" s="11">
        <v>0.15960318590676204</v>
      </c>
      <c r="X7011" s="11">
        <v>0.02626837832804643</v>
      </c>
      <c r="Y7011" s="11">
        <v>0.042588434619728006</v>
      </c>
      <c r="Z7011" s="11">
        <v>0.3071879727832126</v>
      </c>
    </row>
    <row r="7012" ht="22.5" customHeight="1">
      <c r="Q7012" s="9" t="s">
        <v>7050</v>
      </c>
      <c r="R7012" s="10">
        <v>0.6062421328931159</v>
      </c>
      <c r="S7012" s="10">
        <v>0.029984800941855516</v>
      </c>
      <c r="T7012" s="10">
        <v>18.88430521820485</v>
      </c>
      <c r="U7012" s="11">
        <v>0.0978293186271952</v>
      </c>
      <c r="V7012" s="11">
        <v>0.26847205022319565</v>
      </c>
      <c r="W7012" s="11">
        <v>0.08176784700210137</v>
      </c>
      <c r="X7012" s="11">
        <v>0.02413436205256007</v>
      </c>
      <c r="Y7012" s="11">
        <v>0.32328190412318636</v>
      </c>
      <c r="Z7012" s="11">
        <v>0.2045145179717614</v>
      </c>
    </row>
    <row r="7013" ht="22.5" customHeight="1">
      <c r="Q7013" s="9" t="s">
        <v>7051</v>
      </c>
      <c r="R7013" s="10">
        <v>0.5040690805745339</v>
      </c>
      <c r="S7013" s="10">
        <v>0.024574375348770598</v>
      </c>
      <c r="T7013" s="10">
        <v>18.884267615687342</v>
      </c>
      <c r="U7013" s="11">
        <v>0.2639874193551044</v>
      </c>
      <c r="V7013" s="11">
        <v>0.20625986669029242</v>
      </c>
      <c r="W7013" s="11">
        <v>0.058214643335913835</v>
      </c>
      <c r="X7013" s="11">
        <v>0.0076351417775164495</v>
      </c>
      <c r="Y7013" s="11">
        <v>0.415994607958638</v>
      </c>
      <c r="Z7013" s="11">
        <v>0.047908320882534924</v>
      </c>
    </row>
    <row r="7014" ht="22.5" customHeight="1">
      <c r="Q7014" s="9" t="s">
        <v>7052</v>
      </c>
      <c r="R7014" s="10">
        <v>0.6206798085612049</v>
      </c>
      <c r="S7014" s="10">
        <v>0.030751449695322817</v>
      </c>
      <c r="T7014" s="10">
        <v>18.883005982300865</v>
      </c>
      <c r="U7014" s="11">
        <v>0.10003298327501292</v>
      </c>
      <c r="V7014" s="11">
        <v>0.2822136426776211</v>
      </c>
      <c r="W7014" s="11">
        <v>0.043544707568756245</v>
      </c>
      <c r="X7014" s="11">
        <v>0.3510576822630065</v>
      </c>
      <c r="Y7014" s="11">
        <v>0.19499401235708338</v>
      </c>
      <c r="Z7014" s="11">
        <v>0.028156971858519723</v>
      </c>
    </row>
    <row r="7015" ht="22.5" customHeight="1">
      <c r="Q7015" s="9" t="s">
        <v>7053</v>
      </c>
      <c r="R7015" s="10">
        <v>0.5816736974137549</v>
      </c>
      <c r="S7015" s="10">
        <v>0.02868630110432546</v>
      </c>
      <c r="T7015" s="10">
        <v>18.882660941325707</v>
      </c>
      <c r="U7015" s="11">
        <v>0.10225675531749401</v>
      </c>
      <c r="V7015" s="11">
        <v>0.08045711564368335</v>
      </c>
      <c r="W7015" s="11">
        <v>0.24474869107829977</v>
      </c>
      <c r="X7015" s="11">
        <v>0.2580927002731669</v>
      </c>
      <c r="Y7015" s="11">
        <v>0.11517343803500506</v>
      </c>
      <c r="Z7015" s="11">
        <v>0.19927129965235102</v>
      </c>
    </row>
    <row r="7016" ht="22.5" customHeight="1">
      <c r="Q7016" s="9" t="s">
        <v>7054</v>
      </c>
      <c r="R7016" s="10">
        <v>0.7361737406699743</v>
      </c>
      <c r="S7016" s="10">
        <v>0.036869951919715926</v>
      </c>
      <c r="T7016" s="10">
        <v>18.881872756055877</v>
      </c>
      <c r="U7016" s="11">
        <v>0.10056301239531801</v>
      </c>
      <c r="V7016" s="11">
        <v>0.13594953776614876</v>
      </c>
      <c r="W7016" s="11">
        <v>0.3060850260740941</v>
      </c>
      <c r="X7016" s="11">
        <v>0.1249608129912549</v>
      </c>
      <c r="Y7016" s="11">
        <v>0.2801856849825093</v>
      </c>
      <c r="Z7016" s="11">
        <v>0.05225592579067488</v>
      </c>
    </row>
    <row r="7017" ht="22.5" customHeight="1">
      <c r="Q7017" s="9" t="s">
        <v>7055</v>
      </c>
      <c r="R7017" s="10">
        <v>0.7655107624209375</v>
      </c>
      <c r="S7017" s="10">
        <v>0.03842459694287937</v>
      </c>
      <c r="T7017" s="10">
        <v>18.881415034735582</v>
      </c>
      <c r="U7017" s="11">
        <v>0.12705022913320466</v>
      </c>
      <c r="V7017" s="11">
        <v>0.1402059338581439</v>
      </c>
      <c r="W7017" s="11">
        <v>0.32448724126545253</v>
      </c>
      <c r="X7017" s="11">
        <v>0.21525676118455256</v>
      </c>
      <c r="Y7017" s="11">
        <v>0.07837117743815414</v>
      </c>
      <c r="Z7017" s="11">
        <v>0.11462865712049226</v>
      </c>
    </row>
    <row r="7018" ht="22.5" customHeight="1">
      <c r="Q7018" s="9" t="s">
        <v>7056</v>
      </c>
      <c r="R7018" s="10">
        <v>0.7484128528828687</v>
      </c>
      <c r="S7018" s="10">
        <v>0.03751949914762065</v>
      </c>
      <c r="T7018" s="10">
        <v>18.881191619739244</v>
      </c>
      <c r="U7018" s="11">
        <v>0.04719416197898234</v>
      </c>
      <c r="V7018" s="11">
        <v>0.17714557773889905</v>
      </c>
      <c r="W7018" s="11">
        <v>0.3018872190252769</v>
      </c>
      <c r="X7018" s="11">
        <v>0.0316767114571217</v>
      </c>
      <c r="Y7018" s="11">
        <v>0.07995697467539252</v>
      </c>
      <c r="Z7018" s="11">
        <v>0.36213935512432754</v>
      </c>
    </row>
    <row r="7019" ht="22.5" customHeight="1">
      <c r="Q7019" s="9" t="s">
        <v>7057</v>
      </c>
      <c r="R7019" s="10">
        <v>0.6441257791365564</v>
      </c>
      <c r="S7019" s="10">
        <v>0.03199776283546192</v>
      </c>
      <c r="T7019" s="10">
        <v>18.880250542610636</v>
      </c>
      <c r="U7019" s="11">
        <v>0.0239688402613583</v>
      </c>
      <c r="V7019" s="11">
        <v>0.2929346259344984</v>
      </c>
      <c r="W7019" s="11">
        <v>0.07697474545938322</v>
      </c>
      <c r="X7019" s="11">
        <v>0.1312670035013124</v>
      </c>
      <c r="Y7019" s="11">
        <v>0.27829471202586487</v>
      </c>
      <c r="Z7019" s="11">
        <v>0.19656007281758286</v>
      </c>
    </row>
    <row r="7020" ht="22.5" customHeight="1">
      <c r="Q7020" s="9" t="s">
        <v>7058</v>
      </c>
      <c r="R7020" s="10">
        <v>0.4757413143455184</v>
      </c>
      <c r="S7020" s="10">
        <v>0.02307931225237958</v>
      </c>
      <c r="T7020" s="10">
        <v>18.88016894006846</v>
      </c>
      <c r="U7020" s="11">
        <v>0.16723040884792825</v>
      </c>
      <c r="V7020" s="11">
        <v>0.21049359641380674</v>
      </c>
      <c r="W7020" s="11">
        <v>0.03028590031368717</v>
      </c>
      <c r="X7020" s="11">
        <v>0.20115245738030654</v>
      </c>
      <c r="Y7020" s="11">
        <v>0.17031551780013776</v>
      </c>
      <c r="Z7020" s="11">
        <v>0.22052211924413354</v>
      </c>
    </row>
    <row r="7021" ht="22.5" customHeight="1">
      <c r="Q7021" s="9" t="s">
        <v>7059</v>
      </c>
      <c r="R7021" s="10">
        <v>0.7435547674427779</v>
      </c>
      <c r="S7021" s="10">
        <v>0.037265685955448456</v>
      </c>
      <c r="T7021" s="10">
        <v>18.879426190729067</v>
      </c>
      <c r="U7021" s="11">
        <v>0.1852538706115467</v>
      </c>
      <c r="V7021" s="11">
        <v>0.14231976169233274</v>
      </c>
      <c r="W7021" s="11">
        <v>0.3128880742091556</v>
      </c>
      <c r="X7021" s="11">
        <v>0.1682679863581104</v>
      </c>
      <c r="Y7021" s="11">
        <v>0.02824358175640326</v>
      </c>
      <c r="Z7021" s="11">
        <v>0.16302672537245133</v>
      </c>
    </row>
    <row r="7022" ht="22.5" customHeight="1">
      <c r="Q7022" s="9" t="s">
        <v>7060</v>
      </c>
      <c r="R7022" s="10">
        <v>0.35222116817034843</v>
      </c>
      <c r="S7022" s="10">
        <v>0.016538322720859245</v>
      </c>
      <c r="T7022" s="10">
        <v>18.878647698448532</v>
      </c>
      <c r="U7022" s="11">
        <v>0.21335766569235834</v>
      </c>
      <c r="V7022" s="11">
        <v>0.04516246423435946</v>
      </c>
      <c r="W7022" s="11">
        <v>0.12022943961082543</v>
      </c>
      <c r="X7022" s="11">
        <v>0.055124660944089306</v>
      </c>
      <c r="Y7022" s="11">
        <v>0.3021314656154841</v>
      </c>
      <c r="Z7022" s="11">
        <v>0.26399430390288336</v>
      </c>
    </row>
    <row r="7023" ht="22.5" customHeight="1">
      <c r="Q7023" s="9" t="s">
        <v>7061</v>
      </c>
      <c r="R7023" s="10">
        <v>0.5389408763182023</v>
      </c>
      <c r="S7023" s="10">
        <v>0.026430955122418325</v>
      </c>
      <c r="T7023" s="10">
        <v>18.877141367282956</v>
      </c>
      <c r="U7023" s="11">
        <v>0.08535017690149231</v>
      </c>
      <c r="V7023" s="11">
        <v>0.09837003842423911</v>
      </c>
      <c r="W7023" s="11">
        <v>0.2123319411057543</v>
      </c>
      <c r="X7023" s="11">
        <v>0.02740198894621623</v>
      </c>
      <c r="Y7023" s="11">
        <v>0.305063416186935</v>
      </c>
      <c r="Z7023" s="11">
        <v>0.271482438435363</v>
      </c>
    </row>
    <row r="7024" ht="22.5" customHeight="1">
      <c r="Q7024" s="9" t="s">
        <v>7062</v>
      </c>
      <c r="R7024" s="10">
        <v>0.49519754097734725</v>
      </c>
      <c r="S7024" s="10">
        <v>0.024113793333714186</v>
      </c>
      <c r="T7024" s="10">
        <v>18.877060721131855</v>
      </c>
      <c r="U7024" s="11">
        <v>0.013564526189119833</v>
      </c>
      <c r="V7024" s="11">
        <v>0.2200436456740592</v>
      </c>
      <c r="W7024" s="11">
        <v>0.026272996431067962</v>
      </c>
      <c r="X7024" s="11">
        <v>0.3227810720742834</v>
      </c>
      <c r="Y7024" s="11">
        <v>0.175892389154938</v>
      </c>
      <c r="Z7024" s="11">
        <v>0.24144537047653142</v>
      </c>
    </row>
    <row r="7025" ht="22.5" customHeight="1">
      <c r="Q7025" s="9" t="s">
        <v>7063</v>
      </c>
      <c r="R7025" s="10">
        <v>0.6651996959511257</v>
      </c>
      <c r="S7025" s="10">
        <v>0.0331208543540146</v>
      </c>
      <c r="T7025" s="10">
        <v>18.876315485966465</v>
      </c>
      <c r="U7025" s="11">
        <v>0.0016121135892599291</v>
      </c>
      <c r="V7025" s="11">
        <v>0.10767547004010261</v>
      </c>
      <c r="W7025" s="11">
        <v>0.28063668557674054</v>
      </c>
      <c r="X7025" s="11">
        <v>0.24593716392443066</v>
      </c>
      <c r="Y7025" s="11">
        <v>0.1718132049398122</v>
      </c>
      <c r="Z7025" s="11">
        <v>0.19232536192965405</v>
      </c>
    </row>
    <row r="7026" ht="22.5" customHeight="1">
      <c r="Q7026" s="9" t="s">
        <v>7064</v>
      </c>
      <c r="R7026" s="10">
        <v>0.5710887441279333</v>
      </c>
      <c r="S7026" s="10">
        <v>0.028136338843081136</v>
      </c>
      <c r="T7026" s="10">
        <v>18.87554550326759</v>
      </c>
      <c r="U7026" s="11">
        <v>0.24777050650701854</v>
      </c>
      <c r="V7026" s="11">
        <v>0.2568901103538402</v>
      </c>
      <c r="W7026" s="11">
        <v>0.04211360217250821</v>
      </c>
      <c r="X7026" s="11">
        <v>0.2299983948069034</v>
      </c>
      <c r="Y7026" s="11">
        <v>0.19016976436882443</v>
      </c>
      <c r="Z7026" s="11">
        <v>0.03305762179090512</v>
      </c>
    </row>
    <row r="7027" ht="22.5" customHeight="1">
      <c r="Q7027" s="9" t="s">
        <v>7065</v>
      </c>
      <c r="R7027" s="10">
        <v>0.46138415121644494</v>
      </c>
      <c r="S7027" s="10">
        <v>0.022325436529129012</v>
      </c>
      <c r="T7027" s="10">
        <v>18.874620913532684</v>
      </c>
      <c r="U7027" s="11">
        <v>0.1320907554632773</v>
      </c>
      <c r="V7027" s="11">
        <v>0.2021141850571356</v>
      </c>
      <c r="W7027" s="11">
        <v>0.03258787848652905</v>
      </c>
      <c r="X7027" s="11">
        <v>0.1553038342857927</v>
      </c>
      <c r="Y7027" s="11">
        <v>0.22439761449452353</v>
      </c>
      <c r="Z7027" s="11">
        <v>0.2535057322127419</v>
      </c>
    </row>
    <row r="7028" ht="22.5" customHeight="1">
      <c r="Q7028" s="9" t="s">
        <v>7066</v>
      </c>
      <c r="R7028" s="10">
        <v>0.6304152295946884</v>
      </c>
      <c r="S7028" s="10">
        <v>0.03128194248914816</v>
      </c>
      <c r="T7028" s="10">
        <v>18.873995110741795</v>
      </c>
      <c r="U7028" s="11">
        <v>0.172407468945312</v>
      </c>
      <c r="V7028" s="11">
        <v>0.10448293863995728</v>
      </c>
      <c r="W7028" s="11">
        <v>0.2608109266086569</v>
      </c>
      <c r="X7028" s="11">
        <v>0.1150205876416018</v>
      </c>
      <c r="Y7028" s="11">
        <v>0.25075223776582856</v>
      </c>
      <c r="Z7028" s="11">
        <v>0.09652584039864348</v>
      </c>
    </row>
    <row r="7029" ht="22.5" customHeight="1">
      <c r="Q7029" s="9" t="s">
        <v>7067</v>
      </c>
      <c r="R7029" s="10">
        <v>0.6536362081501975</v>
      </c>
      <c r="S7029" s="10">
        <v>0.03251637717941759</v>
      </c>
      <c r="T7029" s="10">
        <v>18.871604446101102</v>
      </c>
      <c r="U7029" s="11">
        <v>0.19921498737156948</v>
      </c>
      <c r="V7029" s="11">
        <v>0.13879764497017988</v>
      </c>
      <c r="W7029" s="11">
        <v>0.26527806892007116</v>
      </c>
      <c r="X7029" s="11">
        <v>0.026854076511059102</v>
      </c>
      <c r="Y7029" s="11">
        <v>0.07242836222924305</v>
      </c>
      <c r="Z7029" s="11">
        <v>0.2974268599978772</v>
      </c>
    </row>
    <row r="7030" ht="22.5" customHeight="1">
      <c r="Q7030" s="9" t="s">
        <v>7068</v>
      </c>
      <c r="R7030" s="10">
        <v>0.5201919784842363</v>
      </c>
      <c r="S7030" s="10">
        <v>0.025445264957143953</v>
      </c>
      <c r="T7030" s="10">
        <v>18.871565271298884</v>
      </c>
      <c r="U7030" s="11">
        <v>0.3613467994031558</v>
      </c>
      <c r="V7030" s="11">
        <v>0.22989203420378196</v>
      </c>
      <c r="W7030" s="11">
        <v>0.03147589612837666</v>
      </c>
      <c r="X7030" s="11">
        <v>0.29060289532923744</v>
      </c>
      <c r="Y7030" s="11">
        <v>0.01562983233187469</v>
      </c>
      <c r="Z7030" s="11">
        <v>0.07105254260357335</v>
      </c>
    </row>
    <row r="7031" ht="22.5" customHeight="1">
      <c r="Q7031" s="9" t="s">
        <v>7069</v>
      </c>
      <c r="R7031" s="10">
        <v>0.5423666930274815</v>
      </c>
      <c r="S7031" s="10">
        <v>0.026621136032149165</v>
      </c>
      <c r="T7031" s="10">
        <v>18.870971262112764</v>
      </c>
      <c r="U7031" s="11">
        <v>0.035890688747581403</v>
      </c>
      <c r="V7031" s="11">
        <v>0.2465599276272355</v>
      </c>
      <c r="W7031" s="11">
        <v>0.05797545142077166</v>
      </c>
      <c r="X7031" s="11">
        <v>0.17779821487004036</v>
      </c>
      <c r="Y7031" s="11">
        <v>0.08532642176148458</v>
      </c>
      <c r="Z7031" s="11">
        <v>0.39644929557288644</v>
      </c>
    </row>
    <row r="7032" ht="22.5" customHeight="1">
      <c r="Q7032" s="9" t="s">
        <v>7070</v>
      </c>
      <c r="R7032" s="10">
        <v>0.5764802167611307</v>
      </c>
      <c r="S7032" s="10">
        <v>0.028429493557402635</v>
      </c>
      <c r="T7032" s="10">
        <v>18.870551305386826</v>
      </c>
      <c r="U7032" s="11">
        <v>0.0926294191996229</v>
      </c>
      <c r="V7032" s="11">
        <v>0.26179892542628563</v>
      </c>
      <c r="W7032" s="11">
        <v>0.06966457152797986</v>
      </c>
      <c r="X7032" s="11">
        <v>0.10491386392361918</v>
      </c>
      <c r="Y7032" s="11">
        <v>0.14127854573496043</v>
      </c>
      <c r="Z7032" s="11">
        <v>0.32971467418753186</v>
      </c>
    </row>
    <row r="7033" ht="22.5" customHeight="1">
      <c r="Q7033" s="9" t="s">
        <v>7071</v>
      </c>
      <c r="R7033" s="10">
        <v>0.5840954782489302</v>
      </c>
      <c r="S7033" s="10">
        <v>0.028833823070109142</v>
      </c>
      <c r="T7033" s="10">
        <v>18.87004289809116</v>
      </c>
      <c r="U7033" s="11">
        <v>0.2656235480918159</v>
      </c>
      <c r="V7033" s="11">
        <v>0.2652351026709999</v>
      </c>
      <c r="W7033" s="11">
        <v>0.04358103210391273</v>
      </c>
      <c r="X7033" s="11">
        <v>0.2926593775661187</v>
      </c>
      <c r="Y7033" s="11">
        <v>0.05365072297955635</v>
      </c>
      <c r="Z7033" s="11">
        <v>0.07925021658759651</v>
      </c>
    </row>
    <row r="7034" ht="22.5" customHeight="1">
      <c r="Q7034" s="9" t="s">
        <v>7072</v>
      </c>
      <c r="R7034" s="10">
        <v>0.5639548339358194</v>
      </c>
      <c r="S7034" s="10">
        <v>0.027766598593966404</v>
      </c>
      <c r="T7034" s="10">
        <v>18.86996825205926</v>
      </c>
      <c r="U7034" s="11">
        <v>0.20731423557458595</v>
      </c>
      <c r="V7034" s="11">
        <v>0.06683882975846754</v>
      </c>
      <c r="W7034" s="11">
        <v>0.23733392613224116</v>
      </c>
      <c r="X7034" s="11">
        <v>0.33724900013438486</v>
      </c>
      <c r="Y7034" s="11">
        <v>0.010952269783548303</v>
      </c>
      <c r="Z7034" s="11">
        <v>0.14031173861677218</v>
      </c>
    </row>
    <row r="7035" ht="22.5" customHeight="1">
      <c r="Q7035" s="9" t="s">
        <v>7073</v>
      </c>
      <c r="R7035" s="10">
        <v>0.8974901972266079</v>
      </c>
      <c r="S7035" s="10">
        <v>0.04544259784658464</v>
      </c>
      <c r="T7035" s="10">
        <v>18.86974420171832</v>
      </c>
      <c r="U7035" s="11">
        <v>0.0333001620612756</v>
      </c>
      <c r="V7035" s="11">
        <v>0.20166468078246103</v>
      </c>
      <c r="W7035" s="11">
        <v>0.3678409096826344</v>
      </c>
      <c r="X7035" s="11">
        <v>0.05731449614886035</v>
      </c>
      <c r="Y7035" s="11">
        <v>0.2905754162914576</v>
      </c>
      <c r="Z7035" s="11">
        <v>0.04930433503331094</v>
      </c>
    </row>
    <row r="7036" ht="22.5" customHeight="1">
      <c r="Q7036" s="9" t="s">
        <v>7074</v>
      </c>
      <c r="R7036" s="10">
        <v>0.7023779826398688</v>
      </c>
      <c r="S7036" s="10">
        <v>0.035105699722383116</v>
      </c>
      <c r="T7036" s="10">
        <v>18.868103694783837</v>
      </c>
      <c r="U7036" s="11">
        <v>0.19854918712430242</v>
      </c>
      <c r="V7036" s="11">
        <v>0.31568763909951597</v>
      </c>
      <c r="W7036" s="11">
        <v>0.10190707929691564</v>
      </c>
      <c r="X7036" s="11">
        <v>0.018047515955859583</v>
      </c>
      <c r="Y7036" s="11">
        <v>0.274607232548085</v>
      </c>
      <c r="Z7036" s="11">
        <v>0.09120134597532133</v>
      </c>
    </row>
    <row r="7037" ht="22.5" customHeight="1">
      <c r="Q7037" s="9" t="s">
        <v>7075</v>
      </c>
      <c r="R7037" s="10">
        <v>0.7181770561487698</v>
      </c>
      <c r="S7037" s="10">
        <v>0.03594446277006892</v>
      </c>
      <c r="T7037" s="10">
        <v>18.867358248945376</v>
      </c>
      <c r="U7037" s="11">
        <v>0.12006857591900633</v>
      </c>
      <c r="V7037" s="11">
        <v>0.13263111148276766</v>
      </c>
      <c r="W7037" s="11">
        <v>0.3014790088866129</v>
      </c>
      <c r="X7037" s="11">
        <v>0.14221663072434432</v>
      </c>
      <c r="Y7037" s="11">
        <v>0.1636718023494196</v>
      </c>
      <c r="Z7037" s="11">
        <v>0.13993287063784932</v>
      </c>
    </row>
    <row r="7038" ht="22.5" customHeight="1">
      <c r="Q7038" s="9" t="s">
        <v>7076</v>
      </c>
      <c r="R7038" s="10">
        <v>0.3607366370285008</v>
      </c>
      <c r="S7038" s="10">
        <v>0.016999745059960405</v>
      </c>
      <c r="T7038" s="10">
        <v>18.867143942289676</v>
      </c>
      <c r="U7038" s="11">
        <v>0.23678960380103697</v>
      </c>
      <c r="V7038" s="11">
        <v>0.021281462160009146</v>
      </c>
      <c r="W7038" s="11">
        <v>0.12365665662822235</v>
      </c>
      <c r="X7038" s="11">
        <v>0.2290455716800581</v>
      </c>
      <c r="Y7038" s="11">
        <v>0.34839140033617894</v>
      </c>
      <c r="Z7038" s="11">
        <v>0.04083530539449446</v>
      </c>
    </row>
    <row r="7039" ht="22.5" customHeight="1">
      <c r="Q7039" s="9" t="s">
        <v>7077</v>
      </c>
      <c r="R7039" s="10">
        <v>0.8495368311898087</v>
      </c>
      <c r="S7039" s="10">
        <v>0.042914573699536294</v>
      </c>
      <c r="T7039" s="10">
        <v>18.86391408330723</v>
      </c>
      <c r="U7039" s="11">
        <v>0.003696282481735452</v>
      </c>
      <c r="V7039" s="11">
        <v>0.3907227080692797</v>
      </c>
      <c r="W7039" s="11">
        <v>0.12359181274355574</v>
      </c>
      <c r="X7039" s="11">
        <v>0.14736977520123648</v>
      </c>
      <c r="Y7039" s="11">
        <v>0.29135143254628193</v>
      </c>
      <c r="Z7039" s="11">
        <v>0.043267988957910564</v>
      </c>
    </row>
    <row r="7040" ht="22.5" customHeight="1">
      <c r="Q7040" s="9" t="s">
        <v>7078</v>
      </c>
      <c r="R7040" s="10">
        <v>0.522331348251574</v>
      </c>
      <c r="S7040" s="10">
        <v>0.03224700619929369</v>
      </c>
      <c r="T7040" s="10">
        <v>18.86349752870727</v>
      </c>
      <c r="U7040" s="11">
        <v>0.08223719827413865</v>
      </c>
      <c r="V7040" s="11">
        <v>0.09395613810522645</v>
      </c>
      <c r="W7040" s="11">
        <v>0.27578887538889924</v>
      </c>
      <c r="X7040" s="11">
        <v>0.30125588005221127</v>
      </c>
      <c r="Y7040" s="11">
        <v>0.10379323685073415</v>
      </c>
      <c r="Z7040" s="11">
        <v>0.14296867132879018</v>
      </c>
    </row>
    <row r="7041" ht="22.5" customHeight="1">
      <c r="Q7041" s="9" t="s">
        <v>7079</v>
      </c>
      <c r="R7041" s="10">
        <v>0.46288333924854264</v>
      </c>
      <c r="S7041" s="10">
        <v>0.02241849147060282</v>
      </c>
      <c r="T7041" s="10">
        <v>18.863148745002135</v>
      </c>
      <c r="U7041" s="11">
        <v>0.07906018883285494</v>
      </c>
      <c r="V7041" s="11">
        <v>0.054401777961038476</v>
      </c>
      <c r="W7041" s="11">
        <v>0.18867167615015268</v>
      </c>
      <c r="X7041" s="11">
        <v>0.2294932773826917</v>
      </c>
      <c r="Y7041" s="11">
        <v>0.12925129899716217</v>
      </c>
      <c r="Z7041" s="11">
        <v>0.31912178067610003</v>
      </c>
    </row>
    <row r="7042" ht="22.5" customHeight="1">
      <c r="Q7042" s="9" t="s">
        <v>7080</v>
      </c>
      <c r="R7042" s="10">
        <v>0.47626250642428036</v>
      </c>
      <c r="S7042" s="10">
        <v>0.023129863440397153</v>
      </c>
      <c r="T7042" s="10">
        <v>18.861438916337566</v>
      </c>
      <c r="U7042" s="11">
        <v>0.08581138866580763</v>
      </c>
      <c r="V7042" s="11">
        <v>0.041080073999832496</v>
      </c>
      <c r="W7042" s="11">
        <v>0.1942141460677413</v>
      </c>
      <c r="X7042" s="11">
        <v>0.3424458693829016</v>
      </c>
      <c r="Y7042" s="11">
        <v>0.16785946027996315</v>
      </c>
      <c r="Z7042" s="11">
        <v>0.16858906160375386</v>
      </c>
    </row>
    <row r="7043" ht="22.5" customHeight="1">
      <c r="Q7043" s="9" t="s">
        <v>7081</v>
      </c>
      <c r="R7043" s="10">
        <v>0.566177117416598</v>
      </c>
      <c r="S7043" s="10">
        <v>0.027898312711204437</v>
      </c>
      <c r="T7043" s="10">
        <v>18.860535504904437</v>
      </c>
      <c r="U7043" s="11">
        <v>0.13283770250079116</v>
      </c>
      <c r="V7043" s="11">
        <v>0.24976755424546865</v>
      </c>
      <c r="W7043" s="11">
        <v>0.07747061146433237</v>
      </c>
      <c r="X7043" s="11">
        <v>6.830859181887312E-4</v>
      </c>
      <c r="Y7043" s="11">
        <v>0.2639845419885617</v>
      </c>
      <c r="Z7043" s="11">
        <v>0.27525650388265727</v>
      </c>
    </row>
    <row r="7044" ht="22.5" customHeight="1">
      <c r="Q7044" s="9" t="s">
        <v>7082</v>
      </c>
      <c r="R7044" s="10">
        <v>0.7255701951389979</v>
      </c>
      <c r="S7044" s="10">
        <v>0.03635019359537362</v>
      </c>
      <c r="T7044" s="10">
        <v>18.860152514462868</v>
      </c>
      <c r="U7044" s="11">
        <v>0.012096061485300654</v>
      </c>
      <c r="V7044" s="11">
        <v>0.1549747861770682</v>
      </c>
      <c r="W7044" s="11">
        <v>0.29971888455842255</v>
      </c>
      <c r="X7044" s="11">
        <v>0.11250150557545985</v>
      </c>
      <c r="Y7044" s="11">
        <v>0.07614783040889475</v>
      </c>
      <c r="Z7044" s="11">
        <v>0.34456093179485386</v>
      </c>
    </row>
    <row r="7045" ht="22.5" customHeight="1">
      <c r="Q7045" s="9" t="s">
        <v>7083</v>
      </c>
      <c r="R7045" s="10">
        <v>0.8568322152127116</v>
      </c>
      <c r="S7045" s="10">
        <v>0.04330997270718459</v>
      </c>
      <c r="T7045" s="10">
        <v>18.860141536806122</v>
      </c>
      <c r="U7045" s="11">
        <v>0.18613713709836818</v>
      </c>
      <c r="V7045" s="11">
        <v>0.1776680170441452</v>
      </c>
      <c r="W7045" s="11">
        <v>0.35846733282180554</v>
      </c>
      <c r="X7045" s="11">
        <v>0.10692556781104971</v>
      </c>
      <c r="Y7045" s="11">
        <v>0.14965196188372554</v>
      </c>
      <c r="Z7045" s="11">
        <v>0.021149983340905867</v>
      </c>
    </row>
    <row r="7046" ht="22.5" customHeight="1">
      <c r="Q7046" s="9" t="s">
        <v>7084</v>
      </c>
      <c r="R7046" s="10">
        <v>0.4052005729740401</v>
      </c>
      <c r="S7046" s="10">
        <v>0.01936429240067288</v>
      </c>
      <c r="T7046" s="10">
        <v>18.859484530472695</v>
      </c>
      <c r="U7046" s="11">
        <v>0.1810778353868084</v>
      </c>
      <c r="V7046" s="11">
        <v>0.015201858013954123</v>
      </c>
      <c r="W7046" s="11">
        <v>0.15418757541379371</v>
      </c>
      <c r="X7046" s="11">
        <v>0.4223681387544047</v>
      </c>
      <c r="Y7046" s="11">
        <v>0.15415598214969486</v>
      </c>
      <c r="Z7046" s="11">
        <v>0.07300861028134394</v>
      </c>
    </row>
    <row r="7047" ht="22.5" customHeight="1">
      <c r="Q7047" s="9" t="s">
        <v>7085</v>
      </c>
      <c r="R7047" s="10">
        <v>0.5488648855291218</v>
      </c>
      <c r="S7047" s="10">
        <v>0.026983321185137823</v>
      </c>
      <c r="T7047" s="10">
        <v>18.858497144873333</v>
      </c>
      <c r="U7047" s="11">
        <v>0.21669944774639394</v>
      </c>
      <c r="V7047" s="11">
        <v>0.06783396908791094</v>
      </c>
      <c r="W7047" s="11">
        <v>0.22774122875458566</v>
      </c>
      <c r="X7047" s="11">
        <v>0.20701880492653335</v>
      </c>
      <c r="Y7047" s="11">
        <v>0.2067419576000899</v>
      </c>
      <c r="Z7047" s="11">
        <v>0.07396459188448627</v>
      </c>
    </row>
    <row r="7048" ht="22.5" customHeight="1">
      <c r="Q7048" s="9" t="s">
        <v>7086</v>
      </c>
      <c r="R7048" s="10">
        <v>0.5943863652397693</v>
      </c>
      <c r="S7048" s="10">
        <v>0.02939888625146825</v>
      </c>
      <c r="T7048" s="10">
        <v>18.85739345694029</v>
      </c>
      <c r="U7048" s="11">
        <v>0.17075079933545217</v>
      </c>
      <c r="V7048" s="11">
        <v>0.10510462767345659</v>
      </c>
      <c r="W7048" s="11">
        <v>0.2460925724552986</v>
      </c>
      <c r="X7048" s="11">
        <v>0.10711176347504613</v>
      </c>
      <c r="Y7048" s="11">
        <v>0.09615279447756</v>
      </c>
      <c r="Z7048" s="11">
        <v>0.2747874425831865</v>
      </c>
    </row>
    <row r="7049" ht="22.5" customHeight="1">
      <c r="Q7049" s="9" t="s">
        <v>7087</v>
      </c>
      <c r="R7049" s="10">
        <v>0.5062809416182701</v>
      </c>
      <c r="S7049" s="10">
        <v>0.02472691997323363</v>
      </c>
      <c r="T7049" s="10">
        <v>18.85721885794953</v>
      </c>
      <c r="U7049" s="11">
        <v>0.08351253663735679</v>
      </c>
      <c r="V7049" s="11">
        <v>0.06444466851091486</v>
      </c>
      <c r="W7049" s="11">
        <v>0.2066144118272863</v>
      </c>
      <c r="X7049" s="11">
        <v>0.18625476581374198</v>
      </c>
      <c r="Y7049" s="11">
        <v>0.2523479066319874</v>
      </c>
      <c r="Z7049" s="11">
        <v>0.20682571057871255</v>
      </c>
    </row>
    <row r="7050" ht="22.5" customHeight="1">
      <c r="Q7050" s="9" t="s">
        <v>7088</v>
      </c>
      <c r="R7050" s="10">
        <v>0.5488061180600105</v>
      </c>
      <c r="S7050" s="10">
        <v>0.02698305555105263</v>
      </c>
      <c r="T7050" s="10">
        <v>18.856504857181065</v>
      </c>
      <c r="U7050" s="11">
        <v>0.22003918939893902</v>
      </c>
      <c r="V7050" s="11">
        <v>0.24572040912476825</v>
      </c>
      <c r="W7050" s="11">
        <v>0.05972311230283312</v>
      </c>
      <c r="X7050" s="11">
        <v>0.07765712395340486</v>
      </c>
      <c r="Y7050" s="11">
        <v>0.1844101508126934</v>
      </c>
      <c r="Z7050" s="11">
        <v>0.2124500144073613</v>
      </c>
    </row>
    <row r="7051" ht="22.5" customHeight="1">
      <c r="Q7051" s="9" t="s">
        <v>7089</v>
      </c>
      <c r="R7051" s="10">
        <v>0.4978806648685483</v>
      </c>
      <c r="S7051" s="10">
        <v>0.024282662528298093</v>
      </c>
      <c r="T7051" s="10">
        <v>18.856279221232498</v>
      </c>
      <c r="U7051" s="11">
        <v>0.027716243336690434</v>
      </c>
      <c r="V7051" s="11">
        <v>0.05891268356978569</v>
      </c>
      <c r="W7051" s="11">
        <v>0.20539257676813547</v>
      </c>
      <c r="X7051" s="11">
        <v>0.27368750496422056</v>
      </c>
      <c r="Y7051" s="11">
        <v>0.1456322315686004</v>
      </c>
      <c r="Z7051" s="11">
        <v>0.2886587597925674</v>
      </c>
    </row>
    <row r="7052" ht="22.5" customHeight="1">
      <c r="Q7052" s="9" t="s">
        <v>7090</v>
      </c>
      <c r="R7052" s="10">
        <v>1.0150112462111482</v>
      </c>
      <c r="S7052" s="10">
        <v>0.05170788581955949</v>
      </c>
      <c r="T7052" s="10">
        <v>18.856142167822526</v>
      </c>
      <c r="U7052" s="11">
        <v>0.1618352009917393</v>
      </c>
      <c r="V7052" s="11">
        <v>0.46579207063195915</v>
      </c>
      <c r="W7052" s="11">
        <v>0.1822116867381712</v>
      </c>
      <c r="X7052" s="11">
        <v>0.10807193301511564</v>
      </c>
      <c r="Y7052" s="11">
        <v>0.033211969931496506</v>
      </c>
      <c r="Z7052" s="11">
        <v>0.04887713869151841</v>
      </c>
    </row>
    <row r="7053" ht="22.5" customHeight="1">
      <c r="Q7053" s="9" t="s">
        <v>7091</v>
      </c>
      <c r="R7053" s="10">
        <v>0.3072470004520551</v>
      </c>
      <c r="S7053" s="10">
        <v>0.014172953683420158</v>
      </c>
      <c r="T7053" s="10">
        <v>18.8561260003754</v>
      </c>
      <c r="U7053" s="11">
        <v>0.15376934790047417</v>
      </c>
      <c r="V7053" s="11">
        <v>0.012088712332128973</v>
      </c>
      <c r="W7053" s="11">
        <v>0.10523554559756478</v>
      </c>
      <c r="X7053" s="11">
        <v>0.2812621753710175</v>
      </c>
      <c r="Y7053" s="11">
        <v>0.16006255424514776</v>
      </c>
      <c r="Z7053" s="11">
        <v>0.2875816645536668</v>
      </c>
    </row>
    <row r="7054" ht="22.5" customHeight="1">
      <c r="Q7054" s="9" t="s">
        <v>7092</v>
      </c>
      <c r="R7054" s="10">
        <v>0.30734070754984255</v>
      </c>
      <c r="S7054" s="10">
        <v>0.014178023910366915</v>
      </c>
      <c r="T7054" s="10">
        <v>18.85599214953814</v>
      </c>
      <c r="U7054" s="11">
        <v>0.33000853779105127</v>
      </c>
      <c r="V7054" s="11">
        <v>0.027713179012402413</v>
      </c>
      <c r="W7054" s="11">
        <v>0.10285141631482284</v>
      </c>
      <c r="X7054" s="11">
        <v>0.14196130865391965</v>
      </c>
      <c r="Y7054" s="11">
        <v>0.0930895841982831</v>
      </c>
      <c r="Z7054" s="11">
        <v>0.3043759740295206</v>
      </c>
    </row>
    <row r="7055" ht="22.5" customHeight="1">
      <c r="Q7055" s="9" t="s">
        <v>7093</v>
      </c>
      <c r="R7055" s="10">
        <v>0.9179236231655951</v>
      </c>
      <c r="S7055" s="10">
        <v>0.04656022838244417</v>
      </c>
      <c r="T7055" s="10">
        <v>18.85565543094762</v>
      </c>
      <c r="U7055" s="11">
        <v>0.01057671343743795</v>
      </c>
      <c r="V7055" s="11">
        <v>0.4197784861241988</v>
      </c>
      <c r="W7055" s="11">
        <v>0.16809069079859484</v>
      </c>
      <c r="X7055" s="11">
        <v>0.0939792481335449</v>
      </c>
      <c r="Y7055" s="11">
        <v>0.04724377806025356</v>
      </c>
      <c r="Z7055" s="11">
        <v>0.26033108344597</v>
      </c>
    </row>
    <row r="7056" ht="22.5" customHeight="1">
      <c r="Q7056" s="9" t="s">
        <v>7094</v>
      </c>
      <c r="R7056" s="10">
        <v>0.5199452858869477</v>
      </c>
      <c r="S7056" s="10">
        <v>0.02545386408170203</v>
      </c>
      <c r="T7056" s="10">
        <v>18.85549810222979</v>
      </c>
      <c r="U7056" s="11">
        <v>0.05633022881800169</v>
      </c>
      <c r="V7056" s="11">
        <v>0.05835315427569426</v>
      </c>
      <c r="W7056" s="11">
        <v>0.21213739264055012</v>
      </c>
      <c r="X7056" s="11">
        <v>0.25529487148871466</v>
      </c>
      <c r="Y7056" s="11">
        <v>0.2958023265405807</v>
      </c>
      <c r="Z7056" s="11">
        <v>0.12208202623645872</v>
      </c>
    </row>
    <row r="7057" ht="22.5" customHeight="1">
      <c r="Q7057" s="9" t="s">
        <v>7095</v>
      </c>
      <c r="R7057" s="10">
        <v>0.6133413913229452</v>
      </c>
      <c r="S7057" s="10">
        <v>0.030408197567018288</v>
      </c>
      <c r="T7057" s="10">
        <v>18.85482985498653</v>
      </c>
      <c r="U7057" s="11">
        <v>0.3414240260537928</v>
      </c>
      <c r="V7057" s="11">
        <v>0.10917576266301658</v>
      </c>
      <c r="W7057" s="11">
        <v>0.24693385532898454</v>
      </c>
      <c r="X7057" s="11">
        <v>0.02091978857317067</v>
      </c>
      <c r="Y7057" s="11">
        <v>0.24763099797473964</v>
      </c>
      <c r="Z7057" s="11">
        <v>0.033915569406295844</v>
      </c>
    </row>
    <row r="7058" ht="22.5" customHeight="1">
      <c r="Q7058" s="9" t="s">
        <v>7096</v>
      </c>
      <c r="R7058" s="10">
        <v>0.9259161551421722</v>
      </c>
      <c r="S7058" s="10">
        <v>0.04698796881953722</v>
      </c>
      <c r="T7058" s="10">
        <v>18.854106219075707</v>
      </c>
      <c r="U7058" s="11">
        <v>0.0700687539415221</v>
      </c>
      <c r="V7058" s="11">
        <v>0.42499765590193866</v>
      </c>
      <c r="W7058" s="11">
        <v>0.15417139897923837</v>
      </c>
      <c r="X7058" s="11">
        <v>0.08662041000595216</v>
      </c>
      <c r="Y7058" s="11">
        <v>0.21219411656328932</v>
      </c>
      <c r="Z7058" s="11">
        <v>0.05194766460805931</v>
      </c>
    </row>
    <row r="7059" ht="22.5" customHeight="1">
      <c r="Q7059" s="9" t="s">
        <v>7097</v>
      </c>
      <c r="R7059" s="10">
        <v>0.522331348251574</v>
      </c>
      <c r="S7059" s="10">
        <v>0.04079371036146297</v>
      </c>
      <c r="T7059" s="10">
        <v>18.8540630648883</v>
      </c>
      <c r="U7059" s="11">
        <v>0.16537549851708555</v>
      </c>
      <c r="V7059" s="11">
        <v>0.18950700329097278</v>
      </c>
      <c r="W7059" s="11">
        <v>0.330323738172333</v>
      </c>
      <c r="X7059" s="11">
        <v>0.035417066278166744</v>
      </c>
      <c r="Y7059" s="11">
        <v>0.030464878137561335</v>
      </c>
      <c r="Z7059" s="11">
        <v>0.24891181560388048</v>
      </c>
    </row>
    <row r="7060" ht="22.5" customHeight="1">
      <c r="Q7060" s="9" t="s">
        <v>7098</v>
      </c>
      <c r="R7060" s="10">
        <v>0.7973356774140317</v>
      </c>
      <c r="S7060" s="10">
        <v>0.04016879010297499</v>
      </c>
      <c r="T7060" s="10">
        <v>18.8538334232263</v>
      </c>
      <c r="U7060" s="11">
        <v>0.0026503859061125508</v>
      </c>
      <c r="V7060" s="11">
        <v>0.36938985115918715</v>
      </c>
      <c r="W7060" s="11">
        <v>0.12092235824639253</v>
      </c>
      <c r="X7060" s="11">
        <v>0.17510134411964826</v>
      </c>
      <c r="Y7060" s="11">
        <v>0.05874779044398866</v>
      </c>
      <c r="Z7060" s="11">
        <v>0.2731882701246708</v>
      </c>
    </row>
    <row r="7061" ht="22.5" customHeight="1">
      <c r="Q7061" s="9" t="s">
        <v>7099</v>
      </c>
      <c r="R7061" s="10">
        <v>0.41048267943684424</v>
      </c>
      <c r="S7061" s="10">
        <v>0.019650297975297954</v>
      </c>
      <c r="T7061" s="10">
        <v>18.853794476937274</v>
      </c>
      <c r="U7061" s="11">
        <v>0.40069253448471853</v>
      </c>
      <c r="V7061" s="11">
        <v>0.02491992901386194</v>
      </c>
      <c r="W7061" s="11">
        <v>0.15707399952315662</v>
      </c>
      <c r="X7061" s="11">
        <v>0.27688236369083036</v>
      </c>
      <c r="Y7061" s="11">
        <v>0.13115445884137134</v>
      </c>
      <c r="Z7061" s="11">
        <v>0.009276714446061101</v>
      </c>
    </row>
    <row r="7062" ht="22.5" customHeight="1">
      <c r="Q7062" s="9" t="s">
        <v>7100</v>
      </c>
      <c r="R7062" s="10">
        <v>0.5206607899004339</v>
      </c>
      <c r="S7062" s="10">
        <v>0.025495377360451734</v>
      </c>
      <c r="T7062" s="10">
        <v>18.852860387390532</v>
      </c>
      <c r="U7062" s="11">
        <v>0.012234149205889826</v>
      </c>
      <c r="V7062" s="11">
        <v>0.05964532242772587</v>
      </c>
      <c r="W7062" s="11">
        <v>0.21301576625137342</v>
      </c>
      <c r="X7062" s="11">
        <v>0.26898300179785917</v>
      </c>
      <c r="Y7062" s="11">
        <v>0.2802170249356057</v>
      </c>
      <c r="Z7062" s="11">
        <v>0.16590473538154596</v>
      </c>
    </row>
    <row r="7063" ht="22.5" customHeight="1">
      <c r="Q7063" s="9" t="s">
        <v>7101</v>
      </c>
      <c r="R7063" s="10">
        <v>0.6796669666868597</v>
      </c>
      <c r="S7063" s="10">
        <v>0.033935039786204435</v>
      </c>
      <c r="T7063" s="10">
        <v>18.849748540648612</v>
      </c>
      <c r="U7063" s="11">
        <v>0.03245038671940209</v>
      </c>
      <c r="V7063" s="11">
        <v>0.31398552991373085</v>
      </c>
      <c r="W7063" s="11">
        <v>0.06452059849828537</v>
      </c>
      <c r="X7063" s="11">
        <v>0.2923453635093548</v>
      </c>
      <c r="Y7063" s="11">
        <v>0.20367319401495837</v>
      </c>
      <c r="Z7063" s="11">
        <v>0.09302492734426862</v>
      </c>
    </row>
    <row r="7064" ht="22.5" customHeight="1">
      <c r="Q7064" s="9" t="s">
        <v>7102</v>
      </c>
      <c r="R7064" s="10">
        <v>0.9046481538790637</v>
      </c>
      <c r="S7064" s="10">
        <v>0.04587069169560149</v>
      </c>
      <c r="T7064" s="10">
        <v>18.84968641015662</v>
      </c>
      <c r="U7064" s="11">
        <v>0.028264017179672207</v>
      </c>
      <c r="V7064" s="11">
        <v>0.4135367942075031</v>
      </c>
      <c r="W7064" s="11">
        <v>0.15427873823811805</v>
      </c>
      <c r="X7064" s="11">
        <v>0.06106273655077536</v>
      </c>
      <c r="Y7064" s="11">
        <v>0.2388171260360693</v>
      </c>
      <c r="Z7064" s="11">
        <v>0.10404058778786189</v>
      </c>
    </row>
    <row r="7065" ht="22.5" customHeight="1">
      <c r="Q7065" s="9" t="s">
        <v>7103</v>
      </c>
      <c r="R7065" s="10">
        <v>0.5724709056079195</v>
      </c>
      <c r="S7065" s="10">
        <v>0.028251682943153857</v>
      </c>
      <c r="T7065" s="10">
        <v>18.847404831751852</v>
      </c>
      <c r="U7065" s="11">
        <v>0.0026140584024556615</v>
      </c>
      <c r="V7065" s="11">
        <v>0.2624945289150236</v>
      </c>
      <c r="W7065" s="11">
        <v>0.05288944490337756</v>
      </c>
      <c r="X7065" s="11">
        <v>0.24423071507000674</v>
      </c>
      <c r="Y7065" s="11">
        <v>0.1325413508137342</v>
      </c>
      <c r="Z7065" s="11">
        <v>0.3052299018954022</v>
      </c>
    </row>
    <row r="7066" ht="22.5" customHeight="1">
      <c r="Q7066" s="9" t="s">
        <v>7104</v>
      </c>
      <c r="R7066" s="10">
        <v>0.9086095196401671</v>
      </c>
      <c r="S7066" s="10">
        <v>0.04608704363566298</v>
      </c>
      <c r="T7066" s="10">
        <v>18.847152065272017</v>
      </c>
      <c r="U7066" s="11">
        <v>0.03670347363693083</v>
      </c>
      <c r="V7066" s="11">
        <v>0.42177865378555546</v>
      </c>
      <c r="W7066" s="11">
        <v>0.14576868544981633</v>
      </c>
      <c r="X7066" s="11">
        <v>0.2019073678798821</v>
      </c>
      <c r="Y7066" s="11">
        <v>0.013306212028709016</v>
      </c>
      <c r="Z7066" s="11">
        <v>0.1805356072191062</v>
      </c>
    </row>
    <row r="7067" ht="22.5" customHeight="1">
      <c r="Q7067" s="9" t="s">
        <v>7105</v>
      </c>
      <c r="R7067" s="10">
        <v>0.6358288854190297</v>
      </c>
      <c r="S7067" s="10">
        <v>0.03161426007936923</v>
      </c>
      <c r="T7067" s="10">
        <v>18.846839493417544</v>
      </c>
      <c r="U7067" s="11">
        <v>0.1807488370981776</v>
      </c>
      <c r="V7067" s="11">
        <v>0.2913147706286102</v>
      </c>
      <c r="W7067" s="11">
        <v>0.07583422885923141</v>
      </c>
      <c r="X7067" s="11">
        <v>0.1179598038206745</v>
      </c>
      <c r="Y7067" s="11">
        <v>0.14156335505536607</v>
      </c>
      <c r="Z7067" s="11">
        <v>0.1925790045379401</v>
      </c>
    </row>
    <row r="7068" ht="22.5" customHeight="1">
      <c r="Q7068" s="9" t="s">
        <v>7106</v>
      </c>
      <c r="R7068" s="10">
        <v>0.6015008588080473</v>
      </c>
      <c r="S7068" s="10">
        <v>0.029793047529942523</v>
      </c>
      <c r="T7068" s="10">
        <v>18.846707717420625</v>
      </c>
      <c r="U7068" s="11">
        <v>0.3378400573392797</v>
      </c>
      <c r="V7068" s="11">
        <v>0.12465357014885431</v>
      </c>
      <c r="W7068" s="11">
        <v>0.24050804821953786</v>
      </c>
      <c r="X7068" s="11">
        <v>0.004565236335376334</v>
      </c>
      <c r="Y7068" s="11">
        <v>0.02692739643623646</v>
      </c>
      <c r="Z7068" s="11">
        <v>0.26550569152071546</v>
      </c>
    </row>
    <row r="7069" ht="22.5" customHeight="1">
      <c r="Q7069" s="9" t="s">
        <v>7107</v>
      </c>
      <c r="R7069" s="10">
        <v>0.5785917180858252</v>
      </c>
      <c r="S7069" s="10">
        <v>0.028577929352596718</v>
      </c>
      <c r="T7069" s="10">
        <v>18.84642205670812</v>
      </c>
      <c r="U7069" s="11">
        <v>0.14012802990095508</v>
      </c>
      <c r="V7069" s="11">
        <v>0.07358607787627773</v>
      </c>
      <c r="W7069" s="11">
        <v>0.24330805774611938</v>
      </c>
      <c r="X7069" s="11">
        <v>0.2533257005128756</v>
      </c>
      <c r="Y7069" s="11">
        <v>0.1829488608728907</v>
      </c>
      <c r="Z7069" s="11">
        <v>0.10670327309088154</v>
      </c>
    </row>
    <row r="7070" ht="22.5" customHeight="1">
      <c r="Q7070" s="9" t="s">
        <v>7108</v>
      </c>
      <c r="R7070" s="10">
        <v>0.42225378726840485</v>
      </c>
      <c r="S7070" s="10">
        <v>0.020282794053887415</v>
      </c>
      <c r="T7070" s="10">
        <v>18.84620956327966</v>
      </c>
      <c r="U7070" s="11">
        <v>0.17192637137427946</v>
      </c>
      <c r="V7070" s="11">
        <v>0.03810382413963062</v>
      </c>
      <c r="W7070" s="11">
        <v>0.16923108806710813</v>
      </c>
      <c r="X7070" s="11">
        <v>0.25257433363403414</v>
      </c>
      <c r="Y7070" s="11">
        <v>0.10869368704769737</v>
      </c>
      <c r="Z7070" s="11">
        <v>0.2594706957372502</v>
      </c>
    </row>
    <row r="7071" ht="22.5" customHeight="1">
      <c r="Q7071" s="9" t="s">
        <v>7109</v>
      </c>
      <c r="R7071" s="10">
        <v>0.6371860930760125</v>
      </c>
      <c r="S7071" s="10">
        <v>0.031688189326005034</v>
      </c>
      <c r="T7071" s="10">
        <v>18.845699479140936</v>
      </c>
      <c r="U7071" s="11">
        <v>0.14661630179946936</v>
      </c>
      <c r="V7071" s="11">
        <v>0.11032600244226821</v>
      </c>
      <c r="W7071" s="11">
        <v>0.26157985842219483</v>
      </c>
      <c r="X7071" s="11">
        <v>0.08382338242246361</v>
      </c>
      <c r="Y7071" s="11">
        <v>0.3006897023643273</v>
      </c>
      <c r="Z7071" s="11">
        <v>0.09696475254927657</v>
      </c>
    </row>
    <row r="7072" ht="22.5" customHeight="1">
      <c r="Q7072" s="9" t="s">
        <v>7110</v>
      </c>
      <c r="R7072" s="10">
        <v>0.7075745641541962</v>
      </c>
      <c r="S7072" s="10">
        <v>0.03542776839644391</v>
      </c>
      <c r="T7072" s="10">
        <v>18.843257545434458</v>
      </c>
      <c r="U7072" s="11">
        <v>0.26634585317512127</v>
      </c>
      <c r="V7072" s="11">
        <v>0.3228421990645406</v>
      </c>
      <c r="W7072" s="11">
        <v>0.10361303599867734</v>
      </c>
      <c r="X7072" s="11">
        <v>0.06145261027333204</v>
      </c>
      <c r="Y7072" s="11">
        <v>0.07142723842055407</v>
      </c>
      <c r="Z7072" s="11">
        <v>0.17431906306777445</v>
      </c>
    </row>
    <row r="7073" ht="22.5" customHeight="1">
      <c r="Q7073" s="9" t="s">
        <v>7111</v>
      </c>
      <c r="R7073" s="10">
        <v>0.522331348251574</v>
      </c>
      <c r="S7073" s="10">
        <v>0.037960703512986346</v>
      </c>
      <c r="T7073" s="10">
        <v>18.842406923851808</v>
      </c>
      <c r="U7073" s="11">
        <v>0.16112242168452495</v>
      </c>
      <c r="V7073" s="11">
        <v>0.35046413562402184</v>
      </c>
      <c r="W7073" s="11">
        <v>0.08609517626449067</v>
      </c>
      <c r="X7073" s="11">
        <v>0.2273896775609234</v>
      </c>
      <c r="Y7073" s="11">
        <v>0.16955136610285063</v>
      </c>
      <c r="Z7073" s="11">
        <v>0.005377222763188482</v>
      </c>
    </row>
    <row r="7074" ht="22.5" customHeight="1">
      <c r="Q7074" s="9" t="s">
        <v>7112</v>
      </c>
      <c r="R7074" s="10">
        <v>1.2962327687074284</v>
      </c>
      <c r="S7074" s="10">
        <v>0.06667330727845358</v>
      </c>
      <c r="T7074" s="10">
        <v>18.84161473287823</v>
      </c>
      <c r="U7074" s="11">
        <v>0.0510936318400983</v>
      </c>
      <c r="V7074" s="11">
        <v>0.5780695998844527</v>
      </c>
      <c r="W7074" s="11">
        <v>0.290138078231041</v>
      </c>
      <c r="X7074" s="11">
        <v>0.016236053946547563</v>
      </c>
      <c r="Y7074" s="11">
        <v>0.027919664725725116</v>
      </c>
      <c r="Z7074" s="11">
        <v>0.03654297137213528</v>
      </c>
    </row>
    <row r="7075" ht="22.5" customHeight="1">
      <c r="Q7075" s="9" t="s">
        <v>7113</v>
      </c>
      <c r="R7075" s="10">
        <v>0.6398465891397935</v>
      </c>
      <c r="S7075" s="10">
        <v>0.03183717217910672</v>
      </c>
      <c r="T7075" s="10">
        <v>18.841076266611562</v>
      </c>
      <c r="U7075" s="11">
        <v>0.1992876001871608</v>
      </c>
      <c r="V7075" s="11">
        <v>0.29018223726566367</v>
      </c>
      <c r="W7075" s="11">
        <v>0.07129273136734823</v>
      </c>
      <c r="X7075" s="11">
        <v>0.11034751218415818</v>
      </c>
      <c r="Y7075" s="11">
        <v>0.26037554799969376</v>
      </c>
      <c r="Z7075" s="11">
        <v>0.06851437099597557</v>
      </c>
    </row>
    <row r="7076" ht="22.5" customHeight="1">
      <c r="Q7076" s="9" t="s">
        <v>7114</v>
      </c>
      <c r="R7076" s="10">
        <v>0.39098722795772006</v>
      </c>
      <c r="S7076" s="10">
        <v>0.01862895116152859</v>
      </c>
      <c r="T7076" s="10">
        <v>18.840954861836675</v>
      </c>
      <c r="U7076" s="11">
        <v>0.2971017003101929</v>
      </c>
      <c r="V7076" s="11">
        <v>0.163912815600653</v>
      </c>
      <c r="W7076" s="11">
        <v>0.025143090407878186</v>
      </c>
      <c r="X7076" s="11">
        <v>0.15565466828246205</v>
      </c>
      <c r="Y7076" s="11">
        <v>0.0425644684529031</v>
      </c>
      <c r="Z7076" s="11">
        <v>0.31562325694591076</v>
      </c>
    </row>
    <row r="7077" ht="22.5" customHeight="1">
      <c r="Q7077" s="9" t="s">
        <v>7115</v>
      </c>
      <c r="R7077" s="10">
        <v>0.6450609038585284</v>
      </c>
      <c r="S7077" s="10">
        <v>0.03211480659239857</v>
      </c>
      <c r="T7077" s="10">
        <v>18.84055885928155</v>
      </c>
      <c r="U7077" s="11">
        <v>0.2620497865314121</v>
      </c>
      <c r="V7077" s="11">
        <v>0.08616710622262697</v>
      </c>
      <c r="W7077" s="11">
        <v>0.2751545227150941</v>
      </c>
      <c r="X7077" s="11">
        <v>0.31206499073524113</v>
      </c>
      <c r="Y7077" s="11">
        <v>0.0384214025255383</v>
      </c>
      <c r="Z7077" s="11">
        <v>0.02614219127008743</v>
      </c>
    </row>
    <row r="7078" ht="22.5" customHeight="1">
      <c r="Q7078" s="9" t="s">
        <v>7116</v>
      </c>
      <c r="R7078" s="10">
        <v>0.22841109025510445</v>
      </c>
      <c r="S7078" s="10">
        <v>0.010000708248375257</v>
      </c>
      <c r="T7078" s="10">
        <v>18.83977470152819</v>
      </c>
      <c r="U7078" s="11">
        <v>0.19279040905295328</v>
      </c>
      <c r="V7078" s="11">
        <v>0.03459483659534642</v>
      </c>
      <c r="W7078" s="11">
        <v>0.004511815902549659</v>
      </c>
      <c r="X7078" s="11">
        <v>0.4011222188356233</v>
      </c>
      <c r="Y7078" s="11">
        <v>0.17234388535047307</v>
      </c>
      <c r="Z7078" s="11">
        <v>0.19463683426305436</v>
      </c>
    </row>
    <row r="7079" ht="22.5" customHeight="1">
      <c r="Q7079" s="9" t="s">
        <v>7117</v>
      </c>
      <c r="R7079" s="10">
        <v>0.36300861364758436</v>
      </c>
      <c r="S7079" s="10">
        <v>0.017145178618616447</v>
      </c>
      <c r="T7079" s="10">
        <v>18.839617879329506</v>
      </c>
      <c r="U7079" s="11">
        <v>0.10125622332876699</v>
      </c>
      <c r="V7079" s="11">
        <v>0.0067424486376565776</v>
      </c>
      <c r="W7079" s="11">
        <v>0.12458013163027581</v>
      </c>
      <c r="X7079" s="11">
        <v>0.5396785751929374</v>
      </c>
      <c r="Y7079" s="11">
        <v>0.10050324628762515</v>
      </c>
      <c r="Z7079" s="11">
        <v>0.12723937492273826</v>
      </c>
    </row>
    <row r="7080" ht="22.5" customHeight="1">
      <c r="Q7080" s="9" t="s">
        <v>7118</v>
      </c>
      <c r="R7080" s="10">
        <v>0.5696278572220711</v>
      </c>
      <c r="S7080" s="10">
        <v>0.028112628229677524</v>
      </c>
      <c r="T7080" s="10">
        <v>18.839499917797134</v>
      </c>
      <c r="U7080" s="11">
        <v>0.18826100501898185</v>
      </c>
      <c r="V7080" s="11">
        <v>0.07664704047965985</v>
      </c>
      <c r="W7080" s="11">
        <v>0.24035851215247295</v>
      </c>
      <c r="X7080" s="11">
        <v>0.2653221379301307</v>
      </c>
      <c r="Y7080" s="11">
        <v>0.03155874001977981</v>
      </c>
      <c r="Z7080" s="11">
        <v>0.1978525643989747</v>
      </c>
    </row>
    <row r="7081" ht="22.5" customHeight="1">
      <c r="Q7081" s="9" t="s">
        <v>7119</v>
      </c>
      <c r="R7081" s="10">
        <v>0.3238273962409056</v>
      </c>
      <c r="S7081" s="10">
        <v>0.015065715110411637</v>
      </c>
      <c r="T7081" s="10">
        <v>18.83929134201919</v>
      </c>
      <c r="U7081" s="11">
        <v>0.032172310745335435</v>
      </c>
      <c r="V7081" s="11">
        <v>0.026584487663156426</v>
      </c>
      <c r="W7081" s="11">
        <v>0.10478448256172489</v>
      </c>
      <c r="X7081" s="11">
        <v>0.19780391318264662</v>
      </c>
      <c r="Y7081" s="11">
        <v>0.3678165972080686</v>
      </c>
      <c r="Z7081" s="11">
        <v>0.27083820863906805</v>
      </c>
    </row>
    <row r="7082" ht="22.5" customHeight="1">
      <c r="Q7082" s="9" t="s">
        <v>7120</v>
      </c>
      <c r="R7082" s="10">
        <v>0.857097708199847</v>
      </c>
      <c r="S7082" s="10">
        <v>0.04337457306237802</v>
      </c>
      <c r="T7082" s="10">
        <v>18.838172931979273</v>
      </c>
      <c r="U7082" s="11">
        <v>0.04114020465491303</v>
      </c>
      <c r="V7082" s="11">
        <v>0.2097565211959502</v>
      </c>
      <c r="W7082" s="11">
        <v>0.3473937876988548</v>
      </c>
      <c r="X7082" s="11">
        <v>0.012294943405746862</v>
      </c>
      <c r="Y7082" s="11">
        <v>0.1239442820518328</v>
      </c>
      <c r="Z7082" s="11">
        <v>0.26547026099270216</v>
      </c>
    </row>
    <row r="7083" ht="22.5" customHeight="1">
      <c r="Q7083" s="9" t="s">
        <v>7121</v>
      </c>
      <c r="R7083" s="10">
        <v>0.6598440519180195</v>
      </c>
      <c r="S7083" s="10">
        <v>0.03291018159735556</v>
      </c>
      <c r="T7083" s="10">
        <v>18.834416032752188</v>
      </c>
      <c r="U7083" s="11">
        <v>0.09386180005772508</v>
      </c>
      <c r="V7083" s="11">
        <v>0.30163432225805076</v>
      </c>
      <c r="W7083" s="11">
        <v>0.09299672855744835</v>
      </c>
      <c r="X7083" s="11">
        <v>0.06832732543366728</v>
      </c>
      <c r="Y7083" s="11">
        <v>0.1558762170094282</v>
      </c>
      <c r="Z7083" s="11">
        <v>0.2873036066836803</v>
      </c>
    </row>
    <row r="7084" ht="22.5" customHeight="1">
      <c r="Q7084" s="9" t="s">
        <v>7122</v>
      </c>
      <c r="R7084" s="10">
        <v>0.7716807803988136</v>
      </c>
      <c r="S7084" s="10">
        <v>0.0388484696597378</v>
      </c>
      <c r="T7084" s="10">
        <v>18.83422401982338</v>
      </c>
      <c r="U7084" s="11">
        <v>0.07403648229308447</v>
      </c>
      <c r="V7084" s="11">
        <v>0.14388340814605252</v>
      </c>
      <c r="W7084" s="11">
        <v>0.32805448542083915</v>
      </c>
      <c r="X7084" s="11">
        <v>0.219374399538919</v>
      </c>
      <c r="Y7084" s="11">
        <v>0.07082024108100701</v>
      </c>
      <c r="Z7084" s="11">
        <v>0.16383098352009767</v>
      </c>
    </row>
    <row r="7085" ht="22.5" customHeight="1">
      <c r="Q7085" s="9" t="s">
        <v>7123</v>
      </c>
      <c r="R7085" s="10">
        <v>0.43529051865475116</v>
      </c>
      <c r="S7085" s="10">
        <v>0.020990567594100167</v>
      </c>
      <c r="T7085" s="10">
        <v>18.83181657107051</v>
      </c>
      <c r="U7085" s="11">
        <v>0.2086235008340176</v>
      </c>
      <c r="V7085" s="11">
        <v>0.04976688550525299</v>
      </c>
      <c r="W7085" s="11">
        <v>0.17308059213739485</v>
      </c>
      <c r="X7085" s="11">
        <v>0.14452249640418838</v>
      </c>
      <c r="Y7085" s="11">
        <v>0.1900815381895298</v>
      </c>
      <c r="Z7085" s="11">
        <v>0.2339249869296163</v>
      </c>
    </row>
    <row r="7086" ht="22.5" customHeight="1">
      <c r="Q7086" s="9" t="s">
        <v>7124</v>
      </c>
      <c r="R7086" s="10">
        <v>0.4518335861066668</v>
      </c>
      <c r="S7086" s="10">
        <v>0.02186906549168719</v>
      </c>
      <c r="T7086" s="10">
        <v>18.831787131608888</v>
      </c>
      <c r="U7086" s="11">
        <v>0.2492411329988126</v>
      </c>
      <c r="V7086" s="11">
        <v>0.19716378069140875</v>
      </c>
      <c r="W7086" s="11">
        <v>0.028281347748686448</v>
      </c>
      <c r="X7086" s="11">
        <v>0.16194975490727068</v>
      </c>
      <c r="Y7086" s="11">
        <v>0.1590319157242047</v>
      </c>
      <c r="Z7086" s="11">
        <v>0.204332067929617</v>
      </c>
    </row>
    <row r="7087" ht="22.5" customHeight="1">
      <c r="Q7087" s="9" t="s">
        <v>7125</v>
      </c>
      <c r="R7087" s="10">
        <v>0.6514865084589881</v>
      </c>
      <c r="S7087" s="10">
        <v>0.03247593507162928</v>
      </c>
      <c r="T7087" s="10">
        <v>18.82891153434956</v>
      </c>
      <c r="U7087" s="11">
        <v>0.3147009916442324</v>
      </c>
      <c r="V7087" s="11">
        <v>0.11106579087923461</v>
      </c>
      <c r="W7087" s="11">
        <v>0.2735043461739049</v>
      </c>
      <c r="X7087" s="11">
        <v>0.13801272724821356</v>
      </c>
      <c r="Y7087" s="11">
        <v>0.04734213863194142</v>
      </c>
      <c r="Z7087" s="11">
        <v>0.11537400542247309</v>
      </c>
    </row>
    <row r="7088" ht="22.5" customHeight="1">
      <c r="Q7088" s="9" t="s">
        <v>7126</v>
      </c>
      <c r="R7088" s="10">
        <v>0.6303693845419277</v>
      </c>
      <c r="S7088" s="10">
        <v>0.03135481964760584</v>
      </c>
      <c r="T7088" s="10">
        <v>18.828664657524396</v>
      </c>
      <c r="U7088" s="11">
        <v>0.1483889730796512</v>
      </c>
      <c r="V7088" s="11">
        <v>0.29112895423894686</v>
      </c>
      <c r="W7088" s="11">
        <v>0.05830638506885023</v>
      </c>
      <c r="X7088" s="11">
        <v>0.2463531096242143</v>
      </c>
      <c r="Y7088" s="11">
        <v>0.11830419326835236</v>
      </c>
      <c r="Z7088" s="11">
        <v>0.13751838471998493</v>
      </c>
    </row>
    <row r="7089" ht="22.5" customHeight="1">
      <c r="Q7089" s="9" t="s">
        <v>7127</v>
      </c>
      <c r="R7089" s="10">
        <v>0.2734110132106361</v>
      </c>
      <c r="S7089" s="10">
        <v>0.01239727802719244</v>
      </c>
      <c r="T7089" s="10">
        <v>18.827601728271937</v>
      </c>
      <c r="U7089" s="11">
        <v>0.024994533132575325</v>
      </c>
      <c r="V7089" s="11">
        <v>0.08167804808007405</v>
      </c>
      <c r="W7089" s="11">
        <v>0.03169192976362868</v>
      </c>
      <c r="X7089" s="11">
        <v>0.07042055349423713</v>
      </c>
      <c r="Y7089" s="11">
        <v>0.3070932683535457</v>
      </c>
      <c r="Z7089" s="11">
        <v>0.484121667175939</v>
      </c>
    </row>
    <row r="7090" ht="22.5" customHeight="1">
      <c r="Q7090" s="9" t="s">
        <v>7128</v>
      </c>
      <c r="R7090" s="10">
        <v>0.710015017431751</v>
      </c>
      <c r="S7090" s="10">
        <v>0.03558921169598982</v>
      </c>
      <c r="T7090" s="10">
        <v>18.826351737013834</v>
      </c>
      <c r="U7090" s="11">
        <v>0.031939893508308524</v>
      </c>
      <c r="V7090" s="11">
        <v>0.33004501555496624</v>
      </c>
      <c r="W7090" s="11">
        <v>0.07778341014030933</v>
      </c>
      <c r="X7090" s="11">
        <v>0.2462797353764846</v>
      </c>
      <c r="Y7090" s="11">
        <v>0.18202467285078897</v>
      </c>
      <c r="Z7090" s="11">
        <v>0.1319272725691424</v>
      </c>
    </row>
    <row r="7091" ht="22.5" customHeight="1">
      <c r="Q7091" s="9" t="s">
        <v>7129</v>
      </c>
      <c r="R7091" s="10">
        <v>0.3366690768791152</v>
      </c>
      <c r="S7091" s="10">
        <v>0.015759521923060786</v>
      </c>
      <c r="T7091" s="10">
        <v>18.824751050664908</v>
      </c>
      <c r="U7091" s="11">
        <v>0.05485233229155441</v>
      </c>
      <c r="V7091" s="11">
        <v>0.029088448012428412</v>
      </c>
      <c r="W7091" s="11">
        <v>0.1066996773305603</v>
      </c>
      <c r="X7091" s="11">
        <v>0.194716469949335</v>
      </c>
      <c r="Y7091" s="11">
        <v>0.4237252159847308</v>
      </c>
      <c r="Z7091" s="11">
        <v>0.19091785643139117</v>
      </c>
    </row>
    <row r="7092" ht="22.5" customHeight="1">
      <c r="Q7092" s="9" t="s">
        <v>7130</v>
      </c>
      <c r="R7092" s="10">
        <v>0.5847991258856703</v>
      </c>
      <c r="S7092" s="10">
        <v>0.028944734353261673</v>
      </c>
      <c r="T7092" s="10">
        <v>18.82204615307789</v>
      </c>
      <c r="U7092" s="11">
        <v>0.08269617267953576</v>
      </c>
      <c r="V7092" s="11">
        <v>0.10235388710679916</v>
      </c>
      <c r="W7092" s="11">
        <v>0.23759619189026593</v>
      </c>
      <c r="X7092" s="11">
        <v>0.06625874300878495</v>
      </c>
      <c r="Y7092" s="11">
        <v>0.2951578863753956</v>
      </c>
      <c r="Z7092" s="11">
        <v>0.21593711893921863</v>
      </c>
    </row>
    <row r="7093" ht="22.5" customHeight="1">
      <c r="Q7093" s="9" t="s">
        <v>7131</v>
      </c>
      <c r="R7093" s="10">
        <v>0.5014827097653358</v>
      </c>
      <c r="S7093" s="10">
        <v>0.02451893110061259</v>
      </c>
      <c r="T7093" s="10">
        <v>18.821485645995637</v>
      </c>
      <c r="U7093" s="11">
        <v>0.24788685935727336</v>
      </c>
      <c r="V7093" s="11">
        <v>0.225101925466093</v>
      </c>
      <c r="W7093" s="11">
        <v>0.038143260157534276</v>
      </c>
      <c r="X7093" s="11">
        <v>0.20941651190477514</v>
      </c>
      <c r="Y7093" s="11">
        <v>0.03751678849390282</v>
      </c>
      <c r="Z7093" s="11">
        <v>0.24193465462042138</v>
      </c>
    </row>
    <row r="7094" ht="22.5" customHeight="1">
      <c r="Q7094" s="9" t="s">
        <v>7132</v>
      </c>
      <c r="R7094" s="10">
        <v>0.7146844555407551</v>
      </c>
      <c r="S7094" s="10">
        <v>0.0358486765318796</v>
      </c>
      <c r="T7094" s="10">
        <v>18.820344872167595</v>
      </c>
      <c r="U7094" s="11">
        <v>0.16108205870972792</v>
      </c>
      <c r="V7094" s="11">
        <v>0.12632103181252144</v>
      </c>
      <c r="W7094" s="11">
        <v>0.3028642012820064</v>
      </c>
      <c r="X7094" s="11">
        <v>0.16375312581494497</v>
      </c>
      <c r="Y7094" s="11">
        <v>0.1303210669279164</v>
      </c>
      <c r="Z7094" s="11">
        <v>0.11565851545288292</v>
      </c>
    </row>
    <row r="7095" ht="22.5" customHeight="1">
      <c r="Q7095" s="9" t="s">
        <v>7133</v>
      </c>
      <c r="R7095" s="10">
        <v>1.002471069843184</v>
      </c>
      <c r="S7095" s="10">
        <v>0.05114206470699383</v>
      </c>
      <c r="T7095" s="10">
        <v>18.81955832947752</v>
      </c>
      <c r="U7095" s="11">
        <v>0.17834506456073485</v>
      </c>
      <c r="V7095" s="11">
        <v>0.45858050903191716</v>
      </c>
      <c r="W7095" s="11">
        <v>0.18684117915343967</v>
      </c>
      <c r="X7095" s="11">
        <v>0.058814496946573806</v>
      </c>
      <c r="Y7095" s="11">
        <v>0.024921969228837198</v>
      </c>
      <c r="Z7095" s="11">
        <v>0.09249678107849739</v>
      </c>
    </row>
    <row r="7096" ht="22.5" customHeight="1">
      <c r="Q7096" s="9" t="s">
        <v>7134</v>
      </c>
      <c r="R7096" s="10">
        <v>0.5800785203237748</v>
      </c>
      <c r="S7096" s="10">
        <v>0.028699367850054266</v>
      </c>
      <c r="T7096" s="10">
        <v>18.818481408563624</v>
      </c>
      <c r="U7096" s="11">
        <v>0.18266791126180745</v>
      </c>
      <c r="V7096" s="11">
        <v>0.09293663811049403</v>
      </c>
      <c r="W7096" s="11">
        <v>0.24212469262754313</v>
      </c>
      <c r="X7096" s="11">
        <v>0.13269689864601053</v>
      </c>
      <c r="Y7096" s="11">
        <v>0.12532145789969823</v>
      </c>
      <c r="Z7096" s="11">
        <v>0.2242524014544466</v>
      </c>
    </row>
    <row r="7097" ht="22.5" customHeight="1">
      <c r="Q7097" s="9" t="s">
        <v>7135</v>
      </c>
      <c r="R7097" s="10">
        <v>0.5478889560699168</v>
      </c>
      <c r="S7097" s="10">
        <v>0.02698934444973229</v>
      </c>
      <c r="T7097" s="10">
        <v>18.818128651322414</v>
      </c>
      <c r="U7097" s="11">
        <v>0.08945684924286675</v>
      </c>
      <c r="V7097" s="11">
        <v>0.0793499489285993</v>
      </c>
      <c r="W7097" s="11">
        <v>0.22956179499858498</v>
      </c>
      <c r="X7097" s="11">
        <v>0.2521204124530534</v>
      </c>
      <c r="Y7097" s="11">
        <v>0.01906622647557298</v>
      </c>
      <c r="Z7097" s="11">
        <v>0.33044476790132254</v>
      </c>
    </row>
    <row r="7098" ht="22.5" customHeight="1">
      <c r="Q7098" s="9" t="s">
        <v>7136</v>
      </c>
      <c r="R7098" s="10">
        <v>0.4421204473461411</v>
      </c>
      <c r="S7098" s="10">
        <v>0.02136979212284836</v>
      </c>
      <c r="T7098" s="10">
        <v>18.817237202611725</v>
      </c>
      <c r="U7098" s="11">
        <v>0.18231112234677238</v>
      </c>
      <c r="V7098" s="11">
        <v>0.19306336429055032</v>
      </c>
      <c r="W7098" s="11">
        <v>0.0182309969354348</v>
      </c>
      <c r="X7098" s="11">
        <v>0.30774468055476983</v>
      </c>
      <c r="Y7098" s="11">
        <v>0.04087159293724604</v>
      </c>
      <c r="Z7098" s="11">
        <v>0.2577782429352265</v>
      </c>
    </row>
    <row r="7099" ht="22.5" customHeight="1">
      <c r="Q7099" s="9" t="s">
        <v>7137</v>
      </c>
      <c r="R7099" s="10">
        <v>0.5758883380087241</v>
      </c>
      <c r="S7099" s="10">
        <v>0.02847938045195564</v>
      </c>
      <c r="T7099" s="10">
        <v>18.816713338015234</v>
      </c>
      <c r="U7099" s="11">
        <v>0.09711153762538512</v>
      </c>
      <c r="V7099" s="11">
        <v>0.08246605816952768</v>
      </c>
      <c r="W7099" s="11">
        <v>0.2421071540976143</v>
      </c>
      <c r="X7099" s="11">
        <v>0.20553715435376488</v>
      </c>
      <c r="Y7099" s="11">
        <v>0.16403918954099633</v>
      </c>
      <c r="Z7099" s="11">
        <v>0.20873890621271163</v>
      </c>
    </row>
    <row r="7100" ht="22.5" customHeight="1">
      <c r="Q7100" s="9" t="s">
        <v>7138</v>
      </c>
      <c r="R7100" s="10">
        <v>0.522331348251574</v>
      </c>
      <c r="S7100" s="10">
        <v>0.02766124766671204</v>
      </c>
      <c r="T7100" s="10">
        <v>18.816674451631837</v>
      </c>
      <c r="U7100" s="11">
        <v>0.18706737346951052</v>
      </c>
      <c r="V7100" s="11">
        <v>0.2563169272164843</v>
      </c>
      <c r="W7100" s="11">
        <v>0.05351830231250693</v>
      </c>
      <c r="X7100" s="11">
        <v>0.21541213779656276</v>
      </c>
      <c r="Y7100" s="11">
        <v>0.007738224265339156</v>
      </c>
      <c r="Z7100" s="11">
        <v>0.27994703493959644</v>
      </c>
    </row>
    <row r="7101" ht="22.5" customHeight="1">
      <c r="Q7101" s="9" t="s">
        <v>7139</v>
      </c>
      <c r="R7101" s="10">
        <v>0.5826044829774941</v>
      </c>
      <c r="S7101" s="10">
        <v>0.02883852919348075</v>
      </c>
      <c r="T7101" s="10">
        <v>18.81526201759816</v>
      </c>
      <c r="U7101" s="11">
        <v>0.023515959792392988</v>
      </c>
      <c r="V7101" s="11">
        <v>0.25944082618728387</v>
      </c>
      <c r="W7101" s="11">
        <v>0.025907440812165203</v>
      </c>
      <c r="X7101" s="11">
        <v>0.48698515589653013</v>
      </c>
      <c r="Y7101" s="11">
        <v>0.18801548628918935</v>
      </c>
      <c r="Z7101" s="11">
        <v>0.016135131022438402</v>
      </c>
    </row>
    <row r="7102" ht="22.5" customHeight="1">
      <c r="Q7102" s="9" t="s">
        <v>7140</v>
      </c>
      <c r="R7102" s="10">
        <v>0.4893411757989035</v>
      </c>
      <c r="S7102" s="10">
        <v>0.023882010157021183</v>
      </c>
      <c r="T7102" s="10">
        <v>18.815048349973154</v>
      </c>
      <c r="U7102" s="11">
        <v>0.10755215373600376</v>
      </c>
      <c r="V7102" s="11">
        <v>0.21487212992363222</v>
      </c>
      <c r="W7102" s="11">
        <v>0.04127580942512338</v>
      </c>
      <c r="X7102" s="11">
        <v>0.11458381010622308</v>
      </c>
      <c r="Y7102" s="11">
        <v>0.29659181325695705</v>
      </c>
      <c r="Z7102" s="11">
        <v>0.2251242835520605</v>
      </c>
    </row>
    <row r="7103" ht="22.5" customHeight="1">
      <c r="Q7103" s="9" t="s">
        <v>7141</v>
      </c>
      <c r="R7103" s="10">
        <v>0.5921475282513189</v>
      </c>
      <c r="S7103" s="10">
        <v>0.029347641861688464</v>
      </c>
      <c r="T7103" s="10">
        <v>18.814033878889376</v>
      </c>
      <c r="U7103" s="11">
        <v>0.03471676191034653</v>
      </c>
      <c r="V7103" s="11">
        <v>0.0753174718395022</v>
      </c>
      <c r="W7103" s="11">
        <v>0.24934165215592116</v>
      </c>
      <c r="X7103" s="11">
        <v>0.29045455809318477</v>
      </c>
      <c r="Y7103" s="11">
        <v>0.2225199856361131</v>
      </c>
      <c r="Z7103" s="11">
        <v>0.12764957036493227</v>
      </c>
    </row>
    <row r="7104" ht="22.5" customHeight="1">
      <c r="Q7104" s="9" t="s">
        <v>7142</v>
      </c>
      <c r="R7104" s="10">
        <v>0.496266406490284</v>
      </c>
      <c r="S7104" s="10">
        <v>0.02425225357934895</v>
      </c>
      <c r="T7104" s="10">
        <v>18.813361199505174</v>
      </c>
      <c r="U7104" s="11">
        <v>0.2535588154030461</v>
      </c>
      <c r="V7104" s="11">
        <v>0.08048773785518766</v>
      </c>
      <c r="W7104" s="11">
        <v>0.19794330208917657</v>
      </c>
      <c r="X7104" s="11">
        <v>0.040645411180014586</v>
      </c>
      <c r="Y7104" s="11">
        <v>0.17968749017093918</v>
      </c>
      <c r="Z7104" s="11">
        <v>0.24767724330163587</v>
      </c>
    </row>
    <row r="7105" ht="22.5" customHeight="1">
      <c r="Q7105" s="9" t="s">
        <v>7143</v>
      </c>
      <c r="R7105" s="10">
        <v>0.44926910697776384</v>
      </c>
      <c r="S7105" s="10">
        <v>0.02175483283587857</v>
      </c>
      <c r="T7105" s="10">
        <v>18.812790245981017</v>
      </c>
      <c r="U7105" s="11">
        <v>0.28378886376384854</v>
      </c>
      <c r="V7105" s="11">
        <v>0.1966724241357423</v>
      </c>
      <c r="W7105" s="11">
        <v>0.028146106032672966</v>
      </c>
      <c r="X7105" s="11">
        <v>0.18870285819338395</v>
      </c>
      <c r="Y7105" s="11">
        <v>0.06763760271682924</v>
      </c>
      <c r="Z7105" s="11">
        <v>0.23505214515752298</v>
      </c>
    </row>
    <row r="7106" ht="22.5" customHeight="1">
      <c r="Q7106" s="9" t="s">
        <v>7144</v>
      </c>
      <c r="R7106" s="10">
        <v>0.5849949408714873</v>
      </c>
      <c r="S7106" s="10">
        <v>0.028969510548435287</v>
      </c>
      <c r="T7106" s="10">
        <v>18.81270793168177</v>
      </c>
      <c r="U7106" s="11">
        <v>0.07370209978792375</v>
      </c>
      <c r="V7106" s="11">
        <v>0.09684545578159165</v>
      </c>
      <c r="W7106" s="11">
        <v>0.24255586988174305</v>
      </c>
      <c r="X7106" s="11">
        <v>0.12163455000965348</v>
      </c>
      <c r="Y7106" s="11">
        <v>0.21392727290474112</v>
      </c>
      <c r="Z7106" s="11">
        <v>0.25133475163434693</v>
      </c>
    </row>
    <row r="7107" ht="22.5" customHeight="1">
      <c r="Q7107" s="9" t="s">
        <v>7145</v>
      </c>
      <c r="R7107" s="10">
        <v>0.39872059762907386</v>
      </c>
      <c r="S7107" s="10">
        <v>0.019069382725716077</v>
      </c>
      <c r="T7107" s="10">
        <v>18.81133767090007</v>
      </c>
      <c r="U7107" s="11">
        <v>0.08109869077677312</v>
      </c>
      <c r="V7107" s="11">
        <v>0.029721442453085386</v>
      </c>
      <c r="W7107" s="11">
        <v>0.15691928177870204</v>
      </c>
      <c r="X7107" s="11">
        <v>0.3168398270925109</v>
      </c>
      <c r="Y7107" s="11">
        <v>0.11040561571539068</v>
      </c>
      <c r="Z7107" s="11">
        <v>0.30501514218353787</v>
      </c>
    </row>
    <row r="7108" ht="22.5" customHeight="1">
      <c r="Q7108" s="9" t="s">
        <v>7146</v>
      </c>
      <c r="R7108" s="10">
        <v>0.3481431056376424</v>
      </c>
      <c r="S7108" s="10">
        <v>0.016380897984148518</v>
      </c>
      <c r="T7108" s="10">
        <v>18.811124148128304</v>
      </c>
      <c r="U7108" s="11">
        <v>0.11477073564637197</v>
      </c>
      <c r="V7108" s="11">
        <v>0.09416998269122599</v>
      </c>
      <c r="W7108" s="11">
        <v>0.05628957324014061</v>
      </c>
      <c r="X7108" s="11">
        <v>0.03586099070755633</v>
      </c>
      <c r="Y7108" s="11">
        <v>0.5401681536633449</v>
      </c>
      <c r="Z7108" s="11">
        <v>0.15874056405136014</v>
      </c>
    </row>
    <row r="7109" ht="22.5" customHeight="1">
      <c r="Q7109" s="9" t="s">
        <v>7147</v>
      </c>
      <c r="R7109" s="10">
        <v>0.6391329857489835</v>
      </c>
      <c r="S7109" s="10">
        <v>0.0318521368115173</v>
      </c>
      <c r="T7109" s="10">
        <v>18.80982080713483</v>
      </c>
      <c r="U7109" s="11">
        <v>0.0025795406243673993</v>
      </c>
      <c r="V7109" s="11">
        <v>0.2892230602607008</v>
      </c>
      <c r="W7109" s="11">
        <v>0.07507727453382465</v>
      </c>
      <c r="X7109" s="11">
        <v>0.11555101965117769</v>
      </c>
      <c r="Y7109" s="11">
        <v>0.3517754892483491</v>
      </c>
      <c r="Z7109" s="11">
        <v>0.16579361568158044</v>
      </c>
    </row>
    <row r="7110" ht="22.5" customHeight="1">
      <c r="Q7110" s="9" t="s">
        <v>7148</v>
      </c>
      <c r="R7110" s="10">
        <v>0.5777527256772315</v>
      </c>
      <c r="S7110" s="10">
        <v>0.028592825505193712</v>
      </c>
      <c r="T7110" s="10">
        <v>18.807260778741572</v>
      </c>
      <c r="U7110" s="11">
        <v>0.286772014348428</v>
      </c>
      <c r="V7110" s="11">
        <v>0.26053366552700147</v>
      </c>
      <c r="W7110" s="11">
        <v>0.04614707446590558</v>
      </c>
      <c r="X7110" s="11">
        <v>0.18647613119648904</v>
      </c>
      <c r="Y7110" s="11">
        <v>0.20038623154723412</v>
      </c>
      <c r="Z7110" s="11">
        <v>0.019684882914941856</v>
      </c>
    </row>
    <row r="7111" ht="22.5" customHeight="1">
      <c r="Q7111" s="9" t="s">
        <v>7149</v>
      </c>
      <c r="R7111" s="10">
        <v>0.5287668190699352</v>
      </c>
      <c r="S7111" s="10">
        <v>0.025988787005213686</v>
      </c>
      <c r="T7111" s="10">
        <v>18.806834615708777</v>
      </c>
      <c r="U7111" s="11">
        <v>0.1527740810321834</v>
      </c>
      <c r="V7111" s="11">
        <v>0.24021554446714793</v>
      </c>
      <c r="W7111" s="11">
        <v>0.04593076903477212</v>
      </c>
      <c r="X7111" s="11">
        <v>0.16940563946319412</v>
      </c>
      <c r="Y7111" s="11">
        <v>0.13256128398466807</v>
      </c>
      <c r="Z7111" s="11">
        <v>0.25911268201803433</v>
      </c>
    </row>
    <row r="7112" ht="22.5" customHeight="1">
      <c r="Q7112" s="9" t="s">
        <v>7150</v>
      </c>
      <c r="R7112" s="10">
        <v>0.6243537539540417</v>
      </c>
      <c r="S7112" s="10">
        <v>0.03107150501754238</v>
      </c>
      <c r="T7112" s="10">
        <v>18.806741212700402</v>
      </c>
      <c r="U7112" s="11">
        <v>0.10386252879410324</v>
      </c>
      <c r="V7112" s="11">
        <v>0.2754131188802277</v>
      </c>
      <c r="W7112" s="11">
        <v>0.08498419102276107</v>
      </c>
      <c r="X7112" s="11">
        <v>0.006602194078842131</v>
      </c>
      <c r="Y7112" s="11">
        <v>0.38954348280053286</v>
      </c>
      <c r="Z7112" s="11">
        <v>0.1395944844235329</v>
      </c>
    </row>
    <row r="7113" ht="22.5" customHeight="1">
      <c r="Q7113" s="9" t="s">
        <v>7151</v>
      </c>
      <c r="R7113" s="10">
        <v>0.6005716559766421</v>
      </c>
      <c r="S7113" s="10">
        <v>0.02980764075223945</v>
      </c>
      <c r="T7113" s="10">
        <v>18.806307437616518</v>
      </c>
      <c r="U7113" s="11">
        <v>0.07780285560805371</v>
      </c>
      <c r="V7113" s="11">
        <v>0.11442834396700911</v>
      </c>
      <c r="W7113" s="11">
        <v>0.24487190635898207</v>
      </c>
      <c r="X7113" s="11">
        <v>0.04435505899370179</v>
      </c>
      <c r="Y7113" s="11">
        <v>0.2249480092277109</v>
      </c>
      <c r="Z7113" s="11">
        <v>0.2935938258445424</v>
      </c>
    </row>
    <row r="7114" ht="22.5" customHeight="1">
      <c r="Q7114" s="9" t="s">
        <v>7152</v>
      </c>
      <c r="R7114" s="10">
        <v>0.71593074108007</v>
      </c>
      <c r="S7114" s="10">
        <v>0.03594245317551735</v>
      </c>
      <c r="T7114" s="10">
        <v>18.805915605685165</v>
      </c>
      <c r="U7114" s="11">
        <v>0.18154491414870527</v>
      </c>
      <c r="V7114" s="11">
        <v>0.32863786240498355</v>
      </c>
      <c r="W7114" s="11">
        <v>0.10729676406399874</v>
      </c>
      <c r="X7114" s="11">
        <v>0.060067766350780656</v>
      </c>
      <c r="Y7114" s="11">
        <v>0.08754903416801774</v>
      </c>
      <c r="Z7114" s="11">
        <v>0.23490365886351422</v>
      </c>
    </row>
    <row r="7115" ht="22.5" customHeight="1">
      <c r="Q7115" s="9" t="s">
        <v>7153</v>
      </c>
      <c r="R7115" s="10">
        <v>0.34959826799881316</v>
      </c>
      <c r="S7115" s="10">
        <v>0.01646314211352873</v>
      </c>
      <c r="T7115" s="10">
        <v>18.805539420351483</v>
      </c>
      <c r="U7115" s="11">
        <v>0.0705689455026684</v>
      </c>
      <c r="V7115" s="11">
        <v>0.13970082782162002</v>
      </c>
      <c r="W7115" s="11">
        <v>0.00333359214037965</v>
      </c>
      <c r="X7115" s="11">
        <v>0.2858861878224435</v>
      </c>
      <c r="Y7115" s="11">
        <v>0.20163088118685782</v>
      </c>
      <c r="Z7115" s="11">
        <v>0.29887956552603046</v>
      </c>
    </row>
    <row r="7116" ht="22.5" customHeight="1">
      <c r="Q7116" s="9" t="s">
        <v>7154</v>
      </c>
      <c r="R7116" s="10">
        <v>0.8310854383594065</v>
      </c>
      <c r="S7116" s="10">
        <v>0.04206890712446896</v>
      </c>
      <c r="T7116" s="10">
        <v>18.80451602935222</v>
      </c>
      <c r="U7116" s="11">
        <v>0.1950639378383254</v>
      </c>
      <c r="V7116" s="11">
        <v>0.3820066568552155</v>
      </c>
      <c r="W7116" s="11">
        <v>0.13710107201544441</v>
      </c>
      <c r="X7116" s="11">
        <v>0.05315487198072972</v>
      </c>
      <c r="Y7116" s="11">
        <v>0.07618384054696929</v>
      </c>
      <c r="Z7116" s="11">
        <v>0.15648962076331563</v>
      </c>
    </row>
    <row r="7117" ht="22.5" customHeight="1">
      <c r="Q7117" s="9" t="s">
        <v>7155</v>
      </c>
      <c r="R7117" s="10">
        <v>0.522331348251574</v>
      </c>
      <c r="S7117" s="10">
        <v>0.020364121018379127</v>
      </c>
      <c r="T7117" s="10">
        <v>18.803665519719008</v>
      </c>
      <c r="U7117" s="11">
        <v>0.16295137440654908</v>
      </c>
      <c r="V7117" s="11">
        <v>0.18207503675031358</v>
      </c>
      <c r="W7117" s="11">
        <v>0.01690033484068519</v>
      </c>
      <c r="X7117" s="11">
        <v>0.2186864517015836</v>
      </c>
      <c r="Y7117" s="11">
        <v>0.20043902745210362</v>
      </c>
      <c r="Z7117" s="11">
        <v>0.218947774848765</v>
      </c>
    </row>
    <row r="7118" ht="22.5" customHeight="1">
      <c r="Q7118" s="9" t="s">
        <v>7156</v>
      </c>
      <c r="R7118" s="10">
        <v>0.5498449188125121</v>
      </c>
      <c r="S7118" s="10">
        <v>0.027114173162175466</v>
      </c>
      <c r="T7118" s="10">
        <v>18.803631435228517</v>
      </c>
      <c r="U7118" s="11">
        <v>0.1952821917494847</v>
      </c>
      <c r="V7118" s="11">
        <v>0.07881176425677401</v>
      </c>
      <c r="W7118" s="11">
        <v>0.2307040626070821</v>
      </c>
      <c r="X7118" s="11">
        <v>0.1982401756288413</v>
      </c>
      <c r="Y7118" s="11">
        <v>0.05067720240212377</v>
      </c>
      <c r="Z7118" s="11">
        <v>0.2462846033556942</v>
      </c>
    </row>
    <row r="7119" ht="22.5" customHeight="1">
      <c r="Q7119" s="9" t="s">
        <v>7157</v>
      </c>
      <c r="R7119" s="10">
        <v>0.971756802884996</v>
      </c>
      <c r="S7119" s="10">
        <v>0.049553642582299204</v>
      </c>
      <c r="T7119" s="10">
        <v>18.802993167203088</v>
      </c>
      <c r="U7119" s="11">
        <v>0.12959373763998422</v>
      </c>
      <c r="V7119" s="11">
        <v>0.22674750338989655</v>
      </c>
      <c r="W7119" s="11">
        <v>0.4043979330050671</v>
      </c>
      <c r="X7119" s="11">
        <v>0.09252845258954127</v>
      </c>
      <c r="Y7119" s="11">
        <v>0.04288484179782227</v>
      </c>
      <c r="Z7119" s="11">
        <v>0.1038475315776887</v>
      </c>
    </row>
    <row r="7120" ht="22.5" customHeight="1">
      <c r="Q7120" s="9" t="s">
        <v>7158</v>
      </c>
      <c r="R7120" s="10">
        <v>0.609546749889828</v>
      </c>
      <c r="S7120" s="10">
        <v>0.030290253735017127</v>
      </c>
      <c r="T7120" s="10">
        <v>18.802970581636362</v>
      </c>
      <c r="U7120" s="11">
        <v>0.24844109467820186</v>
      </c>
      <c r="V7120" s="11">
        <v>0.10930004225415953</v>
      </c>
      <c r="W7120" s="11">
        <v>0.2485529126844936</v>
      </c>
      <c r="X7120" s="11">
        <v>0.029651136762926203</v>
      </c>
      <c r="Y7120" s="11">
        <v>0.23864854228623578</v>
      </c>
      <c r="Z7120" s="11">
        <v>0.125406271333983</v>
      </c>
    </row>
    <row r="7121" ht="22.5" customHeight="1">
      <c r="Q7121" s="9" t="s">
        <v>7159</v>
      </c>
      <c r="R7121" s="10">
        <v>0.6166704834072497</v>
      </c>
      <c r="S7121" s="10">
        <v>0.030670557385578133</v>
      </c>
      <c r="T7121" s="10">
        <v>18.802086840404503</v>
      </c>
      <c r="U7121" s="11">
        <v>0.11452759277156602</v>
      </c>
      <c r="V7121" s="11">
        <v>0.08049381969583165</v>
      </c>
      <c r="W7121" s="11">
        <v>0.259626564167484</v>
      </c>
      <c r="X7121" s="11">
        <v>0.25263343916754416</v>
      </c>
      <c r="Y7121" s="11">
        <v>0.26430375558998714</v>
      </c>
      <c r="Z7121" s="11">
        <v>0.028414828607587025</v>
      </c>
    </row>
    <row r="7122" ht="22.5" customHeight="1">
      <c r="Q7122" s="9" t="s">
        <v>7160</v>
      </c>
      <c r="R7122" s="10">
        <v>0.6678783180346801</v>
      </c>
      <c r="S7122" s="10">
        <v>0.03339430170713768</v>
      </c>
      <c r="T7122" s="10">
        <v>18.80195979365179</v>
      </c>
      <c r="U7122" s="11">
        <v>0.02423314176137172</v>
      </c>
      <c r="V7122" s="11">
        <v>0.30813733302541985</v>
      </c>
      <c r="W7122" s="11">
        <v>0.050472063927010376</v>
      </c>
      <c r="X7122" s="11">
        <v>0.4179779925863142</v>
      </c>
      <c r="Y7122" s="11">
        <v>0.13753233356731986</v>
      </c>
      <c r="Z7122" s="11">
        <v>0.061647135132564</v>
      </c>
    </row>
    <row r="7123" ht="22.5" customHeight="1">
      <c r="Q7123" s="9" t="s">
        <v>7161</v>
      </c>
      <c r="R7123" s="10">
        <v>0.570141622666335</v>
      </c>
      <c r="S7123" s="10">
        <v>0.028197367073260253</v>
      </c>
      <c r="T7123" s="10">
        <v>18.801103709043517</v>
      </c>
      <c r="U7123" s="11">
        <v>0.1921542010089271</v>
      </c>
      <c r="V7123" s="11">
        <v>0.10001164380385019</v>
      </c>
      <c r="W7123" s="11">
        <v>0.2298895405709864</v>
      </c>
      <c r="X7123" s="11">
        <v>0.027642542751349888</v>
      </c>
      <c r="Y7123" s="11">
        <v>0.2758256530061073</v>
      </c>
      <c r="Z7123" s="11">
        <v>0.17447641885877918</v>
      </c>
    </row>
    <row r="7124" ht="22.5" customHeight="1">
      <c r="Q7124" s="9" t="s">
        <v>7162</v>
      </c>
      <c r="R7124" s="10">
        <v>0.6163925643210959</v>
      </c>
      <c r="S7124" s="10">
        <v>0.030660047500068864</v>
      </c>
      <c r="T7124" s="10">
        <v>18.799467428085403</v>
      </c>
      <c r="U7124" s="11">
        <v>0.06791874362405523</v>
      </c>
      <c r="V7124" s="11">
        <v>0.1143134826437038</v>
      </c>
      <c r="W7124" s="11">
        <v>0.25420495915207375</v>
      </c>
      <c r="X7124" s="11">
        <v>0.07428777489558926</v>
      </c>
      <c r="Y7124" s="11">
        <v>0.21093548176730695</v>
      </c>
      <c r="Z7124" s="11">
        <v>0.278339557917271</v>
      </c>
    </row>
    <row r="7125" ht="22.5" customHeight="1">
      <c r="Q7125" s="9" t="s">
        <v>7163</v>
      </c>
      <c r="R7125" s="10">
        <v>0.5297743516554555</v>
      </c>
      <c r="S7125" s="10">
        <v>0.02605278323585575</v>
      </c>
      <c r="T7125" s="10">
        <v>18.799310124432008</v>
      </c>
      <c r="U7125" s="11">
        <v>0.19049815965303282</v>
      </c>
      <c r="V7125" s="11">
        <v>0.24041645641518988</v>
      </c>
      <c r="W7125" s="11">
        <v>0.0369261533841926</v>
      </c>
      <c r="X7125" s="11">
        <v>0.2896133125078598</v>
      </c>
      <c r="Y7125" s="11">
        <v>0.015315651696279908</v>
      </c>
      <c r="Z7125" s="11">
        <v>0.22723026634344495</v>
      </c>
    </row>
    <row r="7126" ht="22.5" customHeight="1">
      <c r="Q7126" s="9" t="s">
        <v>7164</v>
      </c>
      <c r="R7126" s="10">
        <v>0.47958422414642243</v>
      </c>
      <c r="S7126" s="10">
        <v>0.023383311830884976</v>
      </c>
      <c r="T7126" s="10">
        <v>18.79905752126241</v>
      </c>
      <c r="U7126" s="11">
        <v>0.13447905295742324</v>
      </c>
      <c r="V7126" s="11">
        <v>0.20941144776848808</v>
      </c>
      <c r="W7126" s="11">
        <v>0.023391751080008506</v>
      </c>
      <c r="X7126" s="11">
        <v>0.23431305757925877</v>
      </c>
      <c r="Y7126" s="11">
        <v>0.28240715924157284</v>
      </c>
      <c r="Z7126" s="11">
        <v>0.11599753137324864</v>
      </c>
    </row>
    <row r="7127" ht="22.5" customHeight="1">
      <c r="Q7127" s="9" t="s">
        <v>7165</v>
      </c>
      <c r="R7127" s="10">
        <v>0.469123213984104</v>
      </c>
      <c r="S7127" s="10">
        <v>0.022827093155964418</v>
      </c>
      <c r="T7127" s="10">
        <v>18.798854985702803</v>
      </c>
      <c r="U7127" s="11">
        <v>0.10046516070124248</v>
      </c>
      <c r="V7127" s="11">
        <v>0.046758157695523696</v>
      </c>
      <c r="W7127" s="11">
        <v>0.1898172701145249</v>
      </c>
      <c r="X7127" s="11">
        <v>0.23487673089514147</v>
      </c>
      <c r="Y7127" s="11">
        <v>0.26022945240839096</v>
      </c>
      <c r="Z7127" s="11">
        <v>0.16785322818517662</v>
      </c>
    </row>
    <row r="7128" ht="22.5" customHeight="1">
      <c r="Q7128" s="9" t="s">
        <v>7166</v>
      </c>
      <c r="R7128" s="10">
        <v>0.9220193996785347</v>
      </c>
      <c r="S7128" s="10">
        <v>0.046920773492699006</v>
      </c>
      <c r="T7128" s="10">
        <v>18.798057534490116</v>
      </c>
      <c r="U7128" s="11">
        <v>0.01592825519168552</v>
      </c>
      <c r="V7128" s="11">
        <v>0.1795055991004785</v>
      </c>
      <c r="W7128" s="11">
        <v>0.39519790068427785</v>
      </c>
      <c r="X7128" s="11">
        <v>0.32033108591509435</v>
      </c>
      <c r="Y7128" s="11">
        <v>0.013995943761158446</v>
      </c>
      <c r="Z7128" s="11">
        <v>0.07504121534730526</v>
      </c>
    </row>
    <row r="7129" ht="22.5" customHeight="1">
      <c r="Q7129" s="9" t="s">
        <v>7167</v>
      </c>
      <c r="R7129" s="10">
        <v>0.8089780077067829</v>
      </c>
      <c r="S7129" s="10">
        <v>0.040908652800160566</v>
      </c>
      <c r="T7129" s="10">
        <v>18.797441496381044</v>
      </c>
      <c r="U7129" s="11">
        <v>0.12188398358009075</v>
      </c>
      <c r="V7129" s="11">
        <v>0.3748058977879778</v>
      </c>
      <c r="W7129" s="11">
        <v>0.10869505109257054</v>
      </c>
      <c r="X7129" s="11">
        <v>0.13918691679906883</v>
      </c>
      <c r="Y7129" s="11">
        <v>0.24226850689496543</v>
      </c>
      <c r="Z7129" s="11">
        <v>0.0131596438453268</v>
      </c>
    </row>
    <row r="7130" ht="22.5" customHeight="1">
      <c r="Q7130" s="9" t="s">
        <v>7168</v>
      </c>
      <c r="R7130" s="10">
        <v>0.6083410909379744</v>
      </c>
      <c r="S7130" s="10">
        <v>0.030235068128083045</v>
      </c>
      <c r="T7130" s="10">
        <v>18.797413934387194</v>
      </c>
      <c r="U7130" s="11">
        <v>0.1262276469444892</v>
      </c>
      <c r="V7130" s="11">
        <v>0.11710666707508824</v>
      </c>
      <c r="W7130" s="11">
        <v>0.247576741803663</v>
      </c>
      <c r="X7130" s="11">
        <v>0.023795049240425446</v>
      </c>
      <c r="Y7130" s="11">
        <v>0.2293470511952937</v>
      </c>
      <c r="Z7130" s="11">
        <v>0.25594684374104043</v>
      </c>
    </row>
    <row r="7131" ht="22.5" customHeight="1">
      <c r="Q7131" s="9" t="s">
        <v>7169</v>
      </c>
      <c r="R7131" s="10">
        <v>0.7326135158074462</v>
      </c>
      <c r="S7131" s="10">
        <v>0.03684738021436628</v>
      </c>
      <c r="T7131" s="10">
        <v>18.796818438055624</v>
      </c>
      <c r="U7131" s="11">
        <v>0.23726744713139183</v>
      </c>
      <c r="V7131" s="11">
        <v>0.11987324230123125</v>
      </c>
      <c r="W7131" s="11">
        <v>0.3142245962331234</v>
      </c>
      <c r="X7131" s="11">
        <v>0.24064362923489993</v>
      </c>
      <c r="Y7131" s="11">
        <v>0.0509868818024184</v>
      </c>
      <c r="Z7131" s="11">
        <v>0.03700420329693533</v>
      </c>
    </row>
    <row r="7132" ht="22.5" customHeight="1">
      <c r="Q7132" s="9" t="s">
        <v>7170</v>
      </c>
      <c r="R7132" s="10">
        <v>0.5331352789765179</v>
      </c>
      <c r="S7132" s="10">
        <v>0.026235252755498872</v>
      </c>
      <c r="T7132" s="10">
        <v>18.796665828697133</v>
      </c>
      <c r="U7132" s="11">
        <v>0.09164950481802955</v>
      </c>
      <c r="V7132" s="11">
        <v>0.06345400918084715</v>
      </c>
      <c r="W7132" s="11">
        <v>0.22235770128547763</v>
      </c>
      <c r="X7132" s="11">
        <v>0.24345393869162688</v>
      </c>
      <c r="Y7132" s="11">
        <v>0.2111532548202446</v>
      </c>
      <c r="Z7132" s="11">
        <v>0.16793159120377427</v>
      </c>
    </row>
    <row r="7133" ht="22.5" customHeight="1">
      <c r="Q7133" s="9" t="s">
        <v>7171</v>
      </c>
      <c r="R7133" s="10">
        <v>0.2505187717089372</v>
      </c>
      <c r="S7133" s="10">
        <v>0.011199835061483598</v>
      </c>
      <c r="T7133" s="10">
        <v>18.796595713531037</v>
      </c>
      <c r="U7133" s="11">
        <v>0.30613901329653476</v>
      </c>
      <c r="V7133" s="11">
        <v>0.019297388423679753</v>
      </c>
      <c r="W7133" s="11">
        <v>0.055924480529219986</v>
      </c>
      <c r="X7133" s="11">
        <v>0.164813335246893</v>
      </c>
      <c r="Y7133" s="11">
        <v>0.25914635741630754</v>
      </c>
      <c r="Z7133" s="11">
        <v>0.19467942508736513</v>
      </c>
    </row>
    <row r="7134" ht="22.5" customHeight="1">
      <c r="Q7134" s="9" t="s">
        <v>7172</v>
      </c>
      <c r="R7134" s="10">
        <v>0.7262635007152132</v>
      </c>
      <c r="S7134" s="10">
        <v>0.03651263575475287</v>
      </c>
      <c r="T7134" s="10">
        <v>18.795233116685687</v>
      </c>
      <c r="U7134" s="11">
        <v>0.014453268763523111</v>
      </c>
      <c r="V7134" s="11">
        <v>0.3396295960179788</v>
      </c>
      <c r="W7134" s="11">
        <v>0.08129217050306353</v>
      </c>
      <c r="X7134" s="11">
        <v>0.2721227639253529</v>
      </c>
      <c r="Y7134" s="11">
        <v>0.12591642803076017</v>
      </c>
      <c r="Z7134" s="11">
        <v>0.16658577275932154</v>
      </c>
    </row>
    <row r="7135" ht="22.5" customHeight="1">
      <c r="Q7135" s="9" t="s">
        <v>7173</v>
      </c>
      <c r="R7135" s="10">
        <v>0.3236425941652037</v>
      </c>
      <c r="S7135" s="10">
        <v>0.015091278114366672</v>
      </c>
      <c r="T7135" s="10">
        <v>18.795133985051947</v>
      </c>
      <c r="U7135" s="11">
        <v>0.16956533151891778</v>
      </c>
      <c r="V7135" s="11">
        <v>0.11251304799245007</v>
      </c>
      <c r="W7135" s="11">
        <v>0.01892318197572054</v>
      </c>
      <c r="X7135" s="11">
        <v>0.10509642678486367</v>
      </c>
      <c r="Y7135" s="11">
        <v>0.37403005003972706</v>
      </c>
      <c r="Z7135" s="11">
        <v>0.219871961688321</v>
      </c>
    </row>
    <row r="7136" ht="22.5" customHeight="1">
      <c r="Q7136" s="9" t="s">
        <v>7174</v>
      </c>
      <c r="R7136" s="10">
        <v>0.6334827677011534</v>
      </c>
      <c r="S7136" s="10">
        <v>0.031576817281230234</v>
      </c>
      <c r="T7136" s="10">
        <v>18.794888744342483</v>
      </c>
      <c r="U7136" s="11">
        <v>0.2724917767124891</v>
      </c>
      <c r="V7136" s="11">
        <v>0.11694128691726993</v>
      </c>
      <c r="W7136" s="11">
        <v>0.2619903494514453</v>
      </c>
      <c r="X7136" s="11">
        <v>0.05131247070091811</v>
      </c>
      <c r="Y7136" s="11">
        <v>0.12891836293453507</v>
      </c>
      <c r="Z7136" s="11">
        <v>0.16834575328334261</v>
      </c>
    </row>
    <row r="7137" ht="22.5" customHeight="1">
      <c r="Q7137" s="9" t="s">
        <v>7175</v>
      </c>
      <c r="R7137" s="10">
        <v>0.48205376356288043</v>
      </c>
      <c r="S7137" s="10">
        <v>0.023521111809693407</v>
      </c>
      <c r="T7137" s="10">
        <v>18.7939144688179</v>
      </c>
      <c r="U7137" s="11">
        <v>0.19777924217573725</v>
      </c>
      <c r="V7137" s="11">
        <v>0.05949374809559774</v>
      </c>
      <c r="W7137" s="11">
        <v>0.19899420505135998</v>
      </c>
      <c r="X7137" s="11">
        <v>0.23841534066593406</v>
      </c>
      <c r="Y7137" s="11">
        <v>0.003667095453652171</v>
      </c>
      <c r="Z7137" s="11">
        <v>0.3016503685577188</v>
      </c>
    </row>
    <row r="7138" ht="22.5" customHeight="1">
      <c r="Q7138" s="9" t="s">
        <v>7176</v>
      </c>
      <c r="R7138" s="10">
        <v>0.8768214460441104</v>
      </c>
      <c r="S7138" s="10">
        <v>0.04452851737672372</v>
      </c>
      <c r="T7138" s="10">
        <v>18.792933053763427</v>
      </c>
      <c r="U7138" s="11">
        <v>0.08073400256661799</v>
      </c>
      <c r="V7138" s="11">
        <v>0.1826691869973818</v>
      </c>
      <c r="W7138" s="11">
        <v>0.3707905883035153</v>
      </c>
      <c r="X7138" s="11">
        <v>0.151534155906019</v>
      </c>
      <c r="Y7138" s="11">
        <v>0.10748672976619822</v>
      </c>
      <c r="Z7138" s="11">
        <v>0.10678533646026758</v>
      </c>
    </row>
    <row r="7139" ht="22.5" customHeight="1">
      <c r="Q7139" s="9" t="s">
        <v>7177</v>
      </c>
      <c r="R7139" s="10">
        <v>0.3552181956189398</v>
      </c>
      <c r="S7139" s="10">
        <v>0.016774888351619735</v>
      </c>
      <c r="T7139" s="10">
        <v>18.791075625162254</v>
      </c>
      <c r="U7139" s="11">
        <v>0.1640691704372475</v>
      </c>
      <c r="V7139" s="11">
        <v>0.021291989742017334</v>
      </c>
      <c r="W7139" s="11">
        <v>0.13286901034673548</v>
      </c>
      <c r="X7139" s="11">
        <v>0.24281824229334817</v>
      </c>
      <c r="Y7139" s="11">
        <v>0.195746715027409</v>
      </c>
      <c r="Z7139" s="11">
        <v>0.24320487215324238</v>
      </c>
    </row>
    <row r="7140" ht="22.5" customHeight="1">
      <c r="Q7140" s="9" t="s">
        <v>7178</v>
      </c>
      <c r="R7140" s="10">
        <v>0.5935547728868481</v>
      </c>
      <c r="S7140" s="10">
        <v>0.02946037549106603</v>
      </c>
      <c r="T7140" s="10">
        <v>18.78980711073135</v>
      </c>
      <c r="U7140" s="11">
        <v>0.2486527255750881</v>
      </c>
      <c r="V7140" s="11">
        <v>0.08375776315629767</v>
      </c>
      <c r="W7140" s="11">
        <v>0.2514108730358167</v>
      </c>
      <c r="X7140" s="11">
        <v>0.20895506912262748</v>
      </c>
      <c r="Y7140" s="11">
        <v>0.07741072135718301</v>
      </c>
      <c r="Z7140" s="11">
        <v>0.12981284775298696</v>
      </c>
    </row>
    <row r="7141" ht="22.5" customHeight="1">
      <c r="Q7141" s="9" t="s">
        <v>7179</v>
      </c>
      <c r="R7141" s="10">
        <v>0.5794405369713068</v>
      </c>
      <c r="S7141" s="10">
        <v>0.028710262320740036</v>
      </c>
      <c r="T7141" s="10">
        <v>18.789119059411025</v>
      </c>
      <c r="U7141" s="11">
        <v>0.13072925803762941</v>
      </c>
      <c r="V7141" s="11">
        <v>0.26644865039525895</v>
      </c>
      <c r="W7141" s="11">
        <v>0.049948983816095985</v>
      </c>
      <c r="X7141" s="11">
        <v>0.21531800017830488</v>
      </c>
      <c r="Y7141" s="11">
        <v>0.14380572778673073</v>
      </c>
      <c r="Z7141" s="11">
        <v>0.19374937978597995</v>
      </c>
    </row>
    <row r="7142" ht="22.5" customHeight="1">
      <c r="Q7142" s="9" t="s">
        <v>7180</v>
      </c>
      <c r="R7142" s="10">
        <v>0.22395172713304345</v>
      </c>
      <c r="S7142" s="10">
        <v>0.0097905918118948</v>
      </c>
      <c r="T7142" s="10">
        <v>18.788621838932816</v>
      </c>
      <c r="U7142" s="11">
        <v>0.30462470200257025</v>
      </c>
      <c r="V7142" s="11">
        <v>0.036991820253415644</v>
      </c>
      <c r="W7142" s="11">
        <v>0.007644332160408027</v>
      </c>
      <c r="X7142" s="11">
        <v>0.2884299029471623</v>
      </c>
      <c r="Y7142" s="11">
        <v>0.17308839873464996</v>
      </c>
      <c r="Z7142" s="11">
        <v>0.18922084390179375</v>
      </c>
    </row>
    <row r="7143" ht="22.5" customHeight="1">
      <c r="Q7143" s="9" t="s">
        <v>7181</v>
      </c>
      <c r="R7143" s="10">
        <v>0.6863946574955595</v>
      </c>
      <c r="S7143" s="10">
        <v>0.03440369699644263</v>
      </c>
      <c r="T7143" s="10">
        <v>18.78852315093919</v>
      </c>
      <c r="U7143" s="11">
        <v>0.27291545206748535</v>
      </c>
      <c r="V7143" s="11">
        <v>0.14094053329632536</v>
      </c>
      <c r="W7143" s="11">
        <v>0.2833545577242923</v>
      </c>
      <c r="X7143" s="11">
        <v>0.037361215726834436</v>
      </c>
      <c r="Y7143" s="11">
        <v>0.05041196245851726</v>
      </c>
      <c r="Z7143" s="11">
        <v>0.21501627872654522</v>
      </c>
    </row>
    <row r="7144" ht="22.5" customHeight="1">
      <c r="Q7144" s="9" t="s">
        <v>7182</v>
      </c>
      <c r="R7144" s="10">
        <v>0.3875607277982619</v>
      </c>
      <c r="S7144" s="10">
        <v>0.0184986981433587</v>
      </c>
      <c r="T7144" s="10">
        <v>18.788388518196413</v>
      </c>
      <c r="U7144" s="11">
        <v>0.133776049442855</v>
      </c>
      <c r="V7144" s="11">
        <v>0.16517895216636774</v>
      </c>
      <c r="W7144" s="11">
        <v>0.014326151629239326</v>
      </c>
      <c r="X7144" s="11">
        <v>0.24409516337650938</v>
      </c>
      <c r="Y7144" s="11">
        <v>0.09744386091272864</v>
      </c>
      <c r="Z7144" s="11">
        <v>0.3451798224722999</v>
      </c>
    </row>
    <row r="7145" ht="22.5" customHeight="1">
      <c r="Q7145" s="9" t="s">
        <v>7183</v>
      </c>
      <c r="R7145" s="10">
        <v>0.5747314658482472</v>
      </c>
      <c r="S7145" s="10">
        <v>0.02846075017566133</v>
      </c>
      <c r="T7145" s="10">
        <v>18.788382686607164</v>
      </c>
      <c r="U7145" s="11">
        <v>0.2602163390871527</v>
      </c>
      <c r="V7145" s="11">
        <v>0.26309703803082646</v>
      </c>
      <c r="W7145" s="11">
        <v>0.05162374859640246</v>
      </c>
      <c r="X7145" s="11">
        <v>0.21363412266515217</v>
      </c>
      <c r="Y7145" s="11">
        <v>0.02857393980856025</v>
      </c>
      <c r="Z7145" s="11">
        <v>0.18285481181190597</v>
      </c>
    </row>
    <row r="7146" ht="22.5" customHeight="1">
      <c r="Q7146" s="9" t="s">
        <v>7184</v>
      </c>
      <c r="R7146" s="10">
        <v>0.8972328782117399</v>
      </c>
      <c r="S7146" s="10">
        <v>0.04562850557646211</v>
      </c>
      <c r="T7146" s="10">
        <v>18.78722231599782</v>
      </c>
      <c r="U7146" s="11">
        <v>0.12577993133625873</v>
      </c>
      <c r="V7146" s="11">
        <v>0.2000084068898791</v>
      </c>
      <c r="W7146" s="11">
        <v>0.37451919929981115</v>
      </c>
      <c r="X7146" s="11">
        <v>0.07044775542196972</v>
      </c>
      <c r="Y7146" s="11">
        <v>0.12789292225341087</v>
      </c>
      <c r="Z7146" s="11">
        <v>0.10135178479867055</v>
      </c>
    </row>
    <row r="7147" ht="22.5" customHeight="1">
      <c r="Q7147" s="9" t="s">
        <v>7185</v>
      </c>
      <c r="R7147" s="10">
        <v>0.6524135707104863</v>
      </c>
      <c r="S7147" s="10">
        <v>0.032597729455630886</v>
      </c>
      <c r="T7147" s="10">
        <v>18.787000841394455</v>
      </c>
      <c r="U7147" s="11">
        <v>0.12058335396276472</v>
      </c>
      <c r="V7147" s="11">
        <v>0.12863961392948192</v>
      </c>
      <c r="W7147" s="11">
        <v>0.2715161674475059</v>
      </c>
      <c r="X7147" s="11">
        <v>0.09788807926742088</v>
      </c>
      <c r="Y7147" s="11">
        <v>0.049231117454047096</v>
      </c>
      <c r="Z7147" s="11">
        <v>0.3321416679387796</v>
      </c>
    </row>
    <row r="7148" ht="22.5" customHeight="1">
      <c r="Q7148" s="9" t="s">
        <v>7186</v>
      </c>
      <c r="R7148" s="10">
        <v>0.8092966799324124</v>
      </c>
      <c r="S7148" s="10">
        <v>0.04094884417706905</v>
      </c>
      <c r="T7148" s="10">
        <v>18.78677397110053</v>
      </c>
      <c r="U7148" s="11">
        <v>0.11067600325941598</v>
      </c>
      <c r="V7148" s="11">
        <v>0.15388532624312967</v>
      </c>
      <c r="W7148" s="11">
        <v>0.3456826790183178</v>
      </c>
      <c r="X7148" s="11">
        <v>0.20977972187336583</v>
      </c>
      <c r="Y7148" s="11">
        <v>0.05532629565875137</v>
      </c>
      <c r="Z7148" s="11">
        <v>0.12464997394701939</v>
      </c>
    </row>
    <row r="7149" ht="22.5" customHeight="1">
      <c r="Q7149" s="9" t="s">
        <v>7187</v>
      </c>
      <c r="R7149" s="10">
        <v>0.36857699936696703</v>
      </c>
      <c r="S7149" s="10">
        <v>0.017489924191202457</v>
      </c>
      <c r="T7149" s="10">
        <v>18.786645143507446</v>
      </c>
      <c r="U7149" s="11">
        <v>0.20030045051344758</v>
      </c>
      <c r="V7149" s="11">
        <v>0.14318394007469962</v>
      </c>
      <c r="W7149" s="11">
        <v>0.02477129959200654</v>
      </c>
      <c r="X7149" s="11">
        <v>0.07686280458048364</v>
      </c>
      <c r="Y7149" s="11">
        <v>0.3351346331543236</v>
      </c>
      <c r="Z7149" s="11">
        <v>0.21974687208503904</v>
      </c>
    </row>
    <row r="7150" ht="22.5" customHeight="1">
      <c r="Q7150" s="9" t="s">
        <v>7188</v>
      </c>
      <c r="R7150" s="10">
        <v>0.5102472315230024</v>
      </c>
      <c r="S7150" s="10">
        <v>0.025032393074536544</v>
      </c>
      <c r="T7150" s="10">
        <v>18.785548394146442</v>
      </c>
      <c r="U7150" s="11">
        <v>0.1992036538531329</v>
      </c>
      <c r="V7150" s="11">
        <v>0.05772385175675554</v>
      </c>
      <c r="W7150" s="11">
        <v>0.21110554703811527</v>
      </c>
      <c r="X7150" s="11">
        <v>0.20661259419241187</v>
      </c>
      <c r="Y7150" s="11">
        <v>0.20420541501500422</v>
      </c>
      <c r="Z7150" s="11">
        <v>0.12114893814458028</v>
      </c>
    </row>
    <row r="7151" ht="22.5" customHeight="1">
      <c r="Q7151" s="9" t="s">
        <v>7189</v>
      </c>
      <c r="R7151" s="10">
        <v>0.5828121654422496</v>
      </c>
      <c r="S7151" s="10">
        <v>0.02889620515914587</v>
      </c>
      <c r="T7151" s="10">
        <v>18.78489450267643</v>
      </c>
      <c r="U7151" s="11">
        <v>0.07013429713273488</v>
      </c>
      <c r="V7151" s="11">
        <v>0.09668523810452186</v>
      </c>
      <c r="W7151" s="11">
        <v>0.2442946901596667</v>
      </c>
      <c r="X7151" s="11">
        <v>0.16381596817048155</v>
      </c>
      <c r="Y7151" s="11">
        <v>0.09615216462547342</v>
      </c>
      <c r="Z7151" s="11">
        <v>0.32891764180712163</v>
      </c>
    </row>
    <row r="7152" ht="22.5" customHeight="1">
      <c r="Q7152" s="9" t="s">
        <v>7190</v>
      </c>
      <c r="R7152" s="10">
        <v>0.23229757921092462</v>
      </c>
      <c r="S7152" s="10">
        <v>0.010236918432512032</v>
      </c>
      <c r="T7152" s="10">
        <v>18.78471343487464</v>
      </c>
      <c r="U7152" s="11">
        <v>0.33937121450548496</v>
      </c>
      <c r="V7152" s="11">
        <v>0.023432003524136293</v>
      </c>
      <c r="W7152" s="11">
        <v>0.04115365353811938</v>
      </c>
      <c r="X7152" s="11">
        <v>0.165620668140239</v>
      </c>
      <c r="Y7152" s="11">
        <v>0.19219895802636125</v>
      </c>
      <c r="Z7152" s="11">
        <v>0.23822350226565905</v>
      </c>
    </row>
    <row r="7153" ht="22.5" customHeight="1">
      <c r="Q7153" s="9" t="s">
        <v>7191</v>
      </c>
      <c r="R7153" s="10">
        <v>0.46768369643031227</v>
      </c>
      <c r="S7153" s="10">
        <v>0.02276874697647028</v>
      </c>
      <c r="T7153" s="10">
        <v>18.78380469826864</v>
      </c>
      <c r="U7153" s="11">
        <v>0.16481152697358425</v>
      </c>
      <c r="V7153" s="11">
        <v>0.053817159165819764</v>
      </c>
      <c r="W7153" s="11">
        <v>0.1897375191148917</v>
      </c>
      <c r="X7153" s="11">
        <v>0.16663290823314342</v>
      </c>
      <c r="Y7153" s="11">
        <v>0.22247821073117394</v>
      </c>
      <c r="Z7153" s="11">
        <v>0.20252267578138702</v>
      </c>
    </row>
    <row r="7154" ht="22.5" customHeight="1">
      <c r="Q7154" s="9" t="s">
        <v>7192</v>
      </c>
      <c r="R7154" s="10">
        <v>0.5458489879505996</v>
      </c>
      <c r="S7154" s="10">
        <v>0.026930599007645224</v>
      </c>
      <c r="T7154" s="10">
        <v>18.783428760979138</v>
      </c>
      <c r="U7154" s="11">
        <v>0.012569714958028132</v>
      </c>
      <c r="V7154" s="11">
        <v>0.24412634953859755</v>
      </c>
      <c r="W7154" s="11">
        <v>0.05890875291432506</v>
      </c>
      <c r="X7154" s="11">
        <v>0.09269930436264266</v>
      </c>
      <c r="Y7154" s="11">
        <v>0.31518261668061537</v>
      </c>
      <c r="Z7154" s="11">
        <v>0.2765132615457913</v>
      </c>
    </row>
    <row r="7155" ht="22.5" customHeight="1">
      <c r="Q7155" s="9" t="s">
        <v>7193</v>
      </c>
      <c r="R7155" s="10">
        <v>0.5601944083433716</v>
      </c>
      <c r="S7155" s="10">
        <v>0.027695176671225733</v>
      </c>
      <c r="T7155" s="10">
        <v>18.782852137709394</v>
      </c>
      <c r="U7155" s="11">
        <v>0.3098752499505376</v>
      </c>
      <c r="V7155" s="11">
        <v>0.25466428986694906</v>
      </c>
      <c r="W7155" s="11">
        <v>0.051384551201201355</v>
      </c>
      <c r="X7155" s="11">
        <v>0.19300204665501627</v>
      </c>
      <c r="Y7155" s="11">
        <v>0.007330983540128999</v>
      </c>
      <c r="Z7155" s="11">
        <v>0.18374287878616677</v>
      </c>
    </row>
    <row r="7156" ht="22.5" customHeight="1">
      <c r="Q7156" s="9" t="s">
        <v>7194</v>
      </c>
      <c r="R7156" s="10">
        <v>0.536156623839281</v>
      </c>
      <c r="S7156" s="10">
        <v>0.026415582781879353</v>
      </c>
      <c r="T7156" s="10">
        <v>18.782724876304304</v>
      </c>
      <c r="U7156" s="11">
        <v>0.22205806730726685</v>
      </c>
      <c r="V7156" s="11">
        <v>0.24409711619156169</v>
      </c>
      <c r="W7156" s="11">
        <v>0.0421009153544929</v>
      </c>
      <c r="X7156" s="11">
        <v>0.21545141453165265</v>
      </c>
      <c r="Y7156" s="11">
        <v>0.06804637984560552</v>
      </c>
      <c r="Z7156" s="11">
        <v>0.20824610676942054</v>
      </c>
    </row>
    <row r="7157" ht="22.5" customHeight="1">
      <c r="Q7157" s="9" t="s">
        <v>7195</v>
      </c>
      <c r="R7157" s="10">
        <v>0.4373805329445911</v>
      </c>
      <c r="S7157" s="10">
        <v>0.021157146839488026</v>
      </c>
      <c r="T7157" s="10">
        <v>18.782330904983557</v>
      </c>
      <c r="U7157" s="11">
        <v>0.2182914915907252</v>
      </c>
      <c r="V7157" s="11">
        <v>0.035902724345798095</v>
      </c>
      <c r="W7157" s="11">
        <v>0.17448417310663938</v>
      </c>
      <c r="X7157" s="11">
        <v>0.2328657772940168</v>
      </c>
      <c r="Y7157" s="11">
        <v>0.22221656030795844</v>
      </c>
      <c r="Z7157" s="11">
        <v>0.11623927335486213</v>
      </c>
    </row>
    <row r="7158" ht="22.5" customHeight="1">
      <c r="Q7158" s="9" t="s">
        <v>7196</v>
      </c>
      <c r="R7158" s="10">
        <v>0.5941307063107223</v>
      </c>
      <c r="S7158" s="10">
        <v>0.029502842749494485</v>
      </c>
      <c r="T7158" s="10">
        <v>18.78228179622511</v>
      </c>
      <c r="U7158" s="11">
        <v>0.3273252073186838</v>
      </c>
      <c r="V7158" s="11">
        <v>0.09808568372606745</v>
      </c>
      <c r="W7158" s="11">
        <v>0.24723123525937227</v>
      </c>
      <c r="X7158" s="11">
        <v>0.10111224942583352</v>
      </c>
      <c r="Y7158" s="11">
        <v>0.07338489174432915</v>
      </c>
      <c r="Z7158" s="11">
        <v>0.1528607325257139</v>
      </c>
    </row>
    <row r="7159" ht="22.5" customHeight="1">
      <c r="Q7159" s="9" t="s">
        <v>7197</v>
      </c>
      <c r="R7159" s="10">
        <v>0.41371979990187163</v>
      </c>
      <c r="S7159" s="10">
        <v>0.019899689757358546</v>
      </c>
      <c r="T7159" s="10">
        <v>18.78018222689511</v>
      </c>
      <c r="U7159" s="11">
        <v>0.16905085466434244</v>
      </c>
      <c r="V7159" s="11">
        <v>0.059993493550134724</v>
      </c>
      <c r="W7159" s="11">
        <v>0.15618665057464873</v>
      </c>
      <c r="X7159" s="11">
        <v>0.04228597497720262</v>
      </c>
      <c r="Y7159" s="11">
        <v>0.2732908191547899</v>
      </c>
      <c r="Z7159" s="11">
        <v>0.29919220707888144</v>
      </c>
    </row>
    <row r="7160" ht="22.5" customHeight="1">
      <c r="Q7160" s="9" t="s">
        <v>7198</v>
      </c>
      <c r="R7160" s="10">
        <v>0.977999398260328</v>
      </c>
      <c r="S7160" s="10">
        <v>0.04994934324936068</v>
      </c>
      <c r="T7160" s="10">
        <v>18.77901364143229</v>
      </c>
      <c r="U7160" s="11">
        <v>0.08602409894738501</v>
      </c>
      <c r="V7160" s="11">
        <v>0.45233894649736667</v>
      </c>
      <c r="W7160" s="11">
        <v>0.1740320916399752</v>
      </c>
      <c r="X7160" s="11">
        <v>0.10670597925555193</v>
      </c>
      <c r="Y7160" s="11">
        <v>0.02429985084926559</v>
      </c>
      <c r="Z7160" s="11">
        <v>0.15659903281045554</v>
      </c>
    </row>
    <row r="7161" ht="22.5" customHeight="1">
      <c r="Q7161" s="9" t="s">
        <v>7199</v>
      </c>
      <c r="R7161" s="10">
        <v>0.6380747087920838</v>
      </c>
      <c r="S7161" s="10">
        <v>0.03184839599298383</v>
      </c>
      <c r="T7161" s="10">
        <v>18.778801573675455</v>
      </c>
      <c r="U7161" s="11">
        <v>0.18127040131551175</v>
      </c>
      <c r="V7161" s="11">
        <v>0.2930948379372394</v>
      </c>
      <c r="W7161" s="11">
        <v>0.0763021939732127</v>
      </c>
      <c r="X7161" s="11">
        <v>0.09584836590263116</v>
      </c>
      <c r="Y7161" s="11">
        <v>0.17222584022962562</v>
      </c>
      <c r="Z7161" s="11">
        <v>0.18125836064177947</v>
      </c>
    </row>
    <row r="7162" ht="22.5" customHeight="1">
      <c r="Q7162" s="9" t="s">
        <v>7200</v>
      </c>
      <c r="R7162" s="10">
        <v>0.45890243597324804</v>
      </c>
      <c r="S7162" s="10">
        <v>0.02230762017536812</v>
      </c>
      <c r="T7162" s="10">
        <v>18.778445781311827</v>
      </c>
      <c r="U7162" s="11">
        <v>0.396649713014937</v>
      </c>
      <c r="V7162" s="11">
        <v>0.07387521930312059</v>
      </c>
      <c r="W7162" s="11">
        <v>0.17825430097040504</v>
      </c>
      <c r="X7162" s="11">
        <v>0.03661886334807426</v>
      </c>
      <c r="Y7162" s="11">
        <v>0.06872652550944397</v>
      </c>
      <c r="Z7162" s="11">
        <v>0.2458753778540194</v>
      </c>
    </row>
    <row r="7163" ht="22.5" customHeight="1">
      <c r="Q7163" s="9" t="s">
        <v>7201</v>
      </c>
      <c r="R7163" s="10">
        <v>0.5575790066640003</v>
      </c>
      <c r="S7163" s="10">
        <v>0.02756275967774432</v>
      </c>
      <c r="T7163" s="10">
        <v>18.778199741803135</v>
      </c>
      <c r="U7163" s="11">
        <v>0.2770474846309014</v>
      </c>
      <c r="V7163" s="11">
        <v>0.08209003515561146</v>
      </c>
      <c r="W7163" s="11">
        <v>0.23250568208914646</v>
      </c>
      <c r="X7163" s="11">
        <v>0.13340456471525902</v>
      </c>
      <c r="Y7163" s="11">
        <v>0.11454789761893472</v>
      </c>
      <c r="Z7163" s="11">
        <v>0.16040433579014693</v>
      </c>
    </row>
    <row r="7164" ht="22.5" customHeight="1">
      <c r="Q7164" s="9" t="s">
        <v>7202</v>
      </c>
      <c r="R7164" s="10">
        <v>0.5936584766637232</v>
      </c>
      <c r="S7164" s="10">
        <v>0.029485005545009935</v>
      </c>
      <c r="T7164" s="10">
        <v>18.777628371768266</v>
      </c>
      <c r="U7164" s="11">
        <v>0.1602642313366204</v>
      </c>
      <c r="V7164" s="11">
        <v>0.2681268820814537</v>
      </c>
      <c r="W7164" s="11">
        <v>0.06854490483837922</v>
      </c>
      <c r="X7164" s="11">
        <v>0.06259259428190155</v>
      </c>
      <c r="Y7164" s="11">
        <v>0.2656978520339098</v>
      </c>
      <c r="Z7164" s="11">
        <v>0.17477353542773524</v>
      </c>
    </row>
    <row r="7165" ht="22.5" customHeight="1">
      <c r="Q7165" s="9" t="s">
        <v>7203</v>
      </c>
      <c r="R7165" s="10">
        <v>0.38353147446891545</v>
      </c>
      <c r="S7165" s="10">
        <v>0.01829491788452646</v>
      </c>
      <c r="T7165" s="10">
        <v>18.777426421764304</v>
      </c>
      <c r="U7165" s="11">
        <v>0.19133820834377518</v>
      </c>
      <c r="V7165" s="11">
        <v>0.15939007267599212</v>
      </c>
      <c r="W7165" s="11">
        <v>0.01655283432249223</v>
      </c>
      <c r="X7165" s="11">
        <v>0.15514598273518382</v>
      </c>
      <c r="Y7165" s="11">
        <v>0.2291768739636438</v>
      </c>
      <c r="Z7165" s="11">
        <v>0.2483960279589129</v>
      </c>
    </row>
    <row r="7166" ht="22.5" customHeight="1">
      <c r="Q7166" s="9" t="s">
        <v>7204</v>
      </c>
      <c r="R7166" s="10">
        <v>0.7672874968827312</v>
      </c>
      <c r="S7166" s="10">
        <v>0.03873500344839018</v>
      </c>
      <c r="T7166" s="10">
        <v>18.77597604584587</v>
      </c>
      <c r="U7166" s="11">
        <v>0.15241303887340202</v>
      </c>
      <c r="V7166" s="11">
        <v>0.35735379122632666</v>
      </c>
      <c r="W7166" s="11">
        <v>0.09303445205217334</v>
      </c>
      <c r="X7166" s="11">
        <v>0.17856933400447225</v>
      </c>
      <c r="Y7166" s="11">
        <v>0.19246791632510885</v>
      </c>
      <c r="Z7166" s="11">
        <v>0.02616146751851678</v>
      </c>
    </row>
    <row r="7167" ht="22.5" customHeight="1">
      <c r="Q7167" s="9" t="s">
        <v>7205</v>
      </c>
      <c r="R7167" s="10">
        <v>0.6692248908340993</v>
      </c>
      <c r="S7167" s="10">
        <v>0.03351230606859899</v>
      </c>
      <c r="T7167" s="10">
        <v>18.77593531003474</v>
      </c>
      <c r="U7167" s="11">
        <v>0.08129395798945828</v>
      </c>
      <c r="V7167" s="11">
        <v>0.11014276573495915</v>
      </c>
      <c r="W7167" s="11">
        <v>0.28590538310311536</v>
      </c>
      <c r="X7167" s="11">
        <v>0.24426349367511566</v>
      </c>
      <c r="Y7167" s="11">
        <v>0.04887475225052341</v>
      </c>
      <c r="Z7167" s="11">
        <v>0.22951964724682805</v>
      </c>
    </row>
    <row r="7168" ht="22.5" customHeight="1">
      <c r="Q7168" s="9" t="s">
        <v>7206</v>
      </c>
      <c r="R7168" s="10">
        <v>0.7875237205370558</v>
      </c>
      <c r="S7168" s="10">
        <v>0.03981310734271676</v>
      </c>
      <c r="T7168" s="10">
        <v>18.77581958379354</v>
      </c>
      <c r="U7168" s="11">
        <v>0.24015861607904052</v>
      </c>
      <c r="V7168" s="11">
        <v>0.1579163196348207</v>
      </c>
      <c r="W7168" s="11">
        <v>0.332031736496344</v>
      </c>
      <c r="X7168" s="11">
        <v>0.09798117965062879</v>
      </c>
      <c r="Y7168" s="11">
        <v>0.07300039673976744</v>
      </c>
      <c r="Z7168" s="11">
        <v>0.09891175139939858</v>
      </c>
    </row>
    <row r="7169" ht="22.5" customHeight="1">
      <c r="Q7169" s="9" t="s">
        <v>7207</v>
      </c>
      <c r="R7169" s="10">
        <v>0.601945974879451</v>
      </c>
      <c r="S7169" s="10">
        <v>0.029929912070599033</v>
      </c>
      <c r="T7169" s="10">
        <v>18.77539678546085</v>
      </c>
      <c r="U7169" s="11">
        <v>0.013286184346848308</v>
      </c>
      <c r="V7169" s="11">
        <v>0.2726312767247877</v>
      </c>
      <c r="W7169" s="11">
        <v>0.083987386483369</v>
      </c>
      <c r="X7169" s="11">
        <v>0.04004489827996463</v>
      </c>
      <c r="Y7169" s="11">
        <v>0.22383413649912265</v>
      </c>
      <c r="Z7169" s="11">
        <v>0.3662161176659077</v>
      </c>
    </row>
    <row r="7170" ht="22.5" customHeight="1">
      <c r="Q7170" s="9" t="s">
        <v>7208</v>
      </c>
      <c r="R7170" s="10">
        <v>0.808813445271993</v>
      </c>
      <c r="S7170" s="10">
        <v>0.04094806388772577</v>
      </c>
      <c r="T7170" s="10">
        <v>18.775330803917342</v>
      </c>
      <c r="U7170" s="11">
        <v>0.17042891896997509</v>
      </c>
      <c r="V7170" s="11">
        <v>0.18099692546087137</v>
      </c>
      <c r="W7170" s="11">
        <v>0.3356707632513501</v>
      </c>
      <c r="X7170" s="11">
        <v>0.04832749950994526</v>
      </c>
      <c r="Y7170" s="11">
        <v>0.048959649580197856</v>
      </c>
      <c r="Z7170" s="11">
        <v>0.21561624322766032</v>
      </c>
    </row>
    <row r="7171" ht="22.5" customHeight="1">
      <c r="Q7171" s="9" t="s">
        <v>7209</v>
      </c>
      <c r="R7171" s="10">
        <v>0.2783772348551515</v>
      </c>
      <c r="S7171" s="10">
        <v>0.012696437336561027</v>
      </c>
      <c r="T7171" s="10">
        <v>18.775127898966865</v>
      </c>
      <c r="U7171" s="11">
        <v>0.3524308086157951</v>
      </c>
      <c r="V7171" s="11">
        <v>0.07775165180061622</v>
      </c>
      <c r="W7171" s="11">
        <v>0.04010170573491858</v>
      </c>
      <c r="X7171" s="11">
        <v>0.009794235842551452</v>
      </c>
      <c r="Y7171" s="11">
        <v>0.1661120965100374</v>
      </c>
      <c r="Z7171" s="11">
        <v>0.35380950149608115</v>
      </c>
    </row>
    <row r="7172" ht="22.5" customHeight="1">
      <c r="Q7172" s="9" t="s">
        <v>7210</v>
      </c>
      <c r="R7172" s="10">
        <v>0.522331348251574</v>
      </c>
      <c r="S7172" s="10">
        <v>0.022470189249775202</v>
      </c>
      <c r="T7172" s="10">
        <v>18.773984511003874</v>
      </c>
      <c r="U7172" s="11">
        <v>0.2611608740383927</v>
      </c>
      <c r="V7172" s="11">
        <v>0.19410734348198627</v>
      </c>
      <c r="W7172" s="11">
        <v>0.02193449738306084</v>
      </c>
      <c r="X7172" s="11">
        <v>0.18973651295504196</v>
      </c>
      <c r="Y7172" s="11">
        <v>0.33074879880945013</v>
      </c>
      <c r="Z7172" s="11">
        <v>0.0023119733320680555</v>
      </c>
    </row>
    <row r="7173" ht="22.5" customHeight="1">
      <c r="Q7173" s="9" t="s">
        <v>7211</v>
      </c>
      <c r="R7173" s="10">
        <v>0.5566308573260399</v>
      </c>
      <c r="S7173" s="10">
        <v>0.02752027497438327</v>
      </c>
      <c r="T7173" s="10">
        <v>18.772736021240195</v>
      </c>
      <c r="U7173" s="11">
        <v>0.22822192886678658</v>
      </c>
      <c r="V7173" s="11">
        <v>0.07897803497199254</v>
      </c>
      <c r="W7173" s="11">
        <v>0.2344686577846799</v>
      </c>
      <c r="X7173" s="11">
        <v>0.20762242186486826</v>
      </c>
      <c r="Y7173" s="11">
        <v>0.023548124168035464</v>
      </c>
      <c r="Z7173" s="11">
        <v>0.22716083234363724</v>
      </c>
    </row>
    <row r="7174" ht="22.5" customHeight="1">
      <c r="Q7174" s="9" t="s">
        <v>7212</v>
      </c>
      <c r="R7174" s="10">
        <v>0.23335091979645295</v>
      </c>
      <c r="S7174" s="10">
        <v>0.010300451851778266</v>
      </c>
      <c r="T7174" s="10">
        <v>18.77111048900956</v>
      </c>
      <c r="U7174" s="11">
        <v>0.3657724620189116</v>
      </c>
      <c r="V7174" s="11">
        <v>0.016726300711939094</v>
      </c>
      <c r="W7174" s="11">
        <v>0.03975280433637783</v>
      </c>
      <c r="X7174" s="11">
        <v>0.22505089088407595</v>
      </c>
      <c r="Y7174" s="11">
        <v>0.189953407097981</v>
      </c>
      <c r="Z7174" s="11">
        <v>0.1627441349507146</v>
      </c>
    </row>
    <row r="7175" ht="22.5" customHeight="1">
      <c r="Q7175" s="9" t="s">
        <v>7213</v>
      </c>
      <c r="R7175" s="10">
        <v>0.7345646998773439</v>
      </c>
      <c r="S7175" s="10">
        <v>0.03700287638281146</v>
      </c>
      <c r="T7175" s="10">
        <v>18.77055969086723</v>
      </c>
      <c r="U7175" s="11">
        <v>0.1465500231152106</v>
      </c>
      <c r="V7175" s="11">
        <v>0.13559011571087826</v>
      </c>
      <c r="W7175" s="11">
        <v>0.3121438324005115</v>
      </c>
      <c r="X7175" s="11">
        <v>0.1489009365028061</v>
      </c>
      <c r="Y7175" s="11">
        <v>0.10855605404478229</v>
      </c>
      <c r="Z7175" s="11">
        <v>0.14825903822581124</v>
      </c>
    </row>
    <row r="7176" ht="22.5" customHeight="1">
      <c r="Q7176" s="9" t="s">
        <v>7214</v>
      </c>
      <c r="R7176" s="10">
        <v>0.9543993635886632</v>
      </c>
      <c r="S7176" s="10">
        <v>0.048715237807922994</v>
      </c>
      <c r="T7176" s="10">
        <v>18.770294567667</v>
      </c>
      <c r="U7176" s="11">
        <v>0.07527258907510391</v>
      </c>
      <c r="V7176" s="11">
        <v>0.20396537378602517</v>
      </c>
      <c r="W7176" s="11">
        <v>0.4055255573038785</v>
      </c>
      <c r="X7176" s="11">
        <v>0.20262871850199204</v>
      </c>
      <c r="Y7176" s="11">
        <v>0.018810982899540297</v>
      </c>
      <c r="Z7176" s="11">
        <v>0.09379677843346003</v>
      </c>
    </row>
    <row r="7177" ht="22.5" customHeight="1">
      <c r="Q7177" s="9" t="s">
        <v>7215</v>
      </c>
      <c r="R7177" s="10">
        <v>0.30829704975444483</v>
      </c>
      <c r="S7177" s="10">
        <v>0.014293932766578822</v>
      </c>
      <c r="T7177" s="10">
        <v>18.769995223551085</v>
      </c>
      <c r="U7177" s="11">
        <v>0.07844201228233028</v>
      </c>
      <c r="V7177" s="11">
        <v>0.03315844783090116</v>
      </c>
      <c r="W7177" s="11">
        <v>0.09754597107041005</v>
      </c>
      <c r="X7177" s="11">
        <v>0.11446228491400025</v>
      </c>
      <c r="Y7177" s="11">
        <v>0.33405195024382855</v>
      </c>
      <c r="Z7177" s="11">
        <v>0.3423393336585298</v>
      </c>
    </row>
    <row r="7178" ht="22.5" customHeight="1">
      <c r="Q7178" s="9" t="s">
        <v>7216</v>
      </c>
      <c r="R7178" s="10">
        <v>0.5830407911296475</v>
      </c>
      <c r="S7178" s="10">
        <v>0.028932962337523176</v>
      </c>
      <c r="T7178" s="10">
        <v>18.76893160108177</v>
      </c>
      <c r="U7178" s="11">
        <v>0.28233742906797205</v>
      </c>
      <c r="V7178" s="11">
        <v>0.09757887083918478</v>
      </c>
      <c r="W7178" s="11">
        <v>0.2356957276670807</v>
      </c>
      <c r="X7178" s="11">
        <v>0.031216947762993823</v>
      </c>
      <c r="Y7178" s="11">
        <v>0.2876730244885309</v>
      </c>
      <c r="Z7178" s="11">
        <v>0.06549800017423779</v>
      </c>
    </row>
    <row r="7179" ht="22.5" customHeight="1">
      <c r="Q7179" s="9" t="s">
        <v>7217</v>
      </c>
      <c r="R7179" s="10">
        <v>0.29560844021629107</v>
      </c>
      <c r="S7179" s="10">
        <v>0.013619167412323802</v>
      </c>
      <c r="T7179" s="10">
        <v>18.768286817958817</v>
      </c>
      <c r="U7179" s="11">
        <v>0.1057795446332833</v>
      </c>
      <c r="V7179" s="11">
        <v>0.10336403353369994</v>
      </c>
      <c r="W7179" s="11">
        <v>2.0119293121770453E-4</v>
      </c>
      <c r="X7179" s="11">
        <v>0.3791145132578045</v>
      </c>
      <c r="Y7179" s="11">
        <v>0.025961298599906646</v>
      </c>
      <c r="Z7179" s="11">
        <v>0.38557941704408794</v>
      </c>
    </row>
    <row r="7180" ht="22.5" customHeight="1">
      <c r="Q7180" s="9" t="s">
        <v>7218</v>
      </c>
      <c r="R7180" s="10">
        <v>0.4969627032503917</v>
      </c>
      <c r="S7180" s="10">
        <v>0.024347859845567782</v>
      </c>
      <c r="T7180" s="10">
        <v>18.768085004135425</v>
      </c>
      <c r="U7180" s="11">
        <v>0.19593600756047447</v>
      </c>
      <c r="V7180" s="11">
        <v>0.2158812382775258</v>
      </c>
      <c r="W7180" s="11">
        <v>0.056626334451875586</v>
      </c>
      <c r="X7180" s="11">
        <v>0.008950616820122836</v>
      </c>
      <c r="Y7180" s="11">
        <v>0.27638829451427993</v>
      </c>
      <c r="Z7180" s="11">
        <v>0.24621750837572132</v>
      </c>
    </row>
    <row r="7181" ht="22.5" customHeight="1">
      <c r="Q7181" s="9" t="s">
        <v>7219</v>
      </c>
      <c r="R7181" s="10">
        <v>0.4603720080713822</v>
      </c>
      <c r="S7181" s="10">
        <v>0.02239844363591859</v>
      </c>
      <c r="T7181" s="10">
        <v>18.767911507800715</v>
      </c>
      <c r="U7181" s="11">
        <v>0.21201972664220278</v>
      </c>
      <c r="V7181" s="11">
        <v>0.04395908582750006</v>
      </c>
      <c r="W7181" s="11">
        <v>0.1892974957232154</v>
      </c>
      <c r="X7181" s="11">
        <v>0.2587633485626341</v>
      </c>
      <c r="Y7181" s="11">
        <v>0.09301657536737935</v>
      </c>
      <c r="Z7181" s="11">
        <v>0.20294376787706842</v>
      </c>
    </row>
    <row r="7182" ht="22.5" customHeight="1">
      <c r="Q7182" s="9" t="s">
        <v>7220</v>
      </c>
      <c r="R7182" s="10">
        <v>0.35917231529465327</v>
      </c>
      <c r="S7182" s="10">
        <v>0.01700683313158419</v>
      </c>
      <c r="T7182" s="10">
        <v>18.76729858082181</v>
      </c>
      <c r="U7182" s="11">
        <v>0.16081005740844653</v>
      </c>
      <c r="V7182" s="11">
        <v>0.1445923819262638</v>
      </c>
      <c r="W7182" s="11">
        <v>0.00515114176356264</v>
      </c>
      <c r="X7182" s="11">
        <v>0.2352874251093066</v>
      </c>
      <c r="Y7182" s="11">
        <v>0.22837572578470103</v>
      </c>
      <c r="Z7182" s="11">
        <v>0.22578326800771922</v>
      </c>
    </row>
    <row r="7183" ht="22.5" customHeight="1">
      <c r="Q7183" s="9" t="s">
        <v>7221</v>
      </c>
      <c r="R7183" s="10">
        <v>0.6661551448664189</v>
      </c>
      <c r="S7183" s="10">
        <v>0.03336808380954976</v>
      </c>
      <c r="T7183" s="10">
        <v>18.765091470047697</v>
      </c>
      <c r="U7183" s="11">
        <v>0.005547800853204245</v>
      </c>
      <c r="V7183" s="11">
        <v>0.10120082561697494</v>
      </c>
      <c r="W7183" s="11">
        <v>0.2839542997359062</v>
      </c>
      <c r="X7183" s="11">
        <v>0.25838105697766356</v>
      </c>
      <c r="Y7183" s="11">
        <v>0.20329203924390346</v>
      </c>
      <c r="Z7183" s="11">
        <v>0.14762397757234763</v>
      </c>
    </row>
    <row r="7184" ht="22.5" customHeight="1">
      <c r="Q7184" s="9" t="s">
        <v>7222</v>
      </c>
      <c r="R7184" s="10">
        <v>0.6399352062505946</v>
      </c>
      <c r="S7184" s="10">
        <v>0.031971070375815834</v>
      </c>
      <c r="T7184" s="10">
        <v>18.764939653206262</v>
      </c>
      <c r="U7184" s="11">
        <v>0.11064066861688604</v>
      </c>
      <c r="V7184" s="11">
        <v>0.2972485834060896</v>
      </c>
      <c r="W7184" s="11">
        <v>0.05734352364171296</v>
      </c>
      <c r="X7184" s="11">
        <v>0.25831519521883767</v>
      </c>
      <c r="Y7184" s="11">
        <v>0.14611462200865116</v>
      </c>
      <c r="Z7184" s="11">
        <v>0.13033740710782254</v>
      </c>
    </row>
    <row r="7185" ht="22.5" customHeight="1">
      <c r="Q7185" s="9" t="s">
        <v>7223</v>
      </c>
      <c r="R7185" s="10">
        <v>0.5065298611531538</v>
      </c>
      <c r="S7185" s="10">
        <v>0.02486189217391026</v>
      </c>
      <c r="T7185" s="10">
        <v>18.764857392581085</v>
      </c>
      <c r="U7185" s="11">
        <v>0.21845406592287203</v>
      </c>
      <c r="V7185" s="11">
        <v>0.06472733246884964</v>
      </c>
      <c r="W7185" s="11">
        <v>0.2095648489189257</v>
      </c>
      <c r="X7185" s="11">
        <v>0.1572109376409709</v>
      </c>
      <c r="Y7185" s="11">
        <v>0.16336470521620422</v>
      </c>
      <c r="Z7185" s="11">
        <v>0.18667810983217756</v>
      </c>
    </row>
    <row r="7186" ht="22.5" customHeight="1">
      <c r="Q7186" s="9" t="s">
        <v>7224</v>
      </c>
      <c r="R7186" s="10">
        <v>0.7577870310775319</v>
      </c>
      <c r="S7186" s="10">
        <v>0.03825270554937346</v>
      </c>
      <c r="T7186" s="10">
        <v>18.76434675061274</v>
      </c>
      <c r="U7186" s="11">
        <v>0.23039684580278527</v>
      </c>
      <c r="V7186" s="11">
        <v>0.1315447959821663</v>
      </c>
      <c r="W7186" s="11">
        <v>0.3239610015612814</v>
      </c>
      <c r="X7186" s="11">
        <v>0.17533544214102315</v>
      </c>
      <c r="Y7186" s="11">
        <v>0.1282186903611277</v>
      </c>
      <c r="Z7186" s="11">
        <v>0.010543224151616123</v>
      </c>
    </row>
    <row r="7187" ht="22.5" customHeight="1">
      <c r="Q7187" s="9" t="s">
        <v>7225</v>
      </c>
      <c r="R7187" s="10">
        <v>0.29935525546019837</v>
      </c>
      <c r="S7187" s="10">
        <v>0.01382193301833479</v>
      </c>
      <c r="T7187" s="10">
        <v>18.764036485791365</v>
      </c>
      <c r="U7187" s="11">
        <v>0.2569577171026884</v>
      </c>
      <c r="V7187" s="11">
        <v>0.03512676974667226</v>
      </c>
      <c r="W7187" s="11">
        <v>0.09354853604974679</v>
      </c>
      <c r="X7187" s="11">
        <v>0.0632429234383292</v>
      </c>
      <c r="Y7187" s="11">
        <v>0.23150009676992314</v>
      </c>
      <c r="Z7187" s="11">
        <v>0.3196239568926403</v>
      </c>
    </row>
    <row r="7188" ht="22.5" customHeight="1">
      <c r="Q7188" s="9" t="s">
        <v>7226</v>
      </c>
      <c r="R7188" s="10">
        <v>0.5536015688935596</v>
      </c>
      <c r="S7188" s="10">
        <v>0.027373360452137202</v>
      </c>
      <c r="T7188" s="10">
        <v>18.762824892895445</v>
      </c>
      <c r="U7188" s="11">
        <v>0.2322096391702804</v>
      </c>
      <c r="V7188" s="11">
        <v>0.2505395358782252</v>
      </c>
      <c r="W7188" s="11">
        <v>0.03151137401798779</v>
      </c>
      <c r="X7188" s="11">
        <v>0.29278741228805955</v>
      </c>
      <c r="Y7188" s="11">
        <v>0.1470398359732059</v>
      </c>
      <c r="Z7188" s="11">
        <v>0.04591220267224117</v>
      </c>
    </row>
    <row r="7189" ht="22.5" customHeight="1">
      <c r="Q7189" s="9" t="s">
        <v>7227</v>
      </c>
      <c r="R7189" s="10">
        <v>0.5307634286628762</v>
      </c>
      <c r="S7189" s="10">
        <v>0.026156737199570738</v>
      </c>
      <c r="T7189" s="10">
        <v>18.76241004061203</v>
      </c>
      <c r="U7189" s="11">
        <v>0.03302527120510026</v>
      </c>
      <c r="V7189" s="11">
        <v>0.24304823860305652</v>
      </c>
      <c r="W7189" s="11">
        <v>0.04361520103735512</v>
      </c>
      <c r="X7189" s="11">
        <v>0.22821628606607308</v>
      </c>
      <c r="Y7189" s="11">
        <v>0.1251686292063203</v>
      </c>
      <c r="Z7189" s="11">
        <v>0.3269263738820946</v>
      </c>
    </row>
    <row r="7190" ht="22.5" customHeight="1">
      <c r="Q7190" s="9" t="s">
        <v>7228</v>
      </c>
      <c r="R7190" s="10">
        <v>0.5918734384587703</v>
      </c>
      <c r="S7190" s="10">
        <v>0.029414142550263433</v>
      </c>
      <c r="T7190" s="10">
        <v>18.762180047088528</v>
      </c>
      <c r="U7190" s="11">
        <v>0.21442706413813306</v>
      </c>
      <c r="V7190" s="11">
        <v>0.07832134488030451</v>
      </c>
      <c r="W7190" s="11">
        <v>0.252279999974447</v>
      </c>
      <c r="X7190" s="11">
        <v>0.2578404253570743</v>
      </c>
      <c r="Y7190" s="11">
        <v>0.06271607722714465</v>
      </c>
      <c r="Z7190" s="11">
        <v>0.1344150884228965</v>
      </c>
    </row>
    <row r="7191" ht="22.5" customHeight="1">
      <c r="Q7191" s="9" t="s">
        <v>7229</v>
      </c>
      <c r="R7191" s="10">
        <v>0.522331348251574</v>
      </c>
      <c r="S7191" s="10">
        <v>0.01542395016515076</v>
      </c>
      <c r="T7191" s="10">
        <v>18.761252997064222</v>
      </c>
      <c r="U7191" s="11">
        <v>0.026315486663809482</v>
      </c>
      <c r="V7191" s="11">
        <v>0.018090193265736326</v>
      </c>
      <c r="W7191" s="11">
        <v>0.1133552282493624</v>
      </c>
      <c r="X7191" s="11">
        <v>0.27016503009862664</v>
      </c>
      <c r="Y7191" s="11">
        <v>0.3005357719179535</v>
      </c>
      <c r="Z7191" s="11">
        <v>0.27153828980451167</v>
      </c>
    </row>
    <row r="7192" ht="22.5" customHeight="1">
      <c r="Q7192" s="9" t="s">
        <v>7230</v>
      </c>
      <c r="R7192" s="10">
        <v>0.6250925933566869</v>
      </c>
      <c r="S7192" s="10">
        <v>0.03118714515307404</v>
      </c>
      <c r="T7192" s="10">
        <v>18.760697411863482</v>
      </c>
      <c r="U7192" s="11">
        <v>0.27741716929162186</v>
      </c>
      <c r="V7192" s="11">
        <v>0.11844607339030079</v>
      </c>
      <c r="W7192" s="11">
        <v>0.2579123121248444</v>
      </c>
      <c r="X7192" s="11">
        <v>0.03516039582345134</v>
      </c>
      <c r="Y7192" s="11">
        <v>0.10448942220077477</v>
      </c>
      <c r="Z7192" s="11">
        <v>0.20657462716900676</v>
      </c>
    </row>
    <row r="7193" ht="22.5" customHeight="1">
      <c r="Q7193" s="9" t="s">
        <v>7231</v>
      </c>
      <c r="R7193" s="10">
        <v>0.3962144932315465</v>
      </c>
      <c r="S7193" s="10">
        <v>0.018988153057472736</v>
      </c>
      <c r="T7193" s="10">
        <v>18.75982841266172</v>
      </c>
      <c r="U7193" s="11">
        <v>0.40581331746111887</v>
      </c>
      <c r="V7193" s="11">
        <v>0.060561044935741236</v>
      </c>
      <c r="W7193" s="11">
        <v>0.1444035578785833</v>
      </c>
      <c r="X7193" s="11">
        <v>0.016607167621983443</v>
      </c>
      <c r="Y7193" s="11">
        <v>0.12115542404114357</v>
      </c>
      <c r="Z7193" s="11">
        <v>0.25145948806142954</v>
      </c>
    </row>
    <row r="7194" ht="22.5" customHeight="1">
      <c r="Q7194" s="9" t="s">
        <v>7232</v>
      </c>
      <c r="R7194" s="10">
        <v>0.5026860832966089</v>
      </c>
      <c r="S7194" s="10">
        <v>0.02466484114770542</v>
      </c>
      <c r="T7194" s="10">
        <v>18.75893221958386</v>
      </c>
      <c r="U7194" s="11">
        <v>0.13326930994100145</v>
      </c>
      <c r="V7194" s="11">
        <v>0.07388228714380911</v>
      </c>
      <c r="W7194" s="11">
        <v>0.20805990408900885</v>
      </c>
      <c r="X7194" s="11">
        <v>0.15735518134689605</v>
      </c>
      <c r="Y7194" s="11">
        <v>0.07697853378485522</v>
      </c>
      <c r="Z7194" s="11">
        <v>0.3504547836944294</v>
      </c>
    </row>
    <row r="7195" ht="22.5" customHeight="1">
      <c r="Q7195" s="9" t="s">
        <v>7233</v>
      </c>
      <c r="R7195" s="10">
        <v>0.44354369606338584</v>
      </c>
      <c r="S7195" s="10">
        <v>0.021512826372658826</v>
      </c>
      <c r="T7195" s="10">
        <v>18.758283503661765</v>
      </c>
      <c r="U7195" s="11">
        <v>0.039291419308773896</v>
      </c>
      <c r="V7195" s="11">
        <v>0.1905240601903736</v>
      </c>
      <c r="W7195" s="11">
        <v>0.021913880863786882</v>
      </c>
      <c r="X7195" s="11">
        <v>0.21244066527190664</v>
      </c>
      <c r="Y7195" s="11">
        <v>0.3214651153935481</v>
      </c>
      <c r="Z7195" s="11">
        <v>0.2143648589716109</v>
      </c>
    </row>
    <row r="7196" ht="22.5" customHeight="1">
      <c r="Q7196" s="9" t="s">
        <v>7234</v>
      </c>
      <c r="R7196" s="10">
        <v>0.5980566057349649</v>
      </c>
      <c r="S7196" s="10">
        <v>0.02975071595603289</v>
      </c>
      <c r="T7196" s="10">
        <v>18.75775381539352</v>
      </c>
      <c r="U7196" s="11">
        <v>0.26169784263625284</v>
      </c>
      <c r="V7196" s="11">
        <v>0.2718273546909086</v>
      </c>
      <c r="W7196" s="11">
        <v>0.08021222081093245</v>
      </c>
      <c r="X7196" s="11">
        <v>0.0692306533087719</v>
      </c>
      <c r="Y7196" s="11">
        <v>0.010116282930990757</v>
      </c>
      <c r="Z7196" s="11">
        <v>0.3069156456221435</v>
      </c>
    </row>
    <row r="7197" ht="22.5" customHeight="1">
      <c r="Q7197" s="9" t="s">
        <v>7235</v>
      </c>
      <c r="R7197" s="10">
        <v>0.5766469228593001</v>
      </c>
      <c r="S7197" s="10">
        <v>0.028609672880226908</v>
      </c>
      <c r="T7197" s="10">
        <v>18.757534387266432</v>
      </c>
      <c r="U7197" s="11">
        <v>0.24391267450576545</v>
      </c>
      <c r="V7197" s="11">
        <v>0.26201598217114475</v>
      </c>
      <c r="W7197" s="11">
        <v>0.03558359263934234</v>
      </c>
      <c r="X7197" s="11">
        <v>0.28776144176153273</v>
      </c>
      <c r="Y7197" s="11">
        <v>0.15917141803863857</v>
      </c>
      <c r="Z7197" s="11">
        <v>0.011554890883576176</v>
      </c>
    </row>
    <row r="7198" ht="22.5" customHeight="1">
      <c r="Q7198" s="9" t="s">
        <v>7236</v>
      </c>
      <c r="R7198" s="10">
        <v>0.5835178832473071</v>
      </c>
      <c r="S7198" s="10">
        <v>0.0289772309643582</v>
      </c>
      <c r="T7198" s="10">
        <v>18.756722611481766</v>
      </c>
      <c r="U7198" s="11">
        <v>0.1981747139740845</v>
      </c>
      <c r="V7198" s="11">
        <v>0.0943098254877697</v>
      </c>
      <c r="W7198" s="11">
        <v>0.24526337977410395</v>
      </c>
      <c r="X7198" s="11">
        <v>0.1394714078579195</v>
      </c>
      <c r="Y7198" s="11">
        <v>0.07347997953693909</v>
      </c>
      <c r="Z7198" s="11">
        <v>0.24930069336918326</v>
      </c>
    </row>
    <row r="7199" ht="22.5" customHeight="1">
      <c r="Q7199" s="9" t="s">
        <v>7237</v>
      </c>
      <c r="R7199" s="10">
        <v>0.6732884811767902</v>
      </c>
      <c r="S7199" s="10">
        <v>0.033766232112496436</v>
      </c>
      <c r="T7199" s="10">
        <v>18.755082861093598</v>
      </c>
      <c r="U7199" s="11">
        <v>0.06760782677117821</v>
      </c>
      <c r="V7199" s="11">
        <v>0.1306550975913373</v>
      </c>
      <c r="W7199" s="11">
        <v>0.28247629893917114</v>
      </c>
      <c r="X7199" s="11">
        <v>0.11178035964278638</v>
      </c>
      <c r="Y7199" s="11">
        <v>0.09456214011042208</v>
      </c>
      <c r="Z7199" s="11">
        <v>0.3129182769451048</v>
      </c>
    </row>
    <row r="7200" ht="22.5" customHeight="1">
      <c r="Q7200" s="9" t="s">
        <v>7238</v>
      </c>
      <c r="R7200" s="10">
        <v>0.3410969262065091</v>
      </c>
      <c r="S7200" s="10">
        <v>0.01605490029099423</v>
      </c>
      <c r="T7200" s="10">
        <v>18.754207173457516</v>
      </c>
      <c r="U7200" s="11">
        <v>0.2363359164226351</v>
      </c>
      <c r="V7200" s="11">
        <v>0.0461308961718461</v>
      </c>
      <c r="W7200" s="11">
        <v>0.12173316801090166</v>
      </c>
      <c r="X7200" s="11">
        <v>0.06372369206093755</v>
      </c>
      <c r="Y7200" s="11">
        <v>0.12306411086927076</v>
      </c>
      <c r="Z7200" s="11">
        <v>0.40901221646440883</v>
      </c>
    </row>
    <row r="7201" ht="22.5" customHeight="1">
      <c r="Q7201" s="9" t="s">
        <v>7239</v>
      </c>
      <c r="R7201" s="10">
        <v>0.8738651787639699</v>
      </c>
      <c r="S7201" s="10">
        <v>0.044464764028632274</v>
      </c>
      <c r="T7201" s="10">
        <v>18.75339264652383</v>
      </c>
      <c r="U7201" s="11">
        <v>0.007738632029776245</v>
      </c>
      <c r="V7201" s="11">
        <v>0.1550198416732065</v>
      </c>
      <c r="W7201" s="11">
        <v>0.37708334104779073</v>
      </c>
      <c r="X7201" s="11">
        <v>0.3136564444430954</v>
      </c>
      <c r="Y7201" s="11">
        <v>0.1463708476122205</v>
      </c>
      <c r="Z7201" s="11">
        <v>1.308931939107691E-4</v>
      </c>
    </row>
    <row r="7202" ht="22.5" customHeight="1">
      <c r="Q7202" s="9" t="s">
        <v>7240</v>
      </c>
      <c r="R7202" s="10">
        <v>0.4870471063931153</v>
      </c>
      <c r="S7202" s="10">
        <v>0.02383827779192898</v>
      </c>
      <c r="T7202" s="10">
        <v>18.753330685007533</v>
      </c>
      <c r="U7202" s="11">
        <v>0.08372198032844559</v>
      </c>
      <c r="V7202" s="11">
        <v>0.22002410747435652</v>
      </c>
      <c r="W7202" s="11">
        <v>0.04675245791331227</v>
      </c>
      <c r="X7202" s="11">
        <v>0.1707080167829955</v>
      </c>
      <c r="Y7202" s="11">
        <v>0.04007148219334653</v>
      </c>
      <c r="Z7202" s="11">
        <v>0.4387219553075437</v>
      </c>
    </row>
    <row r="7203" ht="22.5" customHeight="1">
      <c r="Q7203" s="9" t="s">
        <v>7241</v>
      </c>
      <c r="R7203" s="10">
        <v>1.0204826896855805</v>
      </c>
      <c r="S7203" s="10">
        <v>0.052284764825282354</v>
      </c>
      <c r="T7203" s="10">
        <v>18.752741701373534</v>
      </c>
      <c r="U7203" s="11">
        <v>0.014782569429108192</v>
      </c>
      <c r="V7203" s="11">
        <v>0.2654390325295013</v>
      </c>
      <c r="W7203" s="11">
        <v>0.41569741082359324</v>
      </c>
      <c r="X7203" s="11">
        <v>0.03634958658634731</v>
      </c>
      <c r="Y7203" s="11">
        <v>0.01174550886090501</v>
      </c>
      <c r="Z7203" s="11">
        <v>0.25598589177054487</v>
      </c>
    </row>
    <row r="7204" ht="22.5" customHeight="1">
      <c r="Q7204" s="9" t="s">
        <v>7242</v>
      </c>
      <c r="R7204" s="10">
        <v>0.7101221019339768</v>
      </c>
      <c r="S7204" s="10">
        <v>0.03573471974673615</v>
      </c>
      <c r="T7204" s="10">
        <v>18.752689448339183</v>
      </c>
      <c r="U7204" s="11">
        <v>0.0890293517809328</v>
      </c>
      <c r="V7204" s="11">
        <v>0.11865639810452042</v>
      </c>
      <c r="W7204" s="11">
        <v>0.303372806644653</v>
      </c>
      <c r="X7204" s="11">
        <v>0.1969897300117598</v>
      </c>
      <c r="Y7204" s="11">
        <v>0.1801689442925615</v>
      </c>
      <c r="Z7204" s="11">
        <v>0.11178276916557257</v>
      </c>
    </row>
    <row r="7205" ht="22.5" customHeight="1">
      <c r="Q7205" s="9" t="s">
        <v>7243</v>
      </c>
      <c r="R7205" s="10">
        <v>0.6219035406069009</v>
      </c>
      <c r="S7205" s="10">
        <v>0.031031150133415876</v>
      </c>
      <c r="T7205" s="10">
        <v>18.752238898817946</v>
      </c>
      <c r="U7205" s="11">
        <v>0.050703473970891706</v>
      </c>
      <c r="V7205" s="11">
        <v>0.2831260807933053</v>
      </c>
      <c r="W7205" s="11">
        <v>0.05903832224107283</v>
      </c>
      <c r="X7205" s="11">
        <v>0.17617007073569232</v>
      </c>
      <c r="Y7205" s="11">
        <v>0.33854584856971864</v>
      </c>
      <c r="Z7205" s="11">
        <v>0.09241620368931927</v>
      </c>
    </row>
    <row r="7206" ht="22.5" customHeight="1">
      <c r="Q7206" s="9" t="s">
        <v>7244</v>
      </c>
      <c r="R7206" s="10">
        <v>0.412117807006121</v>
      </c>
      <c r="S7206" s="10">
        <v>0.019844575789195386</v>
      </c>
      <c r="T7206" s="10">
        <v>18.75161308354724</v>
      </c>
      <c r="U7206" s="11">
        <v>0.32516311262435776</v>
      </c>
      <c r="V7206" s="11">
        <v>0.16970477340569354</v>
      </c>
      <c r="W7206" s="11">
        <v>0.03621864751063877</v>
      </c>
      <c r="X7206" s="11">
        <v>0.0331114976360721</v>
      </c>
      <c r="Y7206" s="11">
        <v>0.22370698778013473</v>
      </c>
      <c r="Z7206" s="11">
        <v>0.212094981043103</v>
      </c>
    </row>
    <row r="7207" ht="22.5" customHeight="1">
      <c r="Q7207" s="9" t="s">
        <v>7245</v>
      </c>
      <c r="R7207" s="10">
        <v>0.5117237780960017</v>
      </c>
      <c r="S7207" s="10">
        <v>0.025157539329928508</v>
      </c>
      <c r="T7207" s="10">
        <v>18.750791637829956</v>
      </c>
      <c r="U7207" s="11">
        <v>0.24061889588792082</v>
      </c>
      <c r="V7207" s="11">
        <v>0.052922260566001356</v>
      </c>
      <c r="W7207" s="11">
        <v>0.21295169545066578</v>
      </c>
      <c r="X7207" s="11">
        <v>0.23855744449756217</v>
      </c>
      <c r="Y7207" s="11">
        <v>0.17361022694254588</v>
      </c>
      <c r="Z7207" s="11">
        <v>0.08133947665530408</v>
      </c>
    </row>
    <row r="7208" ht="22.5" customHeight="1">
      <c r="Q7208" s="9" t="s">
        <v>7246</v>
      </c>
      <c r="R7208" s="10">
        <v>0.5407792319388949</v>
      </c>
      <c r="S7208" s="10">
        <v>0.026709332308955124</v>
      </c>
      <c r="T7208" s="10">
        <v>18.749223160887222</v>
      </c>
      <c r="U7208" s="11">
        <v>0.0590657072061464</v>
      </c>
      <c r="V7208" s="11">
        <v>0.24492582022726966</v>
      </c>
      <c r="W7208" s="11">
        <v>0.04579183386241273</v>
      </c>
      <c r="X7208" s="11">
        <v>0.16348208876568604</v>
      </c>
      <c r="Y7208" s="11">
        <v>0.2681272622998915</v>
      </c>
      <c r="Z7208" s="11">
        <v>0.2186072876385937</v>
      </c>
    </row>
    <row r="7209" ht="22.5" customHeight="1">
      <c r="Q7209" s="9" t="s">
        <v>7247</v>
      </c>
      <c r="R7209" s="10">
        <v>0.6003920150016074</v>
      </c>
      <c r="S7209" s="10">
        <v>0.02988904408910871</v>
      </c>
      <c r="T7209" s="10">
        <v>18.749077867157652</v>
      </c>
      <c r="U7209" s="11">
        <v>0.32307695484763943</v>
      </c>
      <c r="V7209" s="11">
        <v>0.27128445193215817</v>
      </c>
      <c r="W7209" s="11">
        <v>0.08016605959837445</v>
      </c>
      <c r="X7209" s="11">
        <v>0.037574110965643004</v>
      </c>
      <c r="Y7209" s="11">
        <v>0.05425819811793496</v>
      </c>
      <c r="Z7209" s="11">
        <v>0.23364022453824992</v>
      </c>
    </row>
    <row r="7210" ht="22.5" customHeight="1">
      <c r="Q7210" s="9" t="s">
        <v>7248</v>
      </c>
      <c r="R7210" s="10">
        <v>0.8234571488087586</v>
      </c>
      <c r="S7210" s="10">
        <v>0.041787990156680103</v>
      </c>
      <c r="T7210" s="10">
        <v>18.748380715876987</v>
      </c>
      <c r="U7210" s="11">
        <v>0.03070446496726609</v>
      </c>
      <c r="V7210" s="11">
        <v>0.19316766653168987</v>
      </c>
      <c r="W7210" s="11">
        <v>0.34032709059645994</v>
      </c>
      <c r="X7210" s="11">
        <v>0.070873177351295</v>
      </c>
      <c r="Y7210" s="11">
        <v>0.020718377711410135</v>
      </c>
      <c r="Z7210" s="11">
        <v>0.34420922284187916</v>
      </c>
    </row>
    <row r="7211" ht="22.5" customHeight="1">
      <c r="Q7211" s="9" t="s">
        <v>7249</v>
      </c>
      <c r="R7211" s="10">
        <v>0.5791970961436096</v>
      </c>
      <c r="S7211" s="10">
        <v>0.02875977685619579</v>
      </c>
      <c r="T7211" s="10">
        <v>18.748305970512043</v>
      </c>
      <c r="U7211" s="11">
        <v>0.30445808381819817</v>
      </c>
      <c r="V7211" s="11">
        <v>0.0864745712710347</v>
      </c>
      <c r="W7211" s="11">
        <v>0.24044244218371497</v>
      </c>
      <c r="X7211" s="11">
        <v>0.10243199574928438</v>
      </c>
      <c r="Y7211" s="11">
        <v>0.19692945402598494</v>
      </c>
      <c r="Z7211" s="11">
        <v>0.06926345295178275</v>
      </c>
    </row>
    <row r="7212" ht="22.5" customHeight="1">
      <c r="Q7212" s="9" t="s">
        <v>7250</v>
      </c>
      <c r="R7212" s="10">
        <v>0.6562820294404906</v>
      </c>
      <c r="S7212" s="10">
        <v>0.032872232432222835</v>
      </c>
      <c r="T7212" s="10">
        <v>18.747799703326</v>
      </c>
      <c r="U7212" s="11">
        <v>0.11935067578556374</v>
      </c>
      <c r="V7212" s="11">
        <v>0.0944296267472609</v>
      </c>
      <c r="W7212" s="11">
        <v>0.28135491468241797</v>
      </c>
      <c r="X7212" s="11">
        <v>0.2544144711687295</v>
      </c>
      <c r="Y7212" s="11">
        <v>0.15933127114302248</v>
      </c>
      <c r="Z7212" s="11">
        <v>0.09111904047300542</v>
      </c>
    </row>
    <row r="7213" ht="22.5" customHeight="1">
      <c r="Q7213" s="9" t="s">
        <v>7251</v>
      </c>
      <c r="R7213" s="10">
        <v>0.5650121982880552</v>
      </c>
      <c r="S7213" s="10">
        <v>0.02800398915780281</v>
      </c>
      <c r="T7213" s="10">
        <v>18.74776466058479</v>
      </c>
      <c r="U7213" s="11">
        <v>0.097750931779997</v>
      </c>
      <c r="V7213" s="11">
        <v>0.07289526897601338</v>
      </c>
      <c r="W7213" s="11">
        <v>0.23971802365703435</v>
      </c>
      <c r="X7213" s="11">
        <v>0.2564461540341555</v>
      </c>
      <c r="Y7213" s="11">
        <v>0.13106080578142523</v>
      </c>
      <c r="Z7213" s="11">
        <v>0.20212881577137456</v>
      </c>
    </row>
    <row r="7214" ht="22.5" customHeight="1">
      <c r="Q7214" s="9" t="s">
        <v>7252</v>
      </c>
      <c r="R7214" s="10">
        <v>0.5374593873442525</v>
      </c>
      <c r="S7214" s="10">
        <v>0.026534349052030223</v>
      </c>
      <c r="T7214" s="10">
        <v>18.74775169229902</v>
      </c>
      <c r="U7214" s="11">
        <v>0.23927463227434953</v>
      </c>
      <c r="V7214" s="11">
        <v>0.0913434999481358</v>
      </c>
      <c r="W7214" s="11">
        <v>0.2169567214775194</v>
      </c>
      <c r="X7214" s="11">
        <v>0.023345826571140236</v>
      </c>
      <c r="Y7214" s="11">
        <v>0.22088025673449108</v>
      </c>
      <c r="Z7214" s="11">
        <v>0.2081990629943639</v>
      </c>
    </row>
    <row r="7215" ht="22.5" customHeight="1">
      <c r="Q7215" s="9" t="s">
        <v>7253</v>
      </c>
      <c r="R7215" s="10">
        <v>0.5546825213891258</v>
      </c>
      <c r="S7215" s="10">
        <v>0.027453989387483044</v>
      </c>
      <c r="T7215" s="10">
        <v>18.747094060718997</v>
      </c>
      <c r="U7215" s="11">
        <v>0.09653478327079172</v>
      </c>
      <c r="V7215" s="11">
        <v>0.25555109231305884</v>
      </c>
      <c r="W7215" s="11">
        <v>0.04479934685581685</v>
      </c>
      <c r="X7215" s="11">
        <v>0.24548088314163097</v>
      </c>
      <c r="Y7215" s="11">
        <v>0.09166338903688337</v>
      </c>
      <c r="Z7215" s="11">
        <v>0.26597050538181827</v>
      </c>
    </row>
    <row r="7216" ht="22.5" customHeight="1">
      <c r="Q7216" s="9" t="s">
        <v>7254</v>
      </c>
      <c r="R7216" s="10">
        <v>0.4151361731476994</v>
      </c>
      <c r="S7216" s="10">
        <v>0.02001272101767518</v>
      </c>
      <c r="T7216" s="10">
        <v>18.744885956106625</v>
      </c>
      <c r="U7216" s="11">
        <v>0.09127095047012525</v>
      </c>
      <c r="V7216" s="11">
        <v>0.09241701763607156</v>
      </c>
      <c r="W7216" s="11">
        <v>0.1494772981874986</v>
      </c>
      <c r="X7216" s="11">
        <v>0.013230737150500767</v>
      </c>
      <c r="Y7216" s="11">
        <v>0.025123235793829832</v>
      </c>
      <c r="Z7216" s="11">
        <v>0.628480760761974</v>
      </c>
    </row>
    <row r="7217" ht="22.5" customHeight="1">
      <c r="Q7217" s="9" t="s">
        <v>7255</v>
      </c>
      <c r="R7217" s="10">
        <v>0.522331348251574</v>
      </c>
      <c r="S7217" s="10">
        <v>0.02484072907687784</v>
      </c>
      <c r="T7217" s="10">
        <v>18.74424214317851</v>
      </c>
      <c r="U7217" s="11">
        <v>0.22816839456129479</v>
      </c>
      <c r="V7217" s="11">
        <v>0.08497920271347774</v>
      </c>
      <c r="W7217" s="11">
        <v>0.20284471453337335</v>
      </c>
      <c r="X7217" s="11">
        <v>0.026134187399329167</v>
      </c>
      <c r="Y7217" s="11">
        <v>0.18778057135855994</v>
      </c>
      <c r="Z7217" s="11">
        <v>0.270092929433965</v>
      </c>
    </row>
    <row r="7218" ht="22.5" customHeight="1">
      <c r="Q7218" s="9" t="s">
        <v>7256</v>
      </c>
      <c r="R7218" s="10">
        <v>0.6575811501144548</v>
      </c>
      <c r="S7218" s="10">
        <v>0.03294996270618877</v>
      </c>
      <c r="T7218" s="10">
        <v>18.74299997306093</v>
      </c>
      <c r="U7218" s="11">
        <v>0.10814922082693937</v>
      </c>
      <c r="V7218" s="11">
        <v>0.12541795497530167</v>
      </c>
      <c r="W7218" s="11">
        <v>0.27658144772346643</v>
      </c>
      <c r="X7218" s="11">
        <v>0.1378441517714906</v>
      </c>
      <c r="Y7218" s="11">
        <v>0.014488124060523515</v>
      </c>
      <c r="Z7218" s="11">
        <v>0.33751910064227847</v>
      </c>
    </row>
    <row r="7219" ht="22.5" customHeight="1">
      <c r="Q7219" s="9" t="s">
        <v>7257</v>
      </c>
      <c r="R7219" s="10">
        <v>0.534530867085851</v>
      </c>
      <c r="S7219" s="10">
        <v>0.0263849127533948</v>
      </c>
      <c r="T7219" s="10">
        <v>18.74294115383127</v>
      </c>
      <c r="U7219" s="11">
        <v>0.10832425281098887</v>
      </c>
      <c r="V7219" s="11">
        <v>0.06157495449661413</v>
      </c>
      <c r="W7219" s="11">
        <v>0.22536003529468038</v>
      </c>
      <c r="X7219" s="11">
        <v>0.26958935575940923</v>
      </c>
      <c r="Y7219" s="11">
        <v>0.15102597722438382</v>
      </c>
      <c r="Z7219" s="11">
        <v>0.1841254244139236</v>
      </c>
    </row>
    <row r="7220" ht="22.5" customHeight="1">
      <c r="Q7220" s="9" t="s">
        <v>7258</v>
      </c>
      <c r="R7220" s="10">
        <v>0.522331348251574</v>
      </c>
      <c r="S7220" s="10">
        <v>0.021066695147743862</v>
      </c>
      <c r="T7220" s="10">
        <v>18.742783178646846</v>
      </c>
      <c r="U7220" s="11">
        <v>0.17684918833624588</v>
      </c>
      <c r="V7220" s="11">
        <v>0.03260730913580456</v>
      </c>
      <c r="W7220" s="11">
        <v>0.17580219908065045</v>
      </c>
      <c r="X7220" s="11">
        <v>0.28526460631775163</v>
      </c>
      <c r="Y7220" s="11">
        <v>0.16108201358424543</v>
      </c>
      <c r="Z7220" s="11">
        <v>0.16839468354530207</v>
      </c>
    </row>
    <row r="7221" ht="22.5" customHeight="1">
      <c r="Q7221" s="9" t="s">
        <v>7259</v>
      </c>
      <c r="R7221" s="10">
        <v>0.47299090318408604</v>
      </c>
      <c r="S7221" s="10">
        <v>0.023103100931238425</v>
      </c>
      <c r="T7221" s="10">
        <v>18.741679070389445</v>
      </c>
      <c r="U7221" s="11">
        <v>0.1457837786787082</v>
      </c>
      <c r="V7221" s="11">
        <v>0.19822874755172665</v>
      </c>
      <c r="W7221" s="11">
        <v>0.04295512141194802</v>
      </c>
      <c r="X7221" s="11">
        <v>0.06265316895512385</v>
      </c>
      <c r="Y7221" s="11">
        <v>0.41424845441685987</v>
      </c>
      <c r="Z7221" s="11">
        <v>0.13613072898563347</v>
      </c>
    </row>
    <row r="7222" ht="22.5" customHeight="1">
      <c r="Q7222" s="9" t="s">
        <v>7260</v>
      </c>
      <c r="R7222" s="10">
        <v>0.6877739518463076</v>
      </c>
      <c r="S7222" s="10">
        <v>0.03456677485155861</v>
      </c>
      <c r="T7222" s="10">
        <v>18.73978566493598</v>
      </c>
      <c r="U7222" s="11">
        <v>0.01325028325726321</v>
      </c>
      <c r="V7222" s="11">
        <v>0.31692140485928466</v>
      </c>
      <c r="W7222" s="11">
        <v>0.09012792342395408</v>
      </c>
      <c r="X7222" s="11">
        <v>0.09155064815997814</v>
      </c>
      <c r="Y7222" s="11">
        <v>0.27425266697243006</v>
      </c>
      <c r="Z7222" s="11">
        <v>0.21389707332709001</v>
      </c>
    </row>
    <row r="7223" ht="22.5" customHeight="1">
      <c r="Q7223" s="9" t="s">
        <v>7261</v>
      </c>
      <c r="R7223" s="10">
        <v>0.4751845060544617</v>
      </c>
      <c r="S7223" s="10">
        <v>0.023223418273003896</v>
      </c>
      <c r="T7223" s="10">
        <v>18.739037506823134</v>
      </c>
      <c r="U7223" s="11">
        <v>0.02919710627097081</v>
      </c>
      <c r="V7223" s="11">
        <v>0.20948908235513858</v>
      </c>
      <c r="W7223" s="11">
        <v>0.022555018121345406</v>
      </c>
      <c r="X7223" s="11">
        <v>0.2629424179527003</v>
      </c>
      <c r="Y7223" s="11">
        <v>0.27434744912674575</v>
      </c>
      <c r="Z7223" s="11">
        <v>0.2014689261730992</v>
      </c>
    </row>
    <row r="7224" ht="22.5" customHeight="1">
      <c r="Q7224" s="9" t="s">
        <v>7262</v>
      </c>
      <c r="R7224" s="10">
        <v>0.535777718940948</v>
      </c>
      <c r="S7224" s="10">
        <v>0.026457027537529848</v>
      </c>
      <c r="T7224" s="10">
        <v>18.738980342280588</v>
      </c>
      <c r="U7224" s="11">
        <v>0.08782721910347793</v>
      </c>
      <c r="V7224" s="11">
        <v>0.0481280528512304</v>
      </c>
      <c r="W7224" s="11">
        <v>0.22442363461163584</v>
      </c>
      <c r="X7224" s="11">
        <v>0.3857750982929623</v>
      </c>
      <c r="Y7224" s="11">
        <v>0.17221316436169773</v>
      </c>
      <c r="Z7224" s="11">
        <v>0.08163283077899577</v>
      </c>
    </row>
    <row r="7225" ht="22.5" customHeight="1">
      <c r="Q7225" s="9" t="s">
        <v>7263</v>
      </c>
      <c r="R7225" s="10">
        <v>0.5525028615450728</v>
      </c>
      <c r="S7225" s="10">
        <v>0.027351864562797944</v>
      </c>
      <c r="T7225" s="10">
        <v>18.73740126083187</v>
      </c>
      <c r="U7225" s="11">
        <v>0.11073643159342189</v>
      </c>
      <c r="V7225" s="11">
        <v>0.07626011188720373</v>
      </c>
      <c r="W7225" s="11">
        <v>0.23057335514968844</v>
      </c>
      <c r="X7225" s="11">
        <v>0.16427654277392736</v>
      </c>
      <c r="Y7225" s="11">
        <v>0.24054864438765444</v>
      </c>
      <c r="Z7225" s="11">
        <v>0.17760491420810412</v>
      </c>
    </row>
    <row r="7226" ht="22.5" customHeight="1">
      <c r="Q7226" s="9" t="s">
        <v>7264</v>
      </c>
      <c r="R7226" s="10">
        <v>0.6216881961991751</v>
      </c>
      <c r="S7226" s="10">
        <v>0.03104520207376878</v>
      </c>
      <c r="T7226" s="10">
        <v>18.7368146233026</v>
      </c>
      <c r="U7226" s="11">
        <v>0.21226536312028632</v>
      </c>
      <c r="V7226" s="11">
        <v>0.10755785183708759</v>
      </c>
      <c r="W7226" s="11">
        <v>0.260945817111626</v>
      </c>
      <c r="X7226" s="11">
        <v>0.09303910522463037</v>
      </c>
      <c r="Y7226" s="11">
        <v>0.1275981841336005</v>
      </c>
      <c r="Z7226" s="11">
        <v>0.19859367857276927</v>
      </c>
    </row>
    <row r="7227" ht="22.5" customHeight="1">
      <c r="Q7227" s="9" t="s">
        <v>7265</v>
      </c>
      <c r="R7227" s="10">
        <v>0.6548449556994339</v>
      </c>
      <c r="S7227" s="10">
        <v>0.032818427002978365</v>
      </c>
      <c r="T7227" s="10">
        <v>18.734747879404303</v>
      </c>
      <c r="U7227" s="11">
        <v>0.15019338612749283</v>
      </c>
      <c r="V7227" s="11">
        <v>0.3032033938862829</v>
      </c>
      <c r="W7227" s="11">
        <v>0.05822918702958398</v>
      </c>
      <c r="X7227" s="11">
        <v>0.23152252101352125</v>
      </c>
      <c r="Y7227" s="11">
        <v>0.21817026274335832</v>
      </c>
      <c r="Z7227" s="11">
        <v>0.038681249199760674</v>
      </c>
    </row>
    <row r="7228" ht="22.5" customHeight="1">
      <c r="Q7228" s="9" t="s">
        <v>7266</v>
      </c>
      <c r="R7228" s="10">
        <v>0.5960978994626542</v>
      </c>
      <c r="S7228" s="10">
        <v>0.029683970455994944</v>
      </c>
      <c r="T7228" s="10">
        <v>18.73394599577043</v>
      </c>
      <c r="U7228" s="11">
        <v>0.20674918874291434</v>
      </c>
      <c r="V7228" s="11">
        <v>0.0739882450654742</v>
      </c>
      <c r="W7228" s="11">
        <v>0.2542524812548084</v>
      </c>
      <c r="X7228" s="11">
        <v>0.25928917410761787</v>
      </c>
      <c r="Y7228" s="11">
        <v>0.1434409007828379</v>
      </c>
      <c r="Z7228" s="11">
        <v>0.06228001004634711</v>
      </c>
    </row>
    <row r="7229" ht="22.5" customHeight="1">
      <c r="Q7229" s="9" t="s">
        <v>7267</v>
      </c>
      <c r="R7229" s="10">
        <v>0.5467420688284353</v>
      </c>
      <c r="S7229" s="10">
        <v>0.02705358919461244</v>
      </c>
      <c r="T7229" s="10">
        <v>18.731047669244195</v>
      </c>
      <c r="U7229" s="11">
        <v>0.11890664641561502</v>
      </c>
      <c r="V7229" s="11">
        <v>0.24546150418037344</v>
      </c>
      <c r="W7229" s="11">
        <v>0.06356855068061619</v>
      </c>
      <c r="X7229" s="11">
        <v>0.04021028122648577</v>
      </c>
      <c r="Y7229" s="11">
        <v>0.25828373071227934</v>
      </c>
      <c r="Z7229" s="11">
        <v>0.27356928678463033</v>
      </c>
    </row>
    <row r="7230" ht="22.5" customHeight="1">
      <c r="Q7230" s="9" t="s">
        <v>7268</v>
      </c>
      <c r="R7230" s="10">
        <v>0.9678841403793252</v>
      </c>
      <c r="S7230" s="10">
        <v>0.04954215238824513</v>
      </c>
      <c r="T7230" s="10">
        <v>18.729185060588613</v>
      </c>
      <c r="U7230" s="11">
        <v>0.15992269028090236</v>
      </c>
      <c r="V7230" s="11">
        <v>0.23002887007521217</v>
      </c>
      <c r="W7230" s="11">
        <v>0.4023615739340934</v>
      </c>
      <c r="X7230" s="11">
        <v>0.03152536995281795</v>
      </c>
      <c r="Y7230" s="11">
        <v>0.07357257224076447</v>
      </c>
      <c r="Z7230" s="11">
        <v>0.10258892351620957</v>
      </c>
    </row>
    <row r="7231" ht="22.5" customHeight="1">
      <c r="Q7231" s="9" t="s">
        <v>7269</v>
      </c>
      <c r="R7231" s="10">
        <v>0.809901722484026</v>
      </c>
      <c r="S7231" s="10">
        <v>0.04110847922790472</v>
      </c>
      <c r="T7231" s="10">
        <v>18.72853817373549</v>
      </c>
      <c r="U7231" s="11">
        <v>0.11209488177930754</v>
      </c>
      <c r="V7231" s="11">
        <v>0.3736634450388041</v>
      </c>
      <c r="W7231" s="11">
        <v>0.1365417200385993</v>
      </c>
      <c r="X7231" s="11">
        <v>0.029987326837990488</v>
      </c>
      <c r="Y7231" s="11">
        <v>0.09425665760275022</v>
      </c>
      <c r="Z7231" s="11">
        <v>0.25345596870254833</v>
      </c>
    </row>
    <row r="7232" ht="22.5" customHeight="1">
      <c r="Q7232" s="9" t="s">
        <v>7270</v>
      </c>
      <c r="R7232" s="10">
        <v>0.3746779162205728</v>
      </c>
      <c r="S7232" s="10">
        <v>0.017870316862144197</v>
      </c>
      <c r="T7232" s="10">
        <v>18.728146725229134</v>
      </c>
      <c r="U7232" s="11">
        <v>0.01715888730436527</v>
      </c>
      <c r="V7232" s="11">
        <v>0.06836361946496193</v>
      </c>
      <c r="W7232" s="11">
        <v>0.09819397738860752</v>
      </c>
      <c r="X7232" s="11">
        <v>0.0796416151656978</v>
      </c>
      <c r="Y7232" s="11">
        <v>0.5972163347555169</v>
      </c>
      <c r="Z7232" s="11">
        <v>0.13942556592085056</v>
      </c>
    </row>
    <row r="7233" ht="22.5" customHeight="1">
      <c r="Q7233" s="9" t="s">
        <v>7271</v>
      </c>
      <c r="R7233" s="10">
        <v>0.5205460805950558</v>
      </c>
      <c r="S7233" s="10">
        <v>0.025659830380033933</v>
      </c>
      <c r="T7233" s="10">
        <v>18.727562633031727</v>
      </c>
      <c r="U7233" s="11">
        <v>0.18687578258386617</v>
      </c>
      <c r="V7233" s="11">
        <v>0.0686114763694287</v>
      </c>
      <c r="W7233" s="11">
        <v>0.2172934067804924</v>
      </c>
      <c r="X7233" s="11">
        <v>0.16197156466318988</v>
      </c>
      <c r="Y7233" s="11">
        <v>0.15784754723398983</v>
      </c>
      <c r="Z7233" s="11">
        <v>0.207400222369033</v>
      </c>
    </row>
    <row r="7234" ht="22.5" customHeight="1">
      <c r="Q7234" s="9" t="s">
        <v>7272</v>
      </c>
      <c r="R7234" s="10">
        <v>0.35934368050828674</v>
      </c>
      <c r="S7234" s="10">
        <v>0.017052519686522768</v>
      </c>
      <c r="T7234" s="10">
        <v>18.72706710672651</v>
      </c>
      <c r="U7234" s="11">
        <v>0.3029972960488046</v>
      </c>
      <c r="V7234" s="11">
        <v>0.04778717537723797</v>
      </c>
      <c r="W7234" s="11">
        <v>0.12085275473888576</v>
      </c>
      <c r="X7234" s="11">
        <v>0.025448547265545095</v>
      </c>
      <c r="Y7234" s="11">
        <v>0.3152726554115254</v>
      </c>
      <c r="Z7234" s="11">
        <v>0.18764157115800126</v>
      </c>
    </row>
    <row r="7235" ht="22.5" customHeight="1">
      <c r="Q7235" s="9" t="s">
        <v>7273</v>
      </c>
      <c r="R7235" s="10">
        <v>0.6019160113888107</v>
      </c>
      <c r="S7235" s="10">
        <v>0.030007770381970927</v>
      </c>
      <c r="T7235" s="10">
        <v>18.725683522505804</v>
      </c>
      <c r="U7235" s="11">
        <v>0.03783052856258503</v>
      </c>
      <c r="V7235" s="11">
        <v>0.10078060106814823</v>
      </c>
      <c r="W7235" s="11">
        <v>0.2543161192389404</v>
      </c>
      <c r="X7235" s="11">
        <v>0.17639404363995118</v>
      </c>
      <c r="Y7235" s="11">
        <v>0.09372744448259855</v>
      </c>
      <c r="Z7235" s="11">
        <v>0.33695126300777667</v>
      </c>
    </row>
    <row r="7236" ht="22.5" customHeight="1">
      <c r="Q7236" s="9" t="s">
        <v>7274</v>
      </c>
      <c r="R7236" s="10">
        <v>0.804008883828882</v>
      </c>
      <c r="S7236" s="10">
        <v>0.040805712649137106</v>
      </c>
      <c r="T7236" s="10">
        <v>18.723086406996938</v>
      </c>
      <c r="U7236" s="11">
        <v>0.1896512212956854</v>
      </c>
      <c r="V7236" s="11">
        <v>0.15899713129498474</v>
      </c>
      <c r="W7236" s="11">
        <v>0.3406545933754939</v>
      </c>
      <c r="X7236" s="11">
        <v>0.09037728467169757</v>
      </c>
      <c r="Y7236" s="11">
        <v>0.1569182588889307</v>
      </c>
      <c r="Z7236" s="11">
        <v>0.0634015104732077</v>
      </c>
    </row>
    <row r="7237" ht="22.5" customHeight="1">
      <c r="Q7237" s="9" t="s">
        <v>7275</v>
      </c>
      <c r="R7237" s="10">
        <v>0.5001212033591448</v>
      </c>
      <c r="S7237" s="10">
        <v>0.02457813611656031</v>
      </c>
      <c r="T7237" s="10">
        <v>18.720752508532303</v>
      </c>
      <c r="U7237" s="11">
        <v>0.22961776076651438</v>
      </c>
      <c r="V7237" s="11">
        <v>0.06741229432783719</v>
      </c>
      <c r="W7237" s="11">
        <v>0.20707535998047366</v>
      </c>
      <c r="X7237" s="11">
        <v>0.136609377755186</v>
      </c>
      <c r="Y7237" s="11">
        <v>0.1237434947985781</v>
      </c>
      <c r="Z7237" s="11">
        <v>0.23554171237141067</v>
      </c>
    </row>
    <row r="7238" ht="22.5" customHeight="1">
      <c r="Q7238" s="9" t="s">
        <v>7276</v>
      </c>
      <c r="R7238" s="10">
        <v>0.8297391667446093</v>
      </c>
      <c r="S7238" s="10">
        <v>0.04218802072211075</v>
      </c>
      <c r="T7238" s="10">
        <v>18.71951215598761</v>
      </c>
      <c r="U7238" s="11">
        <v>0.007491282815974366</v>
      </c>
      <c r="V7238" s="11">
        <v>0.38575699856896206</v>
      </c>
      <c r="W7238" s="11">
        <v>0.13089683039535194</v>
      </c>
      <c r="X7238" s="11">
        <v>0.07715888668791508</v>
      </c>
      <c r="Y7238" s="11">
        <v>0.18902160877683438</v>
      </c>
      <c r="Z7238" s="11">
        <v>0.2096743927549622</v>
      </c>
    </row>
    <row r="7239" ht="22.5" customHeight="1">
      <c r="Q7239" s="9" t="s">
        <v>7277</v>
      </c>
      <c r="R7239" s="10">
        <v>0.3817465438381605</v>
      </c>
      <c r="S7239" s="10">
        <v>0.018256562605918444</v>
      </c>
      <c r="T7239" s="10">
        <v>18.719106724251173</v>
      </c>
      <c r="U7239" s="11">
        <v>0.22984225711023115</v>
      </c>
      <c r="V7239" s="11">
        <v>0.1582537706744822</v>
      </c>
      <c r="W7239" s="11">
        <v>0.003926013880695859</v>
      </c>
      <c r="X7239" s="11">
        <v>0.28814746693970855</v>
      </c>
      <c r="Y7239" s="11">
        <v>0.12854885734684093</v>
      </c>
      <c r="Z7239" s="11">
        <v>0.19128163404804133</v>
      </c>
    </row>
    <row r="7240" ht="22.5" customHeight="1">
      <c r="Q7240" s="9" t="s">
        <v>7278</v>
      </c>
      <c r="R7240" s="10">
        <v>0.42708807864316356</v>
      </c>
      <c r="S7240" s="10">
        <v>0.020679489329776396</v>
      </c>
      <c r="T7240" s="10">
        <v>18.71845442942324</v>
      </c>
      <c r="U7240" s="11">
        <v>0.20755750802201467</v>
      </c>
      <c r="V7240" s="11">
        <v>0.02633938877981402</v>
      </c>
      <c r="W7240" s="11">
        <v>0.17036543007650695</v>
      </c>
      <c r="X7240" s="11">
        <v>0.3024906501513432</v>
      </c>
      <c r="Y7240" s="11">
        <v>0.19289514147405953</v>
      </c>
      <c r="Z7240" s="11">
        <v>0.10035188149626163</v>
      </c>
    </row>
    <row r="7241" ht="22.5" customHeight="1">
      <c r="Q7241" s="9" t="s">
        <v>7279</v>
      </c>
      <c r="R7241" s="10">
        <v>0.6106423153229408</v>
      </c>
      <c r="S7241" s="10">
        <v>0.030487265539675526</v>
      </c>
      <c r="T7241" s="10">
        <v>18.717399058971626</v>
      </c>
      <c r="U7241" s="11">
        <v>0.14319522749630162</v>
      </c>
      <c r="V7241" s="11">
        <v>0.09712647201069156</v>
      </c>
      <c r="W7241" s="11">
        <v>0.25514613233603356</v>
      </c>
      <c r="X7241" s="11">
        <v>0.10843958669497199</v>
      </c>
      <c r="Y7241" s="11">
        <v>0.26841050293712804</v>
      </c>
      <c r="Z7241" s="11">
        <v>0.12768207852487318</v>
      </c>
    </row>
    <row r="7242" ht="22.5" customHeight="1">
      <c r="Q7242" s="9" t="s">
        <v>7280</v>
      </c>
      <c r="R7242" s="10">
        <v>0.5693882145272905</v>
      </c>
      <c r="S7242" s="10">
        <v>0.028287177164451578</v>
      </c>
      <c r="T7242" s="10">
        <v>18.714777068408623</v>
      </c>
      <c r="U7242" s="11">
        <v>0.28718630351274826</v>
      </c>
      <c r="V7242" s="11">
        <v>0.09740816274388102</v>
      </c>
      <c r="W7242" s="11">
        <v>0.2367301861627137</v>
      </c>
      <c r="X7242" s="11">
        <v>0.09725067360101217</v>
      </c>
      <c r="Y7242" s="11">
        <v>0.01450606608494253</v>
      </c>
      <c r="Z7242" s="11">
        <v>0.2669186078947023</v>
      </c>
    </row>
    <row r="7243" ht="22.5" customHeight="1">
      <c r="Q7243" s="9" t="s">
        <v>7281</v>
      </c>
      <c r="R7243" s="10">
        <v>0.683136369054874</v>
      </c>
      <c r="S7243" s="10">
        <v>0.03436594624469959</v>
      </c>
      <c r="T7243" s="10">
        <v>18.714350667823314</v>
      </c>
      <c r="U7243" s="11">
        <v>0.25284007135596964</v>
      </c>
      <c r="V7243" s="11">
        <v>0.31188331116425233</v>
      </c>
      <c r="W7243" s="11">
        <v>0.0983132461000188</v>
      </c>
      <c r="X7243" s="11">
        <v>0.0033956867254928856</v>
      </c>
      <c r="Y7243" s="11">
        <v>0.1711509986839132</v>
      </c>
      <c r="Z7243" s="11">
        <v>0.16241668597035314</v>
      </c>
    </row>
    <row r="7244" ht="22.5" customHeight="1">
      <c r="Q7244" s="9" t="s">
        <v>7282</v>
      </c>
      <c r="R7244" s="10">
        <v>0.6916813359437611</v>
      </c>
      <c r="S7244" s="10">
        <v>0.034822679411349235</v>
      </c>
      <c r="T7244" s="10">
        <v>18.714278940045272</v>
      </c>
      <c r="U7244" s="11">
        <v>0.024898769853302194</v>
      </c>
      <c r="V7244" s="11">
        <v>0.32498595234027505</v>
      </c>
      <c r="W7244" s="11">
        <v>0.07352918862777261</v>
      </c>
      <c r="X7244" s="11">
        <v>0.3117518213454484</v>
      </c>
      <c r="Y7244" s="11">
        <v>0.013940630868406355</v>
      </c>
      <c r="Z7244" s="11">
        <v>0.25089363696479544</v>
      </c>
    </row>
    <row r="7245" ht="22.5" customHeight="1">
      <c r="Q7245" s="9" t="s">
        <v>7283</v>
      </c>
      <c r="R7245" s="10">
        <v>0.6151149599049838</v>
      </c>
      <c r="S7245" s="10">
        <v>0.030731516827640457</v>
      </c>
      <c r="T7245" s="10">
        <v>18.714174218296815</v>
      </c>
      <c r="U7245" s="11">
        <v>0.13449692809392788</v>
      </c>
      <c r="V7245" s="11">
        <v>0.1031968994857732</v>
      </c>
      <c r="W7245" s="11">
        <v>0.26056023220486424</v>
      </c>
      <c r="X7245" s="11">
        <v>0.1436240247896843</v>
      </c>
      <c r="Y7245" s="11">
        <v>0.09463774652934016</v>
      </c>
      <c r="Z7245" s="11">
        <v>0.2634841688964102</v>
      </c>
    </row>
    <row r="7246" ht="22.5" customHeight="1">
      <c r="Q7246" s="9" t="s">
        <v>7284</v>
      </c>
      <c r="R7246" s="10">
        <v>0.7245396621154451</v>
      </c>
      <c r="S7246" s="10">
        <v>0.03657904095230352</v>
      </c>
      <c r="T7246" s="10">
        <v>18.713986050318713</v>
      </c>
      <c r="U7246" s="11">
        <v>0.052682325560410664</v>
      </c>
      <c r="V7246" s="11">
        <v>0.15052150730242797</v>
      </c>
      <c r="W7246" s="11">
        <v>0.30360221797425924</v>
      </c>
      <c r="X7246" s="11">
        <v>0.07849626385167666</v>
      </c>
      <c r="Y7246" s="11">
        <v>0.10854945314489892</v>
      </c>
      <c r="Z7246" s="11">
        <v>0.30614823216632664</v>
      </c>
    </row>
    <row r="7247" ht="22.5" customHeight="1">
      <c r="Q7247" s="9" t="s">
        <v>7285</v>
      </c>
      <c r="R7247" s="10">
        <v>0.4618744986494839</v>
      </c>
      <c r="S7247" s="10">
        <v>0.022543727486835984</v>
      </c>
      <c r="T7247" s="10">
        <v>18.713608869510605</v>
      </c>
      <c r="U7247" s="11">
        <v>0.35667431470405897</v>
      </c>
      <c r="V7247" s="11">
        <v>0.20276770056697016</v>
      </c>
      <c r="W7247" s="11">
        <v>0.027297300033468058</v>
      </c>
      <c r="X7247" s="11">
        <v>0.1985107622892008</v>
      </c>
      <c r="Y7247" s="11">
        <v>0.04662130117640922</v>
      </c>
      <c r="Z7247" s="11">
        <v>0.16812862122989297</v>
      </c>
    </row>
    <row r="7248" ht="22.5" customHeight="1">
      <c r="Q7248" s="9" t="s">
        <v>7286</v>
      </c>
      <c r="R7248" s="10">
        <v>0.4875826331455196</v>
      </c>
      <c r="S7248" s="10">
        <v>0.023917543279543086</v>
      </c>
      <c r="T7248" s="10">
        <v>18.713570533322354</v>
      </c>
      <c r="U7248" s="11">
        <v>0.2284339670848635</v>
      </c>
      <c r="V7248" s="11">
        <v>0.21788349368904017</v>
      </c>
      <c r="W7248" s="11">
        <v>0.02552599131578514</v>
      </c>
      <c r="X7248" s="11">
        <v>0.22371440010125418</v>
      </c>
      <c r="Y7248" s="11">
        <v>0.16185629260727089</v>
      </c>
      <c r="Z7248" s="11">
        <v>0.14258585520178624</v>
      </c>
    </row>
    <row r="7249" ht="22.5" customHeight="1">
      <c r="Q7249" s="9" t="s">
        <v>7287</v>
      </c>
      <c r="R7249" s="10">
        <v>0.4940493729090594</v>
      </c>
      <c r="S7249" s="10">
        <v>0.0242635531743523</v>
      </c>
      <c r="T7249" s="10">
        <v>18.71322677459337</v>
      </c>
      <c r="U7249" s="11">
        <v>0.22779688488082667</v>
      </c>
      <c r="V7249" s="11">
        <v>0.22196942526126612</v>
      </c>
      <c r="W7249" s="11">
        <v>0.02662656628786503</v>
      </c>
      <c r="X7249" s="11">
        <v>0.3062135449572198</v>
      </c>
      <c r="Y7249" s="11">
        <v>0.0031313783305486086</v>
      </c>
      <c r="Z7249" s="11">
        <v>0.2142622002822737</v>
      </c>
    </row>
    <row r="7250" ht="22.5" customHeight="1">
      <c r="Q7250" s="9" t="s">
        <v>7288</v>
      </c>
      <c r="R7250" s="10">
        <v>0.6333723322017246</v>
      </c>
      <c r="S7250" s="10">
        <v>0.031709177208987624</v>
      </c>
      <c r="T7250" s="10">
        <v>18.71295266638264</v>
      </c>
      <c r="U7250" s="11">
        <v>0.32229051609048365</v>
      </c>
      <c r="V7250" s="11">
        <v>0.2924801542628519</v>
      </c>
      <c r="W7250" s="11">
        <v>0.05121927223920688</v>
      </c>
      <c r="X7250" s="11">
        <v>0.2877291044229252</v>
      </c>
      <c r="Y7250" s="11">
        <v>0.02129885694289079</v>
      </c>
      <c r="Z7250" s="11">
        <v>0.024982096041641595</v>
      </c>
    </row>
    <row r="7251" ht="22.5" customHeight="1">
      <c r="Q7251" s="9" t="s">
        <v>7289</v>
      </c>
      <c r="R7251" s="10">
        <v>0.5684762299449375</v>
      </c>
      <c r="S7251" s="10">
        <v>0.028244357355991286</v>
      </c>
      <c r="T7251" s="10">
        <v>18.71086048388477</v>
      </c>
      <c r="U7251" s="11">
        <v>0.2639666805317624</v>
      </c>
      <c r="V7251" s="11">
        <v>0.2544969805897771</v>
      </c>
      <c r="W7251" s="11">
        <v>0.06285012339467372</v>
      </c>
      <c r="X7251" s="11">
        <v>0.03733711368593891</v>
      </c>
      <c r="Y7251" s="11">
        <v>0.2547310625232784</v>
      </c>
      <c r="Z7251" s="11">
        <v>0.1266180392745695</v>
      </c>
    </row>
    <row r="7252" ht="22.5" customHeight="1">
      <c r="Q7252" s="9" t="s">
        <v>7290</v>
      </c>
      <c r="R7252" s="10">
        <v>0.38501797844084806</v>
      </c>
      <c r="S7252" s="10">
        <v>0.01843991263443358</v>
      </c>
      <c r="T7252" s="10">
        <v>18.710391165117688</v>
      </c>
      <c r="U7252" s="11">
        <v>0.19648677478468599</v>
      </c>
      <c r="V7252" s="11">
        <v>0.1629250899993411</v>
      </c>
      <c r="W7252" s="11">
        <v>0.01754888150575273</v>
      </c>
      <c r="X7252" s="11">
        <v>0.15364043019064744</v>
      </c>
      <c r="Y7252" s="11">
        <v>0.1787718913936938</v>
      </c>
      <c r="Z7252" s="11">
        <v>0.2906269321258791</v>
      </c>
    </row>
    <row r="7253" ht="22.5" customHeight="1">
      <c r="Q7253" s="9" t="s">
        <v>7291</v>
      </c>
      <c r="R7253" s="10">
        <v>0.6223312583291967</v>
      </c>
      <c r="S7253" s="10">
        <v>0.031123682066566728</v>
      </c>
      <c r="T7253" s="10">
        <v>18.710230270432586</v>
      </c>
      <c r="U7253" s="11">
        <v>0.293713050360138</v>
      </c>
      <c r="V7253" s="11">
        <v>0.28617271642402325</v>
      </c>
      <c r="W7253" s="11">
        <v>0.05478753675986046</v>
      </c>
      <c r="X7253" s="11">
        <v>0.18526117595881975</v>
      </c>
      <c r="Y7253" s="11">
        <v>0.16024224254064393</v>
      </c>
      <c r="Z7253" s="11">
        <v>0.019823277956514476</v>
      </c>
    </row>
    <row r="7254" ht="22.5" customHeight="1">
      <c r="Q7254" s="9" t="s">
        <v>7292</v>
      </c>
      <c r="R7254" s="10">
        <v>0.49342564664404626</v>
      </c>
      <c r="S7254" s="10">
        <v>0.024235799556175296</v>
      </c>
      <c r="T7254" s="10">
        <v>18.70892047910642</v>
      </c>
      <c r="U7254" s="11">
        <v>0.30656141787741853</v>
      </c>
      <c r="V7254" s="11">
        <v>0.21750954731074018</v>
      </c>
      <c r="W7254" s="11">
        <v>0.05042629507006653</v>
      </c>
      <c r="X7254" s="11">
        <v>0.04133501179613498</v>
      </c>
      <c r="Y7254" s="11">
        <v>0.16090207084773891</v>
      </c>
      <c r="Z7254" s="11">
        <v>0.22326565709790092</v>
      </c>
    </row>
    <row r="7255" ht="22.5" customHeight="1">
      <c r="Q7255" s="9" t="s">
        <v>7293</v>
      </c>
      <c r="R7255" s="10">
        <v>0.522331348251574</v>
      </c>
      <c r="S7255" s="10">
        <v>0.03348716450926639</v>
      </c>
      <c r="T7255" s="10">
        <v>18.707621331344747</v>
      </c>
      <c r="U7255" s="11">
        <v>0.04117820797903656</v>
      </c>
      <c r="V7255" s="11">
        <v>0.3072135196557418</v>
      </c>
      <c r="W7255" s="11">
        <v>0.09179437288357982</v>
      </c>
      <c r="X7255" s="11">
        <v>0.05618325444530784</v>
      </c>
      <c r="Y7255" s="11">
        <v>0.220188548586377</v>
      </c>
      <c r="Z7255" s="11">
        <v>0.283442096449957</v>
      </c>
    </row>
    <row r="7256" ht="22.5" customHeight="1">
      <c r="Q7256" s="9" t="s">
        <v>7294</v>
      </c>
      <c r="R7256" s="10">
        <v>0.6137180067721376</v>
      </c>
      <c r="S7256" s="10">
        <v>0.03066841628692622</v>
      </c>
      <c r="T7256" s="10">
        <v>18.707128578292792</v>
      </c>
      <c r="U7256" s="11">
        <v>0.13611692675179862</v>
      </c>
      <c r="V7256" s="11">
        <v>0.0708000772162526</v>
      </c>
      <c r="W7256" s="11">
        <v>0.263902558939514</v>
      </c>
      <c r="X7256" s="11">
        <v>0.3839145116107681</v>
      </c>
      <c r="Y7256" s="11">
        <v>0.05945348566539065</v>
      </c>
      <c r="Z7256" s="11">
        <v>0.08581243981627606</v>
      </c>
    </row>
    <row r="7257" ht="22.5" customHeight="1">
      <c r="Q7257" s="9" t="s">
        <v>7295</v>
      </c>
      <c r="R7257" s="10">
        <v>0.23223893793486322</v>
      </c>
      <c r="S7257" s="10">
        <v>0.01027639796303178</v>
      </c>
      <c r="T7257" s="10">
        <v>18.70684053171372</v>
      </c>
      <c r="U7257" s="11">
        <v>0.06264388996689578</v>
      </c>
      <c r="V7257" s="11">
        <v>0.048587531185179736</v>
      </c>
      <c r="W7257" s="11">
        <v>0.036981477294198824</v>
      </c>
      <c r="X7257" s="11">
        <v>0.10615537786459475</v>
      </c>
      <c r="Y7257" s="11">
        <v>0.20194277982874081</v>
      </c>
      <c r="Z7257" s="11">
        <v>0.5436889438603901</v>
      </c>
    </row>
    <row r="7258" ht="22.5" customHeight="1">
      <c r="Q7258" s="9" t="s">
        <v>7296</v>
      </c>
      <c r="R7258" s="10">
        <v>0.6571183645142974</v>
      </c>
      <c r="S7258" s="10">
        <v>0.03298958106176601</v>
      </c>
      <c r="T7258" s="10">
        <v>18.706462605841335</v>
      </c>
      <c r="U7258" s="11">
        <v>0.008774930203430335</v>
      </c>
      <c r="V7258" s="11">
        <v>0.3046607930625261</v>
      </c>
      <c r="W7258" s="11">
        <v>0.05495529738332123</v>
      </c>
      <c r="X7258" s="11">
        <v>0.29112464338934974</v>
      </c>
      <c r="Y7258" s="11">
        <v>0.26100749024087216</v>
      </c>
      <c r="Z7258" s="11">
        <v>0.07947684572050057</v>
      </c>
    </row>
    <row r="7259" ht="22.5" customHeight="1">
      <c r="Q7259" s="9" t="s">
        <v>7297</v>
      </c>
      <c r="R7259" s="10">
        <v>0.5668838040340894</v>
      </c>
      <c r="S7259" s="10">
        <v>0.028166448183359123</v>
      </c>
      <c r="T7259" s="10">
        <v>18.70607897041754</v>
      </c>
      <c r="U7259" s="11">
        <v>0.06221726917413781</v>
      </c>
      <c r="V7259" s="11">
        <v>0.07363403822169533</v>
      </c>
      <c r="W7259" s="11">
        <v>0.23974440381570197</v>
      </c>
      <c r="X7259" s="11">
        <v>0.23070170717136615</v>
      </c>
      <c r="Y7259" s="11">
        <v>0.21231618339298952</v>
      </c>
      <c r="Z7259" s="11">
        <v>0.1813863982241093</v>
      </c>
    </row>
    <row r="7260" ht="22.5" customHeight="1">
      <c r="Q7260" s="9" t="s">
        <v>7298</v>
      </c>
      <c r="R7260" s="10">
        <v>0.6125334939888075</v>
      </c>
      <c r="S7260" s="10">
        <v>0.030608495441800856</v>
      </c>
      <c r="T7260" s="10">
        <v>18.705051840180303</v>
      </c>
      <c r="U7260" s="11">
        <v>0.051216626210000726</v>
      </c>
      <c r="V7260" s="11">
        <v>0.28538751198489454</v>
      </c>
      <c r="W7260" s="11">
        <v>0.05345484913507762</v>
      </c>
      <c r="X7260" s="11">
        <v>0.2541633508713978</v>
      </c>
      <c r="Y7260" s="11">
        <v>0.14535451242710762</v>
      </c>
      <c r="Z7260" s="11">
        <v>0.21042314937152162</v>
      </c>
    </row>
    <row r="7261" ht="22.5" customHeight="1">
      <c r="Q7261" s="9" t="s">
        <v>7299</v>
      </c>
      <c r="R7261" s="10">
        <v>0.5913504832395936</v>
      </c>
      <c r="S7261" s="10">
        <v>0.029477843628692893</v>
      </c>
      <c r="T7261" s="10">
        <v>18.703894700863557</v>
      </c>
      <c r="U7261" s="11">
        <v>0.311520463412417</v>
      </c>
      <c r="V7261" s="11">
        <v>0.26810266863353194</v>
      </c>
      <c r="W7261" s="11">
        <v>0.07499342283865491</v>
      </c>
      <c r="X7261" s="11">
        <v>0.03420949874257083</v>
      </c>
      <c r="Y7261" s="11">
        <v>0.094302938426123</v>
      </c>
      <c r="Z7261" s="11">
        <v>0.21687100794670225</v>
      </c>
    </row>
    <row r="7262" ht="22.5" customHeight="1">
      <c r="Q7262" s="9" t="s">
        <v>7300</v>
      </c>
      <c r="R7262" s="10">
        <v>0.47728380974555135</v>
      </c>
      <c r="S7262" s="10">
        <v>0.02337985539841533</v>
      </c>
      <c r="T7262" s="10">
        <v>18.703443725113466</v>
      </c>
      <c r="U7262" s="11">
        <v>0.05202836293654653</v>
      </c>
      <c r="V7262" s="11">
        <v>0.20692362373169507</v>
      </c>
      <c r="W7262" s="11">
        <v>0.009298717345507619</v>
      </c>
      <c r="X7262" s="11">
        <v>0.42440394644305485</v>
      </c>
      <c r="Y7262" s="11">
        <v>0.20154371670932164</v>
      </c>
      <c r="Z7262" s="11">
        <v>0.10580163283387427</v>
      </c>
    </row>
    <row r="7263" ht="22.5" customHeight="1">
      <c r="Q7263" s="9" t="s">
        <v>7301</v>
      </c>
      <c r="R7263" s="10">
        <v>0.47976293762640265</v>
      </c>
      <c r="S7263" s="10">
        <v>0.0235138798197673</v>
      </c>
      <c r="T7263" s="10">
        <v>18.702270361044768</v>
      </c>
      <c r="U7263" s="11">
        <v>0.2420189385470566</v>
      </c>
      <c r="V7263" s="11">
        <v>0.05552172255958178</v>
      </c>
      <c r="W7263" s="11">
        <v>0.19940766496047718</v>
      </c>
      <c r="X7263" s="11">
        <v>0.222758611941354</v>
      </c>
      <c r="Y7263" s="11">
        <v>0.027671117924234438</v>
      </c>
      <c r="Z7263" s="11">
        <v>0.25262194406729604</v>
      </c>
    </row>
    <row r="7264" ht="22.5" customHeight="1">
      <c r="Q7264" s="9" t="s">
        <v>7302</v>
      </c>
      <c r="R7264" s="10">
        <v>0.7726970214934022</v>
      </c>
      <c r="S7264" s="10">
        <v>0.03917844759009397</v>
      </c>
      <c r="T7264" s="10">
        <v>18.701532770243304</v>
      </c>
      <c r="U7264" s="11">
        <v>0.010946580733223401</v>
      </c>
      <c r="V7264" s="11">
        <v>0.15849679326238086</v>
      </c>
      <c r="W7264" s="11">
        <v>0.3277909552149016</v>
      </c>
      <c r="X7264" s="11">
        <v>0.1665218259548177</v>
      </c>
      <c r="Y7264" s="11">
        <v>0.018470340408336738</v>
      </c>
      <c r="Z7264" s="11">
        <v>0.31777350442633967</v>
      </c>
    </row>
    <row r="7265" ht="22.5" customHeight="1">
      <c r="Q7265" s="9" t="s">
        <v>7303</v>
      </c>
      <c r="R7265" s="10">
        <v>0.6565258289618812</v>
      </c>
      <c r="S7265" s="10">
        <v>0.03297189773649519</v>
      </c>
      <c r="T7265" s="10">
        <v>18.698524236882943</v>
      </c>
      <c r="U7265" s="11">
        <v>0.2992307074457407</v>
      </c>
      <c r="V7265" s="11">
        <v>0.2981486837605674</v>
      </c>
      <c r="W7265" s="11">
        <v>0.10176400452600924</v>
      </c>
      <c r="X7265" s="11">
        <v>0.005574277791522138</v>
      </c>
      <c r="Y7265" s="11">
        <v>0.014861771213980801</v>
      </c>
      <c r="Z7265" s="11">
        <v>0.2804205552621797</v>
      </c>
    </row>
    <row r="7266" ht="22.5" customHeight="1">
      <c r="Q7266" s="9" t="s">
        <v>7304</v>
      </c>
      <c r="R7266" s="10">
        <v>0.6630842347537826</v>
      </c>
      <c r="S7266" s="10">
        <v>0.033323795118305126</v>
      </c>
      <c r="T7266" s="10">
        <v>18.697877373862365</v>
      </c>
      <c r="U7266" s="11">
        <v>0.330558291938392</v>
      </c>
      <c r="V7266" s="11">
        <v>0.3047906337874882</v>
      </c>
      <c r="W7266" s="11">
        <v>0.08775825623019724</v>
      </c>
      <c r="X7266" s="11">
        <v>0.06534556707689604</v>
      </c>
      <c r="Y7266" s="11">
        <v>0.04450751968157762</v>
      </c>
      <c r="Z7266" s="11">
        <v>0.16703973128544897</v>
      </c>
    </row>
    <row r="7267" ht="22.5" customHeight="1">
      <c r="Q7267" s="9" t="s">
        <v>7305</v>
      </c>
      <c r="R7267" s="10">
        <v>0.606478797099855</v>
      </c>
      <c r="S7267" s="10">
        <v>0.030297570480223874</v>
      </c>
      <c r="T7267" s="10">
        <v>18.697169050885204</v>
      </c>
      <c r="U7267" s="11">
        <v>0.16543603237895615</v>
      </c>
      <c r="V7267" s="11">
        <v>0.107231908640506</v>
      </c>
      <c r="W7267" s="11">
        <v>0.25530563588577143</v>
      </c>
      <c r="X7267" s="11">
        <v>0.11331315097449328</v>
      </c>
      <c r="Y7267" s="11">
        <v>0.05407173061158895</v>
      </c>
      <c r="Z7267" s="11">
        <v>0.304641541508684</v>
      </c>
    </row>
    <row r="7268" ht="22.5" customHeight="1">
      <c r="Q7268" s="9" t="s">
        <v>7306</v>
      </c>
      <c r="R7268" s="10">
        <v>0.522331348251574</v>
      </c>
      <c r="S7268" s="10">
        <v>0.03380898406779798</v>
      </c>
      <c r="T7268" s="10">
        <v>18.696152245708134</v>
      </c>
      <c r="U7268" s="11">
        <v>0.011259282970563115</v>
      </c>
      <c r="V7268" s="11">
        <v>0.09695621685675786</v>
      </c>
      <c r="W7268" s="11">
        <v>0.2876995238874151</v>
      </c>
      <c r="X7268" s="11">
        <v>0.2682341816211501</v>
      </c>
      <c r="Y7268" s="11">
        <v>0.25053480879498413</v>
      </c>
      <c r="Z7268" s="11">
        <v>0.08531598586912957</v>
      </c>
    </row>
    <row r="7269" ht="22.5" customHeight="1">
      <c r="Q7269" s="9" t="s">
        <v>7307</v>
      </c>
      <c r="R7269" s="10">
        <v>0.6544347697452645</v>
      </c>
      <c r="S7269" s="10">
        <v>0.03286602391490845</v>
      </c>
      <c r="T7269" s="10">
        <v>18.69513547899991</v>
      </c>
      <c r="U7269" s="11">
        <v>0.24343970737342857</v>
      </c>
      <c r="V7269" s="11">
        <v>0.30056487938785464</v>
      </c>
      <c r="W7269" s="11">
        <v>0.09012138053233124</v>
      </c>
      <c r="X7269" s="11">
        <v>0.0324622969534983</v>
      </c>
      <c r="Y7269" s="11">
        <v>0.11052546010314808</v>
      </c>
      <c r="Z7269" s="11">
        <v>0.2228862756497392</v>
      </c>
    </row>
    <row r="7270" ht="22.5" customHeight="1">
      <c r="Q7270" s="9" t="s">
        <v>7308</v>
      </c>
      <c r="R7270" s="10">
        <v>0.4728686455879188</v>
      </c>
      <c r="S7270" s="10">
        <v>0.023154529885869465</v>
      </c>
      <c r="T7270" s="10">
        <v>18.6947715078459</v>
      </c>
      <c r="U7270" s="11">
        <v>0.19840111424509513</v>
      </c>
      <c r="V7270" s="11">
        <v>0.05274011891559577</v>
      </c>
      <c r="W7270" s="11">
        <v>0.19494278220361366</v>
      </c>
      <c r="X7270" s="11">
        <v>0.17793928504642004</v>
      </c>
      <c r="Y7270" s="11">
        <v>0.17339866650018237</v>
      </c>
      <c r="Z7270" s="11">
        <v>0.20257803308909306</v>
      </c>
    </row>
    <row r="7271" ht="22.5" customHeight="1">
      <c r="Q7271" s="9" t="s">
        <v>7309</v>
      </c>
      <c r="R7271" s="10">
        <v>0.37821095924286535</v>
      </c>
      <c r="S7271" s="10">
        <v>0.018093635986194064</v>
      </c>
      <c r="T7271" s="10">
        <v>18.692260610356566</v>
      </c>
      <c r="U7271" s="11">
        <v>0.2299866382478296</v>
      </c>
      <c r="V7271" s="11">
        <v>0.05131805227251566</v>
      </c>
      <c r="W7271" s="11">
        <v>0.1383750669596018</v>
      </c>
      <c r="X7271" s="11">
        <v>0.03331734666643141</v>
      </c>
      <c r="Y7271" s="11">
        <v>0.25492922850662625</v>
      </c>
      <c r="Z7271" s="11">
        <v>0.2920736673469953</v>
      </c>
    </row>
    <row r="7272" ht="22.5" customHeight="1">
      <c r="Q7272" s="9" t="s">
        <v>7310</v>
      </c>
      <c r="R7272" s="10">
        <v>0.5522048912307758</v>
      </c>
      <c r="S7272" s="10">
        <v>0.02740276557729705</v>
      </c>
      <c r="T7272" s="10">
        <v>18.69172254843989</v>
      </c>
      <c r="U7272" s="11">
        <v>0.19178842705558477</v>
      </c>
      <c r="V7272" s="11">
        <v>0.08882541126860681</v>
      </c>
      <c r="W7272" s="11">
        <v>0.23040260618457073</v>
      </c>
      <c r="X7272" s="11">
        <v>0.09462073264002636</v>
      </c>
      <c r="Y7272" s="11">
        <v>0.12675898911887198</v>
      </c>
      <c r="Z7272" s="11">
        <v>0.26760383373233937</v>
      </c>
    </row>
    <row r="7273" ht="22.5" customHeight="1">
      <c r="Q7273" s="9" t="s">
        <v>7311</v>
      </c>
      <c r="R7273" s="10">
        <v>0.40061447256779814</v>
      </c>
      <c r="S7273" s="10">
        <v>0.019293371750426464</v>
      </c>
      <c r="T7273" s="10">
        <v>18.69110683361124</v>
      </c>
      <c r="U7273" s="11">
        <v>0.616062435115655</v>
      </c>
      <c r="V7273" s="11">
        <v>0.15207666590802252</v>
      </c>
      <c r="W7273" s="11">
        <v>0.0376424548203631</v>
      </c>
      <c r="X7273" s="11">
        <v>0.06851331286057985</v>
      </c>
      <c r="Y7273" s="11">
        <v>0.06070984831753362</v>
      </c>
      <c r="Z7273" s="11">
        <v>0.06499528297784597</v>
      </c>
    </row>
    <row r="7274" ht="22.5" customHeight="1">
      <c r="Q7274" s="9" t="s">
        <v>7312</v>
      </c>
      <c r="R7274" s="10">
        <v>0.5773226210469915</v>
      </c>
      <c r="S7274" s="10">
        <v>0.02874773698567211</v>
      </c>
      <c r="T7274" s="10">
        <v>18.690953702365977</v>
      </c>
      <c r="U7274" s="11">
        <v>0.19656732526473922</v>
      </c>
      <c r="V7274" s="11">
        <v>0.2651615987316473</v>
      </c>
      <c r="W7274" s="11">
        <v>0.05894585874963292</v>
      </c>
      <c r="X7274" s="11">
        <v>0.10711123540482609</v>
      </c>
      <c r="Y7274" s="11">
        <v>0.1667739971906841</v>
      </c>
      <c r="Z7274" s="11">
        <v>0.20543998465847033</v>
      </c>
    </row>
    <row r="7275" ht="22.5" customHeight="1">
      <c r="Q7275" s="9" t="s">
        <v>7313</v>
      </c>
      <c r="R7275" s="10">
        <v>0.37602799970283607</v>
      </c>
      <c r="S7275" s="10">
        <v>0.01797972641124981</v>
      </c>
      <c r="T7275" s="10">
        <v>18.689272128889865</v>
      </c>
      <c r="U7275" s="11">
        <v>0.23969796870904822</v>
      </c>
      <c r="V7275" s="11">
        <v>0.15338928318216624</v>
      </c>
      <c r="W7275" s="11">
        <v>0.03578829330403271</v>
      </c>
      <c r="X7275" s="11">
        <v>0.019252772302967843</v>
      </c>
      <c r="Y7275" s="11">
        <v>0.18924175009354677</v>
      </c>
      <c r="Z7275" s="11">
        <v>0.3626299324082382</v>
      </c>
    </row>
    <row r="7276" ht="22.5" customHeight="1">
      <c r="Q7276" s="9" t="s">
        <v>7314</v>
      </c>
      <c r="R7276" s="10">
        <v>0.5293806656600102</v>
      </c>
      <c r="S7276" s="10">
        <v>0.026185161097479082</v>
      </c>
      <c r="T7276" s="10">
        <v>18.689236389961497</v>
      </c>
      <c r="U7276" s="11">
        <v>0.2136981109716979</v>
      </c>
      <c r="V7276" s="11">
        <v>0.07226473490313735</v>
      </c>
      <c r="W7276" s="11">
        <v>0.22192964546970878</v>
      </c>
      <c r="X7276" s="11">
        <v>0.14789055755874125</v>
      </c>
      <c r="Y7276" s="11">
        <v>0.1368095239136768</v>
      </c>
      <c r="Z7276" s="11">
        <v>0.20740742718303787</v>
      </c>
    </row>
    <row r="7277" ht="22.5" customHeight="1">
      <c r="Q7277" s="9" t="s">
        <v>7315</v>
      </c>
      <c r="R7277" s="10">
        <v>0.8718812159689883</v>
      </c>
      <c r="S7277" s="10">
        <v>0.04451515193409013</v>
      </c>
      <c r="T7277" s="10">
        <v>18.687596915330882</v>
      </c>
      <c r="U7277" s="11">
        <v>0.10645341684006174</v>
      </c>
      <c r="V7277" s="11">
        <v>0.20716529369589465</v>
      </c>
      <c r="W7277" s="11">
        <v>0.3612492139040965</v>
      </c>
      <c r="X7277" s="11">
        <v>0.007287075941089214</v>
      </c>
      <c r="Y7277" s="11">
        <v>0.08121046542860447</v>
      </c>
      <c r="Z7277" s="11">
        <v>0.23663453419025346</v>
      </c>
    </row>
    <row r="7278" ht="22.5" customHeight="1">
      <c r="Q7278" s="9" t="s">
        <v>7316</v>
      </c>
      <c r="R7278" s="10">
        <v>0.4991781670066473</v>
      </c>
      <c r="S7278" s="10">
        <v>0.024572617019450394</v>
      </c>
      <c r="T7278" s="10">
        <v>18.686579725846293</v>
      </c>
      <c r="U7278" s="11">
        <v>0.12158413313928772</v>
      </c>
      <c r="V7278" s="11">
        <v>0.22081607915926488</v>
      </c>
      <c r="W7278" s="11">
        <v>0.035049488205177476</v>
      </c>
      <c r="X7278" s="11">
        <v>0.14771465779008788</v>
      </c>
      <c r="Y7278" s="11">
        <v>0.3244491243898861</v>
      </c>
      <c r="Z7278" s="11">
        <v>0.15038651731629604</v>
      </c>
    </row>
    <row r="7279" ht="22.5" customHeight="1">
      <c r="Q7279" s="9" t="s">
        <v>7317</v>
      </c>
      <c r="R7279" s="10">
        <v>0.456550040702048</v>
      </c>
      <c r="S7279" s="10">
        <v>0.02229531655669418</v>
      </c>
      <c r="T7279" s="10">
        <v>18.683297886478258</v>
      </c>
      <c r="U7279" s="11">
        <v>0.017872141519344294</v>
      </c>
      <c r="V7279" s="11">
        <v>0.05063730752179065</v>
      </c>
      <c r="W7279" s="11">
        <v>0.1873691520761871</v>
      </c>
      <c r="X7279" s="11">
        <v>0.3135430844107522</v>
      </c>
      <c r="Y7279" s="11">
        <v>0.029266699839581824</v>
      </c>
      <c r="Z7279" s="11">
        <v>0.4013116146323439</v>
      </c>
    </row>
    <row r="7280" ht="22.5" customHeight="1">
      <c r="Q7280" s="9" t="s">
        <v>7318</v>
      </c>
      <c r="R7280" s="10">
        <v>0.6596399498904579</v>
      </c>
      <c r="S7280" s="10">
        <v>0.03316604490309024</v>
      </c>
      <c r="T7280" s="10">
        <v>18.682961797254368</v>
      </c>
      <c r="U7280" s="11">
        <v>0.018392205027139175</v>
      </c>
      <c r="V7280" s="11">
        <v>0.09642845550517337</v>
      </c>
      <c r="W7280" s="11">
        <v>0.2821633810684656</v>
      </c>
      <c r="X7280" s="11">
        <v>0.24429188343330108</v>
      </c>
      <c r="Y7280" s="11">
        <v>0.24683123568027504</v>
      </c>
      <c r="Z7280" s="11">
        <v>0.11189283928564568</v>
      </c>
    </row>
    <row r="7281" ht="22.5" customHeight="1">
      <c r="Q7281" s="9" t="s">
        <v>7319</v>
      </c>
      <c r="R7281" s="10">
        <v>0.6041435342483913</v>
      </c>
      <c r="S7281" s="10">
        <v>0.030196974506120695</v>
      </c>
      <c r="T7281" s="10">
        <v>18.682121089119168</v>
      </c>
      <c r="U7281" s="11">
        <v>0.18761687466596885</v>
      </c>
      <c r="V7281" s="11">
        <v>0.11102565904100554</v>
      </c>
      <c r="W7281" s="11">
        <v>0.25298114325429644</v>
      </c>
      <c r="X7281" s="11">
        <v>0.08961260243223645</v>
      </c>
      <c r="Y7281" s="11">
        <v>0.034751659304780906</v>
      </c>
      <c r="Z7281" s="11">
        <v>0.3240120613017119</v>
      </c>
    </row>
    <row r="7282" ht="22.5" customHeight="1">
      <c r="Q7282" s="9" t="s">
        <v>7320</v>
      </c>
      <c r="R7282" s="10">
        <v>0.8214866669257692</v>
      </c>
      <c r="S7282" s="10">
        <v>0.04183249536493428</v>
      </c>
      <c r="T7282" s="10">
        <v>18.68133038940927</v>
      </c>
      <c r="U7282" s="11">
        <v>0.03781409004907627</v>
      </c>
      <c r="V7282" s="11">
        <v>0.15155353944727926</v>
      </c>
      <c r="W7282" s="11">
        <v>0.3549034463999668</v>
      </c>
      <c r="X7282" s="11">
        <v>0.2303724648274196</v>
      </c>
      <c r="Y7282" s="11">
        <v>0.10191196434718902</v>
      </c>
      <c r="Z7282" s="11">
        <v>0.12344449492906899</v>
      </c>
    </row>
    <row r="7283" ht="22.5" customHeight="1">
      <c r="Q7283" s="9" t="s">
        <v>7321</v>
      </c>
      <c r="R7283" s="10">
        <v>0.6065642163140927</v>
      </c>
      <c r="S7283" s="10">
        <v>0.030329369819031032</v>
      </c>
      <c r="T7283" s="10">
        <v>18.68038207502042</v>
      </c>
      <c r="U7283" s="11">
        <v>0.09393730873966277</v>
      </c>
      <c r="V7283" s="11">
        <v>0.10347271139619074</v>
      </c>
      <c r="W7283" s="11">
        <v>0.2527493706702928</v>
      </c>
      <c r="X7283" s="11">
        <v>0.07840007991932628</v>
      </c>
      <c r="Y7283" s="11">
        <v>0.2605574635390909</v>
      </c>
      <c r="Z7283" s="11">
        <v>0.21088306573543647</v>
      </c>
    </row>
    <row r="7284" ht="22.5" customHeight="1">
      <c r="Q7284" s="9" t="s">
        <v>7322</v>
      </c>
      <c r="R7284" s="10">
        <v>0.3698781213302902</v>
      </c>
      <c r="S7284" s="10">
        <v>0.017659393871165704</v>
      </c>
      <c r="T7284" s="10">
        <v>18.680036457475243</v>
      </c>
      <c r="U7284" s="11">
        <v>0.17572916609574046</v>
      </c>
      <c r="V7284" s="11">
        <v>0.15340976075809212</v>
      </c>
      <c r="W7284" s="11">
        <v>0.006078274171379146</v>
      </c>
      <c r="X7284" s="11">
        <v>0.320795832857087</v>
      </c>
      <c r="Y7284" s="11">
        <v>0.029782684074867984</v>
      </c>
      <c r="Z7284" s="11">
        <v>0.3142042820428332</v>
      </c>
    </row>
    <row r="7285" ht="22.5" customHeight="1">
      <c r="Q7285" s="9" t="s">
        <v>7323</v>
      </c>
      <c r="R7285" s="10">
        <v>0.4562629944541489</v>
      </c>
      <c r="S7285" s="10">
        <v>0.02228455370661037</v>
      </c>
      <c r="T7285" s="10">
        <v>18.679440474083666</v>
      </c>
      <c r="U7285" s="11">
        <v>0.22156856018506635</v>
      </c>
      <c r="V7285" s="11">
        <v>0.054124790875576374</v>
      </c>
      <c r="W7285" s="11">
        <v>0.18563602975513516</v>
      </c>
      <c r="X7285" s="11">
        <v>0.13197893883554052</v>
      </c>
      <c r="Y7285" s="11">
        <v>0.18035837584452943</v>
      </c>
      <c r="Z7285" s="11">
        <v>0.22633330450415223</v>
      </c>
    </row>
    <row r="7286" ht="22.5" customHeight="1">
      <c r="Q7286" s="9" t="s">
        <v>7324</v>
      </c>
      <c r="R7286" s="10">
        <v>0.67638594342267</v>
      </c>
      <c r="S7286" s="10">
        <v>0.034070168436228156</v>
      </c>
      <c r="T7286" s="10">
        <v>18.678684979613298</v>
      </c>
      <c r="U7286" s="11">
        <v>0.14566751809961717</v>
      </c>
      <c r="V7286" s="11">
        <v>0.12145844777147964</v>
      </c>
      <c r="W7286" s="11">
        <v>0.28108230986788346</v>
      </c>
      <c r="X7286" s="11">
        <v>0.0517448732814334</v>
      </c>
      <c r="Y7286" s="11">
        <v>0.32827489370618956</v>
      </c>
      <c r="Z7286" s="11">
        <v>0.07177195727339679</v>
      </c>
    </row>
    <row r="7287" ht="22.5" customHeight="1">
      <c r="Q7287" s="9" t="s">
        <v>7325</v>
      </c>
      <c r="R7287" s="10">
        <v>0.6210690385639525</v>
      </c>
      <c r="S7287" s="10">
        <v>0.031109308141601334</v>
      </c>
      <c r="T7287" s="10">
        <v>18.678301552676132</v>
      </c>
      <c r="U7287" s="11">
        <v>0.07497551215332773</v>
      </c>
      <c r="V7287" s="11">
        <v>0.0868911477225673</v>
      </c>
      <c r="W7287" s="11">
        <v>0.26757751974703237</v>
      </c>
      <c r="X7287" s="11">
        <v>0.29804523518332166</v>
      </c>
      <c r="Y7287" s="11">
        <v>0.054679914584345526</v>
      </c>
      <c r="Z7287" s="11">
        <v>0.21783067060940542</v>
      </c>
    </row>
    <row r="7288" ht="22.5" customHeight="1">
      <c r="Q7288" s="9" t="s">
        <v>7326</v>
      </c>
      <c r="R7288" s="10">
        <v>0.6621257194637862</v>
      </c>
      <c r="S7288" s="10">
        <v>0.03330989284840385</v>
      </c>
      <c r="T7288" s="10">
        <v>18.676905455539384</v>
      </c>
      <c r="U7288" s="11">
        <v>0.022104855742651388</v>
      </c>
      <c r="V7288" s="11">
        <v>0.3042866737515913</v>
      </c>
      <c r="W7288" s="11">
        <v>0.08677326698278483</v>
      </c>
      <c r="X7288" s="11">
        <v>0.05791406798031382</v>
      </c>
      <c r="Y7288" s="11">
        <v>0.2980786151800118</v>
      </c>
      <c r="Z7288" s="11">
        <v>0.2308425203626469</v>
      </c>
    </row>
    <row r="7289" ht="22.5" customHeight="1">
      <c r="Q7289" s="9" t="s">
        <v>7327</v>
      </c>
      <c r="R7289" s="10">
        <v>0.4718391888372512</v>
      </c>
      <c r="S7289" s="10">
        <v>0.023121789230126862</v>
      </c>
      <c r="T7289" s="10">
        <v>18.676720237315383</v>
      </c>
      <c r="U7289" s="11">
        <v>0.19394164898266772</v>
      </c>
      <c r="V7289" s="11">
        <v>0.20783727037295555</v>
      </c>
      <c r="W7289" s="11">
        <v>0.052600592328389324</v>
      </c>
      <c r="X7289" s="11">
        <v>0.01945337879654782</v>
      </c>
      <c r="Y7289" s="11">
        <v>0.17630371726596364</v>
      </c>
      <c r="Z7289" s="11">
        <v>0.3498633922534759</v>
      </c>
    </row>
    <row r="7290" ht="22.5" customHeight="1">
      <c r="Q7290" s="9" t="s">
        <v>7328</v>
      </c>
      <c r="R7290" s="10">
        <v>0.5927332784741723</v>
      </c>
      <c r="S7290" s="10">
        <v>0.029595871435837393</v>
      </c>
      <c r="T7290" s="10">
        <v>18.676026474587</v>
      </c>
      <c r="U7290" s="11">
        <v>0.22672569780849444</v>
      </c>
      <c r="V7290" s="11">
        <v>0.10108108256021356</v>
      </c>
      <c r="W7290" s="11">
        <v>0.24845522967791409</v>
      </c>
      <c r="X7290" s="11">
        <v>0.07654531734905545</v>
      </c>
      <c r="Y7290" s="11">
        <v>0.11919959479202803</v>
      </c>
      <c r="Z7290" s="11">
        <v>0.2279930778122944</v>
      </c>
    </row>
    <row r="7291" ht="22.5" customHeight="1">
      <c r="Q7291" s="9" t="s">
        <v>7329</v>
      </c>
      <c r="R7291" s="10">
        <v>0.6461491637957307</v>
      </c>
      <c r="S7291" s="10">
        <v>0.03245820016485642</v>
      </c>
      <c r="T7291" s="10">
        <v>18.674762023682035</v>
      </c>
      <c r="U7291" s="11">
        <v>0.07158949345276079</v>
      </c>
      <c r="V7291" s="11">
        <v>0.10972331887772334</v>
      </c>
      <c r="W7291" s="11">
        <v>0.27402042769201923</v>
      </c>
      <c r="X7291" s="11">
        <v>0.12885175561056142</v>
      </c>
      <c r="Y7291" s="11">
        <v>0.2030447450952668</v>
      </c>
      <c r="Z7291" s="11">
        <v>0.2127702592716686</v>
      </c>
    </row>
    <row r="7292" ht="22.5" customHeight="1">
      <c r="Q7292" s="9" t="s">
        <v>7330</v>
      </c>
      <c r="R7292" s="10">
        <v>0.6172756138956773</v>
      </c>
      <c r="S7292" s="10">
        <v>0.03091291824232261</v>
      </c>
      <c r="T7292" s="10">
        <v>18.674251630676984</v>
      </c>
      <c r="U7292" s="11">
        <v>0.253708614796869</v>
      </c>
      <c r="V7292" s="11">
        <v>0.10572626534880131</v>
      </c>
      <c r="W7292" s="11">
        <v>0.2608201804287088</v>
      </c>
      <c r="X7292" s="11">
        <v>0.1036278791645023</v>
      </c>
      <c r="Y7292" s="11">
        <v>0.061093599356547935</v>
      </c>
      <c r="Z7292" s="11">
        <v>0.21502346090457072</v>
      </c>
    </row>
    <row r="7293" ht="22.5" customHeight="1">
      <c r="Q7293" s="9" t="s">
        <v>7331</v>
      </c>
      <c r="R7293" s="10">
        <v>0.3891550638484232</v>
      </c>
      <c r="S7293" s="10">
        <v>0.01869735099156912</v>
      </c>
      <c r="T7293" s="10">
        <v>18.67403911954489</v>
      </c>
      <c r="U7293" s="11">
        <v>0.248682955000322</v>
      </c>
      <c r="V7293" s="11">
        <v>0.1577389712760748</v>
      </c>
      <c r="W7293" s="11">
        <v>0.01649072402807697</v>
      </c>
      <c r="X7293" s="11">
        <v>0.135747680910977</v>
      </c>
      <c r="Y7293" s="11">
        <v>0.30310984928230456</v>
      </c>
      <c r="Z7293" s="11">
        <v>0.13822981950224472</v>
      </c>
    </row>
    <row r="7294" ht="22.5" customHeight="1">
      <c r="Q7294" s="9" t="s">
        <v>7332</v>
      </c>
      <c r="R7294" s="10">
        <v>0.4291476574876032</v>
      </c>
      <c r="S7294" s="10">
        <v>0.02084105817977131</v>
      </c>
      <c r="T7294" s="10">
        <v>18.672164058604118</v>
      </c>
      <c r="U7294" s="11">
        <v>0.1906929009012547</v>
      </c>
      <c r="V7294" s="11">
        <v>0.1875153910707605</v>
      </c>
      <c r="W7294" s="11">
        <v>0.01224001430013042</v>
      </c>
      <c r="X7294" s="11">
        <v>0.2866065240729861</v>
      </c>
      <c r="Y7294" s="11">
        <v>0.10412687203733739</v>
      </c>
      <c r="Z7294" s="11">
        <v>0.21881829761753088</v>
      </c>
    </row>
    <row r="7295" ht="22.5" customHeight="1">
      <c r="Q7295" s="9" t="s">
        <v>7333</v>
      </c>
      <c r="R7295" s="10">
        <v>0.7254888885292443</v>
      </c>
      <c r="S7295" s="10">
        <v>0.03671191016720964</v>
      </c>
      <c r="T7295" s="10">
        <v>18.672111731780973</v>
      </c>
      <c r="U7295" s="11">
        <v>0.003667096587794262</v>
      </c>
      <c r="V7295" s="11">
        <v>0.14877107137510734</v>
      </c>
      <c r="W7295" s="11">
        <v>0.3058794907630326</v>
      </c>
      <c r="X7295" s="11">
        <v>0.10184762549343043</v>
      </c>
      <c r="Y7295" s="11">
        <v>0.10583658434154952</v>
      </c>
      <c r="Z7295" s="11">
        <v>0.33399813143908597</v>
      </c>
    </row>
    <row r="7296" ht="22.5" customHeight="1">
      <c r="Q7296" s="9" t="s">
        <v>7334</v>
      </c>
      <c r="R7296" s="10">
        <v>0.31729515872461345</v>
      </c>
      <c r="S7296" s="10">
        <v>0.014851363546160292</v>
      </c>
      <c r="T7296" s="10">
        <v>18.671360233202698</v>
      </c>
      <c r="U7296" s="11">
        <v>0.010520725905414793</v>
      </c>
      <c r="V7296" s="11">
        <v>0.11556874538681987</v>
      </c>
      <c r="W7296" s="11">
        <v>0.029383654866752228</v>
      </c>
      <c r="X7296" s="11">
        <v>0.060632645909976655</v>
      </c>
      <c r="Y7296" s="11">
        <v>0.32275342137709956</v>
      </c>
      <c r="Z7296" s="11">
        <v>0.46114080655393686</v>
      </c>
    </row>
    <row r="7297" ht="22.5" customHeight="1">
      <c r="Q7297" s="9" t="s">
        <v>7335</v>
      </c>
      <c r="R7297" s="10">
        <v>0.4586693270474815</v>
      </c>
      <c r="S7297" s="10">
        <v>0.02242389066882809</v>
      </c>
      <c r="T7297" s="10">
        <v>18.670681784472055</v>
      </c>
      <c r="U7297" s="11">
        <v>0.12829389497989713</v>
      </c>
      <c r="V7297" s="11">
        <v>0.05127394865892756</v>
      </c>
      <c r="W7297" s="11">
        <v>0.18562104586433315</v>
      </c>
      <c r="X7297" s="11">
        <v>0.1581363094509324</v>
      </c>
      <c r="Y7297" s="11">
        <v>0.26711513892361827</v>
      </c>
      <c r="Z7297" s="11">
        <v>0.20955966212229146</v>
      </c>
    </row>
    <row r="7298" ht="22.5" customHeight="1">
      <c r="Q7298" s="9" t="s">
        <v>7336</v>
      </c>
      <c r="R7298" s="10">
        <v>0.6120955379651726</v>
      </c>
      <c r="S7298" s="10">
        <v>0.03064217356071728</v>
      </c>
      <c r="T7298" s="10">
        <v>18.67020095136426</v>
      </c>
      <c r="U7298" s="11">
        <v>0.21332023712833756</v>
      </c>
      <c r="V7298" s="11">
        <v>0.10042808670268215</v>
      </c>
      <c r="W7298" s="11">
        <v>0.2556856128575292</v>
      </c>
      <c r="X7298" s="11">
        <v>0.0707341364476402</v>
      </c>
      <c r="Y7298" s="11">
        <v>0.245116426630058</v>
      </c>
      <c r="Z7298" s="11">
        <v>0.11471550023375278</v>
      </c>
    </row>
    <row r="7299" ht="22.5" customHeight="1">
      <c r="Q7299" s="9" t="s">
        <v>7337</v>
      </c>
      <c r="R7299" s="10">
        <v>0.5353943893812229</v>
      </c>
      <c r="S7299" s="10">
        <v>0.02653408729655919</v>
      </c>
      <c r="T7299" s="10">
        <v>18.670112291575343</v>
      </c>
      <c r="U7299" s="11">
        <v>0.23024074254018145</v>
      </c>
      <c r="V7299" s="11">
        <v>0.24473545838254437</v>
      </c>
      <c r="W7299" s="11">
        <v>0.03963995937195885</v>
      </c>
      <c r="X7299" s="11">
        <v>0.1834353002571274</v>
      </c>
      <c r="Y7299" s="11">
        <v>0.1372227885237464</v>
      </c>
      <c r="Z7299" s="11">
        <v>0.16472575092444167</v>
      </c>
    </row>
    <row r="7300" ht="22.5" customHeight="1">
      <c r="Q7300" s="9" t="s">
        <v>7338</v>
      </c>
      <c r="R7300" s="10">
        <v>0.6565264386163164</v>
      </c>
      <c r="S7300" s="10">
        <v>0.033025072999497335</v>
      </c>
      <c r="T7300" s="10">
        <v>18.668435301435984</v>
      </c>
      <c r="U7300" s="11">
        <v>0.00968039708335541</v>
      </c>
      <c r="V7300" s="11">
        <v>0.13755050720707884</v>
      </c>
      <c r="W7300" s="11">
        <v>0.2685997729872927</v>
      </c>
      <c r="X7300" s="11">
        <v>0.0027256679407982962</v>
      </c>
      <c r="Y7300" s="11">
        <v>0.2587565832469128</v>
      </c>
      <c r="Z7300" s="11">
        <v>0.3226870715345619</v>
      </c>
    </row>
    <row r="7301" ht="22.5" customHeight="1">
      <c r="Q7301" s="9" t="s">
        <v>7339</v>
      </c>
      <c r="R7301" s="10">
        <v>0.4430039088621918</v>
      </c>
      <c r="S7301" s="10">
        <v>0.021587601409252696</v>
      </c>
      <c r="T7301" s="10">
        <v>18.66830414468648</v>
      </c>
      <c r="U7301" s="11">
        <v>0.04012796725235792</v>
      </c>
      <c r="V7301" s="11">
        <v>0.19221971485724584</v>
      </c>
      <c r="W7301" s="11">
        <v>0.022819524902245373</v>
      </c>
      <c r="X7301" s="11">
        <v>0.19228472665728172</v>
      </c>
      <c r="Y7301" s="11">
        <v>0.315537854536904</v>
      </c>
      <c r="Z7301" s="11">
        <v>0.23701021179396498</v>
      </c>
    </row>
    <row r="7302" ht="22.5" customHeight="1">
      <c r="Q7302" s="9" t="s">
        <v>7340</v>
      </c>
      <c r="R7302" s="10">
        <v>0.5215898857236269</v>
      </c>
      <c r="S7302" s="10">
        <v>0.02579747716395686</v>
      </c>
      <c r="T7302" s="10">
        <v>18.66810008834832</v>
      </c>
      <c r="U7302" s="11">
        <v>0.23350975392089673</v>
      </c>
      <c r="V7302" s="11">
        <v>0.23513500537838017</v>
      </c>
      <c r="W7302" s="11">
        <v>0.03071708024371413</v>
      </c>
      <c r="X7302" s="11">
        <v>0.2092298651773192</v>
      </c>
      <c r="Y7302" s="11">
        <v>0.2083574141472064</v>
      </c>
      <c r="Z7302" s="11">
        <v>0.08305088113248342</v>
      </c>
    </row>
    <row r="7303" ht="22.5" customHeight="1">
      <c r="Q7303" s="9" t="s">
        <v>7341</v>
      </c>
      <c r="R7303" s="10">
        <v>0.6750954443250942</v>
      </c>
      <c r="S7303" s="10">
        <v>0.03402057753960598</v>
      </c>
      <c r="T7303" s="10">
        <v>18.667979506983105</v>
      </c>
      <c r="U7303" s="11">
        <v>0.10976590322504806</v>
      </c>
      <c r="V7303" s="11">
        <v>0.316390667555112</v>
      </c>
      <c r="W7303" s="11">
        <v>0.08410320847455444</v>
      </c>
      <c r="X7303" s="11">
        <v>0.13689350302381928</v>
      </c>
      <c r="Y7303" s="11">
        <v>0.0821930424589033</v>
      </c>
      <c r="Z7303" s="11">
        <v>0.27065367526256284</v>
      </c>
    </row>
    <row r="7304" ht="22.5" customHeight="1">
      <c r="Q7304" s="9" t="s">
        <v>7342</v>
      </c>
      <c r="R7304" s="10">
        <v>0.5292257131788549</v>
      </c>
      <c r="S7304" s="10">
        <v>0.02620742333135104</v>
      </c>
      <c r="T7304" s="10">
        <v>18.667448035366796</v>
      </c>
      <c r="U7304" s="11">
        <v>0.2931840773560984</v>
      </c>
      <c r="V7304" s="11">
        <v>0.05850767179843181</v>
      </c>
      <c r="W7304" s="11">
        <v>0.2239866387623842</v>
      </c>
      <c r="X7304" s="11">
        <v>0.25995666772912435</v>
      </c>
      <c r="Y7304" s="11">
        <v>0.040764494232588246</v>
      </c>
      <c r="Z7304" s="11">
        <v>0.12360045012137309</v>
      </c>
    </row>
    <row r="7305" ht="22.5" customHeight="1">
      <c r="Q7305" s="9" t="s">
        <v>7343</v>
      </c>
      <c r="R7305" s="10">
        <v>0.614091181251949</v>
      </c>
      <c r="S7305" s="10">
        <v>0.030754542269044918</v>
      </c>
      <c r="T7305" s="10">
        <v>18.6668745133555</v>
      </c>
      <c r="U7305" s="11">
        <v>0.15751314575527</v>
      </c>
      <c r="V7305" s="11">
        <v>0.28061314611741095</v>
      </c>
      <c r="W7305" s="11">
        <v>0.05771802449082415</v>
      </c>
      <c r="X7305" s="11">
        <v>0.13438939790859866</v>
      </c>
      <c r="Y7305" s="11">
        <v>0.3110283647654133</v>
      </c>
      <c r="Z7305" s="11">
        <v>0.05873792096248309</v>
      </c>
    </row>
    <row r="7306" ht="22.5" customHeight="1">
      <c r="Q7306" s="9" t="s">
        <v>7344</v>
      </c>
      <c r="R7306" s="10">
        <v>0.5454125667706743</v>
      </c>
      <c r="S7306" s="10">
        <v>0.027080267870096097</v>
      </c>
      <c r="T7306" s="10">
        <v>18.66349953387225</v>
      </c>
      <c r="U7306" s="11">
        <v>0.27818784423937304</v>
      </c>
      <c r="V7306" s="11">
        <v>0.09413394096161962</v>
      </c>
      <c r="W7306" s="11">
        <v>0.22458232280845983</v>
      </c>
      <c r="X7306" s="11">
        <v>0.044241191438179096</v>
      </c>
      <c r="Y7306" s="11">
        <v>0.0896811152685898</v>
      </c>
      <c r="Z7306" s="11">
        <v>0.2691735852837786</v>
      </c>
    </row>
    <row r="7307" ht="22.5" customHeight="1">
      <c r="Q7307" s="9" t="s">
        <v>7345</v>
      </c>
      <c r="R7307" s="10">
        <v>0.41771150050392925</v>
      </c>
      <c r="S7307" s="10">
        <v>0.020238391970820245</v>
      </c>
      <c r="T7307" s="10">
        <v>18.663118149332934</v>
      </c>
      <c r="U7307" s="11">
        <v>0.14523424994009348</v>
      </c>
      <c r="V7307" s="11">
        <v>0.17691267775859448</v>
      </c>
      <c r="W7307" s="11">
        <v>0.008401061631886194</v>
      </c>
      <c r="X7307" s="11">
        <v>0.2657347661226121</v>
      </c>
      <c r="Y7307" s="11">
        <v>0.26539137605453395</v>
      </c>
      <c r="Z7307" s="11">
        <v>0.13832586849227987</v>
      </c>
    </row>
    <row r="7308" ht="22.5" customHeight="1">
      <c r="Q7308" s="9" t="s">
        <v>7346</v>
      </c>
      <c r="R7308" s="10">
        <v>0.48495855523667053</v>
      </c>
      <c r="S7308" s="10">
        <v>0.02384241428834109</v>
      </c>
      <c r="T7308" s="10">
        <v>18.662478969432836</v>
      </c>
      <c r="U7308" s="11">
        <v>0.06843731018098174</v>
      </c>
      <c r="V7308" s="11">
        <v>0.21727135034556122</v>
      </c>
      <c r="W7308" s="11">
        <v>0.023308252061205355</v>
      </c>
      <c r="X7308" s="11">
        <v>0.2546082653213251</v>
      </c>
      <c r="Y7308" s="11">
        <v>0.23688690148739416</v>
      </c>
      <c r="Z7308" s="11">
        <v>0.19948792060353257</v>
      </c>
    </row>
    <row r="7309" ht="22.5" customHeight="1">
      <c r="Q7309" s="9" t="s">
        <v>7347</v>
      </c>
      <c r="R7309" s="10">
        <v>0.7045133245016003</v>
      </c>
      <c r="S7309" s="10">
        <v>0.03560912072528976</v>
      </c>
      <c r="T7309" s="10">
        <v>18.66132358695563</v>
      </c>
      <c r="U7309" s="11">
        <v>0.19326037950499328</v>
      </c>
      <c r="V7309" s="11">
        <v>0.33161980730701035</v>
      </c>
      <c r="W7309" s="11">
        <v>0.06987996805257454</v>
      </c>
      <c r="X7309" s="11">
        <v>0.24703708313826042</v>
      </c>
      <c r="Y7309" s="11">
        <v>0.09092578519514348</v>
      </c>
      <c r="Z7309" s="11">
        <v>0.06727697680201791</v>
      </c>
    </row>
    <row r="7310" ht="22.5" customHeight="1">
      <c r="Q7310" s="9" t="s">
        <v>7348</v>
      </c>
      <c r="R7310" s="10">
        <v>0.5000624801399001</v>
      </c>
      <c r="S7310" s="10">
        <v>0.02465416719747713</v>
      </c>
      <c r="T7310" s="10">
        <v>18.660637629932943</v>
      </c>
      <c r="U7310" s="11">
        <v>0.2753067995523794</v>
      </c>
      <c r="V7310" s="11">
        <v>0.21787001911299098</v>
      </c>
      <c r="W7310" s="11">
        <v>0.0417843145713016</v>
      </c>
      <c r="X7310" s="11">
        <v>0.07117914539955743</v>
      </c>
      <c r="Y7310" s="11">
        <v>0.30922942874215054</v>
      </c>
      <c r="Z7310" s="11">
        <v>0.08463029262161997</v>
      </c>
    </row>
    <row r="7311" ht="22.5" customHeight="1">
      <c r="Q7311" s="9" t="s">
        <v>7349</v>
      </c>
      <c r="R7311" s="10">
        <v>0.5778557317548918</v>
      </c>
      <c r="S7311" s="10">
        <v>0.028823279657489265</v>
      </c>
      <c r="T7311" s="10">
        <v>18.660462589486713</v>
      </c>
      <c r="U7311" s="11">
        <v>0.14167979492704405</v>
      </c>
      <c r="V7311" s="11">
        <v>0.2667832275749025</v>
      </c>
      <c r="W7311" s="11">
        <v>0.03502354932803383</v>
      </c>
      <c r="X7311" s="11">
        <v>0.3228013787513351</v>
      </c>
      <c r="Y7311" s="11">
        <v>0.12254330118012616</v>
      </c>
      <c r="Z7311" s="11">
        <v>0.11116874823855839</v>
      </c>
    </row>
    <row r="7312" ht="22.5" customHeight="1">
      <c r="Q7312" s="9" t="s">
        <v>7350</v>
      </c>
      <c r="R7312" s="10">
        <v>0.425375102600716</v>
      </c>
      <c r="S7312" s="10">
        <v>0.020652831404681545</v>
      </c>
      <c r="T7312" s="10">
        <v>18.659674068387538</v>
      </c>
      <c r="U7312" s="11">
        <v>0.14455631248232237</v>
      </c>
      <c r="V7312" s="11">
        <v>0.1872844908135476</v>
      </c>
      <c r="W7312" s="11">
        <v>0.015753680920958486</v>
      </c>
      <c r="X7312" s="11">
        <v>0.27365377204584085</v>
      </c>
      <c r="Y7312" s="11">
        <v>0.07939991080979787</v>
      </c>
      <c r="Z7312" s="11">
        <v>0.2993518329275327</v>
      </c>
    </row>
    <row r="7313" ht="22.5" customHeight="1">
      <c r="Q7313" s="9" t="s">
        <v>7351</v>
      </c>
      <c r="R7313" s="10">
        <v>0.6374517246530746</v>
      </c>
      <c r="S7313" s="10">
        <v>0.03202191317201095</v>
      </c>
      <c r="T7313" s="10">
        <v>18.6575899273652</v>
      </c>
      <c r="U7313" s="11">
        <v>0.12237877004177505</v>
      </c>
      <c r="V7313" s="11">
        <v>0.10835814602892416</v>
      </c>
      <c r="W7313" s="11">
        <v>0.268183616403862</v>
      </c>
      <c r="X7313" s="11">
        <v>0.08744197538475226</v>
      </c>
      <c r="Y7313" s="11">
        <v>0.2527636857246324</v>
      </c>
      <c r="Z7313" s="11">
        <v>0.16087380641605403</v>
      </c>
    </row>
    <row r="7314" ht="22.5" customHeight="1">
      <c r="Q7314" s="9" t="s">
        <v>7352</v>
      </c>
      <c r="R7314" s="10">
        <v>0.36552523914266555</v>
      </c>
      <c r="S7314" s="10">
        <v>0.017449307871386904</v>
      </c>
      <c r="T7314" s="10">
        <v>18.655481440410405</v>
      </c>
      <c r="U7314" s="11">
        <v>0.21168451887349563</v>
      </c>
      <c r="V7314" s="11">
        <v>0.034781336085172046</v>
      </c>
      <c r="W7314" s="11">
        <v>0.1362420270606832</v>
      </c>
      <c r="X7314" s="11">
        <v>0.11706745570390302</v>
      </c>
      <c r="Y7314" s="11">
        <v>0.25421583750576054</v>
      </c>
      <c r="Z7314" s="11">
        <v>0.24600882477098557</v>
      </c>
    </row>
    <row r="7315" ht="22.5" customHeight="1">
      <c r="Q7315" s="9" t="s">
        <v>7353</v>
      </c>
      <c r="R7315" s="10">
        <v>0.5934236809302498</v>
      </c>
      <c r="S7315" s="10">
        <v>0.029665731072822776</v>
      </c>
      <c r="T7315" s="10">
        <v>18.655319148269687</v>
      </c>
      <c r="U7315" s="11">
        <v>0.06324159703753272</v>
      </c>
      <c r="V7315" s="11">
        <v>0.27506357861780595</v>
      </c>
      <c r="W7315" s="11">
        <v>0.056362885943160614</v>
      </c>
      <c r="X7315" s="11">
        <v>0.16059966299556205</v>
      </c>
      <c r="Y7315" s="11">
        <v>0.22334452357658302</v>
      </c>
      <c r="Z7315" s="11">
        <v>0.22138775182935563</v>
      </c>
    </row>
    <row r="7316" ht="22.5" customHeight="1">
      <c r="Q7316" s="9" t="s">
        <v>7354</v>
      </c>
      <c r="R7316" s="10">
        <v>0.32193728830871937</v>
      </c>
      <c r="S7316" s="10">
        <v>0.015113049453689091</v>
      </c>
      <c r="T7316" s="10">
        <v>18.65522171237907</v>
      </c>
      <c r="U7316" s="11">
        <v>0.28818652362382147</v>
      </c>
      <c r="V7316" s="11">
        <v>0.013492356584357917</v>
      </c>
      <c r="W7316" s="11">
        <v>0.11489525905287877</v>
      </c>
      <c r="X7316" s="11">
        <v>0.2941637008082878</v>
      </c>
      <c r="Y7316" s="11">
        <v>0.032428319316025335</v>
      </c>
      <c r="Z7316" s="11">
        <v>0.2568338406146286</v>
      </c>
    </row>
    <row r="7317" ht="22.5" customHeight="1">
      <c r="Q7317" s="9" t="s">
        <v>7355</v>
      </c>
      <c r="R7317" s="10">
        <v>0.6710894168852324</v>
      </c>
      <c r="S7317" s="10">
        <v>0.0338301998519864</v>
      </c>
      <c r="T7317" s="10">
        <v>18.65461687032206</v>
      </c>
      <c r="U7317" s="11">
        <v>0.17923009412341037</v>
      </c>
      <c r="V7317" s="11">
        <v>0.11212152460903338</v>
      </c>
      <c r="W7317" s="11">
        <v>0.2872804257411153</v>
      </c>
      <c r="X7317" s="11">
        <v>0.136179123707636</v>
      </c>
      <c r="Y7317" s="11">
        <v>0.14512790192393357</v>
      </c>
      <c r="Z7317" s="11">
        <v>0.14006092989487148</v>
      </c>
    </row>
    <row r="7318" ht="22.5" customHeight="1">
      <c r="Q7318" s="9" t="s">
        <v>7356</v>
      </c>
      <c r="R7318" s="10">
        <v>0.5285457999025724</v>
      </c>
      <c r="S7318" s="10">
        <v>0.02618955034813806</v>
      </c>
      <c r="T7318" s="10">
        <v>18.65422633868571</v>
      </c>
      <c r="U7318" s="11">
        <v>0.24905719586465838</v>
      </c>
      <c r="V7318" s="11">
        <v>0.24159197290022097</v>
      </c>
      <c r="W7318" s="11">
        <v>0.045870678656308346</v>
      </c>
      <c r="X7318" s="11">
        <v>0.1410396404992796</v>
      </c>
      <c r="Y7318" s="11">
        <v>0.09174713783205847</v>
      </c>
      <c r="Z7318" s="11">
        <v>0.2306933742474742</v>
      </c>
    </row>
    <row r="7319" ht="22.5" customHeight="1">
      <c r="Q7319" s="9" t="s">
        <v>7357</v>
      </c>
      <c r="R7319" s="10">
        <v>0.6542040453993947</v>
      </c>
      <c r="S7319" s="10">
        <v>0.03292585358560274</v>
      </c>
      <c r="T7319" s="10">
        <v>18.654157098844763</v>
      </c>
      <c r="U7319" s="11">
        <v>0.33158629730221995</v>
      </c>
      <c r="V7319" s="11">
        <v>0.2985181653882706</v>
      </c>
      <c r="W7319" s="11">
        <v>0.0805513853328992</v>
      </c>
      <c r="X7319" s="11">
        <v>0.03107602955932777</v>
      </c>
      <c r="Y7319" s="11">
        <v>0.20535437229641484</v>
      </c>
      <c r="Z7319" s="11">
        <v>0.052913750120867596</v>
      </c>
    </row>
    <row r="7320" ht="22.5" customHeight="1">
      <c r="Q7320" s="9" t="s">
        <v>7358</v>
      </c>
      <c r="R7320" s="10">
        <v>0.5928397895826782</v>
      </c>
      <c r="S7320" s="10">
        <v>0.029636697275098427</v>
      </c>
      <c r="T7320" s="10">
        <v>18.65389332863313</v>
      </c>
      <c r="U7320" s="11">
        <v>0.26320948968784447</v>
      </c>
      <c r="V7320" s="11">
        <v>0.2704965911498741</v>
      </c>
      <c r="W7320" s="11">
        <v>0.0790015596601852</v>
      </c>
      <c r="X7320" s="11">
        <v>0.028016983687648326</v>
      </c>
      <c r="Y7320" s="11">
        <v>0.06738690943190351</v>
      </c>
      <c r="Z7320" s="11">
        <v>0.2918884663825445</v>
      </c>
    </row>
    <row r="7321" ht="22.5" customHeight="1">
      <c r="Q7321" s="9" t="s">
        <v>7359</v>
      </c>
      <c r="R7321" s="10">
        <v>0.5489299695685382</v>
      </c>
      <c r="S7321" s="10">
        <v>0.027282809922212957</v>
      </c>
      <c r="T7321" s="10">
        <v>18.653869268582216</v>
      </c>
      <c r="U7321" s="11">
        <v>0.23380869108428182</v>
      </c>
      <c r="V7321" s="11">
        <v>0.07795415167822725</v>
      </c>
      <c r="W7321" s="11">
        <v>0.232681245547142</v>
      </c>
      <c r="X7321" s="11">
        <v>0.19499006839254904</v>
      </c>
      <c r="Y7321" s="11">
        <v>0.004101262170219174</v>
      </c>
      <c r="Z7321" s="11">
        <v>0.2564645811275808</v>
      </c>
    </row>
    <row r="7322" ht="22.5" customHeight="1">
      <c r="Q7322" s="9" t="s">
        <v>7360</v>
      </c>
      <c r="R7322" s="10">
        <v>0.7873466819279156</v>
      </c>
      <c r="S7322" s="10">
        <v>0.040065759134640624</v>
      </c>
      <c r="T7322" s="10">
        <v>18.653001916585772</v>
      </c>
      <c r="U7322" s="11">
        <v>0.1050977365635541</v>
      </c>
      <c r="V7322" s="11">
        <v>0.36638848713111627</v>
      </c>
      <c r="W7322" s="11">
        <v>0.1296954027039728</v>
      </c>
      <c r="X7322" s="11">
        <v>0.05471488949007108</v>
      </c>
      <c r="Y7322" s="11">
        <v>0.025245716260456935</v>
      </c>
      <c r="Z7322" s="11">
        <v>0.31885776785082887</v>
      </c>
    </row>
    <row r="7323" ht="22.5" customHeight="1">
      <c r="Q7323" s="9" t="s">
        <v>7361</v>
      </c>
      <c r="R7323" s="10">
        <v>0.43779919906990455</v>
      </c>
      <c r="S7323" s="10">
        <v>0.021326283848986473</v>
      </c>
      <c r="T7323" s="10">
        <v>18.65300123953897</v>
      </c>
      <c r="U7323" s="11">
        <v>0.05333018334223386</v>
      </c>
      <c r="V7323" s="11">
        <v>0.18944812007803682</v>
      </c>
      <c r="W7323" s="11">
        <v>0.012699624600620723</v>
      </c>
      <c r="X7323" s="11">
        <v>0.27929841554487556</v>
      </c>
      <c r="Y7323" s="11">
        <v>0.27246673907311975</v>
      </c>
      <c r="Z7323" s="11">
        <v>0.19275691736111328</v>
      </c>
    </row>
    <row r="7324" ht="22.5" customHeight="1">
      <c r="Q7324" s="9" t="s">
        <v>7362</v>
      </c>
      <c r="R7324" s="10">
        <v>0.6897960526366247</v>
      </c>
      <c r="S7324" s="10">
        <v>0.03483923110372141</v>
      </c>
      <c r="T7324" s="10">
        <v>18.65127421159463</v>
      </c>
      <c r="U7324" s="11">
        <v>0.3288802170602756</v>
      </c>
      <c r="V7324" s="11">
        <v>0.11999907394782075</v>
      </c>
      <c r="W7324" s="11">
        <v>0.2946298404161528</v>
      </c>
      <c r="X7324" s="11">
        <v>0.12399017336760323</v>
      </c>
      <c r="Y7324" s="11">
        <v>0.031136040369452823</v>
      </c>
      <c r="Z7324" s="11">
        <v>0.10136465483869485</v>
      </c>
    </row>
    <row r="7325" ht="22.5" customHeight="1">
      <c r="Q7325" s="9" t="s">
        <v>7363</v>
      </c>
      <c r="R7325" s="10">
        <v>0.5892810794734317</v>
      </c>
      <c r="S7325" s="10">
        <v>0.029450326416524793</v>
      </c>
      <c r="T7325" s="10">
        <v>18.651103274876643</v>
      </c>
      <c r="U7325" s="11">
        <v>0.19281886753883506</v>
      </c>
      <c r="V7325" s="11">
        <v>0.1024234435453939</v>
      </c>
      <c r="W7325" s="11">
        <v>0.24351143098679875</v>
      </c>
      <c r="X7325" s="11">
        <v>0.030700941026161246</v>
      </c>
      <c r="Y7325" s="11">
        <v>0.241629248852882</v>
      </c>
      <c r="Z7325" s="11">
        <v>0.188916068049929</v>
      </c>
    </row>
    <row r="7326" ht="22.5" customHeight="1">
      <c r="Q7326" s="9" t="s">
        <v>7364</v>
      </c>
      <c r="R7326" s="10">
        <v>0.3938689195891616</v>
      </c>
      <c r="S7326" s="10">
        <v>0.018974055874839985</v>
      </c>
      <c r="T7326" s="10">
        <v>18.650146385328167</v>
      </c>
      <c r="U7326" s="11">
        <v>0.05252721939053118</v>
      </c>
      <c r="V7326" s="11">
        <v>0.02324851501437102</v>
      </c>
      <c r="W7326" s="11">
        <v>0.15471516429663335</v>
      </c>
      <c r="X7326" s="11">
        <v>0.33558678712239914</v>
      </c>
      <c r="Y7326" s="11">
        <v>0.17148892984282876</v>
      </c>
      <c r="Z7326" s="11">
        <v>0.2624333843332365</v>
      </c>
    </row>
    <row r="7327" ht="22.5" customHeight="1">
      <c r="Q7327" s="9" t="s">
        <v>7365</v>
      </c>
      <c r="R7327" s="10">
        <v>0.5365893220763057</v>
      </c>
      <c r="S7327" s="10">
        <v>0.026627559516189742</v>
      </c>
      <c r="T7327" s="10">
        <v>18.64944933366409</v>
      </c>
      <c r="U7327" s="11">
        <v>0.24634095036095757</v>
      </c>
      <c r="V7327" s="11">
        <v>0.2450050167898822</v>
      </c>
      <c r="W7327" s="11">
        <v>0.05016640020133557</v>
      </c>
      <c r="X7327" s="11">
        <v>0.10805539299143516</v>
      </c>
      <c r="Y7327" s="11">
        <v>0.12728821839519538</v>
      </c>
      <c r="Z7327" s="11">
        <v>0.22314402126119423</v>
      </c>
    </row>
    <row r="7328" ht="22.5" customHeight="1">
      <c r="Q7328" s="9" t="s">
        <v>7366</v>
      </c>
      <c r="R7328" s="10">
        <v>0.5049784553787489</v>
      </c>
      <c r="S7328" s="10">
        <v>0.024932844832921165</v>
      </c>
      <c r="T7328" s="10">
        <v>18.649233911919843</v>
      </c>
      <c r="U7328" s="11">
        <v>0.11333762771987575</v>
      </c>
      <c r="V7328" s="11">
        <v>0.055416673101014356</v>
      </c>
      <c r="W7328" s="11">
        <v>0.21337196343804582</v>
      </c>
      <c r="X7328" s="11">
        <v>0.27609393015329436</v>
      </c>
      <c r="Y7328" s="11">
        <v>0.09020924751393984</v>
      </c>
      <c r="Z7328" s="11">
        <v>0.2515705580738299</v>
      </c>
    </row>
    <row r="7329" ht="22.5" customHeight="1">
      <c r="Q7329" s="9" t="s">
        <v>7367</v>
      </c>
      <c r="R7329" s="10">
        <v>0.33774574992712697</v>
      </c>
      <c r="S7329" s="10">
        <v>0.01596631488749592</v>
      </c>
      <c r="T7329" s="10">
        <v>18.648370148349493</v>
      </c>
      <c r="U7329" s="11">
        <v>0.2057394405605812</v>
      </c>
      <c r="V7329" s="11">
        <v>0.014931677918184132</v>
      </c>
      <c r="W7329" s="11">
        <v>0.1252222175860266</v>
      </c>
      <c r="X7329" s="11">
        <v>0.26479792247442496</v>
      </c>
      <c r="Y7329" s="11">
        <v>0.14456835962473039</v>
      </c>
      <c r="Z7329" s="11">
        <v>0.24474038183605284</v>
      </c>
    </row>
    <row r="7330" ht="22.5" customHeight="1">
      <c r="Q7330" s="9" t="s">
        <v>7368</v>
      </c>
      <c r="R7330" s="10">
        <v>0.7206086915087933</v>
      </c>
      <c r="S7330" s="10">
        <v>0.03649788429942495</v>
      </c>
      <c r="T7330" s="10">
        <v>18.647894379990586</v>
      </c>
      <c r="U7330" s="11">
        <v>0.17030459565284578</v>
      </c>
      <c r="V7330" s="11">
        <v>0.3301061542501542</v>
      </c>
      <c r="W7330" s="11">
        <v>0.09672822478165395</v>
      </c>
      <c r="X7330" s="11">
        <v>0.023322825208080246</v>
      </c>
      <c r="Y7330" s="11">
        <v>0.3333299828139031</v>
      </c>
      <c r="Z7330" s="11">
        <v>0.04620821729336261</v>
      </c>
    </row>
    <row r="7331" ht="22.5" customHeight="1">
      <c r="Q7331" s="9" t="s">
        <v>7369</v>
      </c>
      <c r="R7331" s="10">
        <v>0.7281183569108806</v>
      </c>
      <c r="S7331" s="10">
        <v>0.03690448871765324</v>
      </c>
      <c r="T7331" s="10">
        <v>18.645925761917397</v>
      </c>
      <c r="U7331" s="11">
        <v>0.005517934367796916</v>
      </c>
      <c r="V7331" s="11">
        <v>0.13030876093868535</v>
      </c>
      <c r="W7331" s="11">
        <v>0.3131123499544815</v>
      </c>
      <c r="X7331" s="11">
        <v>0.18694652157311967</v>
      </c>
      <c r="Y7331" s="11">
        <v>0.1414284495117024</v>
      </c>
      <c r="Z7331" s="11">
        <v>0.22268598365421424</v>
      </c>
    </row>
    <row r="7332" ht="22.5" customHeight="1">
      <c r="Q7332" s="9" t="s">
        <v>7370</v>
      </c>
      <c r="R7332" s="10">
        <v>0.5734288433844482</v>
      </c>
      <c r="S7332" s="10">
        <v>0.02860971998854073</v>
      </c>
      <c r="T7332" s="10">
        <v>18.645021468162096</v>
      </c>
      <c r="U7332" s="11">
        <v>0.22387738940607255</v>
      </c>
      <c r="V7332" s="11">
        <v>0.07650442995929006</v>
      </c>
      <c r="W7332" s="11">
        <v>0.24565754787773558</v>
      </c>
      <c r="X7332" s="11">
        <v>0.2347702321374556</v>
      </c>
      <c r="Y7332" s="11">
        <v>0.028804743439967112</v>
      </c>
      <c r="Z7332" s="11">
        <v>0.19038565717947906</v>
      </c>
    </row>
    <row r="7333" ht="22.5" customHeight="1">
      <c r="Q7333" s="9" t="s">
        <v>7371</v>
      </c>
      <c r="R7333" s="10">
        <v>0.5955795021998093</v>
      </c>
      <c r="S7333" s="10">
        <v>0.029799510173641474</v>
      </c>
      <c r="T7333" s="10">
        <v>18.64391390873382</v>
      </c>
      <c r="U7333" s="11">
        <v>0.06811094085499163</v>
      </c>
      <c r="V7333" s="11">
        <v>0.07906447454247874</v>
      </c>
      <c r="W7333" s="11">
        <v>0.2564539505827694</v>
      </c>
      <c r="X7333" s="11">
        <v>0.3098013697402849</v>
      </c>
      <c r="Y7333" s="11">
        <v>0.0460675706852652</v>
      </c>
      <c r="Z7333" s="11">
        <v>0.24050169359421003</v>
      </c>
    </row>
    <row r="7334" ht="22.5" customHeight="1">
      <c r="Q7334" s="9" t="s">
        <v>7372</v>
      </c>
      <c r="R7334" s="10">
        <v>0.4761161244841351</v>
      </c>
      <c r="S7334" s="10">
        <v>0.02339244381563463</v>
      </c>
      <c r="T7334" s="10">
        <v>18.64346144940408</v>
      </c>
      <c r="U7334" s="11">
        <v>0.35039242492870193</v>
      </c>
      <c r="V7334" s="11">
        <v>0.06516211589258208</v>
      </c>
      <c r="W7334" s="11">
        <v>0.1862213209543767</v>
      </c>
      <c r="X7334" s="11">
        <v>0.04025524536503106</v>
      </c>
      <c r="Y7334" s="11">
        <v>0.28566090441185077</v>
      </c>
      <c r="Z7334" s="11">
        <v>0.07230798844745737</v>
      </c>
    </row>
    <row r="7335" ht="22.5" customHeight="1">
      <c r="Q7335" s="9" t="s">
        <v>7373</v>
      </c>
      <c r="R7335" s="10">
        <v>0.27928720687992353</v>
      </c>
      <c r="S7335" s="10">
        <v>0.012835637730811181</v>
      </c>
      <c r="T7335" s="10">
        <v>18.642408885187596</v>
      </c>
      <c r="U7335" s="11">
        <v>0.2903231496220364</v>
      </c>
      <c r="V7335" s="11">
        <v>0.01795801169532497</v>
      </c>
      <c r="W7335" s="11">
        <v>0.08866295827421489</v>
      </c>
      <c r="X7335" s="11">
        <v>0.23469567633368058</v>
      </c>
      <c r="Y7335" s="11">
        <v>0.004705168068643303</v>
      </c>
      <c r="Z7335" s="11">
        <v>0.36365503600609983</v>
      </c>
    </row>
    <row r="7336" ht="22.5" customHeight="1">
      <c r="Q7336" s="9" t="s">
        <v>7374</v>
      </c>
      <c r="R7336" s="10">
        <v>1.002901346891992</v>
      </c>
      <c r="S7336" s="10">
        <v>0.051658830370407145</v>
      </c>
      <c r="T7336" s="10">
        <v>18.639627339367557</v>
      </c>
      <c r="U7336" s="11">
        <v>0.05689039708877749</v>
      </c>
      <c r="V7336" s="11">
        <v>0.22897492440903905</v>
      </c>
      <c r="W7336" s="11">
        <v>0.42438947355801915</v>
      </c>
      <c r="X7336" s="11">
        <v>0.07204055032960778</v>
      </c>
      <c r="Y7336" s="11">
        <v>0.14253601123150958</v>
      </c>
      <c r="Z7336" s="11">
        <v>0.07516864338304677</v>
      </c>
    </row>
    <row r="7337" ht="22.5" customHeight="1">
      <c r="Q7337" s="9" t="s">
        <v>7375</v>
      </c>
      <c r="R7337" s="10">
        <v>0.5300186165756823</v>
      </c>
      <c r="S7337" s="10">
        <v>0.026289694864061446</v>
      </c>
      <c r="T7337" s="10">
        <v>18.639189960532704</v>
      </c>
      <c r="U7337" s="11">
        <v>0.03683897043900464</v>
      </c>
      <c r="V7337" s="11">
        <v>0.07269304713183487</v>
      </c>
      <c r="W7337" s="11">
        <v>0.22424085880508235</v>
      </c>
      <c r="X7337" s="11">
        <v>0.2596565438668887</v>
      </c>
      <c r="Y7337" s="11">
        <v>0.03273321716120852</v>
      </c>
      <c r="Z7337" s="11">
        <v>0.3738373625959808</v>
      </c>
    </row>
    <row r="7338" ht="22.5" customHeight="1">
      <c r="Q7338" s="9" t="s">
        <v>7376</v>
      </c>
      <c r="R7338" s="10">
        <v>0.5492437242638756</v>
      </c>
      <c r="S7338" s="10">
        <v>0.0273225559152053</v>
      </c>
      <c r="T7338" s="10">
        <v>18.63821693125261</v>
      </c>
      <c r="U7338" s="11">
        <v>0.22160835365280757</v>
      </c>
      <c r="V7338" s="11">
        <v>0.24972991150228552</v>
      </c>
      <c r="W7338" s="11">
        <v>0.06603295575137813</v>
      </c>
      <c r="X7338" s="11">
        <v>0.03343840588809462</v>
      </c>
      <c r="Y7338" s="11">
        <v>0.124721976150758</v>
      </c>
      <c r="Z7338" s="11">
        <v>0.3044683970546762</v>
      </c>
    </row>
    <row r="7339" ht="22.5" customHeight="1">
      <c r="Q7339" s="9" t="s">
        <v>7377</v>
      </c>
      <c r="R7339" s="10">
        <v>0.6742396486750746</v>
      </c>
      <c r="S7339" s="10">
        <v>0.03403044449364779</v>
      </c>
      <c r="T7339" s="10">
        <v>18.637418879246887</v>
      </c>
      <c r="U7339" s="11">
        <v>0.28813478235571643</v>
      </c>
      <c r="V7339" s="11">
        <v>0.3132467480766005</v>
      </c>
      <c r="W7339" s="11">
        <v>0.07620232925683905</v>
      </c>
      <c r="X7339" s="11">
        <v>0.10360019055645352</v>
      </c>
      <c r="Y7339" s="11">
        <v>0.15495369694593614</v>
      </c>
      <c r="Z7339" s="11">
        <v>0.06386225280845426</v>
      </c>
    </row>
    <row r="7340" ht="22.5" customHeight="1">
      <c r="Q7340" s="9" t="s">
        <v>7378</v>
      </c>
      <c r="R7340" s="10">
        <v>0.5821810606108864</v>
      </c>
      <c r="S7340" s="10">
        <v>0.029091077637480256</v>
      </c>
      <c r="T7340" s="10">
        <v>18.63736597754471</v>
      </c>
      <c r="U7340" s="11">
        <v>0.28790088758302074</v>
      </c>
      <c r="V7340" s="11">
        <v>0.08104821946476218</v>
      </c>
      <c r="W7340" s="11">
        <v>0.24889416569908854</v>
      </c>
      <c r="X7340" s="11">
        <v>0.20654176996841603</v>
      </c>
      <c r="Y7340" s="11">
        <v>0.011504046176367211</v>
      </c>
      <c r="Z7340" s="11">
        <v>0.1641109111083454</v>
      </c>
    </row>
    <row r="7341" ht="22.5" customHeight="1">
      <c r="Q7341" s="9" t="s">
        <v>7379</v>
      </c>
      <c r="R7341" s="10">
        <v>0.6839920413317456</v>
      </c>
      <c r="S7341" s="10">
        <v>0.034554398230324905</v>
      </c>
      <c r="T7341" s="10">
        <v>18.637049820377968</v>
      </c>
      <c r="U7341" s="11">
        <v>0.027011630782765805</v>
      </c>
      <c r="V7341" s="11">
        <v>0.32332335339938956</v>
      </c>
      <c r="W7341" s="11">
        <v>0.07413982773101183</v>
      </c>
      <c r="X7341" s="11">
        <v>0.2659911184432667</v>
      </c>
      <c r="Y7341" s="11">
        <v>0.034080848026053226</v>
      </c>
      <c r="Z7341" s="11">
        <v>0.2754532216175129</v>
      </c>
    </row>
    <row r="7342" ht="22.5" customHeight="1">
      <c r="Q7342" s="9" t="s">
        <v>7380</v>
      </c>
      <c r="R7342" s="10">
        <v>0.49670692619833146</v>
      </c>
      <c r="S7342" s="10">
        <v>0.02450827695502148</v>
      </c>
      <c r="T7342" s="10">
        <v>18.634803541534044</v>
      </c>
      <c r="U7342" s="11">
        <v>0.14941117578923602</v>
      </c>
      <c r="V7342" s="11">
        <v>0.22440584599859512</v>
      </c>
      <c r="W7342" s="11">
        <v>0.039792478126911515</v>
      </c>
      <c r="X7342" s="11">
        <v>0.11741048832202168</v>
      </c>
      <c r="Y7342" s="11">
        <v>0.21802404632721514</v>
      </c>
      <c r="Z7342" s="11">
        <v>0.25095596543602056</v>
      </c>
    </row>
    <row r="7343" ht="22.5" customHeight="1">
      <c r="Q7343" s="9" t="s">
        <v>7381</v>
      </c>
      <c r="R7343" s="10">
        <v>0.2799827043021669</v>
      </c>
      <c r="S7343" s="10">
        <v>0.012878203670998217</v>
      </c>
      <c r="T7343" s="10">
        <v>18.63479646952697</v>
      </c>
      <c r="U7343" s="11">
        <v>0.4811888802166267</v>
      </c>
      <c r="V7343" s="11">
        <v>0.08276035591513123</v>
      </c>
      <c r="W7343" s="11">
        <v>0.005532331004334297</v>
      </c>
      <c r="X7343" s="11">
        <v>0.2688594498673876</v>
      </c>
      <c r="Y7343" s="11">
        <v>0.014009821001022533</v>
      </c>
      <c r="Z7343" s="11">
        <v>0.1476491619954978</v>
      </c>
    </row>
    <row r="7344" ht="22.5" customHeight="1">
      <c r="Q7344" s="9" t="s">
        <v>7382</v>
      </c>
      <c r="R7344" s="10">
        <v>0.6259094172534397</v>
      </c>
      <c r="S7344" s="10">
        <v>0.03144253000096348</v>
      </c>
      <c r="T7344" s="10">
        <v>18.634296198031326</v>
      </c>
      <c r="U7344" s="11">
        <v>0.2973451466187334</v>
      </c>
      <c r="V7344" s="11">
        <v>0.0968817143699593</v>
      </c>
      <c r="W7344" s="11">
        <v>0.26669720856658397</v>
      </c>
      <c r="X7344" s="11">
        <v>0.12529675410746668</v>
      </c>
      <c r="Y7344" s="11">
        <v>0.12250773505728592</v>
      </c>
      <c r="Z7344" s="11">
        <v>0.09127144127997085</v>
      </c>
    </row>
    <row r="7345" ht="22.5" customHeight="1">
      <c r="Q7345" s="9" t="s">
        <v>7383</v>
      </c>
      <c r="R7345" s="10">
        <v>0.5629996429531171</v>
      </c>
      <c r="S7345" s="10">
        <v>0.02806668075078564</v>
      </c>
      <c r="T7345" s="10">
        <v>18.63418220334007</v>
      </c>
      <c r="U7345" s="11">
        <v>0.16492801307556254</v>
      </c>
      <c r="V7345" s="11">
        <v>0.0870338144738511</v>
      </c>
      <c r="W7345" s="11">
        <v>0.2336081217529934</v>
      </c>
      <c r="X7345" s="11">
        <v>0.07631122179973317</v>
      </c>
      <c r="Y7345" s="11">
        <v>0.2706062531526477</v>
      </c>
      <c r="Z7345" s="11">
        <v>0.1675125757452121</v>
      </c>
    </row>
    <row r="7346" ht="22.5" customHeight="1">
      <c r="Q7346" s="9" t="s">
        <v>7384</v>
      </c>
      <c r="R7346" s="10">
        <v>0.6224881264155505</v>
      </c>
      <c r="S7346" s="10">
        <v>0.03126149518845074</v>
      </c>
      <c r="T7346" s="10">
        <v>18.632766056268004</v>
      </c>
      <c r="U7346" s="11">
        <v>0.06731934924243942</v>
      </c>
      <c r="V7346" s="11">
        <v>0.291811204688218</v>
      </c>
      <c r="W7346" s="11">
        <v>0.07014694520440623</v>
      </c>
      <c r="X7346" s="11">
        <v>0.15820404649541747</v>
      </c>
      <c r="Y7346" s="11">
        <v>0.08865983044628747</v>
      </c>
      <c r="Z7346" s="11">
        <v>0.32385862392323134</v>
      </c>
    </row>
    <row r="7347" ht="22.5" customHeight="1">
      <c r="Q7347" s="9" t="s">
        <v>7385</v>
      </c>
      <c r="R7347" s="10">
        <v>0.4157297921267467</v>
      </c>
      <c r="S7347" s="10">
        <v>0.02016574718544663</v>
      </c>
      <c r="T7347" s="10">
        <v>18.632078874712178</v>
      </c>
      <c r="U7347" s="11">
        <v>0.2249251450572591</v>
      </c>
      <c r="V7347" s="11">
        <v>0.1814933131164048</v>
      </c>
      <c r="W7347" s="11">
        <v>0.015001507143378952</v>
      </c>
      <c r="X7347" s="11">
        <v>0.23503509551633947</v>
      </c>
      <c r="Y7347" s="11">
        <v>0.08653896562002338</v>
      </c>
      <c r="Z7347" s="11">
        <v>0.25700597354659444</v>
      </c>
    </row>
    <row r="7348" ht="22.5" customHeight="1">
      <c r="Q7348" s="9" t="s">
        <v>7386</v>
      </c>
      <c r="R7348" s="10">
        <v>0.5797744037319437</v>
      </c>
      <c r="S7348" s="10">
        <v>0.028970210624718676</v>
      </c>
      <c r="T7348" s="10">
        <v>18.632049684560595</v>
      </c>
      <c r="U7348" s="11">
        <v>0.30107952882943295</v>
      </c>
      <c r="V7348" s="11">
        <v>0.09753635624644079</v>
      </c>
      <c r="W7348" s="11">
        <v>0.2354672320947582</v>
      </c>
      <c r="X7348" s="11">
        <v>0.004901631013144128</v>
      </c>
      <c r="Y7348" s="11">
        <v>0.292685489932203</v>
      </c>
      <c r="Z7348" s="11">
        <v>0.06832976188402107</v>
      </c>
    </row>
    <row r="7349" ht="22.5" customHeight="1">
      <c r="Q7349" s="9" t="s">
        <v>7387</v>
      </c>
      <c r="R7349" s="10">
        <v>0.522331348251574</v>
      </c>
      <c r="S7349" s="10">
        <v>0.010216384193562175</v>
      </c>
      <c r="T7349" s="10">
        <v>18.631906752515544</v>
      </c>
      <c r="U7349" s="11">
        <v>0.2789948615905704</v>
      </c>
      <c r="V7349" s="11">
        <v>0.018598795128964396</v>
      </c>
      <c r="W7349" s="11">
        <v>0.052566781523753645</v>
      </c>
      <c r="X7349" s="11">
        <v>0.19021751290668962</v>
      </c>
      <c r="Y7349" s="11">
        <v>0.0859345725110802</v>
      </c>
      <c r="Z7349" s="11">
        <v>0.37368747633894167</v>
      </c>
    </row>
    <row r="7350" ht="22.5" customHeight="1">
      <c r="Q7350" s="9" t="s">
        <v>7388</v>
      </c>
      <c r="R7350" s="10">
        <v>0.6735314865456081</v>
      </c>
      <c r="S7350" s="10">
        <v>0.03400287626691586</v>
      </c>
      <c r="T7350" s="10">
        <v>18.631702846915395</v>
      </c>
      <c r="U7350" s="11">
        <v>0.17282919689367768</v>
      </c>
      <c r="V7350" s="11">
        <v>0.31671623228132</v>
      </c>
      <c r="W7350" s="11">
        <v>0.05535695381989341</v>
      </c>
      <c r="X7350" s="11">
        <v>0.33421830590586243</v>
      </c>
      <c r="Y7350" s="11">
        <v>0.04731383789887426</v>
      </c>
      <c r="Z7350" s="11">
        <v>0.07356547320037231</v>
      </c>
    </row>
    <row r="7351" ht="22.5" customHeight="1">
      <c r="Q7351" s="9" t="s">
        <v>7389</v>
      </c>
      <c r="R7351" s="10">
        <v>0.43677720125786673</v>
      </c>
      <c r="S7351" s="10">
        <v>0.02129815808897214</v>
      </c>
      <c r="T7351" s="10">
        <v>18.629648610943118</v>
      </c>
      <c r="U7351" s="11">
        <v>0.18409634021676682</v>
      </c>
      <c r="V7351" s="11">
        <v>0.18954150341176834</v>
      </c>
      <c r="W7351" s="11">
        <v>0.018877753847482144</v>
      </c>
      <c r="X7351" s="11">
        <v>0.179804983769966</v>
      </c>
      <c r="Y7351" s="11">
        <v>0.26106039996126623</v>
      </c>
      <c r="Z7351" s="11">
        <v>0.16661901879275035</v>
      </c>
    </row>
    <row r="7352" ht="22.5" customHeight="1">
      <c r="Q7352" s="9" t="s">
        <v>7390</v>
      </c>
      <c r="R7352" s="10">
        <v>0.5240600326442499</v>
      </c>
      <c r="S7352" s="10">
        <v>0.025983602494988302</v>
      </c>
      <c r="T7352" s="10">
        <v>18.629442654751784</v>
      </c>
      <c r="U7352" s="11">
        <v>0.24730441630697844</v>
      </c>
      <c r="V7352" s="11">
        <v>0.0867499273886284</v>
      </c>
      <c r="W7352" s="11">
        <v>0.21233366915249988</v>
      </c>
      <c r="X7352" s="11">
        <v>0.012565723137916802</v>
      </c>
      <c r="Y7352" s="11">
        <v>0.228828226787412</v>
      </c>
      <c r="Z7352" s="11">
        <v>0.2122180372265645</v>
      </c>
    </row>
    <row r="7353" ht="22.5" customHeight="1">
      <c r="Q7353" s="9" t="s">
        <v>7391</v>
      </c>
      <c r="R7353" s="10">
        <v>0.6777338943032593</v>
      </c>
      <c r="S7353" s="10">
        <v>0.03423764074556478</v>
      </c>
      <c r="T7353" s="10">
        <v>18.626689234884637</v>
      </c>
      <c r="U7353" s="11">
        <v>0.08869825643914339</v>
      </c>
      <c r="V7353" s="11">
        <v>0.3195343531657823</v>
      </c>
      <c r="W7353" s="11">
        <v>0.05746658628616124</v>
      </c>
      <c r="X7353" s="11">
        <v>0.3215529039292883</v>
      </c>
      <c r="Y7353" s="11">
        <v>0.10594237961298467</v>
      </c>
      <c r="Z7353" s="11">
        <v>0.10680552056664014</v>
      </c>
    </row>
    <row r="7354" ht="22.5" customHeight="1">
      <c r="Q7354" s="9" t="s">
        <v>7392</v>
      </c>
      <c r="R7354" s="10">
        <v>0.5078103977258458</v>
      </c>
      <c r="S7354" s="10">
        <v>0.02511552841061434</v>
      </c>
      <c r="T7354" s="10">
        <v>18.62634104596977</v>
      </c>
      <c r="U7354" s="11">
        <v>0.2685229557565054</v>
      </c>
      <c r="V7354" s="11">
        <v>0.2270342343013753</v>
      </c>
      <c r="W7354" s="11">
        <v>0.053858283827849046</v>
      </c>
      <c r="X7354" s="11">
        <v>0.030213917218200294</v>
      </c>
      <c r="Y7354" s="11">
        <v>0.1707022476054588</v>
      </c>
      <c r="Z7354" s="11">
        <v>0.24966836129061132</v>
      </c>
    </row>
    <row r="7355" ht="22.5" customHeight="1">
      <c r="Q7355" s="9" t="s">
        <v>7393</v>
      </c>
      <c r="R7355" s="10">
        <v>0.6484828801935602</v>
      </c>
      <c r="S7355" s="10">
        <v>0.032670327078049316</v>
      </c>
      <c r="T7355" s="10">
        <v>18.62493995667372</v>
      </c>
      <c r="U7355" s="11">
        <v>0.2053145481745199</v>
      </c>
      <c r="V7355" s="11">
        <v>0.2994851611979805</v>
      </c>
      <c r="W7355" s="11">
        <v>0.09017054464405101</v>
      </c>
      <c r="X7355" s="11">
        <v>0.022601167111736056</v>
      </c>
      <c r="Y7355" s="11">
        <v>0.1117741219063337</v>
      </c>
      <c r="Z7355" s="11">
        <v>0.27065445696537893</v>
      </c>
    </row>
    <row r="7356" ht="22.5" customHeight="1">
      <c r="Q7356" s="9" t="s">
        <v>7394</v>
      </c>
      <c r="R7356" s="10">
        <v>0.48117579674177285</v>
      </c>
      <c r="S7356" s="10">
        <v>0.023689402151390322</v>
      </c>
      <c r="T7356" s="10">
        <v>18.623340256642162</v>
      </c>
      <c r="U7356" s="11">
        <v>0.08289960773748252</v>
      </c>
      <c r="V7356" s="11">
        <v>0.20950521254913457</v>
      </c>
      <c r="W7356" s="11">
        <v>0.016157321285201472</v>
      </c>
      <c r="X7356" s="11">
        <v>0.29043916172495876</v>
      </c>
      <c r="Y7356" s="11">
        <v>0.331688351171478</v>
      </c>
      <c r="Z7356" s="11">
        <v>0.06931034553174467</v>
      </c>
    </row>
    <row r="7357" ht="22.5" customHeight="1">
      <c r="Q7357" s="9" t="s">
        <v>7395</v>
      </c>
      <c r="R7357" s="10">
        <v>0.23036583678254338</v>
      </c>
      <c r="S7357" s="10">
        <v>0.010222106628421235</v>
      </c>
      <c r="T7357" s="10">
        <v>18.622955492682493</v>
      </c>
      <c r="U7357" s="11">
        <v>0.3005017748003026</v>
      </c>
      <c r="V7357" s="11">
        <v>0.028798995636901813</v>
      </c>
      <c r="W7357" s="11">
        <v>0.035378982449264414</v>
      </c>
      <c r="X7357" s="11">
        <v>0.14249166250808443</v>
      </c>
      <c r="Y7357" s="11">
        <v>0.2457795780566703</v>
      </c>
      <c r="Z7357" s="11">
        <v>0.24704900654877648</v>
      </c>
    </row>
    <row r="7358" ht="22.5" customHeight="1">
      <c r="Q7358" s="9" t="s">
        <v>7396</v>
      </c>
      <c r="R7358" s="10">
        <v>0.5867217277646825</v>
      </c>
      <c r="S7358" s="10">
        <v>0.02935787065135168</v>
      </c>
      <c r="T7358" s="10">
        <v>18.62266287148147</v>
      </c>
      <c r="U7358" s="11">
        <v>0.23034269610806807</v>
      </c>
      <c r="V7358" s="11">
        <v>0.2673702973045531</v>
      </c>
      <c r="W7358" s="11">
        <v>0.0591012356955807</v>
      </c>
      <c r="X7358" s="11">
        <v>0.07437767658184365</v>
      </c>
      <c r="Y7358" s="11">
        <v>0.2622190367663078</v>
      </c>
      <c r="Z7358" s="11">
        <v>0.10658905754364663</v>
      </c>
    </row>
    <row r="7359" ht="22.5" customHeight="1">
      <c r="Q7359" s="9" t="s">
        <v>7397</v>
      </c>
      <c r="R7359" s="10">
        <v>0.6935274259801303</v>
      </c>
      <c r="S7359" s="10">
        <v>0.03509314584663376</v>
      </c>
      <c r="T7359" s="10">
        <v>18.622651523924823</v>
      </c>
      <c r="U7359" s="11">
        <v>0.03392670786987207</v>
      </c>
      <c r="V7359" s="11">
        <v>0.32350358346974184</v>
      </c>
      <c r="W7359" s="11">
        <v>0.08878369032375906</v>
      </c>
      <c r="X7359" s="11">
        <v>0.08532774042095327</v>
      </c>
      <c r="Y7359" s="11">
        <v>0.2521302325938607</v>
      </c>
      <c r="Z7359" s="11">
        <v>0.21632804532181288</v>
      </c>
    </row>
    <row r="7360" ht="22.5" customHeight="1">
      <c r="Q7360" s="9" t="s">
        <v>7398</v>
      </c>
      <c r="R7360" s="10">
        <v>0.4942178215176013</v>
      </c>
      <c r="S7360" s="10">
        <v>0.024392065975176742</v>
      </c>
      <c r="T7360" s="10">
        <v>18.62153956043939</v>
      </c>
      <c r="U7360" s="11">
        <v>0.14640291490465865</v>
      </c>
      <c r="V7360" s="11">
        <v>0.22081624677314482</v>
      </c>
      <c r="W7360" s="11">
        <v>0.020686524190490566</v>
      </c>
      <c r="X7360" s="11">
        <v>0.25981392313864426</v>
      </c>
      <c r="Y7360" s="11">
        <v>0.24762498768481606</v>
      </c>
      <c r="Z7360" s="11">
        <v>0.10465540330824567</v>
      </c>
    </row>
    <row r="7361" ht="22.5" customHeight="1">
      <c r="Q7361" s="9" t="s">
        <v>7399</v>
      </c>
      <c r="R7361" s="10">
        <v>0.6496430629627463</v>
      </c>
      <c r="S7361" s="10">
        <v>0.03273939198135518</v>
      </c>
      <c r="T7361" s="10">
        <v>18.621086894647682</v>
      </c>
      <c r="U7361" s="11">
        <v>0.011057125371660221</v>
      </c>
      <c r="V7361" s="11">
        <v>0.3037259089253855</v>
      </c>
      <c r="W7361" s="11">
        <v>0.059580981413569996</v>
      </c>
      <c r="X7361" s="11">
        <v>0.22454561756445687</v>
      </c>
      <c r="Y7361" s="11">
        <v>0.2559152248333321</v>
      </c>
      <c r="Z7361" s="11">
        <v>0.14517514189159522</v>
      </c>
    </row>
    <row r="7362" ht="22.5" customHeight="1">
      <c r="Q7362" s="9" t="s">
        <v>7400</v>
      </c>
      <c r="R7362" s="10">
        <v>0.4168242200918126</v>
      </c>
      <c r="S7362" s="10">
        <v>0.020238316805323814</v>
      </c>
      <c r="T7362" s="10">
        <v>18.6193458535389</v>
      </c>
      <c r="U7362" s="11">
        <v>0.2959740947157925</v>
      </c>
      <c r="V7362" s="11">
        <v>0.17696508219443177</v>
      </c>
      <c r="W7362" s="11">
        <v>0.04043125458172152</v>
      </c>
      <c r="X7362" s="11">
        <v>0.01882831367438911</v>
      </c>
      <c r="Y7362" s="11">
        <v>0.15716781613901057</v>
      </c>
      <c r="Z7362" s="11">
        <v>0.31063343869465454</v>
      </c>
    </row>
    <row r="7363" ht="22.5" customHeight="1">
      <c r="Q7363" s="9" t="s">
        <v>7401</v>
      </c>
      <c r="R7363" s="10">
        <v>0.522331348251574</v>
      </c>
      <c r="S7363" s="10">
        <v>0.04697275559869106</v>
      </c>
      <c r="T7363" s="10">
        <v>18.619226495405922</v>
      </c>
      <c r="U7363" s="11">
        <v>0.13951483956221047</v>
      </c>
      <c r="V7363" s="11">
        <v>0.2038315343000311</v>
      </c>
      <c r="W7363" s="11">
        <v>0.38848510927367974</v>
      </c>
      <c r="X7363" s="11">
        <v>0.07160062932155523</v>
      </c>
      <c r="Y7363" s="11">
        <v>0.044679000354962514</v>
      </c>
      <c r="Z7363" s="11">
        <v>0.1518888871875611</v>
      </c>
    </row>
    <row r="7364" ht="22.5" customHeight="1">
      <c r="Q7364" s="9" t="s">
        <v>7402</v>
      </c>
      <c r="R7364" s="10">
        <v>0.6551066737912283</v>
      </c>
      <c r="S7364" s="10">
        <v>0.033037133387887274</v>
      </c>
      <c r="T7364" s="10">
        <v>18.618645466883965</v>
      </c>
      <c r="U7364" s="11">
        <v>0.2695484693864623</v>
      </c>
      <c r="V7364" s="11">
        <v>0.10475742369794033</v>
      </c>
      <c r="W7364" s="11">
        <v>0.28215114435943417</v>
      </c>
      <c r="X7364" s="11">
        <v>0.17083173702583088</v>
      </c>
      <c r="Y7364" s="11">
        <v>0.029689134223983848</v>
      </c>
      <c r="Z7364" s="11">
        <v>0.1430220913063484</v>
      </c>
    </row>
    <row r="7365" ht="22.5" customHeight="1">
      <c r="Q7365" s="9" t="s">
        <v>7403</v>
      </c>
      <c r="R7365" s="10">
        <v>0.4562429250650978</v>
      </c>
      <c r="S7365" s="10">
        <v>0.02235672489715371</v>
      </c>
      <c r="T7365" s="10">
        <v>18.618242474240525</v>
      </c>
      <c r="U7365" s="11">
        <v>0.11144439270183373</v>
      </c>
      <c r="V7365" s="11">
        <v>0.05156139536933039</v>
      </c>
      <c r="W7365" s="11">
        <v>0.18892637133872883</v>
      </c>
      <c r="X7365" s="11">
        <v>0.19453606320757766</v>
      </c>
      <c r="Y7365" s="11">
        <v>0.13949185698409383</v>
      </c>
      <c r="Z7365" s="11">
        <v>0.3140399203984354</v>
      </c>
    </row>
    <row r="7366" ht="22.5" customHeight="1">
      <c r="Q7366" s="9" t="s">
        <v>7404</v>
      </c>
      <c r="R7366" s="10">
        <v>0.48918772691345214</v>
      </c>
      <c r="S7366" s="10">
        <v>0.0241266984881697</v>
      </c>
      <c r="T7366" s="10">
        <v>18.61786962413059</v>
      </c>
      <c r="U7366" s="11">
        <v>0.25156805890180484</v>
      </c>
      <c r="V7366" s="11">
        <v>0.07214364401115811</v>
      </c>
      <c r="W7366" s="11">
        <v>0.19729030933979583</v>
      </c>
      <c r="X7366" s="11">
        <v>0.04120172809731927</v>
      </c>
      <c r="Y7366" s="11">
        <v>0.23749459613368648</v>
      </c>
      <c r="Z7366" s="11">
        <v>0.2003016635162355</v>
      </c>
    </row>
    <row r="7367" ht="22.5" customHeight="1">
      <c r="Q7367" s="9" t="s">
        <v>7405</v>
      </c>
      <c r="R7367" s="10">
        <v>0.606651003570637</v>
      </c>
      <c r="S7367" s="10">
        <v>0.03043659039044421</v>
      </c>
      <c r="T7367" s="10">
        <v>18.61742712641496</v>
      </c>
      <c r="U7367" s="11">
        <v>0.33224998108928305</v>
      </c>
      <c r="V7367" s="11">
        <v>0.11611458590081673</v>
      </c>
      <c r="W7367" s="11">
        <v>0.25125751003556057</v>
      </c>
      <c r="X7367" s="11">
        <v>0.02416432670530163</v>
      </c>
      <c r="Y7367" s="11">
        <v>0.02269424591275039</v>
      </c>
      <c r="Z7367" s="11">
        <v>0.25351935035628764</v>
      </c>
    </row>
    <row r="7368" ht="22.5" customHeight="1">
      <c r="Q7368" s="9" t="s">
        <v>7406</v>
      </c>
      <c r="R7368" s="10">
        <v>0.4784849123679997</v>
      </c>
      <c r="S7368" s="10">
        <v>0.023553665044101262</v>
      </c>
      <c r="T7368" s="10">
        <v>18.616419633504687</v>
      </c>
      <c r="U7368" s="11">
        <v>0.2240143746617594</v>
      </c>
      <c r="V7368" s="11">
        <v>0.05716280950063258</v>
      </c>
      <c r="W7368" s="11">
        <v>0.19669964900011314</v>
      </c>
      <c r="X7368" s="11">
        <v>0.12857735604100004</v>
      </c>
      <c r="Y7368" s="11">
        <v>0.21360155751745588</v>
      </c>
      <c r="Z7368" s="11">
        <v>0.17994425327903898</v>
      </c>
    </row>
    <row r="7369" ht="22.5" customHeight="1">
      <c r="Q7369" s="9" t="s">
        <v>7407</v>
      </c>
      <c r="R7369" s="10">
        <v>0.5951433019573228</v>
      </c>
      <c r="S7369" s="10">
        <v>0.029822642015942872</v>
      </c>
      <c r="T7369" s="10">
        <v>18.614826334318366</v>
      </c>
      <c r="U7369" s="11">
        <v>0.2217531734916982</v>
      </c>
      <c r="V7369" s="11">
        <v>0.09243938201737577</v>
      </c>
      <c r="W7369" s="11">
        <v>0.25392432537604237</v>
      </c>
      <c r="X7369" s="11">
        <v>0.13685465513703277</v>
      </c>
      <c r="Y7369" s="11">
        <v>0.0862086778217151</v>
      </c>
      <c r="Z7369" s="11">
        <v>0.2088197861561357</v>
      </c>
    </row>
    <row r="7370" ht="22.5" customHeight="1">
      <c r="Q7370" s="9" t="s">
        <v>7408</v>
      </c>
      <c r="R7370" s="10">
        <v>0.6230650266073179</v>
      </c>
      <c r="S7370" s="10">
        <v>0.03132425868194445</v>
      </c>
      <c r="T7370" s="10">
        <v>18.61384917445472</v>
      </c>
      <c r="U7370" s="11">
        <v>0.1571372563382807</v>
      </c>
      <c r="V7370" s="11">
        <v>0.28993873133271325</v>
      </c>
      <c r="W7370" s="11">
        <v>0.07165847385862241</v>
      </c>
      <c r="X7370" s="11">
        <v>0.08658502900285847</v>
      </c>
      <c r="Y7370" s="11">
        <v>0.1647563975973318</v>
      </c>
      <c r="Z7370" s="11">
        <v>0.22992411187019332</v>
      </c>
    </row>
    <row r="7371" ht="22.5" customHeight="1">
      <c r="Q7371" s="9" t="s">
        <v>7409</v>
      </c>
      <c r="R7371" s="10">
        <v>0.5438550032863925</v>
      </c>
      <c r="S7371" s="10">
        <v>0.02706931814127702</v>
      </c>
      <c r="T7371" s="10">
        <v>18.613509237902903</v>
      </c>
      <c r="U7371" s="11">
        <v>0.2341314890910777</v>
      </c>
      <c r="V7371" s="11">
        <v>0.08311439610484693</v>
      </c>
      <c r="W7371" s="11">
        <v>0.22736394562872514</v>
      </c>
      <c r="X7371" s="11">
        <v>0.08176650495691289</v>
      </c>
      <c r="Y7371" s="11">
        <v>0.1581915207879613</v>
      </c>
      <c r="Z7371" s="11">
        <v>0.21543214343047604</v>
      </c>
    </row>
    <row r="7372" ht="22.5" customHeight="1">
      <c r="Q7372" s="9" t="s">
        <v>7410</v>
      </c>
      <c r="R7372" s="10">
        <v>0.7179905132432165</v>
      </c>
      <c r="S7372" s="10">
        <v>0.036425079966623274</v>
      </c>
      <c r="T7372" s="10">
        <v>18.61328825810313</v>
      </c>
      <c r="U7372" s="11">
        <v>0.17733562197390845</v>
      </c>
      <c r="V7372" s="11">
        <v>0.13459888210354223</v>
      </c>
      <c r="W7372" s="11">
        <v>0.3069485867073278</v>
      </c>
      <c r="X7372" s="11">
        <v>0.09039859000555907</v>
      </c>
      <c r="Y7372" s="11">
        <v>0.11098405046432022</v>
      </c>
      <c r="Z7372" s="11">
        <v>0.17973426874534232</v>
      </c>
    </row>
    <row r="7373" ht="22.5" customHeight="1">
      <c r="Q7373" s="9" t="s">
        <v>7411</v>
      </c>
      <c r="R7373" s="10">
        <v>0.4512722358368996</v>
      </c>
      <c r="S7373" s="10">
        <v>0.02209611529159351</v>
      </c>
      <c r="T7373" s="10">
        <v>18.612875177808682</v>
      </c>
      <c r="U7373" s="11">
        <v>0.2152307557923471</v>
      </c>
      <c r="V7373" s="11">
        <v>0.05188877955057903</v>
      </c>
      <c r="W7373" s="11">
        <v>0.18167736423814074</v>
      </c>
      <c r="X7373" s="11">
        <v>0.11500760348069262</v>
      </c>
      <c r="Y7373" s="11">
        <v>0.25197666848174416</v>
      </c>
      <c r="Z7373" s="11">
        <v>0.18421882845649631</v>
      </c>
    </row>
    <row r="7374" ht="22.5" customHeight="1">
      <c r="Q7374" s="9" t="s">
        <v>7412</v>
      </c>
      <c r="R7374" s="10">
        <v>0.3838516551708298</v>
      </c>
      <c r="S7374" s="10">
        <v>0.018474821454301005</v>
      </c>
      <c r="T7374" s="10">
        <v>18.61190680631882</v>
      </c>
      <c r="U7374" s="11">
        <v>0.5236833476574057</v>
      </c>
      <c r="V7374" s="11">
        <v>0.14960778893070112</v>
      </c>
      <c r="W7374" s="11">
        <v>0.03570067671450775</v>
      </c>
      <c r="X7374" s="11">
        <v>0.05142666457240273</v>
      </c>
      <c r="Y7374" s="11">
        <v>0.05379491769809462</v>
      </c>
      <c r="Z7374" s="11">
        <v>0.1857866044268882</v>
      </c>
    </row>
    <row r="7375" ht="22.5" customHeight="1">
      <c r="Q7375" s="9" t="s">
        <v>7413</v>
      </c>
      <c r="R7375" s="10">
        <v>0.716429916032022</v>
      </c>
      <c r="S7375" s="10">
        <v>0.036345544809816735</v>
      </c>
      <c r="T7375" s="10">
        <v>18.61108203416783</v>
      </c>
      <c r="U7375" s="11">
        <v>0.03786018009041833</v>
      </c>
      <c r="V7375" s="11">
        <v>0.3336347685402434</v>
      </c>
      <c r="W7375" s="11">
        <v>0.08066393610205284</v>
      </c>
      <c r="X7375" s="11">
        <v>0.14306552308078296</v>
      </c>
      <c r="Y7375" s="11">
        <v>0.33979914110370957</v>
      </c>
      <c r="Z7375" s="11">
        <v>0.06497645108279294</v>
      </c>
    </row>
    <row r="7376" ht="22.5" customHeight="1">
      <c r="Q7376" s="9" t="s">
        <v>7414</v>
      </c>
      <c r="R7376" s="10">
        <v>0.7143028158572627</v>
      </c>
      <c r="S7376" s="10">
        <v>0.036231412811997245</v>
      </c>
      <c r="T7376" s="10">
        <v>18.610999779560956</v>
      </c>
      <c r="U7376" s="11">
        <v>0.03279727888672586</v>
      </c>
      <c r="V7376" s="11">
        <v>0.33401069891562785</v>
      </c>
      <c r="W7376" s="11">
        <v>0.08939652769741242</v>
      </c>
      <c r="X7376" s="11">
        <v>0.1015566381804395</v>
      </c>
      <c r="Y7376" s="11">
        <v>0.27329264586140023</v>
      </c>
      <c r="Z7376" s="11">
        <v>0.1689462104583941</v>
      </c>
    </row>
    <row r="7377" ht="22.5" customHeight="1">
      <c r="Q7377" s="9" t="s">
        <v>7415</v>
      </c>
      <c r="R7377" s="10">
        <v>0.3311894018254843</v>
      </c>
      <c r="S7377" s="10">
        <v>0.01564817891677787</v>
      </c>
      <c r="T7377" s="10">
        <v>18.608516899897726</v>
      </c>
      <c r="U7377" s="11">
        <v>0.2938655472405512</v>
      </c>
      <c r="V7377" s="11">
        <v>0.007672877691374138</v>
      </c>
      <c r="W7377" s="11">
        <v>0.11505778525584558</v>
      </c>
      <c r="X7377" s="11">
        <v>0.28203520834342316</v>
      </c>
      <c r="Y7377" s="11">
        <v>0.2246265061150338</v>
      </c>
      <c r="Z7377" s="11">
        <v>0.07674207535377214</v>
      </c>
    </row>
    <row r="7378" ht="22.5" customHeight="1">
      <c r="Q7378" s="9" t="s">
        <v>7416</v>
      </c>
      <c r="R7378" s="10">
        <v>0.6900682503447281</v>
      </c>
      <c r="S7378" s="10">
        <v>0.03493447061363166</v>
      </c>
      <c r="T7378" s="10">
        <v>18.608218156054356</v>
      </c>
      <c r="U7378" s="11">
        <v>0.27214583892477956</v>
      </c>
      <c r="V7378" s="11">
        <v>0.11601189539518654</v>
      </c>
      <c r="W7378" s="11">
        <v>0.2960096949390199</v>
      </c>
      <c r="X7378" s="11">
        <v>0.11273190125631273</v>
      </c>
      <c r="Y7378" s="11">
        <v>0.1348594491086242</v>
      </c>
      <c r="Z7378" s="11">
        <v>0.06824122037607705</v>
      </c>
    </row>
    <row r="7379" ht="22.5" customHeight="1">
      <c r="Q7379" s="9" t="s">
        <v>7417</v>
      </c>
      <c r="R7379" s="10">
        <v>0.46759093304765087</v>
      </c>
      <c r="S7379" s="10">
        <v>0.02297952337700758</v>
      </c>
      <c r="T7379" s="10">
        <v>18.607476144413067</v>
      </c>
      <c r="U7379" s="11">
        <v>0.238808769271369</v>
      </c>
      <c r="V7379" s="11">
        <v>0.20849633475617135</v>
      </c>
      <c r="W7379" s="11">
        <v>0.016206976197642064</v>
      </c>
      <c r="X7379" s="11">
        <v>0.29693016413481743</v>
      </c>
      <c r="Y7379" s="11">
        <v>0.0812534894692128</v>
      </c>
      <c r="Z7379" s="11">
        <v>0.15830426617078733</v>
      </c>
    </row>
    <row r="7380" ht="22.5" customHeight="1">
      <c r="Q7380" s="9" t="s">
        <v>7418</v>
      </c>
      <c r="R7380" s="10">
        <v>0.7878183036108647</v>
      </c>
      <c r="S7380" s="10">
        <v>0.04019096481115565</v>
      </c>
      <c r="T7380" s="10">
        <v>18.6066273134925</v>
      </c>
      <c r="U7380" s="11">
        <v>1.6869869059506117E-4</v>
      </c>
      <c r="V7380" s="11">
        <v>0.15398077727400197</v>
      </c>
      <c r="W7380" s="11">
        <v>0.33524111488631164</v>
      </c>
      <c r="X7380" s="11">
        <v>0.09750009692762901</v>
      </c>
      <c r="Y7380" s="11">
        <v>0.26757408340107364</v>
      </c>
      <c r="Z7380" s="11">
        <v>0.14553522882038852</v>
      </c>
    </row>
    <row r="7381" ht="22.5" customHeight="1">
      <c r="Q7381" s="9" t="s">
        <v>7419</v>
      </c>
      <c r="R7381" s="10">
        <v>0.5287942894267442</v>
      </c>
      <c r="S7381" s="10">
        <v>0.026270973055600506</v>
      </c>
      <c r="T7381" s="10">
        <v>18.605869237970307</v>
      </c>
      <c r="U7381" s="11">
        <v>0.31925794583498324</v>
      </c>
      <c r="V7381" s="11">
        <v>0.07021444454052073</v>
      </c>
      <c r="W7381" s="11">
        <v>0.2228464686002879</v>
      </c>
      <c r="X7381" s="11">
        <v>0.1549675194450153</v>
      </c>
      <c r="Y7381" s="11">
        <v>0.05650491901244336</v>
      </c>
      <c r="Z7381" s="11">
        <v>0.1762087025667495</v>
      </c>
    </row>
    <row r="7382" ht="22.5" customHeight="1">
      <c r="Q7382" s="9" t="s">
        <v>7420</v>
      </c>
      <c r="R7382" s="10">
        <v>0.5731464705817951</v>
      </c>
      <c r="S7382" s="10">
        <v>0.028655089053955172</v>
      </c>
      <c r="T7382" s="10">
        <v>18.605646961275333</v>
      </c>
      <c r="U7382" s="11">
        <v>0.16114632116503677</v>
      </c>
      <c r="V7382" s="11">
        <v>0.0700967237947894</v>
      </c>
      <c r="W7382" s="11">
        <v>0.24307081756502902</v>
      </c>
      <c r="X7382" s="11">
        <v>0.20275198603796551</v>
      </c>
      <c r="Y7382" s="11">
        <v>0.2581836230326339</v>
      </c>
      <c r="Z7382" s="11">
        <v>0.0647505284045454</v>
      </c>
    </row>
    <row r="7383" ht="22.5" customHeight="1">
      <c r="Q7383" s="9" t="s">
        <v>7421</v>
      </c>
      <c r="R7383" s="10">
        <v>0.669247543461138</v>
      </c>
      <c r="S7383" s="10">
        <v>0.03382045741766548</v>
      </c>
      <c r="T7383" s="10">
        <v>18.605530247277567</v>
      </c>
      <c r="U7383" s="11">
        <v>0.1757718807463551</v>
      </c>
      <c r="V7383" s="11">
        <v>0.11395060051549324</v>
      </c>
      <c r="W7383" s="11">
        <v>0.2883690047810333</v>
      </c>
      <c r="X7383" s="11">
        <v>0.15802355720272984</v>
      </c>
      <c r="Y7383" s="11">
        <v>0.0481943205008002</v>
      </c>
      <c r="Z7383" s="11">
        <v>0.21569063625358834</v>
      </c>
    </row>
    <row r="7384" ht="22.5" customHeight="1">
      <c r="Q7384" s="9" t="s">
        <v>7422</v>
      </c>
      <c r="R7384" s="10">
        <v>0.42803012279820407</v>
      </c>
      <c r="S7384" s="10">
        <v>0.020856243519987838</v>
      </c>
      <c r="T7384" s="10">
        <v>18.60498619640352</v>
      </c>
      <c r="U7384" s="11">
        <v>0.3209081003662678</v>
      </c>
      <c r="V7384" s="11">
        <v>0.1865670245357617</v>
      </c>
      <c r="W7384" s="11">
        <v>0.02946307249519789</v>
      </c>
      <c r="X7384" s="11">
        <v>0.11478614181871225</v>
      </c>
      <c r="Y7384" s="11">
        <v>0.08831018308161208</v>
      </c>
      <c r="Z7384" s="11">
        <v>0.2599654777024482</v>
      </c>
    </row>
    <row r="7385" ht="22.5" customHeight="1">
      <c r="Q7385" s="9" t="s">
        <v>7423</v>
      </c>
      <c r="R7385" s="10">
        <v>0.5557286877025175</v>
      </c>
      <c r="S7385" s="10">
        <v>0.02772019744909511</v>
      </c>
      <c r="T7385" s="10">
        <v>18.604798492131692</v>
      </c>
      <c r="U7385" s="11">
        <v>0.027171377318818357</v>
      </c>
      <c r="V7385" s="11">
        <v>0.2557824887201152</v>
      </c>
      <c r="W7385" s="11">
        <v>0.03762791092309812</v>
      </c>
      <c r="X7385" s="11">
        <v>0.2428195599242012</v>
      </c>
      <c r="Y7385" s="11">
        <v>0.2531636562042829</v>
      </c>
      <c r="Z7385" s="11">
        <v>0.18343500690948417</v>
      </c>
    </row>
    <row r="7386" ht="22.5" customHeight="1">
      <c r="Q7386" s="9" t="s">
        <v>7424</v>
      </c>
      <c r="R7386" s="10">
        <v>0.522331348251574</v>
      </c>
      <c r="S7386" s="10">
        <v>0.023884682595934813</v>
      </c>
      <c r="T7386" s="10">
        <v>18.60388013589448</v>
      </c>
      <c r="U7386" s="11">
        <v>0.07016210400900764</v>
      </c>
      <c r="V7386" s="11">
        <v>0.21688307564149437</v>
      </c>
      <c r="W7386" s="11">
        <v>0.034489661969838</v>
      </c>
      <c r="X7386" s="11">
        <v>0.14062100912638092</v>
      </c>
      <c r="Y7386" s="11">
        <v>0.2904379907795352</v>
      </c>
      <c r="Z7386" s="11">
        <v>0.2474061584737439</v>
      </c>
    </row>
    <row r="7387" ht="22.5" customHeight="1">
      <c r="Q7387" s="9" t="s">
        <v>7425</v>
      </c>
      <c r="R7387" s="10">
        <v>0.2488543810779414</v>
      </c>
      <c r="S7387" s="10">
        <v>0.011226892521326077</v>
      </c>
      <c r="T7387" s="10">
        <v>18.603044491715888</v>
      </c>
      <c r="U7387" s="11">
        <v>0.030560899473475327</v>
      </c>
      <c r="V7387" s="11">
        <v>0.04287367850386426</v>
      </c>
      <c r="W7387" s="11">
        <v>0.008393914568226468</v>
      </c>
      <c r="X7387" s="11">
        <v>0.3886062886497511</v>
      </c>
      <c r="Y7387" s="11">
        <v>0.3495283364925367</v>
      </c>
      <c r="Z7387" s="11">
        <v>0.18003688231214632</v>
      </c>
    </row>
    <row r="7388" ht="22.5" customHeight="1">
      <c r="Q7388" s="9" t="s">
        <v>7426</v>
      </c>
      <c r="R7388" s="10">
        <v>0.7832195436487476</v>
      </c>
      <c r="S7388" s="10">
        <v>0.03995382515664509</v>
      </c>
      <c r="T7388" s="10">
        <v>18.601962158437683</v>
      </c>
      <c r="U7388" s="11">
        <v>0.014779309599019661</v>
      </c>
      <c r="V7388" s="11">
        <v>0.16190899824903993</v>
      </c>
      <c r="W7388" s="11">
        <v>0.33414694665042044</v>
      </c>
      <c r="X7388" s="11">
        <v>0.11148827495496719</v>
      </c>
      <c r="Y7388" s="11">
        <v>0.08621567382167748</v>
      </c>
      <c r="Z7388" s="11">
        <v>0.2914607967248753</v>
      </c>
    </row>
    <row r="7389" ht="22.5" customHeight="1">
      <c r="Q7389" s="9" t="s">
        <v>7427</v>
      </c>
      <c r="R7389" s="10">
        <v>0.6595273752936394</v>
      </c>
      <c r="S7389" s="10">
        <v>0.03330878064219509</v>
      </c>
      <c r="T7389" s="10">
        <v>18.599521307868915</v>
      </c>
      <c r="U7389" s="11">
        <v>0.33038704530105284</v>
      </c>
      <c r="V7389" s="11">
        <v>0.30823994504459623</v>
      </c>
      <c r="W7389" s="11">
        <v>0.0547021573952975</v>
      </c>
      <c r="X7389" s="11">
        <v>0.27634524008761907</v>
      </c>
      <c r="Y7389" s="11">
        <v>0.025634939916335177</v>
      </c>
      <c r="Z7389" s="11">
        <v>0.004690672255099325</v>
      </c>
    </row>
    <row r="7390" ht="22.5" customHeight="1">
      <c r="Q7390" s="9" t="s">
        <v>7428</v>
      </c>
      <c r="R7390" s="10">
        <v>0.7922849205210232</v>
      </c>
      <c r="S7390" s="10">
        <v>0.04044680595685952</v>
      </c>
      <c r="T7390" s="10">
        <v>18.599365332417317</v>
      </c>
      <c r="U7390" s="11">
        <v>0.23537260428218992</v>
      </c>
      <c r="V7390" s="11">
        <v>0.1693818191403344</v>
      </c>
      <c r="W7390" s="11">
        <v>0.33479502940823075</v>
      </c>
      <c r="X7390" s="11">
        <v>0.023875332827575264</v>
      </c>
      <c r="Y7390" s="11">
        <v>0.0576328330379918</v>
      </c>
      <c r="Z7390" s="11">
        <v>0.17894238130367784</v>
      </c>
    </row>
    <row r="7391" ht="22.5" customHeight="1">
      <c r="Q7391" s="9" t="s">
        <v>7429</v>
      </c>
      <c r="R7391" s="10">
        <v>0.7554662433321926</v>
      </c>
      <c r="S7391" s="10">
        <v>0.0384688962381815</v>
      </c>
      <c r="T7391" s="10">
        <v>18.598564380489595</v>
      </c>
      <c r="U7391" s="11">
        <v>0.09094835800093257</v>
      </c>
      <c r="V7391" s="11">
        <v>0.35754283812643023</v>
      </c>
      <c r="W7391" s="11">
        <v>0.08623244740069846</v>
      </c>
      <c r="X7391" s="11">
        <v>0.18378158194158195</v>
      </c>
      <c r="Y7391" s="11">
        <v>0.199869188918956</v>
      </c>
      <c r="Z7391" s="11">
        <v>0.08162558561140071</v>
      </c>
    </row>
    <row r="7392" ht="22.5" customHeight="1">
      <c r="Q7392" s="9" t="s">
        <v>7430</v>
      </c>
      <c r="R7392" s="10">
        <v>0.4927163412899345</v>
      </c>
      <c r="S7392" s="10">
        <v>0.024341559032198562</v>
      </c>
      <c r="T7392" s="10">
        <v>18.59849406897437</v>
      </c>
      <c r="U7392" s="11">
        <v>0.1586243962396746</v>
      </c>
      <c r="V7392" s="11">
        <v>0.04530732165234517</v>
      </c>
      <c r="W7392" s="11">
        <v>0.20363974005019767</v>
      </c>
      <c r="X7392" s="11">
        <v>0.2405506903734163</v>
      </c>
      <c r="Y7392" s="11">
        <v>0.2760112199354929</v>
      </c>
      <c r="Z7392" s="11">
        <v>0.07586663174887336</v>
      </c>
    </row>
    <row r="7393" ht="22.5" customHeight="1">
      <c r="Q7393" s="9" t="s">
        <v>7431</v>
      </c>
      <c r="R7393" s="10">
        <v>0.4073143183450459</v>
      </c>
      <c r="S7393" s="10">
        <v>0.01975169620745746</v>
      </c>
      <c r="T7393" s="10">
        <v>18.596596185312052</v>
      </c>
      <c r="U7393" s="11">
        <v>0.013993706125154192</v>
      </c>
      <c r="V7393" s="11">
        <v>0.17108735254268986</v>
      </c>
      <c r="W7393" s="11">
        <v>0.03143850981275515</v>
      </c>
      <c r="X7393" s="11">
        <v>0.08781019566703256</v>
      </c>
      <c r="Y7393" s="11">
        <v>0.35196852806113543</v>
      </c>
      <c r="Z7393" s="11">
        <v>0.3437017077912328</v>
      </c>
    </row>
    <row r="7394" ht="22.5" customHeight="1">
      <c r="Q7394" s="9" t="s">
        <v>7432</v>
      </c>
      <c r="R7394" s="10">
        <v>0.7024444116527396</v>
      </c>
      <c r="S7394" s="10">
        <v>0.03562233754813174</v>
      </c>
      <c r="T7394" s="10">
        <v>18.59632065856617</v>
      </c>
      <c r="U7394" s="11">
        <v>0.042054915463872584</v>
      </c>
      <c r="V7394" s="11">
        <v>0.14080079713270577</v>
      </c>
      <c r="W7394" s="11">
        <v>0.2971833605773378</v>
      </c>
      <c r="X7394" s="11">
        <v>0.06564119254939176</v>
      </c>
      <c r="Y7394" s="11">
        <v>0.14470329742797922</v>
      </c>
      <c r="Z7394" s="11">
        <v>0.30961643684871293</v>
      </c>
    </row>
    <row r="7395" ht="22.5" customHeight="1">
      <c r="Q7395" s="9" t="s">
        <v>7433</v>
      </c>
      <c r="R7395" s="10">
        <v>0.8578589083207963</v>
      </c>
      <c r="S7395" s="10">
        <v>0.04398130611266909</v>
      </c>
      <c r="T7395" s="10">
        <v>18.595603009734333</v>
      </c>
      <c r="U7395" s="11">
        <v>0.1567042453749288</v>
      </c>
      <c r="V7395" s="11">
        <v>0.401720359025169</v>
      </c>
      <c r="W7395" s="11">
        <v>0.13424167528929365</v>
      </c>
      <c r="X7395" s="11">
        <v>0.026338217076132892</v>
      </c>
      <c r="Y7395" s="11">
        <v>0.17934072095496198</v>
      </c>
      <c r="Z7395" s="11">
        <v>0.10165478227951373</v>
      </c>
    </row>
    <row r="7396" ht="22.5" customHeight="1">
      <c r="Q7396" s="9" t="s">
        <v>7434</v>
      </c>
      <c r="R7396" s="10">
        <v>0.9071641005344071</v>
      </c>
      <c r="S7396" s="10">
        <v>0.04663326895486989</v>
      </c>
      <c r="T7396" s="10">
        <v>18.59539594733578</v>
      </c>
      <c r="U7396" s="11">
        <v>0.3631583302259365</v>
      </c>
      <c r="V7396" s="11">
        <v>0.4220436503171626</v>
      </c>
      <c r="W7396" s="11">
        <v>0.1522082137285696</v>
      </c>
      <c r="X7396" s="11">
        <v>0.013775345490935644</v>
      </c>
      <c r="Y7396" s="11">
        <v>0.008191933000527663</v>
      </c>
      <c r="Z7396" s="11">
        <v>0.04062252723686788</v>
      </c>
    </row>
    <row r="7397" ht="22.5" customHeight="1">
      <c r="Q7397" s="9" t="s">
        <v>7435</v>
      </c>
      <c r="R7397" s="10">
        <v>0.6540410087325527</v>
      </c>
      <c r="S7397" s="10">
        <v>0.03302161106259376</v>
      </c>
      <c r="T7397" s="10">
        <v>18.595125706271986</v>
      </c>
      <c r="U7397" s="11">
        <v>0.28318131001886415</v>
      </c>
      <c r="V7397" s="11">
        <v>0.3001108144333004</v>
      </c>
      <c r="W7397" s="11">
        <v>0.08530397441388139</v>
      </c>
      <c r="X7397" s="11">
        <v>0.003507894299883482</v>
      </c>
      <c r="Y7397" s="11">
        <v>0.20223717715688672</v>
      </c>
      <c r="Z7397" s="11">
        <v>0.12565882967718403</v>
      </c>
    </row>
    <row r="7398" ht="22.5" customHeight="1">
      <c r="Q7398" s="9" t="s">
        <v>7436</v>
      </c>
      <c r="R7398" s="10">
        <v>0.673738831814554</v>
      </c>
      <c r="S7398" s="10">
        <v>0.03408233887984987</v>
      </c>
      <c r="T7398" s="10">
        <v>18.594346885894982</v>
      </c>
      <c r="U7398" s="11">
        <v>0.17609057876803597</v>
      </c>
      <c r="V7398" s="11">
        <v>0.3071161291100022</v>
      </c>
      <c r="W7398" s="11">
        <v>0.08285000101838119</v>
      </c>
      <c r="X7398" s="11">
        <v>0.028123395714294067</v>
      </c>
      <c r="Y7398" s="11">
        <v>0.36799353425546266</v>
      </c>
      <c r="Z7398" s="11">
        <v>0.03782636113382377</v>
      </c>
    </row>
    <row r="7399" ht="22.5" customHeight="1">
      <c r="Q7399" s="9" t="s">
        <v>7437</v>
      </c>
      <c r="R7399" s="10">
        <v>0.5341330962262928</v>
      </c>
      <c r="S7399" s="10">
        <v>0.026574576056908775</v>
      </c>
      <c r="T7399" s="10">
        <v>18.594204293913076</v>
      </c>
      <c r="U7399" s="11">
        <v>0.06361847150978175</v>
      </c>
      <c r="V7399" s="11">
        <v>0.06866074134234514</v>
      </c>
      <c r="W7399" s="11">
        <v>0.22781399837712424</v>
      </c>
      <c r="X7399" s="11">
        <v>0.24354968497896193</v>
      </c>
      <c r="Y7399" s="11">
        <v>0.0926539794221405</v>
      </c>
      <c r="Z7399" s="11">
        <v>0.30370312436964647</v>
      </c>
    </row>
    <row r="7400" ht="22.5" customHeight="1">
      <c r="Q7400" s="9" t="s">
        <v>7438</v>
      </c>
      <c r="R7400" s="10">
        <v>0.5775085244495248</v>
      </c>
      <c r="S7400" s="10">
        <v>0.028907467831720917</v>
      </c>
      <c r="T7400" s="10">
        <v>18.59410611744079</v>
      </c>
      <c r="U7400" s="11">
        <v>0.1867864288184095</v>
      </c>
      <c r="V7400" s="11">
        <v>0.2673259758925447</v>
      </c>
      <c r="W7400" s="11">
        <v>0.05163864457108725</v>
      </c>
      <c r="X7400" s="11">
        <v>0.135310442817529</v>
      </c>
      <c r="Y7400" s="11">
        <v>0.19318921750157073</v>
      </c>
      <c r="Z7400" s="11">
        <v>0.16574929039885872</v>
      </c>
    </row>
    <row r="7401" ht="22.5" customHeight="1">
      <c r="Q7401" s="9" t="s">
        <v>7439</v>
      </c>
      <c r="R7401" s="10">
        <v>0.5101041418399559</v>
      </c>
      <c r="S7401" s="10">
        <v>0.02528323921183729</v>
      </c>
      <c r="T7401" s="10">
        <v>18.59350923752915</v>
      </c>
      <c r="U7401" s="11">
        <v>0.09836285847411834</v>
      </c>
      <c r="V7401" s="11">
        <v>0.23208095377949095</v>
      </c>
      <c r="W7401" s="11">
        <v>0.02886956303386384</v>
      </c>
      <c r="X7401" s="11">
        <v>0.22439092635770555</v>
      </c>
      <c r="Y7401" s="11">
        <v>0.23448840030441742</v>
      </c>
      <c r="Z7401" s="11">
        <v>0.18180729805040402</v>
      </c>
    </row>
    <row r="7402" ht="22.5" customHeight="1">
      <c r="Q7402" s="9" t="s">
        <v>7440</v>
      </c>
      <c r="R7402" s="10">
        <v>0.6828200151625787</v>
      </c>
      <c r="S7402" s="10">
        <v>0.034572487119269836</v>
      </c>
      <c r="T7402" s="10">
        <v>18.593398066646092</v>
      </c>
      <c r="U7402" s="11">
        <v>0.10926248981189399</v>
      </c>
      <c r="V7402" s="11">
        <v>0.32034063906791804</v>
      </c>
      <c r="W7402" s="11">
        <v>0.08217268170414296</v>
      </c>
      <c r="X7402" s="11">
        <v>0.09940856814256187</v>
      </c>
      <c r="Y7402" s="11">
        <v>0.19844170097400418</v>
      </c>
      <c r="Z7402" s="11">
        <v>0.1903739202994791</v>
      </c>
    </row>
    <row r="7403" ht="22.5" customHeight="1">
      <c r="Q7403" s="9" t="s">
        <v>7441</v>
      </c>
      <c r="R7403" s="10">
        <v>0.42790761650872333</v>
      </c>
      <c r="S7403" s="10">
        <v>0.020863374320685434</v>
      </c>
      <c r="T7403" s="10">
        <v>18.592755445322386</v>
      </c>
      <c r="U7403" s="11">
        <v>0.167247961248776</v>
      </c>
      <c r="V7403" s="11">
        <v>0.019360111399655565</v>
      </c>
      <c r="W7403" s="11">
        <v>0.1716820032276178</v>
      </c>
      <c r="X7403" s="11">
        <v>0.40574284111893194</v>
      </c>
      <c r="Y7403" s="11">
        <v>0.12461238117711376</v>
      </c>
      <c r="Z7403" s="11">
        <v>0.11135470182790486</v>
      </c>
    </row>
    <row r="7404" ht="22.5" customHeight="1">
      <c r="Q7404" s="9" t="s">
        <v>7442</v>
      </c>
      <c r="R7404" s="10">
        <v>0.7028331922093022</v>
      </c>
      <c r="S7404" s="10">
        <v>0.03565072016997261</v>
      </c>
      <c r="T7404" s="10">
        <v>18.5924208276607</v>
      </c>
      <c r="U7404" s="11">
        <v>0.11657575815789019</v>
      </c>
      <c r="V7404" s="11">
        <v>0.14042936945272225</v>
      </c>
      <c r="W7404" s="11">
        <v>0.2988356579287457</v>
      </c>
      <c r="X7404" s="11">
        <v>0.09455960589993627</v>
      </c>
      <c r="Y7404" s="11">
        <v>0.023253850374242605</v>
      </c>
      <c r="Z7404" s="11">
        <v>0.326345758186463</v>
      </c>
    </row>
    <row r="7405" ht="22.5" customHeight="1">
      <c r="Q7405" s="9" t="s">
        <v>7443</v>
      </c>
      <c r="R7405" s="10">
        <v>0.48763300354734035</v>
      </c>
      <c r="S7405" s="10">
        <v>0.02407786400049439</v>
      </c>
      <c r="T7405" s="10">
        <v>18.591059553212407</v>
      </c>
      <c r="U7405" s="11">
        <v>0.3187909447177583</v>
      </c>
      <c r="V7405" s="11">
        <v>0.059615634301132835</v>
      </c>
      <c r="W7405" s="11">
        <v>0.19939891498524218</v>
      </c>
      <c r="X7405" s="11">
        <v>0.10286408400972682</v>
      </c>
      <c r="Y7405" s="11">
        <v>0.21017826690316552</v>
      </c>
      <c r="Z7405" s="11">
        <v>0.10915215508297432</v>
      </c>
    </row>
    <row r="7406" ht="22.5" customHeight="1">
      <c r="Q7406" s="9" t="s">
        <v>7444</v>
      </c>
      <c r="R7406" s="10">
        <v>0.4434975093061226</v>
      </c>
      <c r="S7406" s="10">
        <v>0.02170628029255329</v>
      </c>
      <c r="T7406" s="10">
        <v>18.588975350352836</v>
      </c>
      <c r="U7406" s="11">
        <v>0.19645366953346827</v>
      </c>
      <c r="V7406" s="11">
        <v>0.19644191353755003</v>
      </c>
      <c r="W7406" s="11">
        <v>0.021656241740111482</v>
      </c>
      <c r="X7406" s="11">
        <v>0.17335710020234976</v>
      </c>
      <c r="Y7406" s="11">
        <v>0.19437798644585863</v>
      </c>
      <c r="Z7406" s="11">
        <v>0.21771308854066185</v>
      </c>
    </row>
    <row r="7407" ht="22.5" customHeight="1">
      <c r="Q7407" s="9" t="s">
        <v>7445</v>
      </c>
      <c r="R7407" s="10">
        <v>0.43852461390803416</v>
      </c>
      <c r="S7407" s="10">
        <v>0.021441080036999578</v>
      </c>
      <c r="T7407" s="10">
        <v>18.586965452315102</v>
      </c>
      <c r="U7407" s="11">
        <v>0.2742862701788517</v>
      </c>
      <c r="V7407" s="11">
        <v>0.19291890495323816</v>
      </c>
      <c r="W7407" s="11">
        <v>0.015075340839765413</v>
      </c>
      <c r="X7407" s="11">
        <v>0.2810010313738804</v>
      </c>
      <c r="Y7407" s="11">
        <v>0.030432357742006345</v>
      </c>
      <c r="Z7407" s="11">
        <v>0.2062860949122578</v>
      </c>
    </row>
    <row r="7408" ht="22.5" customHeight="1">
      <c r="Q7408" s="9" t="s">
        <v>7446</v>
      </c>
      <c r="R7408" s="10">
        <v>0.35740857756830846</v>
      </c>
      <c r="S7408" s="10">
        <v>0.01707761436421767</v>
      </c>
      <c r="T7408" s="10">
        <v>18.5862363910364</v>
      </c>
      <c r="U7408" s="11">
        <v>0.10009263630320885</v>
      </c>
      <c r="V7408" s="11">
        <v>0.14842630899366982</v>
      </c>
      <c r="W7408" s="11">
        <v>0.010820268462702416</v>
      </c>
      <c r="X7408" s="11">
        <v>0.17914914503720264</v>
      </c>
      <c r="Y7408" s="11">
        <v>0.2258130873591883</v>
      </c>
      <c r="Z7408" s="11">
        <v>0.3356985538440279</v>
      </c>
    </row>
    <row r="7409" ht="22.5" customHeight="1">
      <c r="Q7409" s="9" t="s">
        <v>7447</v>
      </c>
      <c r="R7409" s="10">
        <v>0.8343063421939952</v>
      </c>
      <c r="S7409" s="10">
        <v>0.04273757255262904</v>
      </c>
      <c r="T7409" s="10">
        <v>18.585668177944576</v>
      </c>
      <c r="U7409" s="11">
        <v>0.2715210609284052</v>
      </c>
      <c r="V7409" s="11">
        <v>0.38882536136175977</v>
      </c>
      <c r="W7409" s="11">
        <v>0.12551888623302204</v>
      </c>
      <c r="X7409" s="11">
        <v>0.009123241470684482</v>
      </c>
      <c r="Y7409" s="11">
        <v>0.19265506282381775</v>
      </c>
      <c r="Z7409" s="11">
        <v>0.012356387182310719</v>
      </c>
    </row>
    <row r="7410" ht="22.5" customHeight="1">
      <c r="Q7410" s="9" t="s">
        <v>7448</v>
      </c>
      <c r="R7410" s="10">
        <v>0.40372013565967296</v>
      </c>
      <c r="S7410" s="10">
        <v>0.01957003165131631</v>
      </c>
      <c r="T7410" s="10">
        <v>18.585567061932093</v>
      </c>
      <c r="U7410" s="11">
        <v>0.21984850912586126</v>
      </c>
      <c r="V7410" s="11">
        <v>0.041637013837530594</v>
      </c>
      <c r="W7410" s="11">
        <v>0.15916398116177044</v>
      </c>
      <c r="X7410" s="11">
        <v>0.12051605293839694</v>
      </c>
      <c r="Y7410" s="11">
        <v>0.21467124747425886</v>
      </c>
      <c r="Z7410" s="11">
        <v>0.244163195462182</v>
      </c>
    </row>
    <row r="7411" ht="22.5" customHeight="1">
      <c r="Q7411" s="9" t="s">
        <v>7449</v>
      </c>
      <c r="R7411" s="10">
        <v>0.5830104068833818</v>
      </c>
      <c r="S7411" s="10">
        <v>0.0292178664034294</v>
      </c>
      <c r="T7411" s="10">
        <v>18.584875411013815</v>
      </c>
      <c r="U7411" s="11">
        <v>0.14507853065223322</v>
      </c>
      <c r="V7411" s="11">
        <v>0.08679861207307384</v>
      </c>
      <c r="W7411" s="11">
        <v>0.25029331814076367</v>
      </c>
      <c r="X7411" s="11">
        <v>0.18306760245420867</v>
      </c>
      <c r="Y7411" s="11">
        <v>0.06717356115454486</v>
      </c>
      <c r="Z7411" s="11">
        <v>0.2675883755251757</v>
      </c>
    </row>
    <row r="7412" ht="22.5" customHeight="1">
      <c r="Q7412" s="9" t="s">
        <v>7450</v>
      </c>
      <c r="R7412" s="10">
        <v>0.6705527091353822</v>
      </c>
      <c r="S7412" s="10">
        <v>0.03392992968827792</v>
      </c>
      <c r="T7412" s="10">
        <v>18.583967456709026</v>
      </c>
      <c r="U7412" s="11">
        <v>0.3350449129403076</v>
      </c>
      <c r="V7412" s="11">
        <v>0.30844507304162766</v>
      </c>
      <c r="W7412" s="11">
        <v>0.08406494585872205</v>
      </c>
      <c r="X7412" s="11">
        <v>0.02191562758354352</v>
      </c>
      <c r="Y7412" s="11">
        <v>0.19364395132400655</v>
      </c>
      <c r="Z7412" s="11">
        <v>0.05688548925179244</v>
      </c>
    </row>
    <row r="7413" ht="22.5" customHeight="1">
      <c r="Q7413" s="9" t="s">
        <v>7451</v>
      </c>
      <c r="R7413" s="10">
        <v>0.5770169489787945</v>
      </c>
      <c r="S7413" s="10">
        <v>0.02889913900846706</v>
      </c>
      <c r="T7413" s="10">
        <v>18.582454959002607</v>
      </c>
      <c r="U7413" s="11">
        <v>0.0648397313184264</v>
      </c>
      <c r="V7413" s="11">
        <v>0.08726209730495897</v>
      </c>
      <c r="W7413" s="11">
        <v>0.2457187106022436</v>
      </c>
      <c r="X7413" s="11">
        <v>0.15123032755132992</v>
      </c>
      <c r="Y7413" s="11">
        <v>0.18041790049729461</v>
      </c>
      <c r="Z7413" s="11">
        <v>0.2705312327257466</v>
      </c>
    </row>
    <row r="7414" ht="22.5" customHeight="1">
      <c r="Q7414" s="9" t="s">
        <v>7452</v>
      </c>
      <c r="R7414" s="10">
        <v>0.8573515818743231</v>
      </c>
      <c r="S7414" s="10">
        <v>0.04398595561401725</v>
      </c>
      <c r="T7414" s="10">
        <v>18.58210354793004</v>
      </c>
      <c r="U7414" s="11">
        <v>0.10369354000076786</v>
      </c>
      <c r="V7414" s="11">
        <v>0.183452909682973</v>
      </c>
      <c r="W7414" s="11">
        <v>0.3648293384967863</v>
      </c>
      <c r="X7414" s="11">
        <v>0.04551863886092416</v>
      </c>
      <c r="Y7414" s="11">
        <v>0.1583668662345141</v>
      </c>
      <c r="Z7414" s="11">
        <v>0.14413870672403464</v>
      </c>
    </row>
    <row r="7415" ht="22.5" customHeight="1">
      <c r="Q7415" s="9" t="s">
        <v>7453</v>
      </c>
      <c r="R7415" s="10">
        <v>0.4994716975243502</v>
      </c>
      <c r="S7415" s="10">
        <v>0.024730560754021826</v>
      </c>
      <c r="T7415" s="10">
        <v>18.579105508136458</v>
      </c>
      <c r="U7415" s="11">
        <v>0.10881525430225555</v>
      </c>
      <c r="V7415" s="11">
        <v>0.22750516447893487</v>
      </c>
      <c r="W7415" s="11">
        <v>0.0233745001785722</v>
      </c>
      <c r="X7415" s="11">
        <v>0.2721077436097907</v>
      </c>
      <c r="Y7415" s="11">
        <v>0.17331593572327883</v>
      </c>
      <c r="Z7415" s="11">
        <v>0.1948814017071679</v>
      </c>
    </row>
    <row r="7416" ht="22.5" customHeight="1">
      <c r="Q7416" s="9" t="s">
        <v>7454</v>
      </c>
      <c r="R7416" s="10">
        <v>0.9581573150378151</v>
      </c>
      <c r="S7416" s="10">
        <v>0.04942111277232351</v>
      </c>
      <c r="T7416" s="10">
        <v>18.578240422623498</v>
      </c>
      <c r="U7416" s="11">
        <v>0.06613619198381805</v>
      </c>
      <c r="V7416" s="11">
        <v>0.23251979312964666</v>
      </c>
      <c r="W7416" s="11">
        <v>0.4015140808494668</v>
      </c>
      <c r="X7416" s="11">
        <v>0.010016122008219249</v>
      </c>
      <c r="Y7416" s="11">
        <v>0.060494330508043065</v>
      </c>
      <c r="Z7416" s="11">
        <v>0.22931948152080614</v>
      </c>
    </row>
    <row r="7417" ht="22.5" customHeight="1">
      <c r="Q7417" s="9" t="s">
        <v>7455</v>
      </c>
      <c r="R7417" s="10">
        <v>0.41717724648881116</v>
      </c>
      <c r="S7417" s="10">
        <v>0.020302903426422807</v>
      </c>
      <c r="T7417" s="10">
        <v>18.577502860893354</v>
      </c>
      <c r="U7417" s="11">
        <v>0.2789805670758448</v>
      </c>
      <c r="V7417" s="11">
        <v>0.1825913992953984</v>
      </c>
      <c r="W7417" s="11">
        <v>0.023169262156428203</v>
      </c>
      <c r="X7417" s="11">
        <v>0.1569354904840145</v>
      </c>
      <c r="Y7417" s="11">
        <v>0.07627273982362683</v>
      </c>
      <c r="Z7417" s="11">
        <v>0.2820505411646872</v>
      </c>
    </row>
    <row r="7418" ht="22.5" customHeight="1">
      <c r="Q7418" s="9" t="s">
        <v>7456</v>
      </c>
      <c r="R7418" s="10">
        <v>0.5748046787650386</v>
      </c>
      <c r="S7418" s="10">
        <v>0.02878997370466244</v>
      </c>
      <c r="T7418" s="10">
        <v>18.576073887779508</v>
      </c>
      <c r="U7418" s="11">
        <v>0.2553937779876454</v>
      </c>
      <c r="V7418" s="11">
        <v>0.06596754954861614</v>
      </c>
      <c r="W7418" s="11">
        <v>0.24722255077604202</v>
      </c>
      <c r="X7418" s="11">
        <v>0.24588399510197187</v>
      </c>
      <c r="Y7418" s="11">
        <v>0.12864234968435814</v>
      </c>
      <c r="Z7418" s="11">
        <v>0.056889776901366394</v>
      </c>
    </row>
    <row r="7419" ht="22.5" customHeight="1">
      <c r="Q7419" s="9" t="s">
        <v>7457</v>
      </c>
      <c r="R7419" s="10">
        <v>0.9318635259973623</v>
      </c>
      <c r="S7419" s="10">
        <v>0.04801189808079207</v>
      </c>
      <c r="T7419" s="10">
        <v>18.575885596036592</v>
      </c>
      <c r="U7419" s="11">
        <v>0.08281510872374372</v>
      </c>
      <c r="V7419" s="11">
        <v>0.1921272697490918</v>
      </c>
      <c r="W7419" s="11">
        <v>0.40232121477925126</v>
      </c>
      <c r="X7419" s="11">
        <v>0.12967941935912142</v>
      </c>
      <c r="Y7419" s="11">
        <v>0.13322104603418464</v>
      </c>
      <c r="Z7419" s="11">
        <v>0.0598359413546073</v>
      </c>
    </row>
    <row r="7420" ht="22.5" customHeight="1">
      <c r="Q7420" s="9" t="s">
        <v>7458</v>
      </c>
      <c r="R7420" s="10">
        <v>0.6712182469625217</v>
      </c>
      <c r="S7420" s="10">
        <v>0.03398148667162433</v>
      </c>
      <c r="T7420" s="10">
        <v>18.575357019020885</v>
      </c>
      <c r="U7420" s="11">
        <v>0.06161581807468277</v>
      </c>
      <c r="V7420" s="11">
        <v>0.3177064408860909</v>
      </c>
      <c r="W7420" s="11">
        <v>0.06309867832655934</v>
      </c>
      <c r="X7420" s="11">
        <v>0.24053255350535668</v>
      </c>
      <c r="Y7420" s="11">
        <v>0.15772477292641218</v>
      </c>
      <c r="Z7420" s="11">
        <v>0.15932173628089813</v>
      </c>
    </row>
    <row r="7421" ht="22.5" customHeight="1">
      <c r="Q7421" s="9" t="s">
        <v>7459</v>
      </c>
      <c r="R7421" s="10">
        <v>0.48342056843769854</v>
      </c>
      <c r="S7421" s="10">
        <v>0.02387244443106566</v>
      </c>
      <c r="T7421" s="10">
        <v>18.5745774680982</v>
      </c>
      <c r="U7421" s="11">
        <v>0.21568989477428363</v>
      </c>
      <c r="V7421" s="11">
        <v>0.056810570326743505</v>
      </c>
      <c r="W7421" s="11">
        <v>0.20305124978171926</v>
      </c>
      <c r="X7421" s="11">
        <v>0.18308053929554152</v>
      </c>
      <c r="Y7421" s="11">
        <v>0.08820862301511274</v>
      </c>
      <c r="Z7421" s="11">
        <v>0.2531591228065992</v>
      </c>
    </row>
    <row r="7422" ht="22.5" customHeight="1">
      <c r="Q7422" s="9" t="s">
        <v>7460</v>
      </c>
      <c r="R7422" s="10">
        <v>0.5912733362405121</v>
      </c>
      <c r="S7422" s="10">
        <v>0.029680526587066148</v>
      </c>
      <c r="T7422" s="10">
        <v>18.57356993392226</v>
      </c>
      <c r="U7422" s="11">
        <v>0.12395083245989119</v>
      </c>
      <c r="V7422" s="11">
        <v>0.11461802754280659</v>
      </c>
      <c r="W7422" s="11">
        <v>0.24694308456241945</v>
      </c>
      <c r="X7422" s="11">
        <v>0.06267748233901871</v>
      </c>
      <c r="Y7422" s="11">
        <v>0.03270769842037314</v>
      </c>
      <c r="Z7422" s="11">
        <v>0.41910287467549096</v>
      </c>
    </row>
    <row r="7423" ht="22.5" customHeight="1">
      <c r="Q7423" s="9" t="s">
        <v>7461</v>
      </c>
      <c r="R7423" s="10">
        <v>0.7040481651265246</v>
      </c>
      <c r="S7423" s="10">
        <v>0.03576007787020996</v>
      </c>
      <c r="T7423" s="10">
        <v>18.5695391250731</v>
      </c>
      <c r="U7423" s="11">
        <v>0.11696342828760138</v>
      </c>
      <c r="V7423" s="11">
        <v>0.3344681837418228</v>
      </c>
      <c r="W7423" s="11">
        <v>0.08140480786760151</v>
      </c>
      <c r="X7423" s="11">
        <v>0.20450830268041303</v>
      </c>
      <c r="Y7423" s="11">
        <v>0.022291867528156692</v>
      </c>
      <c r="Z7423" s="11">
        <v>0.2403634098944047</v>
      </c>
    </row>
    <row r="7424" ht="22.5" customHeight="1">
      <c r="Q7424" s="9" t="s">
        <v>7462</v>
      </c>
      <c r="R7424" s="10">
        <v>0.5936126302918612</v>
      </c>
      <c r="S7424" s="10">
        <v>0.029815678106969508</v>
      </c>
      <c r="T7424" s="10">
        <v>18.567836300944382</v>
      </c>
      <c r="U7424" s="11">
        <v>0.2960518367094403</v>
      </c>
      <c r="V7424" s="11">
        <v>0.27544546391535185</v>
      </c>
      <c r="W7424" s="11">
        <v>0.039002405137292716</v>
      </c>
      <c r="X7424" s="11">
        <v>0.28457776329266843</v>
      </c>
      <c r="Y7424" s="11">
        <v>0.05769880513404047</v>
      </c>
      <c r="Z7424" s="11">
        <v>0.047223725811206214</v>
      </c>
    </row>
    <row r="7425" ht="22.5" customHeight="1">
      <c r="Q7425" s="9" t="s">
        <v>7463</v>
      </c>
      <c r="R7425" s="10">
        <v>0.506360453433051</v>
      </c>
      <c r="S7425" s="10">
        <v>0.025117865413144622</v>
      </c>
      <c r="T7425" s="10">
        <v>18.566882406695132</v>
      </c>
      <c r="U7425" s="11">
        <v>0.32097483498573914</v>
      </c>
      <c r="V7425" s="11">
        <v>0.22032327176269403</v>
      </c>
      <c r="W7425" s="11">
        <v>0.04360574856974443</v>
      </c>
      <c r="X7425" s="11">
        <v>0.04902204292436147</v>
      </c>
      <c r="Y7425" s="11">
        <v>0.3190830402553758</v>
      </c>
      <c r="Z7425" s="11">
        <v>0.04699106150208516</v>
      </c>
    </row>
    <row r="7426" ht="22.5" customHeight="1">
      <c r="Q7426" s="9" t="s">
        <v>7464</v>
      </c>
      <c r="R7426" s="10">
        <v>0.47776798905621587</v>
      </c>
      <c r="S7426" s="10">
        <v>0.02357796214740568</v>
      </c>
      <c r="T7426" s="10">
        <v>18.566828902318186</v>
      </c>
      <c r="U7426" s="11">
        <v>0.06914815186691997</v>
      </c>
      <c r="V7426" s="11">
        <v>0.045620209728709456</v>
      </c>
      <c r="W7426" s="11">
        <v>0.1982552351664717</v>
      </c>
      <c r="X7426" s="11">
        <v>0.24691444250959269</v>
      </c>
      <c r="Y7426" s="11">
        <v>0.24951480347784172</v>
      </c>
      <c r="Z7426" s="11">
        <v>0.19054715725046445</v>
      </c>
    </row>
    <row r="7427" ht="22.5" customHeight="1">
      <c r="Q7427" s="9" t="s">
        <v>7465</v>
      </c>
      <c r="R7427" s="10">
        <v>0.4048823978271008</v>
      </c>
      <c r="S7427" s="10">
        <v>0.019652448189059278</v>
      </c>
      <c r="T7427" s="10">
        <v>18.566765540704218</v>
      </c>
      <c r="U7427" s="11">
        <v>0.28494313231526697</v>
      </c>
      <c r="V7427" s="11">
        <v>0.034477926563995676</v>
      </c>
      <c r="W7427" s="11">
        <v>0.15569409047429342</v>
      </c>
      <c r="X7427" s="11">
        <v>0.14371284988050168</v>
      </c>
      <c r="Y7427" s="11">
        <v>0.28571499094804426</v>
      </c>
      <c r="Z7427" s="11">
        <v>0.09545700981789784</v>
      </c>
    </row>
    <row r="7428" ht="22.5" customHeight="1">
      <c r="Q7428" s="9" t="s">
        <v>7466</v>
      </c>
      <c r="R7428" s="10">
        <v>0.5029514346610009</v>
      </c>
      <c r="S7428" s="10">
        <v>0.024936663510220596</v>
      </c>
      <c r="T7428" s="10">
        <v>18.565091295042524</v>
      </c>
      <c r="U7428" s="11">
        <v>0.10413716687915839</v>
      </c>
      <c r="V7428" s="11">
        <v>0.0619539963592461</v>
      </c>
      <c r="W7428" s="11">
        <v>0.2125513019430694</v>
      </c>
      <c r="X7428" s="11">
        <v>0.19073597356677402</v>
      </c>
      <c r="Y7428" s="11">
        <v>0.1499889717635555</v>
      </c>
      <c r="Z7428" s="11">
        <v>0.2806325894881966</v>
      </c>
    </row>
    <row r="7429" ht="22.5" customHeight="1">
      <c r="Q7429" s="9" t="s">
        <v>7467</v>
      </c>
      <c r="R7429" s="10">
        <v>0.6317924665863452</v>
      </c>
      <c r="S7429" s="10">
        <v>0.031877071983531784</v>
      </c>
      <c r="T7429" s="10">
        <v>18.56483139016265</v>
      </c>
      <c r="U7429" s="11">
        <v>0.001874843319762927</v>
      </c>
      <c r="V7429" s="11">
        <v>0.29596064366524427</v>
      </c>
      <c r="W7429" s="11">
        <v>0.05260130018234439</v>
      </c>
      <c r="X7429" s="11">
        <v>0.24386403880294333</v>
      </c>
      <c r="Y7429" s="11">
        <v>0.2545709027488039</v>
      </c>
      <c r="Z7429" s="11">
        <v>0.15112827128090117</v>
      </c>
    </row>
    <row r="7430" ht="22.5" customHeight="1">
      <c r="Q7430" s="9" t="s">
        <v>7468</v>
      </c>
      <c r="R7430" s="10">
        <v>0.7413898548110481</v>
      </c>
      <c r="S7430" s="10">
        <v>0.037781688522230274</v>
      </c>
      <c r="T7430" s="10">
        <v>18.564280270278527</v>
      </c>
      <c r="U7430" s="11">
        <v>0.11742834168755127</v>
      </c>
      <c r="V7430" s="11">
        <v>0.15743332613537878</v>
      </c>
      <c r="W7430" s="11">
        <v>0.31390730691859486</v>
      </c>
      <c r="X7430" s="11">
        <v>0.049815064015982506</v>
      </c>
      <c r="Y7430" s="11">
        <v>0.042498627327274684</v>
      </c>
      <c r="Z7430" s="11">
        <v>0.31891733391521787</v>
      </c>
    </row>
    <row r="7431" ht="22.5" customHeight="1">
      <c r="Q7431" s="9" t="s">
        <v>7469</v>
      </c>
      <c r="R7431" s="10">
        <v>0.5797783831243191</v>
      </c>
      <c r="S7431" s="10">
        <v>0.029077388952457824</v>
      </c>
      <c r="T7431" s="10">
        <v>18.563509399240374</v>
      </c>
      <c r="U7431" s="11">
        <v>0.22892251288074283</v>
      </c>
      <c r="V7431" s="11">
        <v>0.26642297328287584</v>
      </c>
      <c r="W7431" s="11">
        <v>0.06080403420232127</v>
      </c>
      <c r="X7431" s="11">
        <v>0.05853312238436089</v>
      </c>
      <c r="Y7431" s="11">
        <v>0.21269091143644223</v>
      </c>
      <c r="Z7431" s="11">
        <v>0.17262644581325698</v>
      </c>
    </row>
    <row r="7432" ht="22.5" customHeight="1">
      <c r="Q7432" s="9" t="s">
        <v>7470</v>
      </c>
      <c r="R7432" s="10">
        <v>0.46689081236286323</v>
      </c>
      <c r="S7432" s="10">
        <v>0.022997825481088897</v>
      </c>
      <c r="T7432" s="10">
        <v>18.562225055316443</v>
      </c>
      <c r="U7432" s="11">
        <v>0.2603795563101193</v>
      </c>
      <c r="V7432" s="11">
        <v>0.2078686844991602</v>
      </c>
      <c r="W7432" s="11">
        <v>0.035363261514302066</v>
      </c>
      <c r="X7432" s="11">
        <v>0.0876927734587966</v>
      </c>
      <c r="Y7432" s="11">
        <v>0.18759799495094895</v>
      </c>
      <c r="Z7432" s="11">
        <v>0.22109772926667284</v>
      </c>
    </row>
    <row r="7433" ht="22.5" customHeight="1">
      <c r="Q7433" s="9" t="s">
        <v>7471</v>
      </c>
      <c r="R7433" s="10">
        <v>0.5022688211295734</v>
      </c>
      <c r="S7433" s="10">
        <v>0.024905380887307992</v>
      </c>
      <c r="T7433" s="10">
        <v>18.561001866273397</v>
      </c>
      <c r="U7433" s="11">
        <v>0.2291845047141778</v>
      </c>
      <c r="V7433" s="11">
        <v>0.06239616842411329</v>
      </c>
      <c r="W7433" s="11">
        <v>0.21134302785380976</v>
      </c>
      <c r="X7433" s="11">
        <v>0.14977232926999734</v>
      </c>
      <c r="Y7433" s="11">
        <v>0.13525764373036192</v>
      </c>
      <c r="Z7433" s="11">
        <v>0.2120463260075399</v>
      </c>
    </row>
    <row r="7434" ht="22.5" customHeight="1">
      <c r="Q7434" s="9" t="s">
        <v>7472</v>
      </c>
      <c r="R7434" s="10">
        <v>0.31041474225172866</v>
      </c>
      <c r="S7434" s="10">
        <v>0.014569349978740691</v>
      </c>
      <c r="T7434" s="10">
        <v>18.560522099222858</v>
      </c>
      <c r="U7434" s="11">
        <v>0.20481769094627617</v>
      </c>
      <c r="V7434" s="11">
        <v>0.005794656599501301</v>
      </c>
      <c r="W7434" s="11">
        <v>0.09986712501537669</v>
      </c>
      <c r="X7434" s="11">
        <v>0.29062688638221856</v>
      </c>
      <c r="Y7434" s="11">
        <v>0.30048816719654886</v>
      </c>
      <c r="Z7434" s="11">
        <v>0.09840547386007843</v>
      </c>
    </row>
    <row r="7435" ht="22.5" customHeight="1">
      <c r="Q7435" s="9" t="s">
        <v>7473</v>
      </c>
      <c r="R7435" s="10">
        <v>0.5675626038089988</v>
      </c>
      <c r="S7435" s="10">
        <v>0.028424649137220016</v>
      </c>
      <c r="T7435" s="10">
        <v>18.560039255443044</v>
      </c>
      <c r="U7435" s="11">
        <v>0.21147964367798272</v>
      </c>
      <c r="V7435" s="11">
        <v>0.10523307669740105</v>
      </c>
      <c r="W7435" s="11">
        <v>0.23511828332847529</v>
      </c>
      <c r="X7435" s="11">
        <v>0.010944032514845282</v>
      </c>
      <c r="Y7435" s="11">
        <v>0.11975868620938018</v>
      </c>
      <c r="Z7435" s="11">
        <v>0.31746627757191537</v>
      </c>
    </row>
    <row r="7436" ht="22.5" customHeight="1">
      <c r="Q7436" s="9" t="s">
        <v>7474</v>
      </c>
      <c r="R7436" s="10">
        <v>0.6592082716290226</v>
      </c>
      <c r="S7436" s="10">
        <v>0.03336578019244412</v>
      </c>
      <c r="T7436" s="10">
        <v>18.55818350590363</v>
      </c>
      <c r="U7436" s="11">
        <v>0.279363528036138</v>
      </c>
      <c r="V7436" s="11">
        <v>0.11474610883258303</v>
      </c>
      <c r="W7436" s="11">
        <v>0.2815962831681692</v>
      </c>
      <c r="X7436" s="11">
        <v>0.07457537372673204</v>
      </c>
      <c r="Y7436" s="11">
        <v>0.10378410075753898</v>
      </c>
      <c r="Z7436" s="11">
        <v>0.14593460547883874</v>
      </c>
    </row>
    <row r="7437" ht="22.5" customHeight="1">
      <c r="Q7437" s="9" t="s">
        <v>7475</v>
      </c>
      <c r="R7437" s="10">
        <v>0.3030422055916394</v>
      </c>
      <c r="S7437" s="10">
        <v>0.01417451799324236</v>
      </c>
      <c r="T7437" s="10">
        <v>18.55740037982552</v>
      </c>
      <c r="U7437" s="11">
        <v>0.37618561812653</v>
      </c>
      <c r="V7437" s="11">
        <v>0.09976156393695965</v>
      </c>
      <c r="W7437" s="11">
        <v>0.03221529815927056</v>
      </c>
      <c r="X7437" s="11">
        <v>0.00321076998382998</v>
      </c>
      <c r="Y7437" s="11">
        <v>0.2007507165785074</v>
      </c>
      <c r="Z7437" s="11">
        <v>0.2878760332149025</v>
      </c>
    </row>
    <row r="7438" ht="22.5" customHeight="1">
      <c r="Q7438" s="9" t="s">
        <v>7476</v>
      </c>
      <c r="R7438" s="10">
        <v>0.505923308329166</v>
      </c>
      <c r="S7438" s="10">
        <v>0.02510757455176228</v>
      </c>
      <c r="T7438" s="10">
        <v>18.557081544002155</v>
      </c>
      <c r="U7438" s="11">
        <v>0.18254342333134418</v>
      </c>
      <c r="V7438" s="11">
        <v>0.05075310546209836</v>
      </c>
      <c r="W7438" s="11">
        <v>0.21514557940036538</v>
      </c>
      <c r="X7438" s="11">
        <v>0.26282219414673225</v>
      </c>
      <c r="Y7438" s="11">
        <v>0.11520810419470877</v>
      </c>
      <c r="Z7438" s="11">
        <v>0.17352759346475116</v>
      </c>
    </row>
    <row r="7439" ht="22.5" customHeight="1">
      <c r="Q7439" s="9" t="s">
        <v>7477</v>
      </c>
      <c r="R7439" s="10">
        <v>0.42660217288038843</v>
      </c>
      <c r="S7439" s="10">
        <v>0.020834053892506005</v>
      </c>
      <c r="T7439" s="10">
        <v>18.556262495771357</v>
      </c>
      <c r="U7439" s="11">
        <v>0.29697164435661744</v>
      </c>
      <c r="V7439" s="11">
        <v>0.17884673072075594</v>
      </c>
      <c r="W7439" s="11">
        <v>0.01608719061263589</v>
      </c>
      <c r="X7439" s="11">
        <v>0.16259369130737222</v>
      </c>
      <c r="Y7439" s="11">
        <v>0.2977954608757362</v>
      </c>
      <c r="Z7439" s="11">
        <v>0.04770528212688208</v>
      </c>
    </row>
    <row r="7440" ht="22.5" customHeight="1">
      <c r="Q7440" s="9" t="s">
        <v>7478</v>
      </c>
      <c r="R7440" s="10">
        <v>0.5452332273294502</v>
      </c>
      <c r="S7440" s="10">
        <v>0.027227507455632682</v>
      </c>
      <c r="T7440" s="10">
        <v>18.55598527161289</v>
      </c>
      <c r="U7440" s="11">
        <v>0.20864829754849146</v>
      </c>
      <c r="V7440" s="11">
        <v>0.2517360402253537</v>
      </c>
      <c r="W7440" s="11">
        <v>0.03680817421551066</v>
      </c>
      <c r="X7440" s="11">
        <v>0.1981744375454486</v>
      </c>
      <c r="Y7440" s="11">
        <v>0.16361233848501663</v>
      </c>
      <c r="Z7440" s="11">
        <v>0.14102071198017888</v>
      </c>
    </row>
    <row r="7441" ht="22.5" customHeight="1">
      <c r="Q7441" s="9" t="s">
        <v>7479</v>
      </c>
      <c r="R7441" s="10">
        <v>0.6655908278665487</v>
      </c>
      <c r="S7441" s="10">
        <v>0.03371384497851129</v>
      </c>
      <c r="T7441" s="10">
        <v>18.555902723800592</v>
      </c>
      <c r="U7441" s="11">
        <v>0.11459257386842613</v>
      </c>
      <c r="V7441" s="11">
        <v>0.3095878135150015</v>
      </c>
      <c r="W7441" s="11">
        <v>0.09712647591813295</v>
      </c>
      <c r="X7441" s="11">
        <v>0.011537780310551029</v>
      </c>
      <c r="Y7441" s="11">
        <v>0.13154997226402457</v>
      </c>
      <c r="Z7441" s="11">
        <v>0.3356053841238638</v>
      </c>
    </row>
    <row r="7442" ht="22.5" customHeight="1">
      <c r="Q7442" s="9" t="s">
        <v>7480</v>
      </c>
      <c r="R7442" s="10">
        <v>0.27903238493387983</v>
      </c>
      <c r="S7442" s="10">
        <v>0.012882093062667101</v>
      </c>
      <c r="T7442" s="10">
        <v>18.555399636617025</v>
      </c>
      <c r="U7442" s="11">
        <v>0.3949761225348646</v>
      </c>
      <c r="V7442" s="11">
        <v>0.03693872569008793</v>
      </c>
      <c r="W7442" s="11">
        <v>0.07622742577710462</v>
      </c>
      <c r="X7442" s="11">
        <v>0.047098616871927734</v>
      </c>
      <c r="Y7442" s="11">
        <v>0.164712680984942</v>
      </c>
      <c r="Z7442" s="11">
        <v>0.2800464281410732</v>
      </c>
    </row>
    <row r="7443" ht="22.5" customHeight="1">
      <c r="Q7443" s="9" t="s">
        <v>7481</v>
      </c>
      <c r="R7443" s="10">
        <v>0.38651981289908616</v>
      </c>
      <c r="S7443" s="10">
        <v>0.018675050993440457</v>
      </c>
      <c r="T7443" s="10">
        <v>18.55522713275589</v>
      </c>
      <c r="U7443" s="11">
        <v>0.056159340525294046</v>
      </c>
      <c r="V7443" s="11">
        <v>0.01874721942320573</v>
      </c>
      <c r="W7443" s="11">
        <v>0.14346657976835775</v>
      </c>
      <c r="X7443" s="11">
        <v>0.3147259097312149</v>
      </c>
      <c r="Y7443" s="11">
        <v>0.3511297487627685</v>
      </c>
      <c r="Z7443" s="11">
        <v>0.115771201789159</v>
      </c>
    </row>
    <row r="7444" ht="22.5" customHeight="1">
      <c r="Q7444" s="9" t="s">
        <v>7482</v>
      </c>
      <c r="R7444" s="10">
        <v>0.7192224136657716</v>
      </c>
      <c r="S7444" s="10">
        <v>0.03660974569666817</v>
      </c>
      <c r="T7444" s="10">
        <v>18.55304921518718</v>
      </c>
      <c r="U7444" s="11">
        <v>0.03358725122882233</v>
      </c>
      <c r="V7444" s="11">
        <v>0.10781357006755189</v>
      </c>
      <c r="W7444" s="11">
        <v>0.3130378522175268</v>
      </c>
      <c r="X7444" s="11">
        <v>0.24866030104926573</v>
      </c>
      <c r="Y7444" s="11">
        <v>0.2419539199872902</v>
      </c>
      <c r="Z7444" s="11">
        <v>0.054947105449543045</v>
      </c>
    </row>
    <row r="7445" ht="22.5" customHeight="1">
      <c r="Q7445" s="9" t="s">
        <v>7483</v>
      </c>
      <c r="R7445" s="10">
        <v>0.28622890007062446</v>
      </c>
      <c r="S7445" s="10">
        <v>0.013271981692232536</v>
      </c>
      <c r="T7445" s="10">
        <v>18.552534638797052</v>
      </c>
      <c r="U7445" s="11">
        <v>0.1462942943493532</v>
      </c>
      <c r="V7445" s="11">
        <v>0.010302723817086908</v>
      </c>
      <c r="W7445" s="11">
        <v>0.09618281300405701</v>
      </c>
      <c r="X7445" s="11">
        <v>0.25551332380673003</v>
      </c>
      <c r="Y7445" s="11">
        <v>0.15047075556444667</v>
      </c>
      <c r="Z7445" s="11">
        <v>0.34123608945832606</v>
      </c>
    </row>
    <row r="7446" ht="22.5" customHeight="1">
      <c r="Q7446" s="9" t="s">
        <v>7484</v>
      </c>
      <c r="R7446" s="10">
        <v>0.5088441085505839</v>
      </c>
      <c r="S7446" s="10">
        <v>0.025271193451593375</v>
      </c>
      <c r="T7446" s="10">
        <v>18.552511556236883</v>
      </c>
      <c r="U7446" s="11">
        <v>0.048607971219985065</v>
      </c>
      <c r="V7446" s="11">
        <v>0.040682709995254016</v>
      </c>
      <c r="W7446" s="11">
        <v>0.21065331284163855</v>
      </c>
      <c r="X7446" s="11">
        <v>0.34451804450242096</v>
      </c>
      <c r="Y7446" s="11">
        <v>0.3005699750650382</v>
      </c>
      <c r="Z7446" s="11">
        <v>0.05496798637566327</v>
      </c>
    </row>
    <row r="7447" ht="22.5" customHeight="1">
      <c r="Q7447" s="9" t="s">
        <v>7485</v>
      </c>
      <c r="R7447" s="10">
        <v>0.5820065971716724</v>
      </c>
      <c r="S7447" s="10">
        <v>0.029214889348140163</v>
      </c>
      <c r="T7447" s="10">
        <v>18.552409722071282</v>
      </c>
      <c r="U7447" s="11">
        <v>0.15280570143159722</v>
      </c>
      <c r="V7447" s="11">
        <v>0.07825345129651662</v>
      </c>
      <c r="W7447" s="11">
        <v>0.24960560415798447</v>
      </c>
      <c r="X7447" s="11">
        <v>0.17594998277734336</v>
      </c>
      <c r="Y7447" s="11">
        <v>0.19623671067275403</v>
      </c>
      <c r="Z7447" s="11">
        <v>0.14714854966380428</v>
      </c>
    </row>
    <row r="7448" ht="22.5" customHeight="1">
      <c r="Q7448" s="9" t="s">
        <v>7486</v>
      </c>
      <c r="R7448" s="10">
        <v>0.3928105634844365</v>
      </c>
      <c r="S7448" s="10">
        <v>0.01901745912327733</v>
      </c>
      <c r="T7448" s="10">
        <v>18.55192963462701</v>
      </c>
      <c r="U7448" s="11">
        <v>0.13217125907876728</v>
      </c>
      <c r="V7448" s="11">
        <v>0.03319072010152329</v>
      </c>
      <c r="W7448" s="11">
        <v>0.1455217588808469</v>
      </c>
      <c r="X7448" s="11">
        <v>0.168047105285597</v>
      </c>
      <c r="Y7448" s="11">
        <v>0.3906554119944063</v>
      </c>
      <c r="Z7448" s="11">
        <v>0.13041374465885927</v>
      </c>
    </row>
    <row r="7449" ht="22.5" customHeight="1">
      <c r="Q7449" s="9" t="s">
        <v>7487</v>
      </c>
      <c r="R7449" s="10">
        <v>0.6376141758020819</v>
      </c>
      <c r="S7449" s="10">
        <v>0.032213233982482214</v>
      </c>
      <c r="T7449" s="10">
        <v>18.55182178005067</v>
      </c>
      <c r="U7449" s="11">
        <v>0.1572077391386905</v>
      </c>
      <c r="V7449" s="11">
        <v>0.30116928696559114</v>
      </c>
      <c r="W7449" s="11">
        <v>0.06757055796811424</v>
      </c>
      <c r="X7449" s="11">
        <v>0.16808478122189202</v>
      </c>
      <c r="Y7449" s="11">
        <v>0.0570606154028122</v>
      </c>
      <c r="Z7449" s="11">
        <v>0.2489070193028999</v>
      </c>
    </row>
    <row r="7450" ht="22.5" customHeight="1">
      <c r="Q7450" s="9" t="s">
        <v>7488</v>
      </c>
      <c r="R7450" s="10">
        <v>0.770574763241794</v>
      </c>
      <c r="S7450" s="10">
        <v>0.03938165572022578</v>
      </c>
      <c r="T7450" s="10">
        <v>18.551143924265798</v>
      </c>
      <c r="U7450" s="11">
        <v>0.105140072581945</v>
      </c>
      <c r="V7450" s="11">
        <v>0.17375106114761774</v>
      </c>
      <c r="W7450" s="11">
        <v>0.32389808781464663</v>
      </c>
      <c r="X7450" s="11">
        <v>0.026775139638455264</v>
      </c>
      <c r="Y7450" s="11">
        <v>0.016839308879527688</v>
      </c>
      <c r="Z7450" s="11">
        <v>0.35359632993780776</v>
      </c>
    </row>
    <row r="7451" ht="22.5" customHeight="1">
      <c r="Q7451" s="9" t="s">
        <v>7489</v>
      </c>
      <c r="R7451" s="10">
        <v>0.566000987728332</v>
      </c>
      <c r="S7451" s="10">
        <v>0.02835500186204952</v>
      </c>
      <c r="T7451" s="10">
        <v>18.550553806604906</v>
      </c>
      <c r="U7451" s="11">
        <v>0.0976220478725874</v>
      </c>
      <c r="V7451" s="11">
        <v>0.08255344595858452</v>
      </c>
      <c r="W7451" s="11">
        <v>0.23967673672559348</v>
      </c>
      <c r="X7451" s="11">
        <v>0.1265766904386274</v>
      </c>
      <c r="Y7451" s="11">
        <v>0.2403248807327686</v>
      </c>
      <c r="Z7451" s="11">
        <v>0.2132461982718387</v>
      </c>
    </row>
    <row r="7452" ht="22.5" customHeight="1">
      <c r="Q7452" s="9" t="s">
        <v>7490</v>
      </c>
      <c r="R7452" s="10">
        <v>0.5749225683751655</v>
      </c>
      <c r="S7452" s="10">
        <v>0.028836959851691834</v>
      </c>
      <c r="T7452" s="10">
        <v>18.549894688145574</v>
      </c>
      <c r="U7452" s="11">
        <v>0.26045552603032607</v>
      </c>
      <c r="V7452" s="11">
        <v>0.06859079901288785</v>
      </c>
      <c r="W7452" s="11">
        <v>0.24853494416043434</v>
      </c>
      <c r="X7452" s="11">
        <v>0.2604139187159758</v>
      </c>
      <c r="Y7452" s="11">
        <v>0.044008580061509595</v>
      </c>
      <c r="Z7452" s="11">
        <v>0.11799623201886637</v>
      </c>
    </row>
    <row r="7453" ht="22.5" customHeight="1">
      <c r="Q7453" s="9" t="s">
        <v>7491</v>
      </c>
      <c r="R7453" s="10">
        <v>0.2142345382391386</v>
      </c>
      <c r="S7453" s="10">
        <v>0.009392784106888106</v>
      </c>
      <c r="T7453" s="10">
        <v>18.549828917217997</v>
      </c>
      <c r="U7453" s="11">
        <v>0.3054051879969254</v>
      </c>
      <c r="V7453" s="11">
        <v>0.014781472020392324</v>
      </c>
      <c r="W7453" s="11">
        <v>0.02912103724555106</v>
      </c>
      <c r="X7453" s="11">
        <v>0.28429050962536756</v>
      </c>
      <c r="Y7453" s="11">
        <v>0.10741822863509413</v>
      </c>
      <c r="Z7453" s="11">
        <v>0.2589835644766696</v>
      </c>
    </row>
    <row r="7454" ht="22.5" customHeight="1">
      <c r="Q7454" s="9" t="s">
        <v>7492</v>
      </c>
      <c r="R7454" s="10">
        <v>0.44812227890150313</v>
      </c>
      <c r="S7454" s="10">
        <v>0.022002084916969387</v>
      </c>
      <c r="T7454" s="10">
        <v>18.5492547838834</v>
      </c>
      <c r="U7454" s="11">
        <v>0.24643617856229721</v>
      </c>
      <c r="V7454" s="11">
        <v>0.04419743935943655</v>
      </c>
      <c r="W7454" s="11">
        <v>0.18585674805415933</v>
      </c>
      <c r="X7454" s="11">
        <v>0.20054784271858114</v>
      </c>
      <c r="Y7454" s="11">
        <v>0.09413047077804562</v>
      </c>
      <c r="Z7454" s="11">
        <v>0.22883132052748015</v>
      </c>
    </row>
    <row r="7455" ht="22.5" customHeight="1">
      <c r="Q7455" s="9" t="s">
        <v>7493</v>
      </c>
      <c r="R7455" s="10">
        <v>0.6319884362734796</v>
      </c>
      <c r="S7455" s="10">
        <v>0.03191487492314283</v>
      </c>
      <c r="T7455" s="10">
        <v>18.54898186814461</v>
      </c>
      <c r="U7455" s="11">
        <v>0.1855319631992796</v>
      </c>
      <c r="V7455" s="11">
        <v>0.11497789202359698</v>
      </c>
      <c r="W7455" s="11">
        <v>0.26494319306404696</v>
      </c>
      <c r="X7455" s="11">
        <v>0.015371491682012172</v>
      </c>
      <c r="Y7455" s="11">
        <v>0.23187961362161766</v>
      </c>
      <c r="Z7455" s="11">
        <v>0.18729584640944671</v>
      </c>
    </row>
    <row r="7456" ht="22.5" customHeight="1">
      <c r="Q7456" s="9" t="s">
        <v>7494</v>
      </c>
      <c r="R7456" s="10">
        <v>0.5092063042508874</v>
      </c>
      <c r="S7456" s="10">
        <v>0.025301950947129268</v>
      </c>
      <c r="T7456" s="10">
        <v>18.544273729379082</v>
      </c>
      <c r="U7456" s="11">
        <v>0.2907475094767505</v>
      </c>
      <c r="V7456" s="11">
        <v>0.22659506315570038</v>
      </c>
      <c r="W7456" s="11">
        <v>0.030404794196858764</v>
      </c>
      <c r="X7456" s="11">
        <v>0.15185377637419709</v>
      </c>
      <c r="Y7456" s="11">
        <v>0.27277269493369743</v>
      </c>
      <c r="Z7456" s="11">
        <v>0.02762616186279583</v>
      </c>
    </row>
    <row r="7457" ht="22.5" customHeight="1">
      <c r="Q7457" s="9" t="s">
        <v>7495</v>
      </c>
      <c r="R7457" s="10">
        <v>0.7174652790647397</v>
      </c>
      <c r="S7457" s="10">
        <v>0.03653249169762072</v>
      </c>
      <c r="T7457" s="10">
        <v>18.54418484980759</v>
      </c>
      <c r="U7457" s="11">
        <v>0.18028850574997454</v>
      </c>
      <c r="V7457" s="11">
        <v>0.11253515336365463</v>
      </c>
      <c r="W7457" s="11">
        <v>0.31285319228639696</v>
      </c>
      <c r="X7457" s="11">
        <v>0.18590755187400862</v>
      </c>
      <c r="Y7457" s="11">
        <v>0.16479312216169445</v>
      </c>
      <c r="Z7457" s="11">
        <v>0.04362247456427078</v>
      </c>
    </row>
    <row r="7458" ht="22.5" customHeight="1">
      <c r="Q7458" s="9" t="s">
        <v>7496</v>
      </c>
      <c r="R7458" s="10">
        <v>0.5876868691164929</v>
      </c>
      <c r="S7458" s="10">
        <v>0.029534281862813268</v>
      </c>
      <c r="T7458" s="10">
        <v>18.544106528829726</v>
      </c>
      <c r="U7458" s="11">
        <v>0.2892360928914411</v>
      </c>
      <c r="V7458" s="11">
        <v>0.1015729816280722</v>
      </c>
      <c r="W7458" s="11">
        <v>0.24338444270519785</v>
      </c>
      <c r="X7458" s="11">
        <v>0.0010815541478711192</v>
      </c>
      <c r="Y7458" s="11">
        <v>0.22203171129035512</v>
      </c>
      <c r="Z7458" s="11">
        <v>0.14269321733706267</v>
      </c>
    </row>
    <row r="7459" ht="22.5" customHeight="1">
      <c r="Q7459" s="9" t="s">
        <v>7497</v>
      </c>
      <c r="R7459" s="10">
        <v>0.6456938137530378</v>
      </c>
      <c r="S7459" s="10">
        <v>0.0326635046474675</v>
      </c>
      <c r="T7459" s="10">
        <v>18.54344230021254</v>
      </c>
      <c r="U7459" s="11">
        <v>0.015793611554812976</v>
      </c>
      <c r="V7459" s="11">
        <v>0.09367326778389577</v>
      </c>
      <c r="W7459" s="11">
        <v>0.28045760234979356</v>
      </c>
      <c r="X7459" s="11">
        <v>0.2437125234821478</v>
      </c>
      <c r="Y7459" s="11">
        <v>0.17234402901317944</v>
      </c>
      <c r="Z7459" s="11">
        <v>0.19401896581617048</v>
      </c>
    </row>
    <row r="7460" ht="22.5" customHeight="1">
      <c r="Q7460" s="9" t="s">
        <v>7498</v>
      </c>
      <c r="R7460" s="10">
        <v>0.590669743699253</v>
      </c>
      <c r="S7460" s="10">
        <v>0.02969752344826695</v>
      </c>
      <c r="T7460" s="10">
        <v>18.542614998133395</v>
      </c>
      <c r="U7460" s="11">
        <v>0.2217286943589998</v>
      </c>
      <c r="V7460" s="11">
        <v>0.27612678700495674</v>
      </c>
      <c r="W7460" s="11">
        <v>0.039916182209512485</v>
      </c>
      <c r="X7460" s="11">
        <v>0.2953350200980148</v>
      </c>
      <c r="Y7460" s="11">
        <v>0.04137989560023437</v>
      </c>
      <c r="Z7460" s="11">
        <v>0.12551342072828178</v>
      </c>
    </row>
    <row r="7461" ht="22.5" customHeight="1">
      <c r="Q7461" s="9" t="s">
        <v>7499</v>
      </c>
      <c r="R7461" s="10">
        <v>0.7749121325346774</v>
      </c>
      <c r="S7461" s="10">
        <v>0.03963454286464206</v>
      </c>
      <c r="T7461" s="10">
        <v>18.54221291373318</v>
      </c>
      <c r="U7461" s="11">
        <v>0.2291984709841875</v>
      </c>
      <c r="V7461" s="11">
        <v>0.36260764460226674</v>
      </c>
      <c r="W7461" s="11">
        <v>0.12084421054009674</v>
      </c>
      <c r="X7461" s="11">
        <v>0.007388020297448039</v>
      </c>
      <c r="Y7461" s="11">
        <v>0.06956369589243469</v>
      </c>
      <c r="Z7461" s="11">
        <v>0.2103979576835663</v>
      </c>
    </row>
    <row r="7462" ht="22.5" customHeight="1">
      <c r="Q7462" s="9" t="s">
        <v>7500</v>
      </c>
      <c r="R7462" s="10">
        <v>0.3437025560444568</v>
      </c>
      <c r="S7462" s="10">
        <v>0.01637985867672425</v>
      </c>
      <c r="T7462" s="10">
        <v>18.54121955740788</v>
      </c>
      <c r="U7462" s="11">
        <v>0.23141842630193207</v>
      </c>
      <c r="V7462" s="11">
        <v>0.025674944672913914</v>
      </c>
      <c r="W7462" s="11">
        <v>0.12661127024254976</v>
      </c>
      <c r="X7462" s="11">
        <v>0.14400240425276375</v>
      </c>
      <c r="Y7462" s="11">
        <v>0.232984241828585</v>
      </c>
      <c r="Z7462" s="11">
        <v>0.2393087127012555</v>
      </c>
    </row>
    <row r="7463" ht="22.5" customHeight="1">
      <c r="Q7463" s="9" t="s">
        <v>7501</v>
      </c>
      <c r="R7463" s="10">
        <v>0.7237522409247822</v>
      </c>
      <c r="S7463" s="10">
        <v>0.036877568924629164</v>
      </c>
      <c r="T7463" s="10">
        <v>18.54114196958708</v>
      </c>
      <c r="U7463" s="11">
        <v>0.0932517975647791</v>
      </c>
      <c r="V7463" s="11">
        <v>0.10495798485742704</v>
      </c>
      <c r="W7463" s="11">
        <v>0.318425338374445</v>
      </c>
      <c r="X7463" s="11">
        <v>0.3056352740721515</v>
      </c>
      <c r="Y7463" s="11">
        <v>0.10655460116020458</v>
      </c>
      <c r="Z7463" s="11">
        <v>0.07117500397099268</v>
      </c>
    </row>
    <row r="7464" ht="22.5" customHeight="1">
      <c r="Q7464" s="9" t="s">
        <v>7502</v>
      </c>
      <c r="R7464" s="10">
        <v>0.700966036089883</v>
      </c>
      <c r="S7464" s="10">
        <v>0.03565321750078058</v>
      </c>
      <c r="T7464" s="10">
        <v>18.538748601733126</v>
      </c>
      <c r="U7464" s="11">
        <v>0.35678590883671907</v>
      </c>
      <c r="V7464" s="11">
        <v>0.13248664585865688</v>
      </c>
      <c r="W7464" s="11">
        <v>0.29817084682424194</v>
      </c>
      <c r="X7464" s="11">
        <v>0.041759273510228206</v>
      </c>
      <c r="Y7464" s="11">
        <v>0.0455216084287423</v>
      </c>
      <c r="Z7464" s="11">
        <v>0.12527571654141167</v>
      </c>
    </row>
    <row r="7465" ht="22.5" customHeight="1">
      <c r="Q7465" s="9" t="s">
        <v>7503</v>
      </c>
      <c r="R7465" s="10">
        <v>0.36849885959373074</v>
      </c>
      <c r="S7465" s="10">
        <v>0.01772096969643795</v>
      </c>
      <c r="T7465" s="10">
        <v>18.537295939271402</v>
      </c>
      <c r="U7465" s="11">
        <v>0.1275007022336563</v>
      </c>
      <c r="V7465" s="11">
        <v>0.02988136465984242</v>
      </c>
      <c r="W7465" s="11">
        <v>0.14400637371071534</v>
      </c>
      <c r="X7465" s="11">
        <v>0.18914263546277188</v>
      </c>
      <c r="Y7465" s="11">
        <v>0.17921795680339722</v>
      </c>
      <c r="Z7465" s="11">
        <v>0.3302509671296168</v>
      </c>
    </row>
    <row r="7466" ht="22.5" customHeight="1">
      <c r="Q7466" s="9" t="s">
        <v>7504</v>
      </c>
      <c r="R7466" s="10">
        <v>0.6397579724521859</v>
      </c>
      <c r="S7466" s="10">
        <v>0.032354425248791195</v>
      </c>
      <c r="T7466" s="10">
        <v>18.53712337154231</v>
      </c>
      <c r="U7466" s="11">
        <v>0.02941618132817692</v>
      </c>
      <c r="V7466" s="11">
        <v>0.3028003896735072</v>
      </c>
      <c r="W7466" s="11">
        <v>0.054736280664377863</v>
      </c>
      <c r="X7466" s="11">
        <v>0.2601328754988079</v>
      </c>
      <c r="Y7466" s="11">
        <v>0.1573229822296386</v>
      </c>
      <c r="Z7466" s="11">
        <v>0.19559129060549152</v>
      </c>
    </row>
    <row r="7467" ht="22.5" customHeight="1">
      <c r="Q7467" s="9" t="s">
        <v>7505</v>
      </c>
      <c r="R7467" s="10">
        <v>0.561466918658804</v>
      </c>
      <c r="S7467" s="10">
        <v>0.028131352795839795</v>
      </c>
      <c r="T7467" s="10">
        <v>18.536858943232946</v>
      </c>
      <c r="U7467" s="11">
        <v>0.21744353617683074</v>
      </c>
      <c r="V7467" s="11">
        <v>0.09255436483896551</v>
      </c>
      <c r="W7467" s="11">
        <v>0.23623733720895645</v>
      </c>
      <c r="X7467" s="11">
        <v>0.05813935333592401</v>
      </c>
      <c r="Y7467" s="11">
        <v>0.13433222394686092</v>
      </c>
      <c r="Z7467" s="11">
        <v>0.26129318449246225</v>
      </c>
    </row>
    <row r="7468" ht="22.5" customHeight="1">
      <c r="Q7468" s="9" t="s">
        <v>7506</v>
      </c>
      <c r="R7468" s="10">
        <v>0.5825448180681035</v>
      </c>
      <c r="S7468" s="10">
        <v>0.029268533769394145</v>
      </c>
      <c r="T7468" s="10">
        <v>18.536795260835305</v>
      </c>
      <c r="U7468" s="11">
        <v>0.2446255956793617</v>
      </c>
      <c r="V7468" s="11">
        <v>0.27033095387735323</v>
      </c>
      <c r="W7468" s="11">
        <v>0.04436703599397524</v>
      </c>
      <c r="X7468" s="11">
        <v>0.1775496000399237</v>
      </c>
      <c r="Y7468" s="11">
        <v>0.1800231383597028</v>
      </c>
      <c r="Z7468" s="11">
        <v>0.08310367604968333</v>
      </c>
    </row>
    <row r="7469" ht="22.5" customHeight="1">
      <c r="Q7469" s="9" t="s">
        <v>7507</v>
      </c>
      <c r="R7469" s="10">
        <v>0.7949563022061363</v>
      </c>
      <c r="S7469" s="10">
        <v>0.04073094174313703</v>
      </c>
      <c r="T7469" s="10">
        <v>18.535203702559684</v>
      </c>
      <c r="U7469" s="11">
        <v>0.14035963863340442</v>
      </c>
      <c r="V7469" s="11">
        <v>0.3763410239067258</v>
      </c>
      <c r="W7469" s="11">
        <v>0.10251366351801541</v>
      </c>
      <c r="X7469" s="11">
        <v>0.10042628907931106</v>
      </c>
      <c r="Y7469" s="11">
        <v>0.22071150686947177</v>
      </c>
      <c r="Z7469" s="11">
        <v>0.05964787799307149</v>
      </c>
    </row>
    <row r="7470" ht="22.5" customHeight="1">
      <c r="Q7470" s="9" t="s">
        <v>7508</v>
      </c>
      <c r="R7470" s="10">
        <v>0.40831531008312993</v>
      </c>
      <c r="S7470" s="10">
        <v>0.019872187728825267</v>
      </c>
      <c r="T7470" s="10">
        <v>18.534210480956578</v>
      </c>
      <c r="U7470" s="11">
        <v>0.255659550754173</v>
      </c>
      <c r="V7470" s="11">
        <v>0.03513964189705046</v>
      </c>
      <c r="W7470" s="11">
        <v>0.16470501411127675</v>
      </c>
      <c r="X7470" s="11">
        <v>0.18169702316871783</v>
      </c>
      <c r="Y7470" s="11">
        <v>0.14006909372915397</v>
      </c>
      <c r="Z7470" s="11">
        <v>0.222729676339628</v>
      </c>
    </row>
    <row r="7471" ht="22.5" customHeight="1">
      <c r="Q7471" s="9" t="s">
        <v>7509</v>
      </c>
      <c r="R7471" s="10">
        <v>0.6007278652419176</v>
      </c>
      <c r="S7471" s="10">
        <v>0.030255095998017317</v>
      </c>
      <c r="T7471" s="10">
        <v>18.533336178429686</v>
      </c>
      <c r="U7471" s="11">
        <v>0.12934299039897015</v>
      </c>
      <c r="V7471" s="11">
        <v>0.09931818329416968</v>
      </c>
      <c r="W7471" s="11">
        <v>0.25442274211534793</v>
      </c>
      <c r="X7471" s="11">
        <v>0.07265314263283852</v>
      </c>
      <c r="Y7471" s="11">
        <v>0.222772593525903</v>
      </c>
      <c r="Z7471" s="11">
        <v>0.22149034803277076</v>
      </c>
    </row>
    <row r="7472" ht="22.5" customHeight="1">
      <c r="Q7472" s="9" t="s">
        <v>7510</v>
      </c>
      <c r="R7472" s="10">
        <v>0.7100603388766306</v>
      </c>
      <c r="S7472" s="10">
        <v>0.03615628375216585</v>
      </c>
      <c r="T7472" s="10">
        <v>18.53233433694613</v>
      </c>
      <c r="U7472" s="11">
        <v>0.26690740521476125</v>
      </c>
      <c r="V7472" s="11">
        <v>0.3362412158789035</v>
      </c>
      <c r="W7472" s="11">
        <v>0.07388455120095812</v>
      </c>
      <c r="X7472" s="11">
        <v>0.17721570389034105</v>
      </c>
      <c r="Y7472" s="11">
        <v>0.09858437760149796</v>
      </c>
      <c r="Z7472" s="11">
        <v>0.047166746213538044</v>
      </c>
    </row>
    <row r="7473" ht="22.5" customHeight="1">
      <c r="Q7473" s="9" t="s">
        <v>7511</v>
      </c>
      <c r="R7473" s="10">
        <v>0.4302817547426296</v>
      </c>
      <c r="S7473" s="10">
        <v>0.021060133722516562</v>
      </c>
      <c r="T7473" s="10">
        <v>18.531779516924797</v>
      </c>
      <c r="U7473" s="11">
        <v>0.2803726010952615</v>
      </c>
      <c r="V7473" s="11">
        <v>0.18808940195309728</v>
      </c>
      <c r="W7473" s="11">
        <v>0.010142513001456193</v>
      </c>
      <c r="X7473" s="11">
        <v>0.29506123332079864</v>
      </c>
      <c r="Y7473" s="11">
        <v>0.05394580416377879</v>
      </c>
      <c r="Z7473" s="11">
        <v>0.17238844646560758</v>
      </c>
    </row>
    <row r="7474" ht="22.5" customHeight="1">
      <c r="Q7474" s="9" t="s">
        <v>7512</v>
      </c>
      <c r="R7474" s="10">
        <v>0.9236484667726438</v>
      </c>
      <c r="S7474" s="10">
        <v>0.04768881103013416</v>
      </c>
      <c r="T7474" s="10">
        <v>18.529471540279623</v>
      </c>
      <c r="U7474" s="11">
        <v>0.16374553036596493</v>
      </c>
      <c r="V7474" s="11">
        <v>0.20502726892618411</v>
      </c>
      <c r="W7474" s="11">
        <v>0.3947961985549958</v>
      </c>
      <c r="X7474" s="11">
        <v>0.03630192222651451</v>
      </c>
      <c r="Y7474" s="11">
        <v>0.07884977941185291</v>
      </c>
      <c r="Z7474" s="11">
        <v>0.12127930051448761</v>
      </c>
    </row>
    <row r="7475" ht="22.5" customHeight="1">
      <c r="Q7475" s="9" t="s">
        <v>7513</v>
      </c>
      <c r="R7475" s="10">
        <v>0.45109118072008186</v>
      </c>
      <c r="S7475" s="10">
        <v>0.02218698165339469</v>
      </c>
      <c r="T7475" s="10">
        <v>18.528486079907285</v>
      </c>
      <c r="U7475" s="11">
        <v>0.22597229518673165</v>
      </c>
      <c r="V7475" s="11">
        <v>0.19942974425729929</v>
      </c>
      <c r="W7475" s="11">
        <v>0.022106451291708618</v>
      </c>
      <c r="X7475" s="11">
        <v>0.1566464709672357</v>
      </c>
      <c r="Y7475" s="11">
        <v>0.23037132728384122</v>
      </c>
      <c r="Z7475" s="11">
        <v>0.1654737110131834</v>
      </c>
    </row>
    <row r="7476" ht="22.5" customHeight="1">
      <c r="Q7476" s="9" t="s">
        <v>7514</v>
      </c>
      <c r="R7476" s="10">
        <v>0.6005258710849593</v>
      </c>
      <c r="S7476" s="10">
        <v>0.03025402562119111</v>
      </c>
      <c r="T7476" s="10">
        <v>18.527315277089766</v>
      </c>
      <c r="U7476" s="11">
        <v>0.21078496896206825</v>
      </c>
      <c r="V7476" s="11">
        <v>0.07956992190858506</v>
      </c>
      <c r="W7476" s="11">
        <v>0.2566484842616987</v>
      </c>
      <c r="X7476" s="11">
        <v>0.15906831551583026</v>
      </c>
      <c r="Y7476" s="11">
        <v>0.25522479228652567</v>
      </c>
      <c r="Z7476" s="11">
        <v>0.03870351706529198</v>
      </c>
    </row>
    <row r="7477" ht="22.5" customHeight="1">
      <c r="Q7477" s="9" t="s">
        <v>7515</v>
      </c>
      <c r="R7477" s="10">
        <v>0.72441117019611</v>
      </c>
      <c r="S7477" s="10">
        <v>0.03694382751258141</v>
      </c>
      <c r="T7477" s="10">
        <v>18.52572449248877</v>
      </c>
      <c r="U7477" s="11">
        <v>0.11397674759785457</v>
      </c>
      <c r="V7477" s="11">
        <v>0.11224667272103935</v>
      </c>
      <c r="W7477" s="11">
        <v>0.31757726272029657</v>
      </c>
      <c r="X7477" s="11">
        <v>0.2260730121343571</v>
      </c>
      <c r="Y7477" s="11">
        <v>0.15015657990644557</v>
      </c>
      <c r="Z7477" s="11">
        <v>0.07996972492000684</v>
      </c>
    </row>
    <row r="7478" ht="22.5" customHeight="1">
      <c r="Q7478" s="9" t="s">
        <v>7516</v>
      </c>
      <c r="R7478" s="10">
        <v>0.5170817986770171</v>
      </c>
      <c r="S7478" s="10">
        <v>0.025752851333129816</v>
      </c>
      <c r="T7478" s="10">
        <v>18.525397149451724</v>
      </c>
      <c r="U7478" s="11">
        <v>0.1919227460932087</v>
      </c>
      <c r="V7478" s="11">
        <v>0.0547689704110253</v>
      </c>
      <c r="W7478" s="11">
        <v>0.21873820328459778</v>
      </c>
      <c r="X7478" s="11">
        <v>0.2061869649119892</v>
      </c>
      <c r="Y7478" s="11">
        <v>0.21724504219524585</v>
      </c>
      <c r="Z7478" s="11">
        <v>0.11113807310393321</v>
      </c>
    </row>
    <row r="7479" ht="22.5" customHeight="1">
      <c r="Q7479" s="9" t="s">
        <v>7517</v>
      </c>
      <c r="R7479" s="10">
        <v>0.3242143450778329</v>
      </c>
      <c r="S7479" s="10">
        <v>0.015342842267156421</v>
      </c>
      <c r="T7479" s="10">
        <v>18.52423039544863</v>
      </c>
      <c r="U7479" s="11">
        <v>0.27362824531928437</v>
      </c>
      <c r="V7479" s="11">
        <v>0.12499186944937499</v>
      </c>
      <c r="W7479" s="11">
        <v>0.003472836468084807</v>
      </c>
      <c r="X7479" s="11">
        <v>0.17989256393970457</v>
      </c>
      <c r="Y7479" s="11">
        <v>0.19808765232029094</v>
      </c>
      <c r="Z7479" s="11">
        <v>0.2199268325032603</v>
      </c>
    </row>
    <row r="7480" ht="22.5" customHeight="1">
      <c r="Q7480" s="9" t="s">
        <v>7518</v>
      </c>
      <c r="R7480" s="10">
        <v>0.2444491012126547</v>
      </c>
      <c r="S7480" s="10">
        <v>0.011037550052682346</v>
      </c>
      <c r="T7480" s="10">
        <v>18.523050879662325</v>
      </c>
      <c r="U7480" s="11">
        <v>0.03833028784826181</v>
      </c>
      <c r="V7480" s="11">
        <v>0.051109395037196914</v>
      </c>
      <c r="W7480" s="11">
        <v>0.0013473077072830857</v>
      </c>
      <c r="X7480" s="11">
        <v>0.37225679548195384</v>
      </c>
      <c r="Y7480" s="11">
        <v>0.3074764961853076</v>
      </c>
      <c r="Z7480" s="11">
        <v>0.22947971773999673</v>
      </c>
    </row>
    <row r="7481" ht="22.5" customHeight="1">
      <c r="Q7481" s="9" t="s">
        <v>7519</v>
      </c>
      <c r="R7481" s="10">
        <v>0.6528976470903978</v>
      </c>
      <c r="S7481" s="10">
        <v>0.033088807874095794</v>
      </c>
      <c r="T7481" s="10">
        <v>18.52280835932492</v>
      </c>
      <c r="U7481" s="11">
        <v>0.02931168404320338</v>
      </c>
      <c r="V7481" s="11">
        <v>0.10261128323878911</v>
      </c>
      <c r="W7481" s="11">
        <v>0.2837707856239214</v>
      </c>
      <c r="X7481" s="11">
        <v>0.20525921254874552</v>
      </c>
      <c r="Y7481" s="11">
        <v>0.1315857582026582</v>
      </c>
      <c r="Z7481" s="11">
        <v>0.2474612763426825</v>
      </c>
    </row>
    <row r="7482" ht="22.5" customHeight="1">
      <c r="Q7482" s="9" t="s">
        <v>7520</v>
      </c>
      <c r="R7482" s="10">
        <v>0.5818471939867106</v>
      </c>
      <c r="S7482" s="10">
        <v>0.02925483064590217</v>
      </c>
      <c r="T7482" s="10">
        <v>18.521631539938824</v>
      </c>
      <c r="U7482" s="11">
        <v>0.11505260544303199</v>
      </c>
      <c r="V7482" s="11">
        <v>0.08730259607018542</v>
      </c>
      <c r="W7482" s="11">
        <v>0.2476376442676315</v>
      </c>
      <c r="X7482" s="11">
        <v>0.11528128594578012</v>
      </c>
      <c r="Y7482" s="11">
        <v>0.23057601310725712</v>
      </c>
      <c r="Z7482" s="11">
        <v>0.2041498551661138</v>
      </c>
    </row>
    <row r="7483" ht="22.5" customHeight="1">
      <c r="Q7483" s="9" t="s">
        <v>7521</v>
      </c>
      <c r="R7483" s="10">
        <v>0.5275762399433105</v>
      </c>
      <c r="S7483" s="10">
        <v>0.026324946084155556</v>
      </c>
      <c r="T7483" s="10">
        <v>18.5214525562418</v>
      </c>
      <c r="U7483" s="11">
        <v>0.14042113771525</v>
      </c>
      <c r="V7483" s="11">
        <v>0.24546962221470867</v>
      </c>
      <c r="W7483" s="11">
        <v>0.041087539616831856</v>
      </c>
      <c r="X7483" s="11">
        <v>0.22819882677705752</v>
      </c>
      <c r="Y7483" s="11">
        <v>0.013232515107880967</v>
      </c>
      <c r="Z7483" s="11">
        <v>0.33159035856827107</v>
      </c>
    </row>
    <row r="7484" ht="22.5" customHeight="1">
      <c r="Q7484" s="9" t="s">
        <v>7522</v>
      </c>
      <c r="R7484" s="10">
        <v>0.7840753611983287</v>
      </c>
      <c r="S7484" s="10">
        <v>0.04017441164397594</v>
      </c>
      <c r="T7484" s="10">
        <v>18.52112652681252</v>
      </c>
      <c r="U7484" s="11">
        <v>0.36892110611886086</v>
      </c>
      <c r="V7484" s="11">
        <v>0.36650106838303814</v>
      </c>
      <c r="W7484" s="11">
        <v>0.1180690731949113</v>
      </c>
      <c r="X7484" s="11">
        <v>0.020153721186563913</v>
      </c>
      <c r="Y7484" s="11">
        <v>0.016788670564365938</v>
      </c>
      <c r="Z7484" s="11">
        <v>0.10956636055226</v>
      </c>
    </row>
    <row r="7485" ht="22.5" customHeight="1">
      <c r="Q7485" s="9" t="s">
        <v>7523</v>
      </c>
      <c r="R7485" s="10">
        <v>0.9672101295763563</v>
      </c>
      <c r="S7485" s="10">
        <v>0.05006320578615937</v>
      </c>
      <c r="T7485" s="10">
        <v>18.520790169468047</v>
      </c>
      <c r="U7485" s="11">
        <v>0.19194149331609336</v>
      </c>
      <c r="V7485" s="11">
        <v>0.2102377012599425</v>
      </c>
      <c r="W7485" s="11">
        <v>0.41610223987887396</v>
      </c>
      <c r="X7485" s="11">
        <v>0.05714956347656607</v>
      </c>
      <c r="Y7485" s="11">
        <v>0.09230362424172511</v>
      </c>
      <c r="Z7485" s="11">
        <v>0.03226537782679901</v>
      </c>
    </row>
    <row r="7486" ht="22.5" customHeight="1">
      <c r="Q7486" s="9" t="s">
        <v>7524</v>
      </c>
      <c r="R7486" s="10">
        <v>0.4376062778381371</v>
      </c>
      <c r="S7486" s="10">
        <v>0.02146816501481258</v>
      </c>
      <c r="T7486" s="10">
        <v>18.520738850469858</v>
      </c>
      <c r="U7486" s="11">
        <v>0.010900390956025996</v>
      </c>
      <c r="V7486" s="11">
        <v>0.1905125987419684</v>
      </c>
      <c r="W7486" s="11">
        <v>0.0330402278395802</v>
      </c>
      <c r="X7486" s="11">
        <v>0.09933182587387494</v>
      </c>
      <c r="Y7486" s="11">
        <v>0.3375416443010448</v>
      </c>
      <c r="Z7486" s="11">
        <v>0.3286733122875056</v>
      </c>
    </row>
    <row r="7487" ht="22.5" customHeight="1">
      <c r="Q7487" s="9" t="s">
        <v>7525</v>
      </c>
      <c r="R7487" s="10">
        <v>0.38251184531916965</v>
      </c>
      <c r="S7487" s="10">
        <v>0.018494247170634054</v>
      </c>
      <c r="T7487" s="10">
        <v>18.519912822568113</v>
      </c>
      <c r="U7487" s="11">
        <v>0.14023615024316208</v>
      </c>
      <c r="V7487" s="11">
        <v>0.028976074277092725</v>
      </c>
      <c r="W7487" s="11">
        <v>0.1508155657019607</v>
      </c>
      <c r="X7487" s="11">
        <v>0.19935100659927435</v>
      </c>
      <c r="Y7487" s="11">
        <v>0.21204735879359957</v>
      </c>
      <c r="Z7487" s="11">
        <v>0.2685738443849106</v>
      </c>
    </row>
    <row r="7488" ht="22.5" customHeight="1">
      <c r="Q7488" s="9" t="s">
        <v>7526</v>
      </c>
      <c r="R7488" s="10">
        <v>0.5746298161517494</v>
      </c>
      <c r="S7488" s="10">
        <v>0.02886813842362211</v>
      </c>
      <c r="T7488" s="10">
        <v>18.519719155644427</v>
      </c>
      <c r="U7488" s="11">
        <v>0.02806202821746312</v>
      </c>
      <c r="V7488" s="11">
        <v>0.10033786615072984</v>
      </c>
      <c r="W7488" s="11">
        <v>0.23875599974020645</v>
      </c>
      <c r="X7488" s="11">
        <v>0.04539862874829712</v>
      </c>
      <c r="Y7488" s="11">
        <v>0.2845786939192865</v>
      </c>
      <c r="Z7488" s="11">
        <v>0.302866783224017</v>
      </c>
    </row>
    <row r="7489" ht="22.5" customHeight="1">
      <c r="Q7489" s="9" t="s">
        <v>7527</v>
      </c>
      <c r="R7489" s="10">
        <v>0.5968200890511544</v>
      </c>
      <c r="S7489" s="10">
        <v>0.03006651010277728</v>
      </c>
      <c r="T7489" s="10">
        <v>18.51961159269097</v>
      </c>
      <c r="U7489" s="11">
        <v>0.2927441210724078</v>
      </c>
      <c r="V7489" s="11">
        <v>0.09284823407100602</v>
      </c>
      <c r="W7489" s="11">
        <v>0.25376001666358977</v>
      </c>
      <c r="X7489" s="11">
        <v>0.07792219844315705</v>
      </c>
      <c r="Y7489" s="11">
        <v>0.15436203223427486</v>
      </c>
      <c r="Z7489" s="11">
        <v>0.1283633975155644</v>
      </c>
    </row>
    <row r="7490" ht="22.5" customHeight="1">
      <c r="Q7490" s="9" t="s">
        <v>7528</v>
      </c>
      <c r="R7490" s="10">
        <v>0.524772424999555</v>
      </c>
      <c r="S7490" s="10">
        <v>0.0261772527885126</v>
      </c>
      <c r="T7490" s="10">
        <v>18.518842634712545</v>
      </c>
      <c r="U7490" s="11">
        <v>0.29594322629710856</v>
      </c>
      <c r="V7490" s="11">
        <v>0.07881284291608538</v>
      </c>
      <c r="W7490" s="11">
        <v>0.22067380597944689</v>
      </c>
      <c r="X7490" s="11">
        <v>0.10252321871087594</v>
      </c>
      <c r="Y7490" s="11">
        <v>0.035519128672086266</v>
      </c>
      <c r="Z7490" s="11">
        <v>0.26652777742439704</v>
      </c>
    </row>
    <row r="7491" ht="22.5" customHeight="1">
      <c r="Q7491" s="9" t="s">
        <v>7529</v>
      </c>
      <c r="R7491" s="10">
        <v>0.714502435772738</v>
      </c>
      <c r="S7491" s="10">
        <v>0.03642644406994737</v>
      </c>
      <c r="T7491" s="10">
        <v>18.516834486438864</v>
      </c>
      <c r="U7491" s="11">
        <v>0.20137922882860282</v>
      </c>
      <c r="V7491" s="11">
        <v>0.1295191050613854</v>
      </c>
      <c r="W7491" s="11">
        <v>0.30444810098765385</v>
      </c>
      <c r="X7491" s="11">
        <v>0.04014005442839526</v>
      </c>
      <c r="Y7491" s="11">
        <v>0.2567953613579355</v>
      </c>
      <c r="Z7491" s="11">
        <v>0.06771814933602721</v>
      </c>
    </row>
    <row r="7492" ht="22.5" customHeight="1">
      <c r="Q7492" s="9" t="s">
        <v>7530</v>
      </c>
      <c r="R7492" s="10">
        <v>0.6190765902374349</v>
      </c>
      <c r="S7492" s="10">
        <v>0.03127300620947103</v>
      </c>
      <c r="T7492" s="10">
        <v>18.516818829590534</v>
      </c>
      <c r="U7492" s="11">
        <v>0.08571570002785114</v>
      </c>
      <c r="V7492" s="11">
        <v>0.2848945320703125</v>
      </c>
      <c r="W7492" s="11">
        <v>0.06735654305206284</v>
      </c>
      <c r="X7492" s="11">
        <v>0.0640352077041123</v>
      </c>
      <c r="Y7492" s="11">
        <v>0.34990092912551995</v>
      </c>
      <c r="Z7492" s="11">
        <v>0.14809708802014135</v>
      </c>
    </row>
    <row r="7493" ht="22.5" customHeight="1">
      <c r="Q7493" s="9" t="s">
        <v>7531</v>
      </c>
      <c r="R7493" s="10">
        <v>0.5399890519362198</v>
      </c>
      <c r="S7493" s="10">
        <v>0.02700343227829853</v>
      </c>
      <c r="T7493" s="10">
        <v>18.51575928509055</v>
      </c>
      <c r="U7493" s="11">
        <v>0.22193384454991383</v>
      </c>
      <c r="V7493" s="11">
        <v>0.2507739755386633</v>
      </c>
      <c r="W7493" s="11">
        <v>0.03610572180575217</v>
      </c>
      <c r="X7493" s="11">
        <v>0.26118606987003395</v>
      </c>
      <c r="Y7493" s="11">
        <v>0.009340863422204526</v>
      </c>
      <c r="Z7493" s="11">
        <v>0.22065952481343218</v>
      </c>
    </row>
    <row r="7494" ht="22.5" customHeight="1">
      <c r="Q7494" s="9" t="s">
        <v>7532</v>
      </c>
      <c r="R7494" s="10">
        <v>0.3281026534283867</v>
      </c>
      <c r="S7494" s="10">
        <v>0.015561075636150558</v>
      </c>
      <c r="T7494" s="10">
        <v>18.51431483046608</v>
      </c>
      <c r="U7494" s="11">
        <v>0.3221160310559499</v>
      </c>
      <c r="V7494" s="11">
        <v>0.03150878503666023</v>
      </c>
      <c r="W7494" s="11">
        <v>0.11868659520433472</v>
      </c>
      <c r="X7494" s="11">
        <v>0.11732372023533683</v>
      </c>
      <c r="Y7494" s="11">
        <v>0.08206515792367977</v>
      </c>
      <c r="Z7494" s="11">
        <v>0.32829971054403856</v>
      </c>
    </row>
    <row r="7495" ht="22.5" customHeight="1">
      <c r="Q7495" s="9" t="s">
        <v>7533</v>
      </c>
      <c r="R7495" s="10">
        <v>0.41494003649532984</v>
      </c>
      <c r="S7495" s="10">
        <v>0.020252088403629298</v>
      </c>
      <c r="T7495" s="10">
        <v>18.5136480259556</v>
      </c>
      <c r="U7495" s="11">
        <v>0.0694961757998611</v>
      </c>
      <c r="V7495" s="11">
        <v>0.18029150727106213</v>
      </c>
      <c r="W7495" s="11">
        <v>0.01706949644224536</v>
      </c>
      <c r="X7495" s="11">
        <v>0.18058936846301896</v>
      </c>
      <c r="Y7495" s="11">
        <v>0.28236543696088146</v>
      </c>
      <c r="Z7495" s="11">
        <v>0.270188015062931</v>
      </c>
    </row>
    <row r="7496" ht="22.5" customHeight="1">
      <c r="Q7496" s="9" t="s">
        <v>7534</v>
      </c>
      <c r="R7496" s="10">
        <v>0.6757061046903086</v>
      </c>
      <c r="S7496" s="10">
        <v>0.034339183494429756</v>
      </c>
      <c r="T7496" s="10">
        <v>18.512557376136446</v>
      </c>
      <c r="U7496" s="11">
        <v>0.3884039841468822</v>
      </c>
      <c r="V7496" s="11">
        <v>0.3142018529788207</v>
      </c>
      <c r="W7496" s="11">
        <v>0.0780455047793895</v>
      </c>
      <c r="X7496" s="11">
        <v>0.0630863773921501</v>
      </c>
      <c r="Y7496" s="11">
        <v>0.13037895915657438</v>
      </c>
      <c r="Z7496" s="11">
        <v>0.025883321546183214</v>
      </c>
    </row>
    <row r="7497" ht="22.5" customHeight="1">
      <c r="Q7497" s="9" t="s">
        <v>7535</v>
      </c>
      <c r="R7497" s="10">
        <v>0.3280729297846133</v>
      </c>
      <c r="S7497" s="10">
        <v>0.015561463545783022</v>
      </c>
      <c r="T7497" s="10">
        <v>18.51194323317216</v>
      </c>
      <c r="U7497" s="11">
        <v>0.20662035253243174</v>
      </c>
      <c r="V7497" s="11">
        <v>0.009812906137361556</v>
      </c>
      <c r="W7497" s="11">
        <v>0.11506102747576179</v>
      </c>
      <c r="X7497" s="11">
        <v>0.25833340769719654</v>
      </c>
      <c r="Y7497" s="11">
        <v>0.2705944397554355</v>
      </c>
      <c r="Z7497" s="11">
        <v>0.13957786640181288</v>
      </c>
    </row>
    <row r="7498" ht="22.5" customHeight="1">
      <c r="Q7498" s="9" t="s">
        <v>7536</v>
      </c>
      <c r="R7498" s="10">
        <v>0.4545492038920165</v>
      </c>
      <c r="S7498" s="10">
        <v>0.02239401626415428</v>
      </c>
      <c r="T7498" s="10">
        <v>18.511605913030362</v>
      </c>
      <c r="U7498" s="11">
        <v>0.19142390603015785</v>
      </c>
      <c r="V7498" s="11">
        <v>0.04694924343511037</v>
      </c>
      <c r="W7498" s="11">
        <v>0.18772490832043662</v>
      </c>
      <c r="X7498" s="11">
        <v>0.16077811674615544</v>
      </c>
      <c r="Y7498" s="11">
        <v>0.20725585370548716</v>
      </c>
      <c r="Z7498" s="11">
        <v>0.20586797176265254</v>
      </c>
    </row>
    <row r="7499" ht="22.5" customHeight="1">
      <c r="Q7499" s="9" t="s">
        <v>7537</v>
      </c>
      <c r="R7499" s="10">
        <v>0.7069362001571283</v>
      </c>
      <c r="S7499" s="10">
        <v>0.03602899184541517</v>
      </c>
      <c r="T7499" s="10">
        <v>18.511098035123027</v>
      </c>
      <c r="U7499" s="11">
        <v>0.12158188523416767</v>
      </c>
      <c r="V7499" s="11">
        <v>0.33698797350276916</v>
      </c>
      <c r="W7499" s="11">
        <v>0.07078517649529617</v>
      </c>
      <c r="X7499" s="11">
        <v>0.21254684266448728</v>
      </c>
      <c r="Y7499" s="11">
        <v>0.14215278435090073</v>
      </c>
      <c r="Z7499" s="11">
        <v>0.11594533775237902</v>
      </c>
    </row>
    <row r="7500" ht="22.5" customHeight="1">
      <c r="Q7500" s="9" t="s">
        <v>7538</v>
      </c>
      <c r="R7500" s="10">
        <v>0.4502519660012012</v>
      </c>
      <c r="S7500" s="10">
        <v>0.022164190645886376</v>
      </c>
      <c r="T7500" s="10">
        <v>18.509675022911026</v>
      </c>
      <c r="U7500" s="11">
        <v>0.08649984721262559</v>
      </c>
      <c r="V7500" s="11">
        <v>0.2000839719027034</v>
      </c>
      <c r="W7500" s="11">
        <v>0.015188527252545455</v>
      </c>
      <c r="X7500" s="11">
        <v>0.24577363550072717</v>
      </c>
      <c r="Y7500" s="11">
        <v>0.2478335429653355</v>
      </c>
      <c r="Z7500" s="11">
        <v>0.20462047516606277</v>
      </c>
    </row>
    <row r="7501" ht="22.5" customHeight="1">
      <c r="Q7501" s="9" t="s">
        <v>7539</v>
      </c>
      <c r="R7501" s="10">
        <v>0.6388196852257326</v>
      </c>
      <c r="S7501" s="10">
        <v>0.03235216964102906</v>
      </c>
      <c r="T7501" s="10">
        <v>18.5094134912766</v>
      </c>
      <c r="U7501" s="11">
        <v>0.2980262331569836</v>
      </c>
      <c r="V7501" s="11">
        <v>0.12060931600144725</v>
      </c>
      <c r="W7501" s="11">
        <v>0.27021594580204206</v>
      </c>
      <c r="X7501" s="11">
        <v>0.03636459794076579</v>
      </c>
      <c r="Y7501" s="11">
        <v>0.026004101262287332</v>
      </c>
      <c r="Z7501" s="11">
        <v>0.24877980583647388</v>
      </c>
    </row>
    <row r="7502" ht="22.5" customHeight="1">
      <c r="Q7502" s="9" t="s">
        <v>7540</v>
      </c>
      <c r="R7502" s="10">
        <v>0.3530030877360964</v>
      </c>
      <c r="S7502" s="10">
        <v>0.016910792976697526</v>
      </c>
      <c r="T7502" s="10">
        <v>18.509072174640398</v>
      </c>
      <c r="U7502" s="11">
        <v>0.059797924259995666</v>
      </c>
      <c r="V7502" s="11">
        <v>0.01642427245489406</v>
      </c>
      <c r="W7502" s="11">
        <v>0.12052361430883014</v>
      </c>
      <c r="X7502" s="11">
        <v>0.2887692550162789</v>
      </c>
      <c r="Y7502" s="11">
        <v>0.4053669450432766</v>
      </c>
      <c r="Z7502" s="11">
        <v>0.10911798891672464</v>
      </c>
    </row>
    <row r="7503" ht="22.5" customHeight="1">
      <c r="Q7503" s="9" t="s">
        <v>7541</v>
      </c>
      <c r="R7503" s="10">
        <v>0.7405202680527595</v>
      </c>
      <c r="S7503" s="10">
        <v>0.037851079493890424</v>
      </c>
      <c r="T7503" s="10">
        <v>18.50727317211207</v>
      </c>
      <c r="U7503" s="11">
        <v>0.08440829897734357</v>
      </c>
      <c r="V7503" s="11">
        <v>0.1278484607074218</v>
      </c>
      <c r="W7503" s="11">
        <v>0.3244889148562225</v>
      </c>
      <c r="X7503" s="11">
        <v>0.21720921758638054</v>
      </c>
      <c r="Y7503" s="11">
        <v>0.032242473318661785</v>
      </c>
      <c r="Z7503" s="11">
        <v>0.2138026345539697</v>
      </c>
    </row>
    <row r="7504" ht="22.5" customHeight="1">
      <c r="Q7504" s="9" t="s">
        <v>7542</v>
      </c>
      <c r="R7504" s="10">
        <v>0.7182171355472319</v>
      </c>
      <c r="S7504" s="10">
        <v>0.03664660618080239</v>
      </c>
      <c r="T7504" s="10">
        <v>18.506956202195912</v>
      </c>
      <c r="U7504" s="11">
        <v>0.3326633780581127</v>
      </c>
      <c r="V7504" s="11">
        <v>0.13397685677576515</v>
      </c>
      <c r="W7504" s="11">
        <v>0.3075957985537636</v>
      </c>
      <c r="X7504" s="11">
        <v>0.04388541987259341</v>
      </c>
      <c r="Y7504" s="11">
        <v>0.08296783054030246</v>
      </c>
      <c r="Z7504" s="11">
        <v>0.09891071619946266</v>
      </c>
    </row>
    <row r="7505" ht="22.5" customHeight="1">
      <c r="Q7505" s="9" t="s">
        <v>7543</v>
      </c>
      <c r="R7505" s="10">
        <v>0.685500708440287</v>
      </c>
      <c r="S7505" s="10">
        <v>0.03487894216211645</v>
      </c>
      <c r="T7505" s="10">
        <v>18.506888925702388</v>
      </c>
      <c r="U7505" s="11">
        <v>0.21960486054774803</v>
      </c>
      <c r="V7505" s="11">
        <v>0.12310630700620673</v>
      </c>
      <c r="W7505" s="11">
        <v>0.2919444899829719</v>
      </c>
      <c r="X7505" s="11">
        <v>0.034905700318276466</v>
      </c>
      <c r="Y7505" s="11">
        <v>0.22383365099507582</v>
      </c>
      <c r="Z7505" s="11">
        <v>0.1066049911497211</v>
      </c>
    </row>
    <row r="7506" ht="22.5" customHeight="1">
      <c r="Q7506" s="9" t="s">
        <v>7544</v>
      </c>
      <c r="R7506" s="10">
        <v>0.5513617411544018</v>
      </c>
      <c r="S7506" s="10">
        <v>0.027632403873873206</v>
      </c>
      <c r="T7506" s="10">
        <v>18.505872434714263</v>
      </c>
      <c r="U7506" s="11">
        <v>0.014243983710173514</v>
      </c>
      <c r="V7506" s="11">
        <v>0.05425521480330655</v>
      </c>
      <c r="W7506" s="11">
        <v>0.2336978747821395</v>
      </c>
      <c r="X7506" s="11">
        <v>0.32052213138950525</v>
      </c>
      <c r="Y7506" s="11">
        <v>0.28821219858798935</v>
      </c>
      <c r="Z7506" s="11">
        <v>0.0890685967268858</v>
      </c>
    </row>
    <row r="7507" ht="22.5" customHeight="1">
      <c r="Q7507" s="9" t="s">
        <v>7545</v>
      </c>
      <c r="R7507" s="10">
        <v>0.5192522149044552</v>
      </c>
      <c r="S7507" s="10">
        <v>0.025897879999211545</v>
      </c>
      <c r="T7507" s="10">
        <v>18.50546125470679</v>
      </c>
      <c r="U7507" s="11">
        <v>0.012867452429880048</v>
      </c>
      <c r="V7507" s="11">
        <v>0.06257279980426837</v>
      </c>
      <c r="W7507" s="11">
        <v>0.219339534106574</v>
      </c>
      <c r="X7507" s="11">
        <v>0.20750565126169943</v>
      </c>
      <c r="Y7507" s="11">
        <v>0.24948846152157833</v>
      </c>
      <c r="Z7507" s="11">
        <v>0.2482261008759999</v>
      </c>
    </row>
    <row r="7508" ht="22.5" customHeight="1">
      <c r="Q7508" s="9" t="s">
        <v>7546</v>
      </c>
      <c r="R7508" s="10">
        <v>0.47714146629793625</v>
      </c>
      <c r="S7508" s="10">
        <v>0.02362435588442167</v>
      </c>
      <c r="T7508" s="10">
        <v>18.503846980488273</v>
      </c>
      <c r="U7508" s="11">
        <v>0.25863305574598705</v>
      </c>
      <c r="V7508" s="11">
        <v>0.0699223409265106</v>
      </c>
      <c r="W7508" s="11">
        <v>0.1946914832320497</v>
      </c>
      <c r="X7508" s="11">
        <v>0.039818273782479124</v>
      </c>
      <c r="Y7508" s="11">
        <v>0.1809545863412481</v>
      </c>
      <c r="Z7508" s="11">
        <v>0.2559802599717253</v>
      </c>
    </row>
    <row r="7509" ht="22.5" customHeight="1">
      <c r="Q7509" s="9" t="s">
        <v>7547</v>
      </c>
      <c r="R7509" s="10">
        <v>0.4336743568019748</v>
      </c>
      <c r="S7509" s="10">
        <v>0.021276044425330435</v>
      </c>
      <c r="T7509" s="10">
        <v>18.503174224118528</v>
      </c>
      <c r="U7509" s="11">
        <v>0.05787012484784883</v>
      </c>
      <c r="V7509" s="11">
        <v>0.03890383421556204</v>
      </c>
      <c r="W7509" s="11">
        <v>0.17734864913527595</v>
      </c>
      <c r="X7509" s="11">
        <v>0.22569081083524195</v>
      </c>
      <c r="Y7509" s="11">
        <v>0.23497273442294309</v>
      </c>
      <c r="Z7509" s="11">
        <v>0.26521384654312813</v>
      </c>
    </row>
    <row r="7510" ht="22.5" customHeight="1">
      <c r="Q7510" s="9" t="s">
        <v>7548</v>
      </c>
      <c r="R7510" s="10">
        <v>0.5096456320651194</v>
      </c>
      <c r="S7510" s="10">
        <v>0.025383986480669612</v>
      </c>
      <c r="T7510" s="10">
        <v>18.50164994465166</v>
      </c>
      <c r="U7510" s="11">
        <v>0.22922244463220975</v>
      </c>
      <c r="V7510" s="11">
        <v>0.2328993324925773</v>
      </c>
      <c r="W7510" s="11">
        <v>0.03375052843240201</v>
      </c>
      <c r="X7510" s="11">
        <v>0.1491484966353179</v>
      </c>
      <c r="Y7510" s="11">
        <v>0.19172436732177392</v>
      </c>
      <c r="Z7510" s="11">
        <v>0.1632548304857191</v>
      </c>
    </row>
    <row r="7511" ht="22.5" customHeight="1">
      <c r="Q7511" s="9" t="s">
        <v>7549</v>
      </c>
      <c r="R7511" s="10">
        <v>0.6436285061537508</v>
      </c>
      <c r="S7511" s="10">
        <v>0.032625852607413054</v>
      </c>
      <c r="T7511" s="10">
        <v>18.501539666019266</v>
      </c>
      <c r="U7511" s="11">
        <v>0.17744505434043742</v>
      </c>
      <c r="V7511" s="11">
        <v>0.30286465702375326</v>
      </c>
      <c r="W7511" s="11">
        <v>0.08178725163123889</v>
      </c>
      <c r="X7511" s="11">
        <v>0.07589627016220835</v>
      </c>
      <c r="Y7511" s="11">
        <v>0.052376351966989754</v>
      </c>
      <c r="Z7511" s="11">
        <v>0.30963041487537235</v>
      </c>
    </row>
    <row r="7512" ht="22.5" customHeight="1">
      <c r="Q7512" s="9" t="s">
        <v>7550</v>
      </c>
      <c r="R7512" s="10">
        <v>0.47239876078668197</v>
      </c>
      <c r="S7512" s="10">
        <v>0.023372105701231664</v>
      </c>
      <c r="T7512" s="10">
        <v>18.500633460847965</v>
      </c>
      <c r="U7512" s="11">
        <v>0.14522297964086536</v>
      </c>
      <c r="V7512" s="11">
        <v>0.04935815740050673</v>
      </c>
      <c r="W7512" s="11">
        <v>0.1975448381469554</v>
      </c>
      <c r="X7512" s="11">
        <v>0.18598752130124227</v>
      </c>
      <c r="Y7512" s="11">
        <v>0.20639801479975856</v>
      </c>
      <c r="Z7512" s="11">
        <v>0.21548848871067164</v>
      </c>
    </row>
    <row r="7513" ht="22.5" customHeight="1">
      <c r="Q7513" s="9" t="s">
        <v>7551</v>
      </c>
      <c r="R7513" s="10">
        <v>0.5955345014472594</v>
      </c>
      <c r="S7513" s="10">
        <v>0.030029466975151492</v>
      </c>
      <c r="T7513" s="10">
        <v>18.499645761509786</v>
      </c>
      <c r="U7513" s="11">
        <v>0.20198480693498025</v>
      </c>
      <c r="V7513" s="11">
        <v>0.27847556378834937</v>
      </c>
      <c r="W7513" s="11">
        <v>0.04130553403952917</v>
      </c>
      <c r="X7513" s="11">
        <v>0.2268059887712743</v>
      </c>
      <c r="Y7513" s="11">
        <v>0.17744101612958735</v>
      </c>
      <c r="Z7513" s="11">
        <v>0.07398709033627957</v>
      </c>
    </row>
    <row r="7514" ht="22.5" customHeight="1">
      <c r="Q7514" s="9" t="s">
        <v>7552</v>
      </c>
      <c r="R7514" s="10">
        <v>0.6776585659322425</v>
      </c>
      <c r="S7514" s="10">
        <v>0.034473732255922124</v>
      </c>
      <c r="T7514" s="10">
        <v>18.496940255800162</v>
      </c>
      <c r="U7514" s="11">
        <v>0.16459169955268474</v>
      </c>
      <c r="V7514" s="11">
        <v>0.32254067533222075</v>
      </c>
      <c r="W7514" s="11">
        <v>0.06439495827341522</v>
      </c>
      <c r="X7514" s="11">
        <v>0.20970008211628455</v>
      </c>
      <c r="Y7514" s="11">
        <v>0.11534828259260643</v>
      </c>
      <c r="Z7514" s="11">
        <v>0.12342430213278816</v>
      </c>
    </row>
    <row r="7515" ht="22.5" customHeight="1">
      <c r="Q7515" s="9" t="s">
        <v>7553</v>
      </c>
      <c r="R7515" s="10">
        <v>0.6692705546996448</v>
      </c>
      <c r="S7515" s="10">
        <v>0.03402310847687626</v>
      </c>
      <c r="T7515" s="10">
        <v>18.495386896447965</v>
      </c>
      <c r="U7515" s="11">
        <v>0.11917278459730646</v>
      </c>
      <c r="V7515" s="11">
        <v>0.31675335660856085</v>
      </c>
      <c r="W7515" s="11">
        <v>0.08724159428706885</v>
      </c>
      <c r="X7515" s="11">
        <v>0.10207775630039709</v>
      </c>
      <c r="Y7515" s="11">
        <v>0.03212794875875107</v>
      </c>
      <c r="Z7515" s="11">
        <v>0.34262655944791565</v>
      </c>
    </row>
    <row r="7516" ht="22.5" customHeight="1">
      <c r="Q7516" s="9" t="s">
        <v>7554</v>
      </c>
      <c r="R7516" s="10">
        <v>0.7310922342189671</v>
      </c>
      <c r="S7516" s="10">
        <v>0.03737054439915208</v>
      </c>
      <c r="T7516" s="10">
        <v>18.49296672902222</v>
      </c>
      <c r="U7516" s="11">
        <v>0.03841755808715757</v>
      </c>
      <c r="V7516" s="11">
        <v>0.10726715924253027</v>
      </c>
      <c r="W7516" s="11">
        <v>0.31939151099865876</v>
      </c>
      <c r="X7516" s="11">
        <v>0.25034438844694634</v>
      </c>
      <c r="Y7516" s="11">
        <v>0.2757359764448946</v>
      </c>
      <c r="Z7516" s="11">
        <v>0.00884340677981266</v>
      </c>
    </row>
    <row r="7517" ht="22.5" customHeight="1">
      <c r="Q7517" s="9" t="s">
        <v>7555</v>
      </c>
      <c r="R7517" s="10">
        <v>0.35961964389490264</v>
      </c>
      <c r="S7517" s="10">
        <v>0.017283473644687762</v>
      </c>
      <c r="T7517" s="10">
        <v>18.492789728825187</v>
      </c>
      <c r="U7517" s="11">
        <v>0.3292791051123965</v>
      </c>
      <c r="V7517" s="11">
        <v>0.14225814282808208</v>
      </c>
      <c r="W7517" s="11">
        <v>0.032809186392451145</v>
      </c>
      <c r="X7517" s="11">
        <v>0.001243453217285931</v>
      </c>
      <c r="Y7517" s="11">
        <v>0.1908610849509881</v>
      </c>
      <c r="Z7517" s="11">
        <v>0.3035490274987963</v>
      </c>
    </row>
    <row r="7518" ht="22.5" customHeight="1">
      <c r="Q7518" s="9" t="s">
        <v>7556</v>
      </c>
      <c r="R7518" s="10">
        <v>0.745600298959458</v>
      </c>
      <c r="S7518" s="10">
        <v>0.038163066070632565</v>
      </c>
      <c r="T7518" s="10">
        <v>18.48908831521886</v>
      </c>
      <c r="U7518" s="11">
        <v>0.01740695131546436</v>
      </c>
      <c r="V7518" s="11">
        <v>0.13827140649362116</v>
      </c>
      <c r="W7518" s="11">
        <v>0.3239740828360628</v>
      </c>
      <c r="X7518" s="11">
        <v>0.14244376801123732</v>
      </c>
      <c r="Y7518" s="11">
        <v>0.12718768621145493</v>
      </c>
      <c r="Z7518" s="11">
        <v>0.2507161051321595</v>
      </c>
    </row>
    <row r="7519" ht="22.5" customHeight="1">
      <c r="Q7519" s="9" t="s">
        <v>7557</v>
      </c>
      <c r="R7519" s="10">
        <v>0.43799259137677565</v>
      </c>
      <c r="S7519" s="10">
        <v>0.021525847831035536</v>
      </c>
      <c r="T7519" s="10">
        <v>18.489055320876044</v>
      </c>
      <c r="U7519" s="11">
        <v>0.17643506886796212</v>
      </c>
      <c r="V7519" s="11">
        <v>0.04146863904269565</v>
      </c>
      <c r="W7519" s="11">
        <v>0.176804320749457</v>
      </c>
      <c r="X7519" s="11">
        <v>0.15820252453609165</v>
      </c>
      <c r="Y7519" s="11">
        <v>0.28428312730372857</v>
      </c>
      <c r="Z7519" s="11">
        <v>0.16280631950006494</v>
      </c>
    </row>
    <row r="7520" ht="22.5" customHeight="1">
      <c r="Q7520" s="9" t="s">
        <v>7558</v>
      </c>
      <c r="R7520" s="10">
        <v>0.7690656007123851</v>
      </c>
      <c r="S7520" s="10">
        <v>0.03943231718915617</v>
      </c>
      <c r="T7520" s="10">
        <v>18.489037740670156</v>
      </c>
      <c r="U7520" s="11">
        <v>0.17988215554253906</v>
      </c>
      <c r="V7520" s="11">
        <v>0.1501124839367817</v>
      </c>
      <c r="W7520" s="11">
        <v>0.33087043517729536</v>
      </c>
      <c r="X7520" s="11">
        <v>0.04372040171505628</v>
      </c>
      <c r="Y7520" s="11">
        <v>0.15890312080945215</v>
      </c>
      <c r="Z7520" s="11">
        <v>0.13651140281887536</v>
      </c>
    </row>
    <row r="7521" ht="22.5" customHeight="1">
      <c r="Q7521" s="9" t="s">
        <v>7559</v>
      </c>
      <c r="R7521" s="10">
        <v>0.5446115115747348</v>
      </c>
      <c r="S7521" s="10">
        <v>0.02729296664035306</v>
      </c>
      <c r="T7521" s="10">
        <v>18.488701438144837</v>
      </c>
      <c r="U7521" s="11">
        <v>0.06657470188206532</v>
      </c>
      <c r="V7521" s="11">
        <v>0.25134006630376515</v>
      </c>
      <c r="W7521" s="11">
        <v>0.022795522587972086</v>
      </c>
      <c r="X7521" s="11">
        <v>0.368444874842898</v>
      </c>
      <c r="Y7521" s="11">
        <v>0.1489932337052381</v>
      </c>
      <c r="Z7521" s="11">
        <v>0.1418516006780613</v>
      </c>
    </row>
    <row r="7522" ht="22.5" customHeight="1">
      <c r="Q7522" s="9" t="s">
        <v>7560</v>
      </c>
      <c r="R7522" s="10">
        <v>0.4863334456226165</v>
      </c>
      <c r="S7522" s="10">
        <v>0.02414132781935809</v>
      </c>
      <c r="T7522" s="10">
        <v>18.488355278648644</v>
      </c>
      <c r="U7522" s="11">
        <v>0.19419914204781055</v>
      </c>
      <c r="V7522" s="11">
        <v>0.21887081163893352</v>
      </c>
      <c r="W7522" s="11">
        <v>0.02327755859588406</v>
      </c>
      <c r="X7522" s="11">
        <v>0.19140709225353025</v>
      </c>
      <c r="Y7522" s="11">
        <v>0.250247399020037</v>
      </c>
      <c r="Z7522" s="11">
        <v>0.12199799644380459</v>
      </c>
    </row>
    <row r="7523" ht="22.5" customHeight="1">
      <c r="Q7523" s="9" t="s">
        <v>7561</v>
      </c>
      <c r="R7523" s="10">
        <v>0.6372144328196025</v>
      </c>
      <c r="S7523" s="10">
        <v>0.0323039895328678</v>
      </c>
      <c r="T7523" s="10">
        <v>18.487327461890267</v>
      </c>
      <c r="U7523" s="11">
        <v>0.08108988946251255</v>
      </c>
      <c r="V7523" s="11">
        <v>0.3010710266100598</v>
      </c>
      <c r="W7523" s="11">
        <v>0.06338123947949575</v>
      </c>
      <c r="X7523" s="11">
        <v>0.1437945917714581</v>
      </c>
      <c r="Y7523" s="11">
        <v>0.2125191122778609</v>
      </c>
      <c r="Z7523" s="11">
        <v>0.1981441403986129</v>
      </c>
    </row>
    <row r="7524" ht="22.5" customHeight="1">
      <c r="Q7524" s="9" t="s">
        <v>7562</v>
      </c>
      <c r="R7524" s="10">
        <v>0.5682745109223191</v>
      </c>
      <c r="S7524" s="10">
        <v>0.02857845976613983</v>
      </c>
      <c r="T7524" s="10">
        <v>18.48505886059774</v>
      </c>
      <c r="U7524" s="11">
        <v>0.060337531732851064</v>
      </c>
      <c r="V7524" s="11">
        <v>0.06702913265332885</v>
      </c>
      <c r="W7524" s="11">
        <v>0.2423787120808836</v>
      </c>
      <c r="X7524" s="11">
        <v>0.22547400415111601</v>
      </c>
      <c r="Y7524" s="11">
        <v>0.29595549668656584</v>
      </c>
      <c r="Z7524" s="11">
        <v>0.10882512269525471</v>
      </c>
    </row>
    <row r="7525" ht="22.5" customHeight="1">
      <c r="Q7525" s="9" t="s">
        <v>7563</v>
      </c>
      <c r="R7525" s="10">
        <v>0.4305678660720162</v>
      </c>
      <c r="S7525" s="10">
        <v>0.021130111999856316</v>
      </c>
      <c r="T7525" s="10">
        <v>18.483946799461926</v>
      </c>
      <c r="U7525" s="11">
        <v>0.13053456114056947</v>
      </c>
      <c r="V7525" s="11">
        <v>0.03848584489898588</v>
      </c>
      <c r="W7525" s="11">
        <v>0.17651660963731114</v>
      </c>
      <c r="X7525" s="11">
        <v>0.19938828505082398</v>
      </c>
      <c r="Y7525" s="11">
        <v>0.2151696964200183</v>
      </c>
      <c r="Z7525" s="11">
        <v>0.23990500285229124</v>
      </c>
    </row>
    <row r="7526" ht="22.5" customHeight="1">
      <c r="Q7526" s="9" t="s">
        <v>7564</v>
      </c>
      <c r="R7526" s="10">
        <v>0.5554392590401853</v>
      </c>
      <c r="S7526" s="10">
        <v>0.027887707718009105</v>
      </c>
      <c r="T7526" s="10">
        <v>18.482668573987134</v>
      </c>
      <c r="U7526" s="11">
        <v>0.2519929206152491</v>
      </c>
      <c r="V7526" s="11">
        <v>0.25779218520360436</v>
      </c>
      <c r="W7526" s="11">
        <v>0.038939797637105256</v>
      </c>
      <c r="X7526" s="11">
        <v>0.1781492010340462</v>
      </c>
      <c r="Y7526" s="11">
        <v>0.15471652480632575</v>
      </c>
      <c r="Z7526" s="11">
        <v>0.11840937070366944</v>
      </c>
    </row>
    <row r="7527" ht="22.5" customHeight="1">
      <c r="Q7527" s="9" t="s">
        <v>7565</v>
      </c>
      <c r="R7527" s="10">
        <v>0.2294728657523862</v>
      </c>
      <c r="S7527" s="10">
        <v>0.010251393207995037</v>
      </c>
      <c r="T7527" s="10">
        <v>18.482645422733054</v>
      </c>
      <c r="U7527" s="11">
        <v>0.23781620633485703</v>
      </c>
      <c r="V7527" s="11">
        <v>0.05688268809964124</v>
      </c>
      <c r="W7527" s="11">
        <v>0.0012602519830094906</v>
      </c>
      <c r="X7527" s="11">
        <v>0.22845413313584614</v>
      </c>
      <c r="Y7527" s="11">
        <v>0.18974969868924604</v>
      </c>
      <c r="Z7527" s="11">
        <v>0.2858370217574001</v>
      </c>
    </row>
    <row r="7528" ht="22.5" customHeight="1">
      <c r="Q7528" s="9" t="s">
        <v>7566</v>
      </c>
      <c r="R7528" s="10">
        <v>0.6810418674444109</v>
      </c>
      <c r="S7528" s="10">
        <v>0.0346842703411535</v>
      </c>
      <c r="T7528" s="10">
        <v>18.48220709673697</v>
      </c>
      <c r="U7528" s="11">
        <v>0.06599065810506188</v>
      </c>
      <c r="V7528" s="11">
        <v>0.09252331409908414</v>
      </c>
      <c r="W7528" s="11">
        <v>0.29798484290011434</v>
      </c>
      <c r="X7528" s="11">
        <v>0.2628272906160303</v>
      </c>
      <c r="Y7528" s="11">
        <v>0.2328134810288108</v>
      </c>
      <c r="Z7528" s="11">
        <v>0.04786041325089861</v>
      </c>
    </row>
    <row r="7529" ht="22.5" customHeight="1">
      <c r="Q7529" s="9" t="s">
        <v>7567</v>
      </c>
      <c r="R7529" s="10">
        <v>0.5566801111548073</v>
      </c>
      <c r="S7529" s="10">
        <v>0.027955714560707917</v>
      </c>
      <c r="T7529" s="10">
        <v>18.482092812644726</v>
      </c>
      <c r="U7529" s="11">
        <v>0.29546519243685765</v>
      </c>
      <c r="V7529" s="11">
        <v>0.09363015219064841</v>
      </c>
      <c r="W7529" s="11">
        <v>0.23238769005668172</v>
      </c>
      <c r="X7529" s="11">
        <v>0.017885754537550213</v>
      </c>
      <c r="Y7529" s="11">
        <v>0.13892358148075556</v>
      </c>
      <c r="Z7529" s="11">
        <v>0.22170762929750648</v>
      </c>
    </row>
    <row r="7530" ht="22.5" customHeight="1">
      <c r="Q7530" s="9" t="s">
        <v>7568</v>
      </c>
      <c r="R7530" s="10">
        <v>0.27050725290831634</v>
      </c>
      <c r="S7530" s="10">
        <v>0.012473156711026959</v>
      </c>
      <c r="T7530" s="10">
        <v>18.48026592214104</v>
      </c>
      <c r="U7530" s="11">
        <v>0.14412892477669803</v>
      </c>
      <c r="V7530" s="11">
        <v>0.06684953477680136</v>
      </c>
      <c r="W7530" s="11">
        <v>0.040592891317451245</v>
      </c>
      <c r="X7530" s="11">
        <v>0.023819637345703724</v>
      </c>
      <c r="Y7530" s="11">
        <v>0.36555811307353914</v>
      </c>
      <c r="Z7530" s="11">
        <v>0.35905089870980667</v>
      </c>
    </row>
    <row r="7531" ht="22.5" customHeight="1">
      <c r="Q7531" s="9" t="s">
        <v>7569</v>
      </c>
      <c r="R7531" s="10">
        <v>0.7145580484908631</v>
      </c>
      <c r="S7531" s="10">
        <v>0.03650446519470539</v>
      </c>
      <c r="T7531" s="10">
        <v>18.478781839233765</v>
      </c>
      <c r="U7531" s="11">
        <v>0.0070511361011506525</v>
      </c>
      <c r="V7531" s="11">
        <v>0.33517538652011286</v>
      </c>
      <c r="W7531" s="11">
        <v>0.08885918397939045</v>
      </c>
      <c r="X7531" s="11">
        <v>0.07163617329878397</v>
      </c>
      <c r="Y7531" s="11">
        <v>0.3402431885878834</v>
      </c>
      <c r="Z7531" s="11">
        <v>0.15703493151267867</v>
      </c>
    </row>
    <row r="7532" ht="22.5" customHeight="1">
      <c r="Q7532" s="9" t="s">
        <v>7570</v>
      </c>
      <c r="R7532" s="10">
        <v>0.25897764591868666</v>
      </c>
      <c r="S7532" s="10">
        <v>0.011850828210660995</v>
      </c>
      <c r="T7532" s="10">
        <v>18.477834799908294</v>
      </c>
      <c r="U7532" s="11">
        <v>0.2949864987350932</v>
      </c>
      <c r="V7532" s="11">
        <v>0.06164377518087136</v>
      </c>
      <c r="W7532" s="11">
        <v>0.03301317705701698</v>
      </c>
      <c r="X7532" s="11">
        <v>0.037732491452554674</v>
      </c>
      <c r="Y7532" s="11">
        <v>0.29036394902083096</v>
      </c>
      <c r="Z7532" s="11">
        <v>0.28226010855363276</v>
      </c>
    </row>
    <row r="7533" ht="22.5" customHeight="1">
      <c r="Q7533" s="9" t="s">
        <v>7571</v>
      </c>
      <c r="R7533" s="10">
        <v>0.8603030880151993</v>
      </c>
      <c r="S7533" s="10">
        <v>0.04439560063552769</v>
      </c>
      <c r="T7533" s="10">
        <v>18.477125577139947</v>
      </c>
      <c r="U7533" s="11">
        <v>0.11579044296993456</v>
      </c>
      <c r="V7533" s="11">
        <v>0.4073681895733074</v>
      </c>
      <c r="W7533" s="11">
        <v>0.1207599004872197</v>
      </c>
      <c r="X7533" s="11">
        <v>0.05534690561999255</v>
      </c>
      <c r="Y7533" s="11">
        <v>0.2844938459944587</v>
      </c>
      <c r="Z7533" s="11">
        <v>0.01624071535508713</v>
      </c>
    </row>
    <row r="7534" ht="22.5" customHeight="1">
      <c r="Q7534" s="9" t="s">
        <v>7572</v>
      </c>
      <c r="R7534" s="10">
        <v>0.49567854602502337</v>
      </c>
      <c r="S7534" s="10">
        <v>0.024662001899873703</v>
      </c>
      <c r="T7534" s="10">
        <v>18.476948784411412</v>
      </c>
      <c r="U7534" s="11">
        <v>0.23203424460795669</v>
      </c>
      <c r="V7534" s="11">
        <v>0.05832039163257656</v>
      </c>
      <c r="W7534" s="11">
        <v>0.21090280095802538</v>
      </c>
      <c r="X7534" s="11">
        <v>0.20727399506555175</v>
      </c>
      <c r="Y7534" s="11">
        <v>0.026311870227286392</v>
      </c>
      <c r="Z7534" s="11">
        <v>0.26515669750860327</v>
      </c>
    </row>
    <row r="7535" ht="22.5" customHeight="1">
      <c r="Q7535" s="9" t="s">
        <v>7573</v>
      </c>
      <c r="R7535" s="10">
        <v>0.44300155906645244</v>
      </c>
      <c r="S7535" s="10">
        <v>0.02181340221054372</v>
      </c>
      <c r="T7535" s="10">
        <v>18.47495201237603</v>
      </c>
      <c r="U7535" s="11">
        <v>0.391353499633401</v>
      </c>
      <c r="V7535" s="11">
        <v>0.1907576834147588</v>
      </c>
      <c r="W7535" s="11">
        <v>0.013426047538898459</v>
      </c>
      <c r="X7535" s="11">
        <v>0.20938666053493135</v>
      </c>
      <c r="Y7535" s="11">
        <v>0.17283029606015549</v>
      </c>
      <c r="Z7535" s="11">
        <v>0.02224581281785503</v>
      </c>
    </row>
    <row r="7536" ht="22.5" customHeight="1">
      <c r="Q7536" s="9" t="s">
        <v>7574</v>
      </c>
      <c r="R7536" s="10">
        <v>0.6146877531206995</v>
      </c>
      <c r="S7536" s="10">
        <v>0.031107532528897506</v>
      </c>
      <c r="T7536" s="10">
        <v>18.474231364600847</v>
      </c>
      <c r="U7536" s="11">
        <v>0.21858728254783544</v>
      </c>
      <c r="V7536" s="11">
        <v>0.10694733761890551</v>
      </c>
      <c r="W7536" s="11">
        <v>0.2584181618772029</v>
      </c>
      <c r="X7536" s="11">
        <v>0.010615749251540374</v>
      </c>
      <c r="Y7536" s="11">
        <v>0.24626295180716645</v>
      </c>
      <c r="Z7536" s="11">
        <v>0.15916851689734926</v>
      </c>
    </row>
    <row r="7537" ht="22.5" customHeight="1">
      <c r="Q7537" s="9" t="s">
        <v>7575</v>
      </c>
      <c r="R7537" s="10">
        <v>0.7893437309400596</v>
      </c>
      <c r="S7537" s="10">
        <v>0.04056292239580459</v>
      </c>
      <c r="T7537" s="10">
        <v>18.47361301111687</v>
      </c>
      <c r="U7537" s="11">
        <v>0.01681360307442872</v>
      </c>
      <c r="V7537" s="11">
        <v>0.37973334682193083</v>
      </c>
      <c r="W7537" s="11">
        <v>0.07897757482855496</v>
      </c>
      <c r="X7537" s="11">
        <v>0.31981825314085494</v>
      </c>
      <c r="Y7537" s="11">
        <v>0.12821305884719145</v>
      </c>
      <c r="Z7537" s="11">
        <v>0.07644416328703914</v>
      </c>
    </row>
    <row r="7538" ht="22.5" customHeight="1">
      <c r="Q7538" s="9" t="s">
        <v>7576</v>
      </c>
      <c r="R7538" s="10">
        <v>0.5489923612016262</v>
      </c>
      <c r="S7538" s="10">
        <v>0.027553056597693075</v>
      </c>
      <c r="T7538" s="10">
        <v>18.473172273897276</v>
      </c>
      <c r="U7538" s="11">
        <v>0.1515416028895958</v>
      </c>
      <c r="V7538" s="11">
        <v>0.2544866999999684</v>
      </c>
      <c r="W7538" s="11">
        <v>0.06129816367925257</v>
      </c>
      <c r="X7538" s="11">
        <v>0.04767869067560371</v>
      </c>
      <c r="Y7538" s="11">
        <v>0.14467627897098365</v>
      </c>
      <c r="Z7538" s="11">
        <v>0.3403185637845959</v>
      </c>
    </row>
    <row r="7539" ht="22.5" customHeight="1">
      <c r="Q7539" s="9" t="s">
        <v>7577</v>
      </c>
      <c r="R7539" s="10">
        <v>0.5716540931653489</v>
      </c>
      <c r="S7539" s="10">
        <v>0.028780684676232342</v>
      </c>
      <c r="T7539" s="10">
        <v>18.472600605099547</v>
      </c>
      <c r="U7539" s="11">
        <v>0.05658066238084404</v>
      </c>
      <c r="V7539" s="11">
        <v>0.24516145653329896</v>
      </c>
      <c r="W7539" s="11">
        <v>0.06339221245927482</v>
      </c>
      <c r="X7539" s="11">
        <v>0.0369160737579293</v>
      </c>
      <c r="Y7539" s="11">
        <v>0.5678396149939281</v>
      </c>
      <c r="Z7539" s="11">
        <v>0.030109979874724892</v>
      </c>
    </row>
    <row r="7540" ht="22.5" customHeight="1">
      <c r="Q7540" s="9" t="s">
        <v>7578</v>
      </c>
      <c r="R7540" s="10">
        <v>0.534252092997891</v>
      </c>
      <c r="S7540" s="10">
        <v>0.026756194703346024</v>
      </c>
      <c r="T7540" s="10">
        <v>18.472435952788228</v>
      </c>
      <c r="U7540" s="11">
        <v>0.2274932330360981</v>
      </c>
      <c r="V7540" s="11">
        <v>0.05966445605403665</v>
      </c>
      <c r="W7540" s="11">
        <v>0.22988671735931157</v>
      </c>
      <c r="X7540" s="11">
        <v>0.2171540327577865</v>
      </c>
      <c r="Y7540" s="11">
        <v>0.12106631035321845</v>
      </c>
      <c r="Z7540" s="11">
        <v>0.14473525043954877</v>
      </c>
    </row>
    <row r="7541" ht="22.5" customHeight="1">
      <c r="Q7541" s="9" t="s">
        <v>7579</v>
      </c>
      <c r="R7541" s="10">
        <v>0.2983689811640057</v>
      </c>
      <c r="S7541" s="10">
        <v>0.01398676567926509</v>
      </c>
      <c r="T7541" s="10">
        <v>18.472389334943177</v>
      </c>
      <c r="U7541" s="11">
        <v>0.24517475379818726</v>
      </c>
      <c r="V7541" s="11">
        <v>0.10587847423328281</v>
      </c>
      <c r="W7541" s="11">
        <v>0.001616691583380829</v>
      </c>
      <c r="X7541" s="11">
        <v>0.1775314901712484</v>
      </c>
      <c r="Y7541" s="11">
        <v>0.2629341478652766</v>
      </c>
      <c r="Z7541" s="11">
        <v>0.20686444234862414</v>
      </c>
    </row>
    <row r="7542" ht="22.5" customHeight="1">
      <c r="Q7542" s="9" t="s">
        <v>7580</v>
      </c>
      <c r="R7542" s="10">
        <v>0.7771559300386099</v>
      </c>
      <c r="S7542" s="10">
        <v>0.039906249235622374</v>
      </c>
      <c r="T7542" s="10">
        <v>18.472192805847225</v>
      </c>
      <c r="U7542" s="11">
        <v>0.06104585713015904</v>
      </c>
      <c r="V7542" s="11">
        <v>0.1536782216688951</v>
      </c>
      <c r="W7542" s="11">
        <v>0.3370224462954152</v>
      </c>
      <c r="X7542" s="11">
        <v>0.11147716574537844</v>
      </c>
      <c r="Y7542" s="11">
        <v>0.06963022308981046</v>
      </c>
      <c r="Z7542" s="11">
        <v>0.2671460860703416</v>
      </c>
    </row>
    <row r="7543" ht="22.5" customHeight="1">
      <c r="Q7543" s="9" t="s">
        <v>7581</v>
      </c>
      <c r="R7543" s="10">
        <v>0.3507370381906368</v>
      </c>
      <c r="S7543" s="10">
        <v>0.016821930555343145</v>
      </c>
      <c r="T7543" s="10">
        <v>18.472138924146105</v>
      </c>
      <c r="U7543" s="11">
        <v>0.25026374067971435</v>
      </c>
      <c r="V7543" s="11">
        <v>0.14373860526134405</v>
      </c>
      <c r="W7543" s="11">
        <v>0.0018238066403017887</v>
      </c>
      <c r="X7543" s="11">
        <v>0.23427796720778366</v>
      </c>
      <c r="Y7543" s="11">
        <v>0.1366597546765208</v>
      </c>
      <c r="Z7543" s="11">
        <v>0.23323612553433523</v>
      </c>
    </row>
    <row r="7544" ht="22.5" customHeight="1">
      <c r="Q7544" s="9" t="s">
        <v>7582</v>
      </c>
      <c r="R7544" s="10">
        <v>0.5326250329056266</v>
      </c>
      <c r="S7544" s="10">
        <v>0.02667635322465798</v>
      </c>
      <c r="T7544" s="10">
        <v>18.466730769267006</v>
      </c>
      <c r="U7544" s="11">
        <v>0.016948362026437725</v>
      </c>
      <c r="V7544" s="11">
        <v>0.24361966461495663</v>
      </c>
      <c r="W7544" s="11">
        <v>0.03047527147286061</v>
      </c>
      <c r="X7544" s="11">
        <v>0.23370157324568858</v>
      </c>
      <c r="Y7544" s="11">
        <v>0.3170844944169948</v>
      </c>
      <c r="Z7544" s="11">
        <v>0.15817063422306163</v>
      </c>
    </row>
    <row r="7545" ht="22.5" customHeight="1">
      <c r="Q7545" s="9" t="s">
        <v>7583</v>
      </c>
      <c r="R7545" s="10">
        <v>0.5480945825391537</v>
      </c>
      <c r="S7545" s="10">
        <v>0.027514558287816425</v>
      </c>
      <c r="T7545" s="10">
        <v>18.46639067304745</v>
      </c>
      <c r="U7545" s="11">
        <v>0.03685733151571699</v>
      </c>
      <c r="V7545" s="11">
        <v>0.25654965169327715</v>
      </c>
      <c r="W7545" s="11">
        <v>0.033187434629294216</v>
      </c>
      <c r="X7545" s="11">
        <v>0.2828658747328139</v>
      </c>
      <c r="Y7545" s="11">
        <v>0.1457205290973193</v>
      </c>
      <c r="Z7545" s="11">
        <v>0.2448191783315785</v>
      </c>
    </row>
    <row r="7546" ht="22.5" customHeight="1">
      <c r="Q7546" s="9" t="s">
        <v>7584</v>
      </c>
      <c r="R7546" s="10">
        <v>0.6497497816760527</v>
      </c>
      <c r="S7546" s="10">
        <v>0.03302189108394922</v>
      </c>
      <c r="T7546" s="10">
        <v>18.465017043570548</v>
      </c>
      <c r="U7546" s="11">
        <v>0.28964984874643573</v>
      </c>
      <c r="V7546" s="11">
        <v>0.30702218158598665</v>
      </c>
      <c r="W7546" s="11">
        <v>0.06992962966081359</v>
      </c>
      <c r="X7546" s="11">
        <v>0.12886867708900876</v>
      </c>
      <c r="Y7546" s="11">
        <v>0.03628258509690156</v>
      </c>
      <c r="Z7546" s="11">
        <v>0.16824707782085363</v>
      </c>
    </row>
    <row r="7547" ht="22.5" customHeight="1">
      <c r="Q7547" s="9" t="s">
        <v>7585</v>
      </c>
      <c r="R7547" s="10">
        <v>0.42774638138963417</v>
      </c>
      <c r="S7547" s="10">
        <v>0.020999843979092218</v>
      </c>
      <c r="T7547" s="10">
        <v>18.46425058089387</v>
      </c>
      <c r="U7547" s="11">
        <v>0.2452291170348865</v>
      </c>
      <c r="V7547" s="11">
        <v>0.1899815165164116</v>
      </c>
      <c r="W7547" s="11">
        <v>0.014760334878703605</v>
      </c>
      <c r="X7547" s="11">
        <v>0.22196476760450792</v>
      </c>
      <c r="Y7547" s="11">
        <v>0.0977989894007668</v>
      </c>
      <c r="Z7547" s="11">
        <v>0.23026527456472365</v>
      </c>
    </row>
    <row r="7548" ht="22.5" customHeight="1">
      <c r="Q7548" s="9" t="s">
        <v>7586</v>
      </c>
      <c r="R7548" s="10">
        <v>0.9309911511767414</v>
      </c>
      <c r="S7548" s="10">
        <v>0.048257115722760764</v>
      </c>
      <c r="T7548" s="10">
        <v>18.46341493543718</v>
      </c>
      <c r="U7548" s="11">
        <v>0.002069357098274343</v>
      </c>
      <c r="V7548" s="11">
        <v>0.4435200884473493</v>
      </c>
      <c r="W7548" s="11">
        <v>0.13514762334530178</v>
      </c>
      <c r="X7548" s="11">
        <v>0.09409864951516206</v>
      </c>
      <c r="Y7548" s="11">
        <v>0.2943425182615121</v>
      </c>
      <c r="Z7548" s="11">
        <v>0.030821763332400415</v>
      </c>
    </row>
    <row r="7549" ht="22.5" customHeight="1">
      <c r="Q7549" s="9" t="s">
        <v>7587</v>
      </c>
      <c r="R7549" s="10">
        <v>0.5465388933445471</v>
      </c>
      <c r="S7549" s="10">
        <v>0.02743635488721427</v>
      </c>
      <c r="T7549" s="10">
        <v>18.462324730338043</v>
      </c>
      <c r="U7549" s="11">
        <v>0.1691438206054705</v>
      </c>
      <c r="V7549" s="11">
        <v>0.25278914214641174</v>
      </c>
      <c r="W7549" s="11">
        <v>0.04242588235702646</v>
      </c>
      <c r="X7549" s="11">
        <v>0.12921597042080538</v>
      </c>
      <c r="Y7549" s="11">
        <v>0.24015265156227034</v>
      </c>
      <c r="Z7549" s="11">
        <v>0.16627253290801552</v>
      </c>
    </row>
    <row r="7550" ht="22.5" customHeight="1">
      <c r="Q7550" s="9" t="s">
        <v>7588</v>
      </c>
      <c r="R7550" s="10">
        <v>0.4306315274699428</v>
      </c>
      <c r="S7550" s="10">
        <v>0.02115961023573762</v>
      </c>
      <c r="T7550" s="10">
        <v>18.461187286436115</v>
      </c>
      <c r="U7550" s="11">
        <v>0.12540987703083228</v>
      </c>
      <c r="V7550" s="11">
        <v>0.19105671856495351</v>
      </c>
      <c r="W7550" s="11">
        <v>0.02473043313932093</v>
      </c>
      <c r="X7550" s="11">
        <v>0.12421180763103025</v>
      </c>
      <c r="Y7550" s="11">
        <v>0.24265616821399805</v>
      </c>
      <c r="Z7550" s="11">
        <v>0.29193499541986506</v>
      </c>
    </row>
    <row r="7551" ht="22.5" customHeight="1">
      <c r="Q7551" s="9" t="s">
        <v>7589</v>
      </c>
      <c r="R7551" s="10">
        <v>0.6552828743757462</v>
      </c>
      <c r="S7551" s="10">
        <v>0.03332889248749611</v>
      </c>
      <c r="T7551" s="10">
        <v>18.460945697687965</v>
      </c>
      <c r="U7551" s="11">
        <v>0.2841321693238149</v>
      </c>
      <c r="V7551" s="11">
        <v>0.09609993052255218</v>
      </c>
      <c r="W7551" s="11">
        <v>0.28476890955838213</v>
      </c>
      <c r="X7551" s="11">
        <v>0.1400750912108545</v>
      </c>
      <c r="Y7551" s="11">
        <v>0.16515685682883738</v>
      </c>
      <c r="Z7551" s="11">
        <v>0.02976704255555882</v>
      </c>
    </row>
    <row r="7552" ht="22.5" customHeight="1">
      <c r="Q7552" s="9" t="s">
        <v>7590</v>
      </c>
      <c r="R7552" s="10">
        <v>0.683422426496331</v>
      </c>
      <c r="S7552" s="10">
        <v>0.03485326038762201</v>
      </c>
      <c r="T7552" s="10">
        <v>18.46089632190737</v>
      </c>
      <c r="U7552" s="11">
        <v>0.06490865858069171</v>
      </c>
      <c r="V7552" s="11">
        <v>0.32574412832048855</v>
      </c>
      <c r="W7552" s="11">
        <v>0.08697528570929791</v>
      </c>
      <c r="X7552" s="11">
        <v>0.14900736695687883</v>
      </c>
      <c r="Y7552" s="11">
        <v>0.003803832164497098</v>
      </c>
      <c r="Z7552" s="11">
        <v>0.3695607282681458</v>
      </c>
    </row>
    <row r="7553" ht="22.5" customHeight="1">
      <c r="Q7553" s="9" t="s">
        <v>7591</v>
      </c>
      <c r="R7553" s="10">
        <v>0.5076422196160981</v>
      </c>
      <c r="S7553" s="10">
        <v>0.025332065638794973</v>
      </c>
      <c r="T7553" s="10">
        <v>18.460485073902703</v>
      </c>
      <c r="U7553" s="11">
        <v>0.1533583304698551</v>
      </c>
      <c r="V7553" s="11">
        <v>0.05313888401108884</v>
      </c>
      <c r="W7553" s="11">
        <v>0.21804056543966985</v>
      </c>
      <c r="X7553" s="11">
        <v>0.2727174290566065</v>
      </c>
      <c r="Y7553" s="11">
        <v>0.062350607146481274</v>
      </c>
      <c r="Z7553" s="11">
        <v>0.2403941838762985</v>
      </c>
    </row>
    <row r="7554" ht="22.5" customHeight="1">
      <c r="Q7554" s="9" t="s">
        <v>7592</v>
      </c>
      <c r="R7554" s="10">
        <v>0.5335215506714541</v>
      </c>
      <c r="S7554" s="10">
        <v>0.02673900289474037</v>
      </c>
      <c r="T7554" s="10">
        <v>18.456991557023656</v>
      </c>
      <c r="U7554" s="11">
        <v>0.12220053141993355</v>
      </c>
      <c r="V7554" s="11">
        <v>0.0897052681337595</v>
      </c>
      <c r="W7554" s="11">
        <v>0.22215737533225996</v>
      </c>
      <c r="X7554" s="11">
        <v>0.029602331882317326</v>
      </c>
      <c r="Y7554" s="11">
        <v>0.20920968705164794</v>
      </c>
      <c r="Z7554" s="11">
        <v>0.32712480618008183</v>
      </c>
    </row>
    <row r="7555" ht="22.5" customHeight="1">
      <c r="Q7555" s="9" t="s">
        <v>7593</v>
      </c>
      <c r="R7555" s="10">
        <v>0.6263139223341341</v>
      </c>
      <c r="S7555" s="10">
        <v>0.03176940297387746</v>
      </c>
      <c r="T7555" s="10">
        <v>18.455301876973685</v>
      </c>
      <c r="U7555" s="11">
        <v>0.1819985253402399</v>
      </c>
      <c r="V7555" s="11">
        <v>0.29210623127748636</v>
      </c>
      <c r="W7555" s="11">
        <v>0.07814574422145149</v>
      </c>
      <c r="X7555" s="11">
        <v>0.011671958551515269</v>
      </c>
      <c r="Y7555" s="11">
        <v>0.19608239193774893</v>
      </c>
      <c r="Z7555" s="11">
        <v>0.23999514867155808</v>
      </c>
    </row>
    <row r="7556" ht="22.5" customHeight="1">
      <c r="Q7556" s="9" t="s">
        <v>7594</v>
      </c>
      <c r="R7556" s="10">
        <v>0.7984753068490595</v>
      </c>
      <c r="S7556" s="10">
        <v>0.041101043695130596</v>
      </c>
      <c r="T7556" s="10">
        <v>18.453918408376552</v>
      </c>
      <c r="U7556" s="11">
        <v>0.06933899275040073</v>
      </c>
      <c r="V7556" s="11">
        <v>0.37809398880788647</v>
      </c>
      <c r="W7556" s="11">
        <v>0.10702930645119459</v>
      </c>
      <c r="X7556" s="11">
        <v>0.05802851294859185</v>
      </c>
      <c r="Y7556" s="11">
        <v>0.29943072132482357</v>
      </c>
      <c r="Z7556" s="11">
        <v>0.08807847771710284</v>
      </c>
    </row>
    <row r="7557" ht="22.5" customHeight="1">
      <c r="Q7557" s="9" t="s">
        <v>7595</v>
      </c>
      <c r="R7557" s="10">
        <v>0.44141791044360196</v>
      </c>
      <c r="S7557" s="10">
        <v>0.021753718517211886</v>
      </c>
      <c r="T7557" s="10">
        <v>18.45284106834396</v>
      </c>
      <c r="U7557" s="11">
        <v>0.3067511414493212</v>
      </c>
      <c r="V7557" s="11">
        <v>0.18816226305202569</v>
      </c>
      <c r="W7557" s="11">
        <v>0.01989484104457102</v>
      </c>
      <c r="X7557" s="11">
        <v>0.13382190692523468</v>
      </c>
      <c r="Y7557" s="11">
        <v>0.3065305555420157</v>
      </c>
      <c r="Z7557" s="11">
        <v>0.04483929198683181</v>
      </c>
    </row>
    <row r="7558" ht="22.5" customHeight="1">
      <c r="Q7558" s="9" t="s">
        <v>7596</v>
      </c>
      <c r="R7558" s="10">
        <v>0.7663579888576</v>
      </c>
      <c r="S7558" s="10">
        <v>0.0393632227821254</v>
      </c>
      <c r="T7558" s="10">
        <v>18.452706295873586</v>
      </c>
      <c r="U7558" s="11">
        <v>0.20437203505970725</v>
      </c>
      <c r="V7558" s="11">
        <v>0.36205929586150826</v>
      </c>
      <c r="W7558" s="11">
        <v>0.1182091763630918</v>
      </c>
      <c r="X7558" s="11">
        <v>0.02519942962586976</v>
      </c>
      <c r="Y7558" s="11">
        <v>0.013283972069406307</v>
      </c>
      <c r="Z7558" s="11">
        <v>0.2768760910204166</v>
      </c>
    </row>
    <row r="7559" ht="22.5" customHeight="1">
      <c r="Q7559" s="9" t="s">
        <v>7597</v>
      </c>
      <c r="R7559" s="10">
        <v>0.3713632226230059</v>
      </c>
      <c r="S7559" s="10">
        <v>0.01795973025379198</v>
      </c>
      <c r="T7559" s="10">
        <v>18.450345185615614</v>
      </c>
      <c r="U7559" s="11">
        <v>0.1722098860958537</v>
      </c>
      <c r="V7559" s="11">
        <v>0.15599005177946487</v>
      </c>
      <c r="W7559" s="11">
        <v>0.003570660107332883</v>
      </c>
      <c r="X7559" s="11">
        <v>0.22922707379868998</v>
      </c>
      <c r="Y7559" s="11">
        <v>0.2117804331759697</v>
      </c>
      <c r="Z7559" s="11">
        <v>0.22722189504268886</v>
      </c>
    </row>
    <row r="7560" ht="22.5" customHeight="1">
      <c r="Q7560" s="9" t="s">
        <v>7598</v>
      </c>
      <c r="R7560" s="10">
        <v>0.4149173875255122</v>
      </c>
      <c r="S7560" s="10">
        <v>0.020321074955889345</v>
      </c>
      <c r="T7560" s="10">
        <v>18.44968282137337</v>
      </c>
      <c r="U7560" s="11">
        <v>0.25221956522917544</v>
      </c>
      <c r="V7560" s="11">
        <v>0.02621609192622814</v>
      </c>
      <c r="W7560" s="11">
        <v>0.16783799889145504</v>
      </c>
      <c r="X7560" s="11">
        <v>0.2376039289944491</v>
      </c>
      <c r="Y7560" s="11">
        <v>0.19209002998675406</v>
      </c>
      <c r="Z7560" s="11">
        <v>0.12403238497193829</v>
      </c>
    </row>
    <row r="7561" ht="22.5" customHeight="1">
      <c r="Q7561" s="9" t="s">
        <v>7599</v>
      </c>
      <c r="R7561" s="10">
        <v>0.3224186456561297</v>
      </c>
      <c r="S7561" s="10">
        <v>0.015308678378672043</v>
      </c>
      <c r="T7561" s="10">
        <v>18.448270887289244</v>
      </c>
      <c r="U7561" s="11">
        <v>0.05152142233528262</v>
      </c>
      <c r="V7561" s="11">
        <v>0.03292616914802662</v>
      </c>
      <c r="W7561" s="11">
        <v>0.11543187293155135</v>
      </c>
      <c r="X7561" s="11">
        <v>0.11921071162853217</v>
      </c>
      <c r="Y7561" s="11">
        <v>0.24644505509615536</v>
      </c>
      <c r="Z7561" s="11">
        <v>0.4344647688604519</v>
      </c>
    </row>
    <row r="7562" ht="22.5" customHeight="1">
      <c r="Q7562" s="9" t="s">
        <v>7600</v>
      </c>
      <c r="R7562" s="10">
        <v>0.5254066644274844</v>
      </c>
      <c r="S7562" s="10">
        <v>0.026312566133639324</v>
      </c>
      <c r="T7562" s="10">
        <v>18.447712851804138</v>
      </c>
      <c r="U7562" s="11">
        <v>0.2683562918447164</v>
      </c>
      <c r="V7562" s="11">
        <v>0.06129205689123131</v>
      </c>
      <c r="W7562" s="11">
        <v>0.21965875143092212</v>
      </c>
      <c r="X7562" s="11">
        <v>0.12749233669459453</v>
      </c>
      <c r="Y7562" s="11">
        <v>0.28183482468383586</v>
      </c>
      <c r="Z7562" s="11">
        <v>0.0413657384546999</v>
      </c>
    </row>
    <row r="7563" ht="22.5" customHeight="1">
      <c r="Q7563" s="9" t="s">
        <v>7601</v>
      </c>
      <c r="R7563" s="10">
        <v>0.24371084530228862</v>
      </c>
      <c r="S7563" s="10">
        <v>0.011042862730535868</v>
      </c>
      <c r="T7563" s="10">
        <v>18.44728584183019</v>
      </c>
      <c r="U7563" s="11">
        <v>0.06301322718626785</v>
      </c>
      <c r="V7563" s="11">
        <v>0.019255300369171426</v>
      </c>
      <c r="W7563" s="11">
        <v>0.048216058052162024</v>
      </c>
      <c r="X7563" s="11">
        <v>0.2258850021079268</v>
      </c>
      <c r="Y7563" s="11">
        <v>0.36552140304972247</v>
      </c>
      <c r="Z7563" s="11">
        <v>0.2781090092347493</v>
      </c>
    </row>
    <row r="7564" ht="22.5" customHeight="1">
      <c r="Q7564" s="9" t="s">
        <v>7602</v>
      </c>
      <c r="R7564" s="10">
        <v>0.7307300131491923</v>
      </c>
      <c r="S7564" s="10">
        <v>0.03744356699667899</v>
      </c>
      <c r="T7564" s="10">
        <v>18.44722788324242</v>
      </c>
      <c r="U7564" s="11">
        <v>0.13029099568274186</v>
      </c>
      <c r="V7564" s="11">
        <v>0.3494911277942773</v>
      </c>
      <c r="W7564" s="11">
        <v>0.06368501729693553</v>
      </c>
      <c r="X7564" s="11">
        <v>0.2750872380948969</v>
      </c>
      <c r="Y7564" s="11">
        <v>0.17854168910187926</v>
      </c>
      <c r="Z7564" s="11">
        <v>0.002903932029269144</v>
      </c>
    </row>
    <row r="7565" ht="22.5" customHeight="1">
      <c r="Q7565" s="9" t="s">
        <v>7603</v>
      </c>
      <c r="R7565" s="10">
        <v>0.8358976585589641</v>
      </c>
      <c r="S7565" s="10">
        <v>0.04315027661664101</v>
      </c>
      <c r="T7565" s="10">
        <v>18.444786939141526</v>
      </c>
      <c r="U7565" s="11">
        <v>0.09584546817703324</v>
      </c>
      <c r="V7565" s="11">
        <v>0.13719070594731672</v>
      </c>
      <c r="W7565" s="11">
        <v>0.3712361208134738</v>
      </c>
      <c r="X7565" s="11">
        <v>0.2623705912395985</v>
      </c>
      <c r="Y7565" s="11">
        <v>0.12819729179534461</v>
      </c>
      <c r="Z7565" s="11">
        <v>0.005159822027233182</v>
      </c>
    </row>
    <row r="7566" ht="22.5" customHeight="1">
      <c r="Q7566" s="9" t="s">
        <v>7604</v>
      </c>
      <c r="R7566" s="10">
        <v>0.522331348251574</v>
      </c>
      <c r="S7566" s="10">
        <v>0.03811204548687216</v>
      </c>
      <c r="T7566" s="10">
        <v>18.443143021673297</v>
      </c>
      <c r="U7566" s="11">
        <v>0.03825770503869517</v>
      </c>
      <c r="V7566" s="11">
        <v>0.12693018055242009</v>
      </c>
      <c r="W7566" s="11">
        <v>0.3268882703379793</v>
      </c>
      <c r="X7566" s="11">
        <v>0.19813277694833462</v>
      </c>
      <c r="Y7566" s="11">
        <v>0.10572014558013845</v>
      </c>
      <c r="Z7566" s="11">
        <v>0.20407092154243234</v>
      </c>
    </row>
    <row r="7567" ht="22.5" customHeight="1">
      <c r="Q7567" s="9" t="s">
        <v>7605</v>
      </c>
      <c r="R7567" s="10">
        <v>0.405215125221467</v>
      </c>
      <c r="S7567" s="10">
        <v>0.01980227875211171</v>
      </c>
      <c r="T7567" s="10">
        <v>18.443085757618707</v>
      </c>
      <c r="U7567" s="11">
        <v>0.307094714920867</v>
      </c>
      <c r="V7567" s="11">
        <v>0.1703339835772434</v>
      </c>
      <c r="W7567" s="11">
        <v>0.009001745376214029</v>
      </c>
      <c r="X7567" s="11">
        <v>0.18931267710395197</v>
      </c>
      <c r="Y7567" s="11">
        <v>0.24519932279106857</v>
      </c>
      <c r="Z7567" s="11">
        <v>0.07905755623065511</v>
      </c>
    </row>
    <row r="7568" ht="22.5" customHeight="1">
      <c r="Q7568" s="9" t="s">
        <v>7606</v>
      </c>
      <c r="R7568" s="10">
        <v>0.4493074860421512</v>
      </c>
      <c r="S7568" s="10">
        <v>0.022193217429192648</v>
      </c>
      <c r="T7568" s="10">
        <v>18.442908845823943</v>
      </c>
      <c r="U7568" s="11">
        <v>0.1733940506113222</v>
      </c>
      <c r="V7568" s="11">
        <v>0.05440945327746181</v>
      </c>
      <c r="W7568" s="11">
        <v>0.1838500068053121</v>
      </c>
      <c r="X7568" s="11">
        <v>0.09476568406487682</v>
      </c>
      <c r="Y7568" s="11">
        <v>0.23441792172142928</v>
      </c>
      <c r="Z7568" s="11">
        <v>0.25916288351959776</v>
      </c>
    </row>
    <row r="7569" ht="22.5" customHeight="1">
      <c r="Q7569" s="9" t="s">
        <v>7607</v>
      </c>
      <c r="R7569" s="10">
        <v>0.6514507899396896</v>
      </c>
      <c r="S7569" s="10">
        <v>0.03315538221995685</v>
      </c>
      <c r="T7569" s="10">
        <v>18.441976807362693</v>
      </c>
      <c r="U7569" s="11">
        <v>0.10514878762844328</v>
      </c>
      <c r="V7569" s="11">
        <v>0.30895990674992213</v>
      </c>
      <c r="W7569" s="11">
        <v>0.08169195733258923</v>
      </c>
      <c r="X7569" s="11">
        <v>0.07841275844225812</v>
      </c>
      <c r="Y7569" s="11">
        <v>0.09404169537852032</v>
      </c>
      <c r="Z7569" s="11">
        <v>0.331744894468267</v>
      </c>
    </row>
    <row r="7570" ht="22.5" customHeight="1">
      <c r="Q7570" s="9" t="s">
        <v>7608</v>
      </c>
      <c r="R7570" s="10">
        <v>0.6851043081237712</v>
      </c>
      <c r="S7570" s="10">
        <v>0.03498058570157677</v>
      </c>
      <c r="T7570" s="10">
        <v>18.441781210504224</v>
      </c>
      <c r="U7570" s="11">
        <v>0.027148298621337892</v>
      </c>
      <c r="V7570" s="11">
        <v>0.32670658350952336</v>
      </c>
      <c r="W7570" s="11">
        <v>0.05854229625102116</v>
      </c>
      <c r="X7570" s="11">
        <v>0.2593292690663693</v>
      </c>
      <c r="Y7570" s="11">
        <v>0.22185820871740178</v>
      </c>
      <c r="Z7570" s="11">
        <v>0.10641534383434653</v>
      </c>
    </row>
    <row r="7571" ht="22.5" customHeight="1">
      <c r="Q7571" s="9" t="s">
        <v>7609</v>
      </c>
      <c r="R7571" s="10">
        <v>0.5742506734421012</v>
      </c>
      <c r="S7571" s="10">
        <v>0.028969678746967285</v>
      </c>
      <c r="T7571" s="10">
        <v>18.44171894719508</v>
      </c>
      <c r="U7571" s="11">
        <v>0.05046431510235795</v>
      </c>
      <c r="V7571" s="11">
        <v>0.06953791479319181</v>
      </c>
      <c r="W7571" s="11">
        <v>0.24596009321638237</v>
      </c>
      <c r="X7571" s="11">
        <v>0.2145899841948473</v>
      </c>
      <c r="Y7571" s="11">
        <v>0.2983841207272517</v>
      </c>
      <c r="Z7571" s="11">
        <v>0.12106357196596892</v>
      </c>
    </row>
    <row r="7572" ht="22.5" customHeight="1">
      <c r="Q7572" s="9" t="s">
        <v>7610</v>
      </c>
      <c r="R7572" s="10">
        <v>0.5902166487154753</v>
      </c>
      <c r="S7572" s="10">
        <v>0.029835880323307886</v>
      </c>
      <c r="T7572" s="10">
        <v>18.441441739047473</v>
      </c>
      <c r="U7572" s="11">
        <v>0.43615962080690573</v>
      </c>
      <c r="V7572" s="11">
        <v>0.270224920124016</v>
      </c>
      <c r="W7572" s="11">
        <v>0.05497682329292074</v>
      </c>
      <c r="X7572" s="11">
        <v>0.07580714603930212</v>
      </c>
      <c r="Y7572" s="11">
        <v>0.15738944439748012</v>
      </c>
      <c r="Z7572" s="11">
        <v>0.005442045339375523</v>
      </c>
    </row>
    <row r="7573" ht="22.5" customHeight="1">
      <c r="Q7573" s="9" t="s">
        <v>7611</v>
      </c>
      <c r="R7573" s="10">
        <v>0.6296341511782884</v>
      </c>
      <c r="S7573" s="10">
        <v>0.03197384125416795</v>
      </c>
      <c r="T7573" s="10">
        <v>18.441142135258037</v>
      </c>
      <c r="U7573" s="11">
        <v>0.18029225068836444</v>
      </c>
      <c r="V7573" s="11">
        <v>0.11033910022561412</v>
      </c>
      <c r="W7573" s="11">
        <v>0.26831958638507936</v>
      </c>
      <c r="X7573" s="11">
        <v>0.03177362722413711</v>
      </c>
      <c r="Y7573" s="11">
        <v>0.20253036206159716</v>
      </c>
      <c r="Z7573" s="11">
        <v>0.20674507341520776</v>
      </c>
    </row>
    <row r="7574" ht="22.5" customHeight="1">
      <c r="Q7574" s="9" t="s">
        <v>7612</v>
      </c>
      <c r="R7574" s="10">
        <v>0.5162333826128068</v>
      </c>
      <c r="S7574" s="10">
        <v>0.02582845033945413</v>
      </c>
      <c r="T7574" s="10">
        <v>18.43832581335082</v>
      </c>
      <c r="U7574" s="11">
        <v>0.26223350870576395</v>
      </c>
      <c r="V7574" s="11">
        <v>0.2378279914833385</v>
      </c>
      <c r="W7574" s="11">
        <v>0.042345083894659</v>
      </c>
      <c r="X7574" s="11">
        <v>0.10060821578910792</v>
      </c>
      <c r="Y7574" s="11">
        <v>0.13406385959724967</v>
      </c>
      <c r="Z7574" s="11">
        <v>0.2229213405298811</v>
      </c>
    </row>
    <row r="7575" ht="22.5" customHeight="1">
      <c r="Q7575" s="9" t="s">
        <v>7613</v>
      </c>
      <c r="R7575" s="10">
        <v>0.35299909417978553</v>
      </c>
      <c r="S7575" s="10">
        <v>0.016976551983697293</v>
      </c>
      <c r="T7575" s="10">
        <v>18.43714168108818</v>
      </c>
      <c r="U7575" s="11">
        <v>0.15882847435917916</v>
      </c>
      <c r="V7575" s="11">
        <v>0.03242485543730604</v>
      </c>
      <c r="W7575" s="11">
        <v>0.13715430711105672</v>
      </c>
      <c r="X7575" s="11">
        <v>0.1610308330996362</v>
      </c>
      <c r="Y7575" s="11">
        <v>0.10851503955860241</v>
      </c>
      <c r="Z7575" s="11">
        <v>0.40204649043421953</v>
      </c>
    </row>
    <row r="7576" ht="22.5" customHeight="1">
      <c r="Q7576" s="9" t="s">
        <v>7614</v>
      </c>
      <c r="R7576" s="10">
        <v>0.37114190842640404</v>
      </c>
      <c r="S7576" s="10">
        <v>0.017960972982000726</v>
      </c>
      <c r="T7576" s="10">
        <v>18.436746648316443</v>
      </c>
      <c r="U7576" s="11">
        <v>0.24220077123744588</v>
      </c>
      <c r="V7576" s="11">
        <v>0.15477912685278788</v>
      </c>
      <c r="W7576" s="11">
        <v>0.014518667342840087</v>
      </c>
      <c r="X7576" s="11">
        <v>0.11549401389310121</v>
      </c>
      <c r="Y7576" s="11">
        <v>0.23309241687137847</v>
      </c>
      <c r="Z7576" s="11">
        <v>0.23991500380244626</v>
      </c>
    </row>
    <row r="7577" ht="22.5" customHeight="1">
      <c r="Q7577" s="9" t="s">
        <v>7615</v>
      </c>
      <c r="R7577" s="10">
        <v>0.4766827330807717</v>
      </c>
      <c r="S7577" s="10">
        <v>0.023685919917936536</v>
      </c>
      <c r="T7577" s="10">
        <v>18.436384763341483</v>
      </c>
      <c r="U7577" s="11">
        <v>0.10314120546398868</v>
      </c>
      <c r="V7577" s="11">
        <v>0.21724557033143796</v>
      </c>
      <c r="W7577" s="11">
        <v>0.01533894399829451</v>
      </c>
      <c r="X7577" s="11">
        <v>0.3354278742645284</v>
      </c>
      <c r="Y7577" s="11">
        <v>0.0895372239185951</v>
      </c>
      <c r="Z7577" s="11">
        <v>0.2393091820231553</v>
      </c>
    </row>
    <row r="7578" ht="22.5" customHeight="1">
      <c r="Q7578" s="9" t="s">
        <v>7616</v>
      </c>
      <c r="R7578" s="10">
        <v>0.5200266143914419</v>
      </c>
      <c r="S7578" s="10">
        <v>0.02603793206905161</v>
      </c>
      <c r="T7578" s="10">
        <v>18.435665824706415</v>
      </c>
      <c r="U7578" s="11">
        <v>0.19370382435747077</v>
      </c>
      <c r="V7578" s="11">
        <v>0.23687815709305368</v>
      </c>
      <c r="W7578" s="11">
        <v>0.04886513442997536</v>
      </c>
      <c r="X7578" s="11">
        <v>0.041314463988785764</v>
      </c>
      <c r="Y7578" s="11">
        <v>0.2559139971415058</v>
      </c>
      <c r="Z7578" s="11">
        <v>0.22332442298920868</v>
      </c>
    </row>
    <row r="7579" ht="22.5" customHeight="1">
      <c r="Q7579" s="9" t="s">
        <v>7617</v>
      </c>
      <c r="R7579" s="10">
        <v>0.5319007901702202</v>
      </c>
      <c r="S7579" s="10">
        <v>0.026683447250212836</v>
      </c>
      <c r="T7579" s="10">
        <v>18.434679206087086</v>
      </c>
      <c r="U7579" s="11">
        <v>0.3298283112584828</v>
      </c>
      <c r="V7579" s="11">
        <v>0.24417275423742912</v>
      </c>
      <c r="W7579" s="11">
        <v>0.03761176588315693</v>
      </c>
      <c r="X7579" s="11">
        <v>0.13522851175635583</v>
      </c>
      <c r="Y7579" s="11">
        <v>0.15194691508026092</v>
      </c>
      <c r="Z7579" s="11">
        <v>0.10121174178431433</v>
      </c>
    </row>
    <row r="7580" ht="22.5" customHeight="1">
      <c r="Q7580" s="9" t="s">
        <v>7618</v>
      </c>
      <c r="R7580" s="10">
        <v>0.5764618209065223</v>
      </c>
      <c r="S7580" s="10">
        <v>0.029101007700584852</v>
      </c>
      <c r="T7580" s="10">
        <v>18.434475755138227</v>
      </c>
      <c r="U7580" s="11">
        <v>0.12521006536897034</v>
      </c>
      <c r="V7580" s="11">
        <v>0.2730420373912518</v>
      </c>
      <c r="W7580" s="11">
        <v>0.0478925023185374</v>
      </c>
      <c r="X7580" s="11">
        <v>0.22212979000950453</v>
      </c>
      <c r="Y7580" s="11">
        <v>0.03906721467415541</v>
      </c>
      <c r="Z7580" s="11">
        <v>0.2926583902375806</v>
      </c>
    </row>
    <row r="7581" ht="22.5" customHeight="1">
      <c r="Q7581" s="9" t="s">
        <v>7619</v>
      </c>
      <c r="R7581" s="10">
        <v>0.4806191544707894</v>
      </c>
      <c r="S7581" s="10">
        <v>0.02390317239147821</v>
      </c>
      <c r="T7581" s="10">
        <v>18.43350109577404</v>
      </c>
      <c r="U7581" s="11">
        <v>0.18071789020043047</v>
      </c>
      <c r="V7581" s="11">
        <v>0.2192702010539114</v>
      </c>
      <c r="W7581" s="11">
        <v>0.022433335909195672</v>
      </c>
      <c r="X7581" s="11">
        <v>0.2035649331682816</v>
      </c>
      <c r="Y7581" s="11">
        <v>0.1863860373257272</v>
      </c>
      <c r="Z7581" s="11">
        <v>0.18762760234245368</v>
      </c>
    </row>
    <row r="7582" ht="22.5" customHeight="1">
      <c r="Q7582" s="9" t="s">
        <v>7620</v>
      </c>
      <c r="R7582" s="10">
        <v>0.6867171550517647</v>
      </c>
      <c r="S7582" s="10">
        <v>0.0350872211522514</v>
      </c>
      <c r="T7582" s="10">
        <v>18.431700596793128</v>
      </c>
      <c r="U7582" s="11">
        <v>0.061784611088726404</v>
      </c>
      <c r="V7582" s="11">
        <v>0.09613515491425006</v>
      </c>
      <c r="W7582" s="11">
        <v>0.30416044160689104</v>
      </c>
      <c r="X7582" s="11">
        <v>0.31250058250620105</v>
      </c>
      <c r="Y7582" s="11">
        <v>0.06619456052797608</v>
      </c>
      <c r="Z7582" s="11">
        <v>0.15922464935595546</v>
      </c>
    </row>
    <row r="7583" ht="22.5" customHeight="1">
      <c r="Q7583" s="9" t="s">
        <v>7621</v>
      </c>
      <c r="R7583" s="10">
        <v>0.7368229838111132</v>
      </c>
      <c r="S7583" s="10">
        <v>0.03780680077427565</v>
      </c>
      <c r="T7583" s="10">
        <v>18.43115443624742</v>
      </c>
      <c r="U7583" s="11">
        <v>0.14319840111472767</v>
      </c>
      <c r="V7583" s="11">
        <v>0.13444519010371508</v>
      </c>
      <c r="W7583" s="11">
        <v>0.32257611559766414</v>
      </c>
      <c r="X7583" s="11">
        <v>0.14471901871518747</v>
      </c>
      <c r="Y7583" s="11">
        <v>0.015323293483799565</v>
      </c>
      <c r="Z7583" s="11">
        <v>0.23973798098490604</v>
      </c>
    </row>
    <row r="7584" ht="22.5" customHeight="1">
      <c r="Q7584" s="9" t="s">
        <v>7622</v>
      </c>
      <c r="R7584" s="10">
        <v>0.7618522062909088</v>
      </c>
      <c r="S7584" s="10">
        <v>0.03916514973114282</v>
      </c>
      <c r="T7584" s="10">
        <v>18.430982933710474</v>
      </c>
      <c r="U7584" s="11">
        <v>0.02396341475253334</v>
      </c>
      <c r="V7584" s="11">
        <v>0.1476413563107495</v>
      </c>
      <c r="W7584" s="11">
        <v>0.3286748874514621</v>
      </c>
      <c r="X7584" s="11">
        <v>0.0623000422226916</v>
      </c>
      <c r="Y7584" s="11">
        <v>0.23357912684363982</v>
      </c>
      <c r="Z7584" s="11">
        <v>0.20384117241892363</v>
      </c>
    </row>
    <row r="7585" ht="22.5" customHeight="1">
      <c r="Q7585" s="9" t="s">
        <v>7623</v>
      </c>
      <c r="R7585" s="10">
        <v>0.7180495436328628</v>
      </c>
      <c r="S7585" s="10">
        <v>0.036788823035249295</v>
      </c>
      <c r="T7585" s="10">
        <v>18.430857192228956</v>
      </c>
      <c r="U7585" s="11">
        <v>0.022621196450334204</v>
      </c>
      <c r="V7585" s="11">
        <v>0.10630060064161154</v>
      </c>
      <c r="W7585" s="11">
        <v>0.3164994663908794</v>
      </c>
      <c r="X7585" s="11">
        <v>0.2506665465930949</v>
      </c>
      <c r="Y7585" s="11">
        <v>0.20904587552847195</v>
      </c>
      <c r="Z7585" s="11">
        <v>0.09486631439560796</v>
      </c>
    </row>
    <row r="7586" ht="22.5" customHeight="1">
      <c r="Q7586" s="9" t="s">
        <v>7624</v>
      </c>
      <c r="R7586" s="10">
        <v>0.4942091118188553</v>
      </c>
      <c r="S7586" s="10">
        <v>0.024644377776343308</v>
      </c>
      <c r="T7586" s="10">
        <v>18.430536812126814</v>
      </c>
      <c r="U7586" s="11">
        <v>0.28387946452718527</v>
      </c>
      <c r="V7586" s="11">
        <v>0.22423666133887316</v>
      </c>
      <c r="W7586" s="11">
        <v>0.03329051615478527</v>
      </c>
      <c r="X7586" s="11">
        <v>0.11280224606938749</v>
      </c>
      <c r="Y7586" s="11">
        <v>0.19272842189281408</v>
      </c>
      <c r="Z7586" s="11">
        <v>0.15306269001695486</v>
      </c>
    </row>
    <row r="7587" ht="22.5" customHeight="1">
      <c r="Q7587" s="9" t="s">
        <v>7625</v>
      </c>
      <c r="R7587" s="10">
        <v>0.9254933921004584</v>
      </c>
      <c r="S7587" s="10">
        <v>0.04804827066884728</v>
      </c>
      <c r="T7587" s="10">
        <v>18.429245834951132</v>
      </c>
      <c r="U7587" s="11">
        <v>0.1518232291839399</v>
      </c>
      <c r="V7587" s="11">
        <v>0.443763479067354</v>
      </c>
      <c r="W7587" s="11">
        <v>0.14286813154524286</v>
      </c>
      <c r="X7587" s="11">
        <v>0.08738749928947576</v>
      </c>
      <c r="Y7587" s="11">
        <v>0.031200811849754023</v>
      </c>
      <c r="Z7587" s="11">
        <v>0.14295684906423328</v>
      </c>
    </row>
    <row r="7588" ht="22.5" customHeight="1">
      <c r="Q7588" s="9" t="s">
        <v>7626</v>
      </c>
      <c r="R7588" s="10">
        <v>0.31622658302776835</v>
      </c>
      <c r="S7588" s="10">
        <v>0.014988643161795177</v>
      </c>
      <c r="T7588" s="10">
        <v>18.429058590963542</v>
      </c>
      <c r="U7588" s="11">
        <v>0.020445198636561048</v>
      </c>
      <c r="V7588" s="11">
        <v>0.040166427875236235</v>
      </c>
      <c r="W7588" s="11">
        <v>0.11181115730832973</v>
      </c>
      <c r="X7588" s="11">
        <v>0.102055682294842</v>
      </c>
      <c r="Y7588" s="11">
        <v>0.18420796048669263</v>
      </c>
      <c r="Z7588" s="11">
        <v>0.5413135733983384</v>
      </c>
    </row>
    <row r="7589" ht="22.5" customHeight="1">
      <c r="Q7589" s="9" t="s">
        <v>7627</v>
      </c>
      <c r="R7589" s="10">
        <v>0.5768958965255714</v>
      </c>
      <c r="S7589" s="10">
        <v>0.0291347306290943</v>
      </c>
      <c r="T7589" s="10">
        <v>18.4280370860687</v>
      </c>
      <c r="U7589" s="11">
        <v>0.052836690812740734</v>
      </c>
      <c r="V7589" s="11">
        <v>0.10377413430874974</v>
      </c>
      <c r="W7589" s="11">
        <v>0.2454911206100814</v>
      </c>
      <c r="X7589" s="11">
        <v>0.09882098080330996</v>
      </c>
      <c r="Y7589" s="11">
        <v>0.050187269023325175</v>
      </c>
      <c r="Z7589" s="11">
        <v>0.44888980444179305</v>
      </c>
    </row>
    <row r="7590" ht="22.5" customHeight="1">
      <c r="Q7590" s="9" t="s">
        <v>7628</v>
      </c>
      <c r="R7590" s="10">
        <v>0.5030705830042923</v>
      </c>
      <c r="S7590" s="10">
        <v>0.025128701993539115</v>
      </c>
      <c r="T7590" s="10">
        <v>18.427954739697785</v>
      </c>
      <c r="U7590" s="11">
        <v>0.020779336132684373</v>
      </c>
      <c r="V7590" s="11">
        <v>0.049032957736064205</v>
      </c>
      <c r="W7590" s="11">
        <v>0.21341399770783567</v>
      </c>
      <c r="X7590" s="11">
        <v>0.2729305231667024</v>
      </c>
      <c r="Y7590" s="11">
        <v>0.23644713675027798</v>
      </c>
      <c r="Z7590" s="11">
        <v>0.20739604850643534</v>
      </c>
    </row>
    <row r="7591" ht="22.5" customHeight="1">
      <c r="Q7591" s="9" t="s">
        <v>7629</v>
      </c>
      <c r="R7591" s="10">
        <v>0.7210326948893239</v>
      </c>
      <c r="S7591" s="10">
        <v>0.0369576564179906</v>
      </c>
      <c r="T7591" s="10">
        <v>18.42737773160866</v>
      </c>
      <c r="U7591" s="11">
        <v>0.35452743797633185</v>
      </c>
      <c r="V7591" s="11">
        <v>0.12363917125023316</v>
      </c>
      <c r="W7591" s="11">
        <v>0.31426830743241196</v>
      </c>
      <c r="X7591" s="11">
        <v>0.09996708541852799</v>
      </c>
      <c r="Y7591" s="11">
        <v>0.049732208241735375</v>
      </c>
      <c r="Z7591" s="11">
        <v>0.05786578968075958</v>
      </c>
    </row>
    <row r="7592" ht="22.5" customHeight="1">
      <c r="Q7592" s="9" t="s">
        <v>7630</v>
      </c>
      <c r="R7592" s="10">
        <v>0.5386901867503505</v>
      </c>
      <c r="S7592" s="10">
        <v>0.027062866773305102</v>
      </c>
      <c r="T7592" s="10">
        <v>18.42710127229611</v>
      </c>
      <c r="U7592" s="11">
        <v>0.18081540881833397</v>
      </c>
      <c r="V7592" s="11">
        <v>0.06536034038876776</v>
      </c>
      <c r="W7592" s="11">
        <v>0.22953025030608046</v>
      </c>
      <c r="X7592" s="11">
        <v>0.1500128396848215</v>
      </c>
      <c r="Y7592" s="11">
        <v>0.2461540457451179</v>
      </c>
      <c r="Z7592" s="11">
        <v>0.12812711505687838</v>
      </c>
    </row>
    <row r="7593" ht="22.5" customHeight="1">
      <c r="Q7593" s="9" t="s">
        <v>7631</v>
      </c>
      <c r="R7593" s="10">
        <v>0.5234215145357376</v>
      </c>
      <c r="S7593" s="10">
        <v>0.026236442894084076</v>
      </c>
      <c r="T7593" s="10">
        <v>18.425573790139893</v>
      </c>
      <c r="U7593" s="11">
        <v>0.11957808554902989</v>
      </c>
      <c r="V7593" s="11">
        <v>0.063199760651242</v>
      </c>
      <c r="W7593" s="11">
        <v>0.22291466078492989</v>
      </c>
      <c r="X7593" s="11">
        <v>0.1624259636539996</v>
      </c>
      <c r="Y7593" s="11">
        <v>0.23670360484554245</v>
      </c>
      <c r="Z7593" s="11">
        <v>0.1951779245152562</v>
      </c>
    </row>
    <row r="7594" ht="22.5" customHeight="1">
      <c r="Q7594" s="9" t="s">
        <v>7632</v>
      </c>
      <c r="R7594" s="10">
        <v>0.6232354432545831</v>
      </c>
      <c r="S7594" s="10">
        <v>0.031654441983395</v>
      </c>
      <c r="T7594" s="10">
        <v>18.425074230041123</v>
      </c>
      <c r="U7594" s="11">
        <v>0.030142723109767313</v>
      </c>
      <c r="V7594" s="11">
        <v>0.2972898186735928</v>
      </c>
      <c r="W7594" s="11">
        <v>0.04842652471062802</v>
      </c>
      <c r="X7594" s="11">
        <v>0.2992977225392777</v>
      </c>
      <c r="Y7594" s="11">
        <v>0.08427037458946457</v>
      </c>
      <c r="Z7594" s="11">
        <v>0.2405728363772697</v>
      </c>
    </row>
    <row r="7595" ht="22.5" customHeight="1">
      <c r="Q7595" s="9" t="s">
        <v>7633</v>
      </c>
      <c r="R7595" s="10">
        <v>0.5663587004239695</v>
      </c>
      <c r="S7595" s="10">
        <v>0.028567980726031433</v>
      </c>
      <c r="T7595" s="10">
        <v>18.42477791733968</v>
      </c>
      <c r="U7595" s="11">
        <v>0.2893152632322616</v>
      </c>
      <c r="V7595" s="11">
        <v>0.26480857776413624</v>
      </c>
      <c r="W7595" s="11">
        <v>0.05593399171581465</v>
      </c>
      <c r="X7595" s="11">
        <v>0.11964482900553836</v>
      </c>
      <c r="Y7595" s="11">
        <v>0.0109641225382826</v>
      </c>
      <c r="Z7595" s="11">
        <v>0.25933321574396645</v>
      </c>
    </row>
    <row r="7596" ht="22.5" customHeight="1">
      <c r="Q7596" s="9" t="s">
        <v>7634</v>
      </c>
      <c r="R7596" s="10">
        <v>0.38151661443527096</v>
      </c>
      <c r="S7596" s="10">
        <v>0.0185386383691384</v>
      </c>
      <c r="T7596" s="10">
        <v>18.421882321400677</v>
      </c>
      <c r="U7596" s="11">
        <v>0.13026008716049847</v>
      </c>
      <c r="V7596" s="11">
        <v>0.1610677648257915</v>
      </c>
      <c r="W7596" s="11">
        <v>0.005412814933888973</v>
      </c>
      <c r="X7596" s="11">
        <v>0.2202082456546807</v>
      </c>
      <c r="Y7596" s="11">
        <v>0.2635539046380892</v>
      </c>
      <c r="Z7596" s="11">
        <v>0.21949718278705138</v>
      </c>
    </row>
    <row r="7597" ht="22.5" customHeight="1">
      <c r="Q7597" s="9" t="s">
        <v>7635</v>
      </c>
      <c r="R7597" s="10">
        <v>0.5125356895462162</v>
      </c>
      <c r="S7597" s="10">
        <v>0.025654417392605832</v>
      </c>
      <c r="T7597" s="10">
        <v>18.419271906069923</v>
      </c>
      <c r="U7597" s="11">
        <v>0.15122348778092828</v>
      </c>
      <c r="V7597" s="11">
        <v>0.23732072046496835</v>
      </c>
      <c r="W7597" s="11">
        <v>0.038241133024108684</v>
      </c>
      <c r="X7597" s="11">
        <v>0.12622073970330483</v>
      </c>
      <c r="Y7597" s="11">
        <v>0.19583457021085407</v>
      </c>
      <c r="Z7597" s="11">
        <v>0.2511593488158358</v>
      </c>
    </row>
    <row r="7598" ht="22.5" customHeight="1">
      <c r="Q7598" s="9" t="s">
        <v>7636</v>
      </c>
      <c r="R7598" s="10">
        <v>0.6529834974232227</v>
      </c>
      <c r="S7598" s="10">
        <v>0.03328001989282904</v>
      </c>
      <c r="T7598" s="10">
        <v>18.418964273374858</v>
      </c>
      <c r="U7598" s="11">
        <v>0.030359065468943743</v>
      </c>
      <c r="V7598" s="11">
        <v>0.1197964162482013</v>
      </c>
      <c r="W7598" s="11">
        <v>0.2779011087939032</v>
      </c>
      <c r="X7598" s="11">
        <v>0.03964979506358028</v>
      </c>
      <c r="Y7598" s="11">
        <v>0.26784560896372367</v>
      </c>
      <c r="Z7598" s="11">
        <v>0.2644480054616479</v>
      </c>
    </row>
    <row r="7599" ht="22.5" customHeight="1">
      <c r="Q7599" s="9" t="s">
        <v>7637</v>
      </c>
      <c r="R7599" s="10">
        <v>0.6794051067406666</v>
      </c>
      <c r="S7599" s="10">
        <v>0.03471532912826097</v>
      </c>
      <c r="T7599" s="10">
        <v>18.41852353979675</v>
      </c>
      <c r="U7599" s="11">
        <v>0.131488589043114</v>
      </c>
      <c r="V7599" s="11">
        <v>0.32043470345909425</v>
      </c>
      <c r="W7599" s="11">
        <v>0.09264443853524812</v>
      </c>
      <c r="X7599" s="11">
        <v>0.009317010119935402</v>
      </c>
      <c r="Y7599" s="11">
        <v>0.16771800254558888</v>
      </c>
      <c r="Z7599" s="11">
        <v>0.2783972562970193</v>
      </c>
    </row>
    <row r="7600" ht="22.5" customHeight="1">
      <c r="Q7600" s="9" t="s">
        <v>7638</v>
      </c>
      <c r="R7600" s="10">
        <v>0.5490516688421103</v>
      </c>
      <c r="S7600" s="10">
        <v>0.027641842127059564</v>
      </c>
      <c r="T7600" s="10">
        <v>18.415982064515948</v>
      </c>
      <c r="U7600" s="11">
        <v>0.13073547627551285</v>
      </c>
      <c r="V7600" s="11">
        <v>0.25829935262644826</v>
      </c>
      <c r="W7600" s="11">
        <v>0.03701813798607283</v>
      </c>
      <c r="X7600" s="11">
        <v>0.21625617395251578</v>
      </c>
      <c r="Y7600" s="11">
        <v>0.12987655750089488</v>
      </c>
      <c r="Z7600" s="11">
        <v>0.22781430165855532</v>
      </c>
    </row>
    <row r="7601" ht="22.5" customHeight="1">
      <c r="Q7601" s="9" t="s">
        <v>7639</v>
      </c>
      <c r="R7601" s="10">
        <v>0.8583520185540612</v>
      </c>
      <c r="S7601" s="10">
        <v>0.044438864845430824</v>
      </c>
      <c r="T7601" s="10">
        <v>18.415232283733808</v>
      </c>
      <c r="U7601" s="11">
        <v>0.4015993371643786</v>
      </c>
      <c r="V7601" s="11">
        <v>0.1732716975275399</v>
      </c>
      <c r="W7601" s="11">
        <v>0.371873189212384</v>
      </c>
      <c r="X7601" s="11">
        <v>0.036925523638120454</v>
      </c>
      <c r="Y7601" s="11">
        <v>0.012740434477208832</v>
      </c>
      <c r="Z7601" s="11">
        <v>0.0035898179803681087</v>
      </c>
    </row>
    <row r="7602" ht="22.5" customHeight="1">
      <c r="Q7602" s="9" t="s">
        <v>7640</v>
      </c>
      <c r="R7602" s="10">
        <v>0.5978021285339747</v>
      </c>
      <c r="S7602" s="10">
        <v>0.030292388932770118</v>
      </c>
      <c r="T7602" s="10">
        <v>18.413936575683795</v>
      </c>
      <c r="U7602" s="11">
        <v>0.02090071610596512</v>
      </c>
      <c r="V7602" s="11">
        <v>0.08479666409755209</v>
      </c>
      <c r="W7602" s="11">
        <v>0.25885787552487677</v>
      </c>
      <c r="X7602" s="11">
        <v>0.17664451227267006</v>
      </c>
      <c r="Y7602" s="11">
        <v>0.23158023001068365</v>
      </c>
      <c r="Z7602" s="11">
        <v>0.22722000198825232</v>
      </c>
    </row>
    <row r="7603" ht="22.5" customHeight="1">
      <c r="Q7603" s="9" t="s">
        <v>7641</v>
      </c>
      <c r="R7603" s="10">
        <v>0.5263939543778319</v>
      </c>
      <c r="S7603" s="10">
        <v>0.026414871168440008</v>
      </c>
      <c r="T7603" s="10">
        <v>18.41364098564926</v>
      </c>
      <c r="U7603" s="11">
        <v>0.15059703955550907</v>
      </c>
      <c r="V7603" s="11">
        <v>0.2412499339682828</v>
      </c>
      <c r="W7603" s="11">
        <v>0.024240632240603785</v>
      </c>
      <c r="X7603" s="11">
        <v>0.2390997918537713</v>
      </c>
      <c r="Y7603" s="11">
        <v>0.2644743655516502</v>
      </c>
      <c r="Z7603" s="11">
        <v>0.08033823683018279</v>
      </c>
    </row>
    <row r="7604" ht="22.5" customHeight="1">
      <c r="Q7604" s="9" t="s">
        <v>7642</v>
      </c>
      <c r="R7604" s="10">
        <v>0.522331348251574</v>
      </c>
      <c r="S7604" s="10">
        <v>0.020555751307429444</v>
      </c>
      <c r="T7604" s="10">
        <v>18.413451497057988</v>
      </c>
      <c r="U7604" s="11">
        <v>0.15314838815313161</v>
      </c>
      <c r="V7604" s="11">
        <v>0.18422900205638973</v>
      </c>
      <c r="W7604" s="11">
        <v>0.016357241453813568</v>
      </c>
      <c r="X7604" s="11">
        <v>0.16247502996667473</v>
      </c>
      <c r="Y7604" s="11">
        <v>0.2424527382493806</v>
      </c>
      <c r="Z7604" s="11">
        <v>0.2413376001206099</v>
      </c>
    </row>
    <row r="7605" ht="22.5" customHeight="1">
      <c r="Q7605" s="9" t="s">
        <v>7643</v>
      </c>
      <c r="R7605" s="10">
        <v>0.6806478358560585</v>
      </c>
      <c r="S7605" s="10">
        <v>0.034794324215372756</v>
      </c>
      <c r="T7605" s="10">
        <v>18.412423586402312</v>
      </c>
      <c r="U7605" s="11">
        <v>0.27541066446618007</v>
      </c>
      <c r="V7605" s="11">
        <v>0.32314249674194045</v>
      </c>
      <c r="W7605" s="11">
        <v>0.06844849276462081</v>
      </c>
      <c r="X7605" s="11">
        <v>0.12684484944411328</v>
      </c>
      <c r="Y7605" s="11">
        <v>0.1504439535500011</v>
      </c>
      <c r="Z7605" s="11">
        <v>0.0557095430331441</v>
      </c>
    </row>
    <row r="7606" ht="22.5" customHeight="1">
      <c r="Q7606" s="9" t="s">
        <v>7644</v>
      </c>
      <c r="R7606" s="10">
        <v>0.37704507502283596</v>
      </c>
      <c r="S7606" s="10">
        <v>0.01830632263980501</v>
      </c>
      <c r="T7606" s="10">
        <v>18.41140253313191</v>
      </c>
      <c r="U7606" s="11">
        <v>0.17344292801135894</v>
      </c>
      <c r="V7606" s="11">
        <v>0.1608930807543026</v>
      </c>
      <c r="W7606" s="11">
        <v>0.0073557772418763765</v>
      </c>
      <c r="X7606" s="11">
        <v>0.19579848948432668</v>
      </c>
      <c r="Y7606" s="11">
        <v>0.20706026512107903</v>
      </c>
      <c r="Z7606" s="11">
        <v>0.2554494593870563</v>
      </c>
    </row>
    <row r="7607" ht="22.5" customHeight="1">
      <c r="Q7607" s="9" t="s">
        <v>7645</v>
      </c>
      <c r="R7607" s="10">
        <v>0.5192020731945515</v>
      </c>
      <c r="S7607" s="10">
        <v>0.026028282831288718</v>
      </c>
      <c r="T7607" s="10">
        <v>18.410821655069018</v>
      </c>
      <c r="U7607" s="11">
        <v>0.12627349993135695</v>
      </c>
      <c r="V7607" s="11">
        <v>0.23849977748065884</v>
      </c>
      <c r="W7607" s="11">
        <v>0.04379471881277738</v>
      </c>
      <c r="X7607" s="11">
        <v>0.08195969490325848</v>
      </c>
      <c r="Y7607" s="11">
        <v>0.2694656209710759</v>
      </c>
      <c r="Z7607" s="11">
        <v>0.24000668790087248</v>
      </c>
    </row>
    <row r="7608" ht="22.5" customHeight="1">
      <c r="Q7608" s="9" t="s">
        <v>7646</v>
      </c>
      <c r="R7608" s="10">
        <v>0.4024715777051728</v>
      </c>
      <c r="S7608" s="10">
        <v>0.019691473354471963</v>
      </c>
      <c r="T7608" s="10">
        <v>18.40753970920388</v>
      </c>
      <c r="U7608" s="11">
        <v>0.05106268647612091</v>
      </c>
      <c r="V7608" s="11">
        <v>0.17396351000321567</v>
      </c>
      <c r="W7608" s="11">
        <v>0.014665081876406872</v>
      </c>
      <c r="X7608" s="11">
        <v>0.17756325334404935</v>
      </c>
      <c r="Y7608" s="11">
        <v>0.29972567055257104</v>
      </c>
      <c r="Z7608" s="11">
        <v>0.283019797747636</v>
      </c>
    </row>
    <row r="7609" ht="22.5" customHeight="1">
      <c r="Q7609" s="9" t="s">
        <v>7647</v>
      </c>
      <c r="R7609" s="10">
        <v>0.549512885777265</v>
      </c>
      <c r="S7609" s="10">
        <v>0.02767979289295938</v>
      </c>
      <c r="T7609" s="10">
        <v>18.407395161791992</v>
      </c>
      <c r="U7609" s="11">
        <v>0.07910080894644553</v>
      </c>
      <c r="V7609" s="11">
        <v>0.08340894426680286</v>
      </c>
      <c r="W7609" s="11">
        <v>0.235256167348016</v>
      </c>
      <c r="X7609" s="11">
        <v>0.1107742402752379</v>
      </c>
      <c r="Y7609" s="11">
        <v>0.16519938246947233</v>
      </c>
      <c r="Z7609" s="11">
        <v>0.3262604566940253</v>
      </c>
    </row>
    <row r="7610" ht="22.5" customHeight="1">
      <c r="Q7610" s="9" t="s">
        <v>7648</v>
      </c>
      <c r="R7610" s="10">
        <v>0.6869323765591582</v>
      </c>
      <c r="S7610" s="10">
        <v>0.03514617865154806</v>
      </c>
      <c r="T7610" s="10">
        <v>18.406905142464563</v>
      </c>
      <c r="U7610" s="11">
        <v>0.22044656377445157</v>
      </c>
      <c r="V7610" s="11">
        <v>0.13640511779541994</v>
      </c>
      <c r="W7610" s="11">
        <v>0.29453012933703937</v>
      </c>
      <c r="X7610" s="11">
        <v>0.03744211535777617</v>
      </c>
      <c r="Y7610" s="11">
        <v>0.007005725259175384</v>
      </c>
      <c r="Z7610" s="11">
        <v>0.30417034847613744</v>
      </c>
    </row>
    <row r="7611" ht="22.5" customHeight="1">
      <c r="Q7611" s="9" t="s">
        <v>7649</v>
      </c>
      <c r="R7611" s="10">
        <v>0.6946189427603402</v>
      </c>
      <c r="S7611" s="10">
        <v>0.03556387095359767</v>
      </c>
      <c r="T7611" s="10">
        <v>18.406852943945868</v>
      </c>
      <c r="U7611" s="11">
        <v>0.10645672189878144</v>
      </c>
      <c r="V7611" s="11">
        <v>0.32897073636256946</v>
      </c>
      <c r="W7611" s="11">
        <v>0.10146885371285455</v>
      </c>
      <c r="X7611" s="11">
        <v>0.02905784961339846</v>
      </c>
      <c r="Y7611" s="11">
        <v>0.06037685827273625</v>
      </c>
      <c r="Z7611" s="11">
        <v>0.3736689801396598</v>
      </c>
    </row>
    <row r="7612" ht="22.5" customHeight="1">
      <c r="Q7612" s="9" t="s">
        <v>7650</v>
      </c>
      <c r="R7612" s="10">
        <v>0.44731790978507296</v>
      </c>
      <c r="S7612" s="10">
        <v>0.022129147022059467</v>
      </c>
      <c r="T7612" s="10">
        <v>18.40639900756399</v>
      </c>
      <c r="U7612" s="11">
        <v>0.2485441950893131</v>
      </c>
      <c r="V7612" s="11">
        <v>0.02522845078684015</v>
      </c>
      <c r="W7612" s="11">
        <v>0.18316633446890676</v>
      </c>
      <c r="X7612" s="11">
        <v>0.28982057881357287</v>
      </c>
      <c r="Y7612" s="11">
        <v>0.23016905127440182</v>
      </c>
      <c r="Z7612" s="11">
        <v>0.02307138956696525</v>
      </c>
    </row>
    <row r="7613" ht="22.5" customHeight="1">
      <c r="Q7613" s="9" t="s">
        <v>7651</v>
      </c>
      <c r="R7613" s="10">
        <v>0.4179547805555737</v>
      </c>
      <c r="S7613" s="10">
        <v>0.02053425061322532</v>
      </c>
      <c r="T7613" s="10">
        <v>18.40606641433253</v>
      </c>
      <c r="U7613" s="11">
        <v>0.07161509377208129</v>
      </c>
      <c r="V7613" s="11">
        <v>0.18166888739691064</v>
      </c>
      <c r="W7613" s="11">
        <v>0.025776585137152527</v>
      </c>
      <c r="X7613" s="11">
        <v>0.09965268716618043</v>
      </c>
      <c r="Y7613" s="11">
        <v>0.32022537006802965</v>
      </c>
      <c r="Z7613" s="11">
        <v>0.3010613764596455</v>
      </c>
    </row>
    <row r="7614" ht="22.5" customHeight="1">
      <c r="Q7614" s="9" t="s">
        <v>7652</v>
      </c>
      <c r="R7614" s="10">
        <v>0.4943572777997732</v>
      </c>
      <c r="S7614" s="10">
        <v>0.02468668794662655</v>
      </c>
      <c r="T7614" s="10">
        <v>18.40495082945549</v>
      </c>
      <c r="U7614" s="11">
        <v>0.08475860778042718</v>
      </c>
      <c r="V7614" s="11">
        <v>0.04976113806549305</v>
      </c>
      <c r="W7614" s="11">
        <v>0.2117169736289109</v>
      </c>
      <c r="X7614" s="11">
        <v>0.25568938651664613</v>
      </c>
      <c r="Y7614" s="11">
        <v>0.14553470079714526</v>
      </c>
      <c r="Z7614" s="11">
        <v>0.2525391932113776</v>
      </c>
    </row>
    <row r="7615" ht="22.5" customHeight="1">
      <c r="Q7615" s="9" t="s">
        <v>7653</v>
      </c>
      <c r="R7615" s="10">
        <v>0.5259476550330372</v>
      </c>
      <c r="S7615" s="10">
        <v>0.02640498312213528</v>
      </c>
      <c r="T7615" s="10">
        <v>18.403634374061298</v>
      </c>
      <c r="U7615" s="11">
        <v>0.25251525845995554</v>
      </c>
      <c r="V7615" s="11">
        <v>0.2408199787821723</v>
      </c>
      <c r="W7615" s="11">
        <v>0.037905334443920496</v>
      </c>
      <c r="X7615" s="11">
        <v>0.1083919584369028</v>
      </c>
      <c r="Y7615" s="11">
        <v>0.24251626670358845</v>
      </c>
      <c r="Z7615" s="11">
        <v>0.11785120317346061</v>
      </c>
    </row>
    <row r="7616" ht="22.5" customHeight="1">
      <c r="Q7616" s="9" t="s">
        <v>7654</v>
      </c>
      <c r="R7616" s="10">
        <v>0.7555706968344589</v>
      </c>
      <c r="S7616" s="10">
        <v>0.03888298236832237</v>
      </c>
      <c r="T7616" s="10">
        <v>18.40318445885026</v>
      </c>
      <c r="U7616" s="11">
        <v>0.06433570447366431</v>
      </c>
      <c r="V7616" s="11">
        <v>0.10784535766162097</v>
      </c>
      <c r="W7616" s="11">
        <v>0.3356621125775748</v>
      </c>
      <c r="X7616" s="11">
        <v>0.2924564623803982</v>
      </c>
      <c r="Y7616" s="11">
        <v>0.1952987025739943</v>
      </c>
      <c r="Z7616" s="11">
        <v>0.004401660332747557</v>
      </c>
    </row>
    <row r="7617" ht="22.5" customHeight="1">
      <c r="Q7617" s="9" t="s">
        <v>7655</v>
      </c>
      <c r="R7617" s="10">
        <v>0.461536125702356</v>
      </c>
      <c r="S7617" s="10">
        <v>0.02290643537963185</v>
      </c>
      <c r="T7617" s="10">
        <v>18.402519585268223</v>
      </c>
      <c r="U7617" s="11">
        <v>0.09544312193679864</v>
      </c>
      <c r="V7617" s="11">
        <v>0.05399564806383895</v>
      </c>
      <c r="W7617" s="11">
        <v>0.18858100537818698</v>
      </c>
      <c r="X7617" s="11">
        <v>0.11697417649553812</v>
      </c>
      <c r="Y7617" s="11">
        <v>0.31604419955740265</v>
      </c>
      <c r="Z7617" s="11">
        <v>0.22896184856823468</v>
      </c>
    </row>
    <row r="7618" ht="22.5" customHeight="1">
      <c r="Q7618" s="9" t="s">
        <v>7656</v>
      </c>
      <c r="R7618" s="10">
        <v>0.5506938940582722</v>
      </c>
      <c r="S7618" s="10">
        <v>0.027751429274509628</v>
      </c>
      <c r="T7618" s="10">
        <v>18.40243574507916</v>
      </c>
      <c r="U7618" s="11">
        <v>0.17130080646645393</v>
      </c>
      <c r="V7618" s="11">
        <v>0.06784540493823775</v>
      </c>
      <c r="W7618" s="11">
        <v>0.23806961763552825</v>
      </c>
      <c r="X7618" s="11">
        <v>0.17426356648675967</v>
      </c>
      <c r="Y7618" s="11">
        <v>0.1774146849854904</v>
      </c>
      <c r="Z7618" s="11">
        <v>0.17110591948752987</v>
      </c>
    </row>
    <row r="7619" ht="22.5" customHeight="1">
      <c r="Q7619" s="9" t="s">
        <v>7657</v>
      </c>
      <c r="R7619" s="10">
        <v>0.7699098504158463</v>
      </c>
      <c r="S7619" s="10">
        <v>0.03966388485360658</v>
      </c>
      <c r="T7619" s="10">
        <v>18.402379220034383</v>
      </c>
      <c r="U7619" s="11">
        <v>0.32852425622172154</v>
      </c>
      <c r="V7619" s="11">
        <v>0.13433793890861837</v>
      </c>
      <c r="W7619" s="11">
        <v>0.3379347374232173</v>
      </c>
      <c r="X7619" s="11">
        <v>0.10851769093016495</v>
      </c>
      <c r="Y7619" s="11">
        <v>0.06841299995867052</v>
      </c>
      <c r="Z7619" s="11">
        <v>0.022272376557607367</v>
      </c>
    </row>
    <row r="7620" ht="22.5" customHeight="1">
      <c r="Q7620" s="9" t="s">
        <v>7658</v>
      </c>
      <c r="R7620" s="10">
        <v>0.44406476279298013</v>
      </c>
      <c r="S7620" s="10">
        <v>0.02195898087511857</v>
      </c>
      <c r="T7620" s="10">
        <v>18.40088868836443</v>
      </c>
      <c r="U7620" s="11">
        <v>0.19182539468319373</v>
      </c>
      <c r="V7620" s="11">
        <v>0.023711874696153275</v>
      </c>
      <c r="W7620" s="11">
        <v>0.18019732981627218</v>
      </c>
      <c r="X7620" s="11">
        <v>0.30545413845814173</v>
      </c>
      <c r="Y7620" s="11">
        <v>0.2732994628103131</v>
      </c>
      <c r="Z7620" s="11">
        <v>0.025511799535926034</v>
      </c>
    </row>
    <row r="7621" ht="22.5" customHeight="1">
      <c r="Q7621" s="9" t="s">
        <v>7659</v>
      </c>
      <c r="R7621" s="10">
        <v>0.7856044343356249</v>
      </c>
      <c r="S7621" s="10">
        <v>0.04052250629433462</v>
      </c>
      <c r="T7621" s="10">
        <v>18.39976108387616</v>
      </c>
      <c r="U7621" s="11">
        <v>0.08408079901204092</v>
      </c>
      <c r="V7621" s="11">
        <v>0.17646098353873402</v>
      </c>
      <c r="W7621" s="11">
        <v>0.3348035749258008</v>
      </c>
      <c r="X7621" s="11">
        <v>0.008299625707434796</v>
      </c>
      <c r="Y7621" s="11">
        <v>0.029576603939885263</v>
      </c>
      <c r="Z7621" s="11">
        <v>0.36677841287610424</v>
      </c>
    </row>
    <row r="7622" ht="22.5" customHeight="1">
      <c r="Q7622" s="9" t="s">
        <v>7660</v>
      </c>
      <c r="R7622" s="10">
        <v>0.22555383357668166</v>
      </c>
      <c r="S7622" s="10">
        <v>0.010084915704994335</v>
      </c>
      <c r="T7622" s="10">
        <v>18.399145714702417</v>
      </c>
      <c r="U7622" s="11">
        <v>0.3026523147032332</v>
      </c>
      <c r="V7622" s="11">
        <v>0.0419591406763718</v>
      </c>
      <c r="W7622" s="11">
        <v>0.024394293817935963</v>
      </c>
      <c r="X7622" s="11">
        <v>0.11408121758866027</v>
      </c>
      <c r="Y7622" s="11">
        <v>0.20901710697955744</v>
      </c>
      <c r="Z7622" s="11">
        <v>0.30789592623424133</v>
      </c>
    </row>
    <row r="7623" ht="22.5" customHeight="1">
      <c r="Q7623" s="9" t="s">
        <v>7661</v>
      </c>
      <c r="R7623" s="10">
        <v>0.5378842988425379</v>
      </c>
      <c r="S7623" s="10">
        <v>0.027063228449830463</v>
      </c>
      <c r="T7623" s="10">
        <v>18.397077043690878</v>
      </c>
      <c r="U7623" s="11">
        <v>0.09419447633813131</v>
      </c>
      <c r="V7623" s="11">
        <v>0.07480843326064605</v>
      </c>
      <c r="W7623" s="11">
        <v>0.22901446840329925</v>
      </c>
      <c r="X7623" s="11">
        <v>0.11332737208319547</v>
      </c>
      <c r="Y7623" s="11">
        <v>0.2409223471766814</v>
      </c>
      <c r="Z7623" s="11">
        <v>0.24773290273804655</v>
      </c>
    </row>
    <row r="7624" ht="22.5" customHeight="1">
      <c r="Q7624" s="9" t="s">
        <v>7662</v>
      </c>
      <c r="R7624" s="10">
        <v>0.7130037648614026</v>
      </c>
      <c r="S7624" s="10">
        <v>0.036582448264661574</v>
      </c>
      <c r="T7624" s="10">
        <v>18.396903345354286</v>
      </c>
      <c r="U7624" s="11">
        <v>0.11357605061852769</v>
      </c>
      <c r="V7624" s="11">
        <v>0.10678825251009232</v>
      </c>
      <c r="W7624" s="11">
        <v>0.31233569366757524</v>
      </c>
      <c r="X7624" s="11">
        <v>0.17390597871823005</v>
      </c>
      <c r="Y7624" s="11">
        <v>0.28081065309119424</v>
      </c>
      <c r="Z7624" s="11">
        <v>0.012583371394380496</v>
      </c>
    </row>
    <row r="7625" ht="22.5" customHeight="1">
      <c r="Q7625" s="9" t="s">
        <v>7663</v>
      </c>
      <c r="R7625" s="10">
        <v>0.6266002451002144</v>
      </c>
      <c r="S7625" s="10">
        <v>0.031886156358811486</v>
      </c>
      <c r="T7625" s="10">
        <v>18.39670603440769</v>
      </c>
      <c r="U7625" s="11">
        <v>0.08911722321683818</v>
      </c>
      <c r="V7625" s="11">
        <v>0.29446754835055305</v>
      </c>
      <c r="W7625" s="11">
        <v>0.07552379053398622</v>
      </c>
      <c r="X7625" s="11">
        <v>0.029447099334343006</v>
      </c>
      <c r="Y7625" s="11">
        <v>0.23741114392398052</v>
      </c>
      <c r="Z7625" s="11">
        <v>0.27403319464029896</v>
      </c>
    </row>
    <row r="7626" ht="22.5" customHeight="1">
      <c r="Q7626" s="9" t="s">
        <v>7664</v>
      </c>
      <c r="R7626" s="10">
        <v>0.2351727550355874</v>
      </c>
      <c r="S7626" s="10">
        <v>0.010609252571024371</v>
      </c>
      <c r="T7626" s="10">
        <v>18.396466077981454</v>
      </c>
      <c r="U7626" s="11">
        <v>0.2042161041277837</v>
      </c>
      <c r="V7626" s="11">
        <v>0.006033938880445866</v>
      </c>
      <c r="W7626" s="11">
        <v>0.044964008563571425</v>
      </c>
      <c r="X7626" s="11">
        <v>0.29524984399081455</v>
      </c>
      <c r="Y7626" s="11">
        <v>0.2821430856402454</v>
      </c>
      <c r="Z7626" s="11">
        <v>0.16739301879713908</v>
      </c>
    </row>
    <row r="7627" ht="22.5" customHeight="1">
      <c r="Q7627" s="9" t="s">
        <v>7665</v>
      </c>
      <c r="R7627" s="10">
        <v>0.6651422033221471</v>
      </c>
      <c r="S7627" s="10">
        <v>0.03398409328720564</v>
      </c>
      <c r="T7627" s="10">
        <v>18.3951414574742</v>
      </c>
      <c r="U7627" s="11">
        <v>0.15200704533753623</v>
      </c>
      <c r="V7627" s="11">
        <v>0.31578422942527695</v>
      </c>
      <c r="W7627" s="11">
        <v>0.08482813146705223</v>
      </c>
      <c r="X7627" s="11">
        <v>0.04600897694092387</v>
      </c>
      <c r="Y7627" s="11">
        <v>0.11546221424932333</v>
      </c>
      <c r="Z7627" s="11">
        <v>0.28590940257988745</v>
      </c>
    </row>
    <row r="7628" ht="22.5" customHeight="1">
      <c r="Q7628" s="9" t="s">
        <v>7666</v>
      </c>
      <c r="R7628" s="10">
        <v>0.5569764345075657</v>
      </c>
      <c r="S7628" s="10">
        <v>0.028105561674521506</v>
      </c>
      <c r="T7628" s="10">
        <v>18.394097242903335</v>
      </c>
      <c r="U7628" s="11">
        <v>0.15178874481822488</v>
      </c>
      <c r="V7628" s="11">
        <v>0.25666501470055914</v>
      </c>
      <c r="W7628" s="11">
        <v>0.026519841424456177</v>
      </c>
      <c r="X7628" s="11">
        <v>0.25955686053268906</v>
      </c>
      <c r="Y7628" s="11">
        <v>0.28171213162824116</v>
      </c>
      <c r="Z7628" s="11">
        <v>0.02375740689582963</v>
      </c>
    </row>
    <row r="7629" ht="22.5" customHeight="1">
      <c r="Q7629" s="9" t="s">
        <v>7667</v>
      </c>
      <c r="R7629" s="10">
        <v>0.22861724495872648</v>
      </c>
      <c r="S7629" s="10">
        <v>0.010254294522849866</v>
      </c>
      <c r="T7629" s="10">
        <v>18.393975766780112</v>
      </c>
      <c r="U7629" s="11">
        <v>0.27080214037986944</v>
      </c>
      <c r="V7629" s="11">
        <v>0.04922634451150639</v>
      </c>
      <c r="W7629" s="11">
        <v>0.01914146658774001</v>
      </c>
      <c r="X7629" s="11">
        <v>0.11410970344064074</v>
      </c>
      <c r="Y7629" s="11">
        <v>0.2309770996108622</v>
      </c>
      <c r="Z7629" s="11">
        <v>0.3157432454693813</v>
      </c>
    </row>
    <row r="7630" ht="22.5" customHeight="1">
      <c r="Q7630" s="9" t="s">
        <v>7668</v>
      </c>
      <c r="R7630" s="10">
        <v>0.8543783349616504</v>
      </c>
      <c r="S7630" s="10">
        <v>0.04427634889754136</v>
      </c>
      <c r="T7630" s="10">
        <v>18.393077912683815</v>
      </c>
      <c r="U7630" s="11">
        <v>0.008219763575381935</v>
      </c>
      <c r="V7630" s="11">
        <v>0.40888468508329723</v>
      </c>
      <c r="W7630" s="11">
        <v>0.11702383692346024</v>
      </c>
      <c r="X7630" s="11">
        <v>0.0803370775096749</v>
      </c>
      <c r="Y7630" s="11">
        <v>0.2884098234566818</v>
      </c>
      <c r="Z7630" s="11">
        <v>0.09712481345150391</v>
      </c>
    </row>
    <row r="7631" ht="22.5" customHeight="1">
      <c r="Q7631" s="9" t="s">
        <v>7669</v>
      </c>
      <c r="R7631" s="10">
        <v>0.4128825586388849</v>
      </c>
      <c r="S7631" s="10">
        <v>0.02027306450901448</v>
      </c>
      <c r="T7631" s="10">
        <v>18.393004100247477</v>
      </c>
      <c r="U7631" s="11">
        <v>0.25414000618004196</v>
      </c>
      <c r="V7631" s="11">
        <v>0.0240857652998374</v>
      </c>
      <c r="W7631" s="11">
        <v>0.16405803695513674</v>
      </c>
      <c r="X7631" s="11">
        <v>0.2288316408545925</v>
      </c>
      <c r="Y7631" s="11">
        <v>0.2683829877689323</v>
      </c>
      <c r="Z7631" s="11">
        <v>0.060501562941459044</v>
      </c>
    </row>
    <row r="7632" ht="22.5" customHeight="1">
      <c r="Q7632" s="9" t="s">
        <v>7670</v>
      </c>
      <c r="R7632" s="10">
        <v>0.48554171492121867</v>
      </c>
      <c r="S7632" s="10">
        <v>0.024223502041040366</v>
      </c>
      <c r="T7632" s="10">
        <v>18.39295219024752</v>
      </c>
      <c r="U7632" s="11">
        <v>0.2988900617893477</v>
      </c>
      <c r="V7632" s="11">
        <v>0.04481694402081577</v>
      </c>
      <c r="W7632" s="11">
        <v>0.2023377401798523</v>
      </c>
      <c r="X7632" s="11">
        <v>0.17519169084260666</v>
      </c>
      <c r="Y7632" s="11">
        <v>0.24387817953999555</v>
      </c>
      <c r="Z7632" s="11">
        <v>0.03488538362738196</v>
      </c>
    </row>
    <row r="7633" ht="22.5" customHeight="1">
      <c r="Q7633" s="9" t="s">
        <v>7671</v>
      </c>
      <c r="R7633" s="10">
        <v>0.6541437453994691</v>
      </c>
      <c r="S7633" s="10">
        <v>0.03339112227214279</v>
      </c>
      <c r="T7633" s="10">
        <v>18.392425998566413</v>
      </c>
      <c r="U7633" s="11">
        <v>0.25280228970436497</v>
      </c>
      <c r="V7633" s="11">
        <v>0.1044405885255081</v>
      </c>
      <c r="W7633" s="11">
        <v>0.2834440273520869</v>
      </c>
      <c r="X7633" s="11">
        <v>0.07651305019818286</v>
      </c>
      <c r="Y7633" s="11">
        <v>0.19153087779004824</v>
      </c>
      <c r="Z7633" s="11">
        <v>0.09126916642980903</v>
      </c>
    </row>
    <row r="7634" ht="22.5" customHeight="1">
      <c r="Q7634" s="9" t="s">
        <v>7672</v>
      </c>
      <c r="R7634" s="10">
        <v>0.5425406172968827</v>
      </c>
      <c r="S7634" s="10">
        <v>0.027324019292825984</v>
      </c>
      <c r="T7634" s="10">
        <v>18.39189951929314</v>
      </c>
      <c r="U7634" s="11">
        <v>0.16872408715560858</v>
      </c>
      <c r="V7634" s="11">
        <v>0.08541106999421444</v>
      </c>
      <c r="W7634" s="11">
        <v>0.22740401084763476</v>
      </c>
      <c r="X7634" s="11">
        <v>0.030580782442003115</v>
      </c>
      <c r="Y7634" s="11">
        <v>0.2535077090522005</v>
      </c>
      <c r="Z7634" s="11">
        <v>0.23437234050833872</v>
      </c>
    </row>
    <row r="7635" ht="22.5" customHeight="1">
      <c r="Q7635" s="9" t="s">
        <v>7673</v>
      </c>
      <c r="R7635" s="10">
        <v>0.46991729357888445</v>
      </c>
      <c r="S7635" s="10">
        <v>0.02337541678206409</v>
      </c>
      <c r="T7635" s="10">
        <v>18.391855751156452</v>
      </c>
      <c r="U7635" s="11">
        <v>0.20217502176820923</v>
      </c>
      <c r="V7635" s="11">
        <v>0.21354202623222643</v>
      </c>
      <c r="W7635" s="11">
        <v>0.017976580121346297</v>
      </c>
      <c r="X7635" s="11">
        <v>0.2193217583689998</v>
      </c>
      <c r="Y7635" s="11">
        <v>0.1770406923641832</v>
      </c>
      <c r="Z7635" s="11">
        <v>0.16994392114503504</v>
      </c>
    </row>
    <row r="7636" ht="22.5" customHeight="1">
      <c r="Q7636" s="9" t="s">
        <v>7674</v>
      </c>
      <c r="R7636" s="10">
        <v>0.6107180678892176</v>
      </c>
      <c r="S7636" s="10">
        <v>0.031031187787300324</v>
      </c>
      <c r="T7636" s="10">
        <v>18.3917570864879</v>
      </c>
      <c r="U7636" s="11">
        <v>0.1227691066213916</v>
      </c>
      <c r="V7636" s="11">
        <v>0.0794963958395768</v>
      </c>
      <c r="W7636" s="11">
        <v>0.2687933918269443</v>
      </c>
      <c r="X7636" s="11">
        <v>0.23703430495174024</v>
      </c>
      <c r="Y7636" s="11">
        <v>0.11589688257737511</v>
      </c>
      <c r="Z7636" s="11">
        <v>0.17600991818297207</v>
      </c>
    </row>
    <row r="7637" ht="22.5" customHeight="1">
      <c r="Q7637" s="9" t="s">
        <v>7675</v>
      </c>
      <c r="R7637" s="10">
        <v>0.5755056660602383</v>
      </c>
      <c r="S7637" s="10">
        <v>0.029117448946947</v>
      </c>
      <c r="T7637" s="10">
        <v>18.39122881389603</v>
      </c>
      <c r="U7637" s="11">
        <v>0.00814803774818043</v>
      </c>
      <c r="V7637" s="11">
        <v>0.27022572351737006</v>
      </c>
      <c r="W7637" s="11">
        <v>0.04389655887183392</v>
      </c>
      <c r="X7637" s="11">
        <v>0.1872426317015738</v>
      </c>
      <c r="Y7637" s="11">
        <v>0.2749966759054763</v>
      </c>
      <c r="Z7637" s="11">
        <v>0.21549037225556553</v>
      </c>
    </row>
    <row r="7638" ht="22.5" customHeight="1">
      <c r="Q7638" s="9" t="s">
        <v>7676</v>
      </c>
      <c r="R7638" s="10">
        <v>0.5560665246188491</v>
      </c>
      <c r="S7638" s="10">
        <v>0.028061165550240956</v>
      </c>
      <c r="T7638" s="10">
        <v>18.39077295969332</v>
      </c>
      <c r="U7638" s="11">
        <v>0.2564264728644561</v>
      </c>
      <c r="V7638" s="11">
        <v>0.25781103903668073</v>
      </c>
      <c r="W7638" s="11">
        <v>0.05454763666966219</v>
      </c>
      <c r="X7638" s="11">
        <v>0.04757436412092745</v>
      </c>
      <c r="Y7638" s="11">
        <v>0.18270276666068272</v>
      </c>
      <c r="Z7638" s="11">
        <v>0.20093772064759075</v>
      </c>
    </row>
    <row r="7639" ht="22.5" customHeight="1">
      <c r="Q7639" s="9" t="s">
        <v>7677</v>
      </c>
      <c r="R7639" s="10">
        <v>0.6289976723136717</v>
      </c>
      <c r="S7639" s="10">
        <v>0.032026847367801745</v>
      </c>
      <c r="T7639" s="10">
        <v>18.39074778574121</v>
      </c>
      <c r="U7639" s="11">
        <v>0.1850575557842728</v>
      </c>
      <c r="V7639" s="11">
        <v>0.29955225152585635</v>
      </c>
      <c r="W7639" s="11">
        <v>0.04450055749591968</v>
      </c>
      <c r="X7639" s="11">
        <v>0.26966330517288345</v>
      </c>
      <c r="Y7639" s="11">
        <v>0.10252776732054669</v>
      </c>
      <c r="Z7639" s="11">
        <v>0.09869856270052105</v>
      </c>
    </row>
    <row r="7640" ht="22.5" customHeight="1">
      <c r="Q7640" s="9" t="s">
        <v>7678</v>
      </c>
      <c r="R7640" s="10">
        <v>0.6003061016670659</v>
      </c>
      <c r="S7640" s="10">
        <v>0.030467888252874078</v>
      </c>
      <c r="T7640" s="10">
        <v>18.39005371874473</v>
      </c>
      <c r="U7640" s="11">
        <v>0.20019331960682485</v>
      </c>
      <c r="V7640" s="11">
        <v>0.10380113462602743</v>
      </c>
      <c r="W7640" s="11">
        <v>0.2570049025997721</v>
      </c>
      <c r="X7640" s="11">
        <v>0.04192125330335364</v>
      </c>
      <c r="Y7640" s="11">
        <v>0.12251361764667264</v>
      </c>
      <c r="Z7640" s="11">
        <v>0.27456577221734924</v>
      </c>
    </row>
    <row r="7641" ht="22.5" customHeight="1">
      <c r="Q7641" s="9" t="s">
        <v>7679</v>
      </c>
      <c r="R7641" s="10">
        <v>0.7038747639647192</v>
      </c>
      <c r="S7641" s="10">
        <v>0.03610302874395493</v>
      </c>
      <c r="T7641" s="10">
        <v>18.38833990003894</v>
      </c>
      <c r="U7641" s="11">
        <v>0.026826348947700838</v>
      </c>
      <c r="V7641" s="11">
        <v>0.14141039805472044</v>
      </c>
      <c r="W7641" s="11">
        <v>0.30097219860390656</v>
      </c>
      <c r="X7641" s="11">
        <v>0.017171494685257423</v>
      </c>
      <c r="Y7641" s="11">
        <v>0.1984051365419218</v>
      </c>
      <c r="Z7641" s="11">
        <v>0.315214423166493</v>
      </c>
    </row>
    <row r="7642" ht="22.5" customHeight="1">
      <c r="Q7642" s="9" t="s">
        <v>7680</v>
      </c>
      <c r="R7642" s="10">
        <v>0.7384735007691376</v>
      </c>
      <c r="S7642" s="10">
        <v>0.037985738851850345</v>
      </c>
      <c r="T7642" s="10">
        <v>18.38778241205946</v>
      </c>
      <c r="U7642" s="11">
        <v>0.17072502614101107</v>
      </c>
      <c r="V7642" s="11">
        <v>0.14319247327104853</v>
      </c>
      <c r="W7642" s="11">
        <v>0.32021078990341323</v>
      </c>
      <c r="X7642" s="11">
        <v>0.040750920280429315</v>
      </c>
      <c r="Y7642" s="11">
        <v>0.10822294915726029</v>
      </c>
      <c r="Z7642" s="11">
        <v>0.21689784124683753</v>
      </c>
    </row>
    <row r="7643" ht="22.5" customHeight="1">
      <c r="Q7643" s="9" t="s">
        <v>7681</v>
      </c>
      <c r="R7643" s="10">
        <v>0.5760722743422259</v>
      </c>
      <c r="S7643" s="10">
        <v>0.029155367373424126</v>
      </c>
      <c r="T7643" s="10">
        <v>18.386743938986328</v>
      </c>
      <c r="U7643" s="11">
        <v>0.1595604936889287</v>
      </c>
      <c r="V7643" s="11">
        <v>0.26977190953012603</v>
      </c>
      <c r="W7643" s="11">
        <v>0.06019212957572014</v>
      </c>
      <c r="X7643" s="11">
        <v>0.052214664165557034</v>
      </c>
      <c r="Y7643" s="11">
        <v>0.19878440732278277</v>
      </c>
      <c r="Z7643" s="11">
        <v>0.25947639571688524</v>
      </c>
    </row>
    <row r="7644" ht="22.5" customHeight="1">
      <c r="Q7644" s="9" t="s">
        <v>7682</v>
      </c>
      <c r="R7644" s="10">
        <v>0.6185210313601337</v>
      </c>
      <c r="S7644" s="10">
        <v>0.03146450920939674</v>
      </c>
      <c r="T7644" s="10">
        <v>18.386462903650216</v>
      </c>
      <c r="U7644" s="11">
        <v>0.33405052591590073</v>
      </c>
      <c r="V7644" s="11">
        <v>0.2914662238194084</v>
      </c>
      <c r="W7644" s="11">
        <v>0.06606956826461444</v>
      </c>
      <c r="X7644" s="11">
        <v>0.10132075701802247</v>
      </c>
      <c r="Y7644" s="11">
        <v>0.015259194851565775</v>
      </c>
      <c r="Z7644" s="11">
        <v>0.19183373013048816</v>
      </c>
    </row>
    <row r="7645" ht="22.5" customHeight="1">
      <c r="Q7645" s="9" t="s">
        <v>7683</v>
      </c>
      <c r="R7645" s="10">
        <v>0.551848674544931</v>
      </c>
      <c r="S7645" s="10">
        <v>0.027839140156530454</v>
      </c>
      <c r="T7645" s="10">
        <v>18.385936909939456</v>
      </c>
      <c r="U7645" s="11">
        <v>0.13343658951515913</v>
      </c>
      <c r="V7645" s="11">
        <v>0.24829365637528597</v>
      </c>
      <c r="W7645" s="11">
        <v>0.05903206090479466</v>
      </c>
      <c r="X7645" s="11">
        <v>0.00240282510706387</v>
      </c>
      <c r="Y7645" s="11">
        <v>0.389248157320291</v>
      </c>
      <c r="Z7645" s="11">
        <v>0.16758671077740528</v>
      </c>
    </row>
    <row r="7646" ht="22.5" customHeight="1">
      <c r="Q7646" s="9" t="s">
        <v>7684</v>
      </c>
      <c r="R7646" s="10">
        <v>0.47247089230242867</v>
      </c>
      <c r="S7646" s="10">
        <v>0.02352189957729981</v>
      </c>
      <c r="T7646" s="10">
        <v>18.385882946281757</v>
      </c>
      <c r="U7646" s="11">
        <v>0.155826781975888</v>
      </c>
      <c r="V7646" s="11">
        <v>0.04458226535970141</v>
      </c>
      <c r="W7646" s="11">
        <v>0.20151727791667007</v>
      </c>
      <c r="X7646" s="11">
        <v>0.24771966079349517</v>
      </c>
      <c r="Y7646" s="11">
        <v>0.1007518789563842</v>
      </c>
      <c r="Z7646" s="11">
        <v>0.2496021349978612</v>
      </c>
    </row>
    <row r="7647" ht="22.5" customHeight="1">
      <c r="Q7647" s="9" t="s">
        <v>7685</v>
      </c>
      <c r="R7647" s="10">
        <v>0.5672767716297976</v>
      </c>
      <c r="S7647" s="10">
        <v>0.028679135322181207</v>
      </c>
      <c r="T7647" s="10">
        <v>18.38537897695917</v>
      </c>
      <c r="U7647" s="11">
        <v>0.0772450420167174</v>
      </c>
      <c r="V7647" s="11">
        <v>0.061973346330609795</v>
      </c>
      <c r="W7647" s="11">
        <v>0.2455987898505075</v>
      </c>
      <c r="X7647" s="11">
        <v>0.2534227121630534</v>
      </c>
      <c r="Y7647" s="11">
        <v>0.25084136942922614</v>
      </c>
      <c r="Z7647" s="11">
        <v>0.11091874020988585</v>
      </c>
    </row>
    <row r="7648" ht="22.5" customHeight="1">
      <c r="Q7648" s="9" t="s">
        <v>7686</v>
      </c>
      <c r="R7648" s="10">
        <v>0.6625788591775179</v>
      </c>
      <c r="S7648" s="10">
        <v>0.03386552036631398</v>
      </c>
      <c r="T7648" s="10">
        <v>18.38385627751336</v>
      </c>
      <c r="U7648" s="11">
        <v>0.0735423853419459</v>
      </c>
      <c r="V7648" s="11">
        <v>0.3104160524050383</v>
      </c>
      <c r="W7648" s="11">
        <v>0.05630876826130375</v>
      </c>
      <c r="X7648" s="11">
        <v>0.17574184928793227</v>
      </c>
      <c r="Y7648" s="11">
        <v>0.37752927060334845</v>
      </c>
      <c r="Z7648" s="11">
        <v>0.0064616741004313635</v>
      </c>
    </row>
    <row r="7649" ht="22.5" customHeight="1">
      <c r="Q7649" s="9" t="s">
        <v>7687</v>
      </c>
      <c r="R7649" s="10">
        <v>0.33280516714020625</v>
      </c>
      <c r="S7649" s="10">
        <v>0.015927715406563663</v>
      </c>
      <c r="T7649" s="10">
        <v>18.383375121051195</v>
      </c>
      <c r="U7649" s="11">
        <v>0.028300196322971215</v>
      </c>
      <c r="V7649" s="11">
        <v>0.035151946918905434</v>
      </c>
      <c r="W7649" s="11">
        <v>0.10422750017853251</v>
      </c>
      <c r="X7649" s="11">
        <v>0.13075935583251788</v>
      </c>
      <c r="Y7649" s="11">
        <v>0.46818410926004195</v>
      </c>
      <c r="Z7649" s="11">
        <v>0.23337689148703097</v>
      </c>
    </row>
    <row r="7650" ht="22.5" customHeight="1">
      <c r="Q7650" s="9" t="s">
        <v>7688</v>
      </c>
      <c r="R7650" s="10">
        <v>0.4373530385355869</v>
      </c>
      <c r="S7650" s="10">
        <v>0.021615159598680513</v>
      </c>
      <c r="T7650" s="10">
        <v>18.38307215459298</v>
      </c>
      <c r="U7650" s="11">
        <v>0.1541441407934799</v>
      </c>
      <c r="V7650" s="11">
        <v>0.03374904892848577</v>
      </c>
      <c r="W7650" s="11">
        <v>0.18304999864614424</v>
      </c>
      <c r="X7650" s="11">
        <v>0.2561626049843232</v>
      </c>
      <c r="Y7650" s="11">
        <v>0.14090377330819606</v>
      </c>
      <c r="Z7650" s="11">
        <v>0.2319904333393707</v>
      </c>
    </row>
    <row r="7651" ht="22.5" customHeight="1">
      <c r="Q7651" s="9" t="s">
        <v>7689</v>
      </c>
      <c r="R7651" s="10">
        <v>0.35371296998683033</v>
      </c>
      <c r="S7651" s="10">
        <v>0.01706548595000421</v>
      </c>
      <c r="T7651" s="10">
        <v>18.382891111679886</v>
      </c>
      <c r="U7651" s="11">
        <v>0.2819767406698344</v>
      </c>
      <c r="V7651" s="11">
        <v>0.029054933453330836</v>
      </c>
      <c r="W7651" s="11">
        <v>0.13515902885706627</v>
      </c>
      <c r="X7651" s="11">
        <v>0.12539699787578337</v>
      </c>
      <c r="Y7651" s="11">
        <v>0.16490853308827172</v>
      </c>
      <c r="Z7651" s="11">
        <v>0.2635037660557136</v>
      </c>
    </row>
    <row r="7652" ht="22.5" customHeight="1">
      <c r="Q7652" s="9" t="s">
        <v>7690</v>
      </c>
      <c r="R7652" s="10">
        <v>0.6697952636316656</v>
      </c>
      <c r="S7652" s="10">
        <v>0.034260577123674085</v>
      </c>
      <c r="T7652" s="10">
        <v>18.38250597350494</v>
      </c>
      <c r="U7652" s="11">
        <v>0.07659258403503975</v>
      </c>
      <c r="V7652" s="11">
        <v>0.11713350626285954</v>
      </c>
      <c r="W7652" s="11">
        <v>0.29028620168617647</v>
      </c>
      <c r="X7652" s="11">
        <v>0.0762522986173334</v>
      </c>
      <c r="Y7652" s="11">
        <v>0.20481002261109288</v>
      </c>
      <c r="Z7652" s="11">
        <v>0.23492538678749797</v>
      </c>
    </row>
    <row r="7653" ht="22.5" customHeight="1">
      <c r="Q7653" s="9" t="s">
        <v>7691</v>
      </c>
      <c r="R7653" s="10">
        <v>0.4594766673939921</v>
      </c>
      <c r="S7653" s="10">
        <v>0.022820969972654023</v>
      </c>
      <c r="T7653" s="10">
        <v>18.381193608187726</v>
      </c>
      <c r="U7653" s="11">
        <v>0.2858147641419877</v>
      </c>
      <c r="V7653" s="11">
        <v>0.06666296009530984</v>
      </c>
      <c r="W7653" s="11">
        <v>0.18813958945975504</v>
      </c>
      <c r="X7653" s="11">
        <v>0.0362917339120156</v>
      </c>
      <c r="Y7653" s="11">
        <v>0.12575669497027955</v>
      </c>
      <c r="Z7653" s="11">
        <v>0.2973342574206521</v>
      </c>
    </row>
    <row r="7654" ht="22.5" customHeight="1">
      <c r="Q7654" s="9" t="s">
        <v>7692</v>
      </c>
      <c r="R7654" s="10">
        <v>0.5248217687460973</v>
      </c>
      <c r="S7654" s="10">
        <v>0.02637682037512839</v>
      </c>
      <c r="T7654" s="10">
        <v>18.380599399435287</v>
      </c>
      <c r="U7654" s="11">
        <v>0.10985669353885062</v>
      </c>
      <c r="V7654" s="11">
        <v>0.24549398783442425</v>
      </c>
      <c r="W7654" s="11">
        <v>0.03260921649687014</v>
      </c>
      <c r="X7654" s="11">
        <v>0.1975768539456287</v>
      </c>
      <c r="Y7654" s="11">
        <v>0.17957491471154882</v>
      </c>
      <c r="Z7654" s="11">
        <v>0.2348883334726776</v>
      </c>
    </row>
    <row r="7655" ht="22.5" customHeight="1">
      <c r="Q7655" s="9" t="s">
        <v>7693</v>
      </c>
      <c r="R7655" s="10">
        <v>0.7311256244803016</v>
      </c>
      <c r="S7655" s="10">
        <v>0.03760114318660521</v>
      </c>
      <c r="T7655" s="10">
        <v>18.38044181397399</v>
      </c>
      <c r="U7655" s="11">
        <v>0.07140428067563416</v>
      </c>
      <c r="V7655" s="11">
        <v>0.13241636260017947</v>
      </c>
      <c r="W7655" s="11">
        <v>0.32124942707132653</v>
      </c>
      <c r="X7655" s="11">
        <v>0.1421366048690248</v>
      </c>
      <c r="Y7655" s="11">
        <v>0.06323287169392276</v>
      </c>
      <c r="Z7655" s="11">
        <v>0.2695604530899122</v>
      </c>
    </row>
    <row r="7656" ht="22.5" customHeight="1">
      <c r="Q7656" s="9" t="s">
        <v>7694</v>
      </c>
      <c r="R7656" s="10">
        <v>0.5859455709222465</v>
      </c>
      <c r="S7656" s="10">
        <v>0.02970406634019765</v>
      </c>
      <c r="T7656" s="10">
        <v>18.37948934902001</v>
      </c>
      <c r="U7656" s="11">
        <v>0.11946812378151403</v>
      </c>
      <c r="V7656" s="11">
        <v>0.2759035601037086</v>
      </c>
      <c r="W7656" s="11">
        <v>0.037991453942825666</v>
      </c>
      <c r="X7656" s="11">
        <v>0.2242210017375217</v>
      </c>
      <c r="Y7656" s="11">
        <v>0.22910403734729104</v>
      </c>
      <c r="Z7656" s="11">
        <v>0.11331182308713902</v>
      </c>
    </row>
    <row r="7657" ht="22.5" customHeight="1">
      <c r="Q7657" s="9" t="s">
        <v>7695</v>
      </c>
      <c r="R7657" s="10">
        <v>0.522331348251574</v>
      </c>
      <c r="S7657" s="10">
        <v>0.02884613549502808</v>
      </c>
      <c r="T7657" s="10">
        <v>18.378678474866533</v>
      </c>
      <c r="U7657" s="11">
        <v>0.1721790171526669</v>
      </c>
      <c r="V7657" s="11">
        <v>0.07439737326531547</v>
      </c>
      <c r="W7657" s="11">
        <v>0.24306348985598075</v>
      </c>
      <c r="X7657" s="11">
        <v>0.12222638072502925</v>
      </c>
      <c r="Y7657" s="11">
        <v>0.3053663652500315</v>
      </c>
      <c r="Z7657" s="11">
        <v>0.08276737375097593</v>
      </c>
    </row>
    <row r="7658" ht="22.5" customHeight="1">
      <c r="Q7658" s="9" t="s">
        <v>7696</v>
      </c>
      <c r="R7658" s="10">
        <v>0.7691778370639256</v>
      </c>
      <c r="S7658" s="10">
        <v>0.03967686955853456</v>
      </c>
      <c r="T7658" s="10">
        <v>18.37790746037015</v>
      </c>
      <c r="U7658" s="11">
        <v>0.037308519833982944</v>
      </c>
      <c r="V7658" s="11">
        <v>0.1340605291709594</v>
      </c>
      <c r="W7658" s="11">
        <v>0.33589678249807686</v>
      </c>
      <c r="X7658" s="11">
        <v>0.11634192300994142</v>
      </c>
      <c r="Y7658" s="11">
        <v>0.2947454791993432</v>
      </c>
      <c r="Z7658" s="11">
        <v>0.08164676628769636</v>
      </c>
    </row>
    <row r="7659" ht="22.5" customHeight="1">
      <c r="Q7659" s="9" t="s">
        <v>7697</v>
      </c>
      <c r="R7659" s="10">
        <v>0.5265131265579207</v>
      </c>
      <c r="S7659" s="10">
        <v>0.02647313068066021</v>
      </c>
      <c r="T7659" s="10">
        <v>18.3776196486402</v>
      </c>
      <c r="U7659" s="11">
        <v>0.07817701405473111</v>
      </c>
      <c r="V7659" s="11">
        <v>0.05212840250076631</v>
      </c>
      <c r="W7659" s="11">
        <v>0.22500859230964898</v>
      </c>
      <c r="X7659" s="11">
        <v>0.24897951652416342</v>
      </c>
      <c r="Y7659" s="11">
        <v>0.2706215504610784</v>
      </c>
      <c r="Z7659" s="11">
        <v>0.12508492414961178</v>
      </c>
    </row>
    <row r="7660" ht="22.5" customHeight="1">
      <c r="Q7660" s="9" t="s">
        <v>7698</v>
      </c>
      <c r="R7660" s="10">
        <v>0.33964603642934893</v>
      </c>
      <c r="S7660" s="10">
        <v>0.016305281486803283</v>
      </c>
      <c r="T7660" s="10">
        <v>18.37723787055551</v>
      </c>
      <c r="U7660" s="11">
        <v>0.1322009710135548</v>
      </c>
      <c r="V7660" s="11">
        <v>0.036463102311248205</v>
      </c>
      <c r="W7660" s="11">
        <v>0.12536744260780114</v>
      </c>
      <c r="X7660" s="11">
        <v>0.08143017383309242</v>
      </c>
      <c r="Y7660" s="11">
        <v>0.24240532439592352</v>
      </c>
      <c r="Z7660" s="11">
        <v>0.38213298583838</v>
      </c>
    </row>
    <row r="7661" ht="22.5" customHeight="1">
      <c r="Q7661" s="9" t="s">
        <v>7699</v>
      </c>
      <c r="R7661" s="10">
        <v>0.5191967611043814</v>
      </c>
      <c r="S7661" s="10">
        <v>0.02607615376297959</v>
      </c>
      <c r="T7661" s="10">
        <v>18.376819122178162</v>
      </c>
      <c r="U7661" s="11">
        <v>0.2107450011953735</v>
      </c>
      <c r="V7661" s="11">
        <v>0.2415921540869817</v>
      </c>
      <c r="W7661" s="11">
        <v>0.031442403819213115</v>
      </c>
      <c r="X7661" s="11">
        <v>0.1804740062751619</v>
      </c>
      <c r="Y7661" s="11">
        <v>0.15121076618359852</v>
      </c>
      <c r="Z7661" s="11">
        <v>0.18453566843967117</v>
      </c>
    </row>
    <row r="7662" ht="22.5" customHeight="1">
      <c r="Q7662" s="9" t="s">
        <v>7700</v>
      </c>
      <c r="R7662" s="10">
        <v>0.6905141513562292</v>
      </c>
      <c r="S7662" s="10">
        <v>0.0353997936927341</v>
      </c>
      <c r="T7662" s="10">
        <v>18.376213065042492</v>
      </c>
      <c r="U7662" s="11">
        <v>0.14317897507206456</v>
      </c>
      <c r="V7662" s="11">
        <v>0.09674792206728033</v>
      </c>
      <c r="W7662" s="11">
        <v>0.3062608966894094</v>
      </c>
      <c r="X7662" s="11">
        <v>0.2311327251102585</v>
      </c>
      <c r="Y7662" s="11">
        <v>0.15505881729476423</v>
      </c>
      <c r="Z7662" s="11">
        <v>0.06762066376622292</v>
      </c>
    </row>
    <row r="7663" ht="22.5" customHeight="1">
      <c r="Q7663" s="9" t="s">
        <v>7701</v>
      </c>
      <c r="R7663" s="10">
        <v>0.620460078388446</v>
      </c>
      <c r="S7663" s="10">
        <v>0.03158780853788376</v>
      </c>
      <c r="T7663" s="10">
        <v>18.37607941976383</v>
      </c>
      <c r="U7663" s="11">
        <v>0.1649724461120632</v>
      </c>
      <c r="V7663" s="11">
        <v>0.07068322161174026</v>
      </c>
      <c r="W7663" s="11">
        <v>0.27392211507819275</v>
      </c>
      <c r="X7663" s="11">
        <v>0.29240051255020666</v>
      </c>
      <c r="Y7663" s="11">
        <v>0.1377653981308803</v>
      </c>
      <c r="Z7663" s="11">
        <v>0.06025630651691684</v>
      </c>
    </row>
    <row r="7664" ht="22.5" customHeight="1">
      <c r="Q7664" s="9" t="s">
        <v>7702</v>
      </c>
      <c r="R7664" s="10">
        <v>0.7889716143499588</v>
      </c>
      <c r="S7664" s="10">
        <v>0.040758661688848306</v>
      </c>
      <c r="T7664" s="10">
        <v>18.375765624190738</v>
      </c>
      <c r="U7664" s="11">
        <v>0.18538962347162036</v>
      </c>
      <c r="V7664" s="11">
        <v>0.16577713369243505</v>
      </c>
      <c r="W7664" s="11">
        <v>0.3410731347172688</v>
      </c>
      <c r="X7664" s="11">
        <v>0.032618434154375785</v>
      </c>
      <c r="Y7664" s="11">
        <v>0.011377922286965337</v>
      </c>
      <c r="Z7664" s="11">
        <v>0.2637637516773345</v>
      </c>
    </row>
    <row r="7665" ht="22.5" customHeight="1">
      <c r="Q7665" s="9" t="s">
        <v>7703</v>
      </c>
      <c r="R7665" s="10">
        <v>0.6649160577005689</v>
      </c>
      <c r="S7665" s="10">
        <v>0.03400965311499277</v>
      </c>
      <c r="T7665" s="10">
        <v>18.374667203679348</v>
      </c>
      <c r="U7665" s="11">
        <v>0.10026260422035989</v>
      </c>
      <c r="V7665" s="11">
        <v>0.31450812650398907</v>
      </c>
      <c r="W7665" s="11">
        <v>0.08017479176974517</v>
      </c>
      <c r="X7665" s="11">
        <v>0.037384769632978626</v>
      </c>
      <c r="Y7665" s="11">
        <v>0.24919420719735286</v>
      </c>
      <c r="Z7665" s="11">
        <v>0.21847550067557442</v>
      </c>
    </row>
    <row r="7666" ht="22.5" customHeight="1">
      <c r="Q7666" s="9" t="s">
        <v>7704</v>
      </c>
      <c r="R7666" s="10">
        <v>0.7243375109954763</v>
      </c>
      <c r="S7666" s="10">
        <v>0.03724393382698596</v>
      </c>
      <c r="T7666" s="10">
        <v>18.374469092725743</v>
      </c>
      <c r="U7666" s="11">
        <v>0.022615603198054238</v>
      </c>
      <c r="V7666" s="11">
        <v>0.1289072259623808</v>
      </c>
      <c r="W7666" s="11">
        <v>0.3122179982454616</v>
      </c>
      <c r="X7666" s="11">
        <v>0.07071950857555984</v>
      </c>
      <c r="Y7666" s="11">
        <v>0.3352305156818408</v>
      </c>
      <c r="Z7666" s="11">
        <v>0.13030914833670265</v>
      </c>
    </row>
    <row r="7667" ht="22.5" customHeight="1">
      <c r="Q7667" s="9" t="s">
        <v>7705</v>
      </c>
      <c r="R7667" s="10">
        <v>0.6800311173913504</v>
      </c>
      <c r="S7667" s="10">
        <v>0.03483365951713563</v>
      </c>
      <c r="T7667" s="10">
        <v>18.373927008056718</v>
      </c>
      <c r="U7667" s="11">
        <v>0.2712947565705359</v>
      </c>
      <c r="V7667" s="11">
        <v>0.32402356087840006</v>
      </c>
      <c r="W7667" s="11">
        <v>0.08035190379885394</v>
      </c>
      <c r="X7667" s="11">
        <v>0.08469588055861628</v>
      </c>
      <c r="Y7667" s="11">
        <v>0.049045800973284925</v>
      </c>
      <c r="Z7667" s="11">
        <v>0.19058809722030895</v>
      </c>
    </row>
    <row r="7668" ht="22.5" customHeight="1">
      <c r="Q7668" s="9" t="s">
        <v>7706</v>
      </c>
      <c r="R7668" s="10">
        <v>0.6161318174662299</v>
      </c>
      <c r="S7668" s="10">
        <v>0.03135748449438379</v>
      </c>
      <c r="T7668" s="10">
        <v>18.373024072432106</v>
      </c>
      <c r="U7668" s="11">
        <v>0.27231684478069695</v>
      </c>
      <c r="V7668" s="11">
        <v>0.292495166974869</v>
      </c>
      <c r="W7668" s="11">
        <v>0.04413959141536469</v>
      </c>
      <c r="X7668" s="11">
        <v>0.26433168128999707</v>
      </c>
      <c r="Y7668" s="11">
        <v>0.02418774269409439</v>
      </c>
      <c r="Z7668" s="11">
        <v>0.10252897284497794</v>
      </c>
    </row>
    <row r="7669" ht="22.5" customHeight="1">
      <c r="Q7669" s="9" t="s">
        <v>7707</v>
      </c>
      <c r="R7669" s="10">
        <v>0.4418656733869386</v>
      </c>
      <c r="S7669" s="10">
        <v>0.021873871402840344</v>
      </c>
      <c r="T7669" s="10">
        <v>18.37195007623369</v>
      </c>
      <c r="U7669" s="11">
        <v>0.3747481974395549</v>
      </c>
      <c r="V7669" s="11">
        <v>0.19362501242187824</v>
      </c>
      <c r="W7669" s="11">
        <v>0.009003845939069105</v>
      </c>
      <c r="X7669" s="11">
        <v>0.2941800127520939</v>
      </c>
      <c r="Y7669" s="11">
        <v>0.03820263614793622</v>
      </c>
      <c r="Z7669" s="11">
        <v>0.09024029529946762</v>
      </c>
    </row>
    <row r="7670" ht="22.5" customHeight="1">
      <c r="Q7670" s="9" t="s">
        <v>7708</v>
      </c>
      <c r="R7670" s="10">
        <v>0.39162930268126694</v>
      </c>
      <c r="S7670" s="10">
        <v>0.019140144852546333</v>
      </c>
      <c r="T7670" s="10">
        <v>18.37129788672877</v>
      </c>
      <c r="U7670" s="11">
        <v>0.04946673444655072</v>
      </c>
      <c r="V7670" s="11">
        <v>0.015562457436986742</v>
      </c>
      <c r="W7670" s="11">
        <v>0.15510073494611115</v>
      </c>
      <c r="X7670" s="11">
        <v>0.3757366513079797</v>
      </c>
      <c r="Y7670" s="11">
        <v>0.1828510175484803</v>
      </c>
      <c r="Z7670" s="11">
        <v>0.22128240431389135</v>
      </c>
    </row>
    <row r="7671" ht="22.5" customHeight="1">
      <c r="Q7671" s="9" t="s">
        <v>7709</v>
      </c>
      <c r="R7671" s="10">
        <v>0.36589977737253787</v>
      </c>
      <c r="S7671" s="10">
        <v>0.017739674914857353</v>
      </c>
      <c r="T7671" s="10">
        <v>18.37123729362086</v>
      </c>
      <c r="U7671" s="11">
        <v>0.13803735428790445</v>
      </c>
      <c r="V7671" s="11">
        <v>0.15293487050373844</v>
      </c>
      <c r="W7671" s="11">
        <v>0.008547908261933024</v>
      </c>
      <c r="X7671" s="11">
        <v>0.1655909972761854</v>
      </c>
      <c r="Y7671" s="11">
        <v>0.2742062512512899</v>
      </c>
      <c r="Z7671" s="11">
        <v>0.2606826184189489</v>
      </c>
    </row>
    <row r="7672" ht="22.5" customHeight="1">
      <c r="Q7672" s="9" t="s">
        <v>7710</v>
      </c>
      <c r="R7672" s="10">
        <v>0.8575984928230584</v>
      </c>
      <c r="S7672" s="10">
        <v>0.04450476694996156</v>
      </c>
      <c r="T7672" s="10">
        <v>18.37103188838886</v>
      </c>
      <c r="U7672" s="11">
        <v>0.2123308021041331</v>
      </c>
      <c r="V7672" s="11">
        <v>0.16268392865288858</v>
      </c>
      <c r="W7672" s="11">
        <v>0.37870578757753637</v>
      </c>
      <c r="X7672" s="11">
        <v>0.11794341931555234</v>
      </c>
      <c r="Y7672" s="11">
        <v>0.05619942144371885</v>
      </c>
      <c r="Z7672" s="11">
        <v>0.07213664090617065</v>
      </c>
    </row>
    <row r="7673" ht="22.5" customHeight="1">
      <c r="Q7673" s="9" t="s">
        <v>7711</v>
      </c>
      <c r="R7673" s="10">
        <v>0.5275506133500133</v>
      </c>
      <c r="S7673" s="10">
        <v>0.026539592958806008</v>
      </c>
      <c r="T7673" s="10">
        <v>18.370689185277836</v>
      </c>
      <c r="U7673" s="11">
        <v>0.06523862320615857</v>
      </c>
      <c r="V7673" s="11">
        <v>0.2455764700794977</v>
      </c>
      <c r="W7673" s="11">
        <v>0.03403590059570429</v>
      </c>
      <c r="X7673" s="11">
        <v>0.1794813184862981</v>
      </c>
      <c r="Y7673" s="11">
        <v>0.2525134283810325</v>
      </c>
      <c r="Z7673" s="11">
        <v>0.22315425925130883</v>
      </c>
    </row>
    <row r="7674" ht="22.5" customHeight="1">
      <c r="Q7674" s="9" t="s">
        <v>7712</v>
      </c>
      <c r="R7674" s="10">
        <v>0.40510780146375014</v>
      </c>
      <c r="S7674" s="10">
        <v>0.019875539382339255</v>
      </c>
      <c r="T7674" s="10">
        <v>18.369705316685536</v>
      </c>
      <c r="U7674" s="11">
        <v>0.2383092925840064</v>
      </c>
      <c r="V7674" s="11">
        <v>0.018060956037199757</v>
      </c>
      <c r="W7674" s="11">
        <v>0.16455908533269437</v>
      </c>
      <c r="X7674" s="11">
        <v>0.33453917267983296</v>
      </c>
      <c r="Y7674" s="11">
        <v>0.0884594081180335</v>
      </c>
      <c r="Z7674" s="11">
        <v>0.15607208524823296</v>
      </c>
    </row>
    <row r="7675" ht="22.5" customHeight="1">
      <c r="Q7675" s="9" t="s">
        <v>7713</v>
      </c>
      <c r="R7675" s="10">
        <v>0.5171768451750167</v>
      </c>
      <c r="S7675" s="10">
        <v>0.025976450859587486</v>
      </c>
      <c r="T7675" s="10">
        <v>18.36959358899095</v>
      </c>
      <c r="U7675" s="11">
        <v>0.13755583032115348</v>
      </c>
      <c r="V7675" s="11">
        <v>0.24020136558947808</v>
      </c>
      <c r="W7675" s="11">
        <v>0.024380756550946594</v>
      </c>
      <c r="X7675" s="11">
        <v>0.24265983056142526</v>
      </c>
      <c r="Y7675" s="11">
        <v>0.1880674344273947</v>
      </c>
      <c r="Z7675" s="11">
        <v>0.16713478254960182</v>
      </c>
    </row>
    <row r="7676" ht="22.5" customHeight="1">
      <c r="Q7676" s="9" t="s">
        <v>7714</v>
      </c>
      <c r="R7676" s="10">
        <v>0.522331348251574</v>
      </c>
      <c r="S7676" s="10">
        <v>0.030787694966159736</v>
      </c>
      <c r="T7676" s="10">
        <v>18.36849342186081</v>
      </c>
      <c r="U7676" s="11">
        <v>0.0827263232871166</v>
      </c>
      <c r="V7676" s="11">
        <v>0.2862742467902853</v>
      </c>
      <c r="W7676" s="11">
        <v>0.03259200250777499</v>
      </c>
      <c r="X7676" s="11">
        <v>0.33824434666382025</v>
      </c>
      <c r="Y7676" s="11">
        <v>0.17017155904615752</v>
      </c>
      <c r="Z7676" s="11">
        <v>0.08999152170484549</v>
      </c>
    </row>
    <row r="7677" ht="22.5" customHeight="1">
      <c r="Q7677" s="9" t="s">
        <v>7715</v>
      </c>
      <c r="R7677" s="10">
        <v>0.6775689672075136</v>
      </c>
      <c r="S7677" s="10">
        <v>0.03471109240534226</v>
      </c>
      <c r="T7677" s="10">
        <v>18.367873870468785</v>
      </c>
      <c r="U7677" s="11">
        <v>0.13251823542208932</v>
      </c>
      <c r="V7677" s="11">
        <v>0.11736726817691709</v>
      </c>
      <c r="W7677" s="11">
        <v>0.2913518306457336</v>
      </c>
      <c r="X7677" s="11">
        <v>0.04058304849074718</v>
      </c>
      <c r="Y7677" s="11">
        <v>0.2887059002083443</v>
      </c>
      <c r="Z7677" s="11">
        <v>0.12947371705616847</v>
      </c>
    </row>
    <row r="7678" ht="22.5" customHeight="1">
      <c r="Q7678" s="9" t="s">
        <v>7716</v>
      </c>
      <c r="R7678" s="10">
        <v>0.6562493795056097</v>
      </c>
      <c r="S7678" s="10">
        <v>0.033553526030459246</v>
      </c>
      <c r="T7678" s="10">
        <v>18.366158565457184</v>
      </c>
      <c r="U7678" s="11">
        <v>0.12180603890598563</v>
      </c>
      <c r="V7678" s="11">
        <v>0.11261662656201198</v>
      </c>
      <c r="W7678" s="11">
        <v>0.2816916479110527</v>
      </c>
      <c r="X7678" s="11">
        <v>0.041191999105530966</v>
      </c>
      <c r="Y7678" s="11">
        <v>0.28115817461793535</v>
      </c>
      <c r="Z7678" s="11">
        <v>0.16153551289748325</v>
      </c>
    </row>
    <row r="7679" ht="22.5" customHeight="1">
      <c r="Q7679" s="9" t="s">
        <v>7717</v>
      </c>
      <c r="R7679" s="10">
        <v>0.5459370446032569</v>
      </c>
      <c r="S7679" s="10">
        <v>0.027549504429294394</v>
      </c>
      <c r="T7679" s="10">
        <v>18.364651382450113</v>
      </c>
      <c r="U7679" s="11">
        <v>0.03382325617113497</v>
      </c>
      <c r="V7679" s="11">
        <v>0.2554954240272901</v>
      </c>
      <c r="W7679" s="11">
        <v>0.03854674185406288</v>
      </c>
      <c r="X7679" s="11">
        <v>0.1771770787852173</v>
      </c>
      <c r="Y7679" s="11">
        <v>0.26116075106037806</v>
      </c>
      <c r="Z7679" s="11">
        <v>0.2337967481019167</v>
      </c>
    </row>
    <row r="7680" ht="22.5" customHeight="1">
      <c r="Q7680" s="9" t="s">
        <v>7718</v>
      </c>
      <c r="R7680" s="10">
        <v>0.7369202422678532</v>
      </c>
      <c r="S7680" s="10">
        <v>0.03794922234709841</v>
      </c>
      <c r="T7680" s="10">
        <v>18.36454607405518</v>
      </c>
      <c r="U7680" s="11">
        <v>0.25426873034352454</v>
      </c>
      <c r="V7680" s="11">
        <v>0.12801700661602503</v>
      </c>
      <c r="W7680" s="11">
        <v>0.32271767443679455</v>
      </c>
      <c r="X7680" s="11">
        <v>0.07544259726175025</v>
      </c>
      <c r="Y7680" s="11">
        <v>0.15056624083523587</v>
      </c>
      <c r="Z7680" s="11">
        <v>0.06898775050666976</v>
      </c>
    </row>
    <row r="7681" ht="22.5" customHeight="1">
      <c r="Q7681" s="9" t="s">
        <v>7719</v>
      </c>
      <c r="R7681" s="10">
        <v>0.4603377802990864</v>
      </c>
      <c r="S7681" s="10">
        <v>0.02288926232963656</v>
      </c>
      <c r="T7681" s="10">
        <v>18.36397233976568</v>
      </c>
      <c r="U7681" s="11">
        <v>0.224449646872781</v>
      </c>
      <c r="V7681" s="11">
        <v>0.03484286266359504</v>
      </c>
      <c r="W7681" s="11">
        <v>0.19404751619360305</v>
      </c>
      <c r="X7681" s="11">
        <v>0.2514806109288237</v>
      </c>
      <c r="Y7681" s="11">
        <v>0.16256077277813538</v>
      </c>
      <c r="Z7681" s="11">
        <v>0.13261859056306172</v>
      </c>
    </row>
    <row r="7682" ht="22.5" customHeight="1">
      <c r="Q7682" s="9" t="s">
        <v>7720</v>
      </c>
      <c r="R7682" s="10">
        <v>0.5927119244560732</v>
      </c>
      <c r="S7682" s="10">
        <v>0.03009773681048853</v>
      </c>
      <c r="T7682" s="10">
        <v>18.363903171067097</v>
      </c>
      <c r="U7682" s="11">
        <v>0.11454734111697563</v>
      </c>
      <c r="V7682" s="11">
        <v>0.2830127438049081</v>
      </c>
      <c r="W7682" s="11">
        <v>0.0515070774460264</v>
      </c>
      <c r="X7682" s="11">
        <v>0.22062989065693692</v>
      </c>
      <c r="Y7682" s="11">
        <v>0.020853207995992554</v>
      </c>
      <c r="Z7682" s="11">
        <v>0.3094497389791605</v>
      </c>
    </row>
    <row r="7683" ht="22.5" customHeight="1">
      <c r="Q7683" s="9" t="s">
        <v>7721</v>
      </c>
      <c r="R7683" s="10">
        <v>0.4293949216594313</v>
      </c>
      <c r="S7683" s="10">
        <v>0.021205609782218415</v>
      </c>
      <c r="T7683" s="10">
        <v>18.362825953062263</v>
      </c>
      <c r="U7683" s="11">
        <v>0.3087577629189144</v>
      </c>
      <c r="V7683" s="11">
        <v>0.19059906218932093</v>
      </c>
      <c r="W7683" s="11">
        <v>0.03053519260707576</v>
      </c>
      <c r="X7683" s="11">
        <v>0.0788958160540083</v>
      </c>
      <c r="Y7683" s="11">
        <v>0.10413916232019076</v>
      </c>
      <c r="Z7683" s="11">
        <v>0.28707300391048984</v>
      </c>
    </row>
    <row r="7684" ht="22.5" customHeight="1">
      <c r="Q7684" s="9" t="s">
        <v>7722</v>
      </c>
      <c r="R7684" s="10">
        <v>0.5687883154455561</v>
      </c>
      <c r="S7684" s="10">
        <v>0.028797125519916256</v>
      </c>
      <c r="T7684" s="10">
        <v>18.36253813179524</v>
      </c>
      <c r="U7684" s="11">
        <v>0.0641720130800397</v>
      </c>
      <c r="V7684" s="11">
        <v>0.08667526413683367</v>
      </c>
      <c r="W7684" s="11">
        <v>0.24254431884982477</v>
      </c>
      <c r="X7684" s="11">
        <v>0.08429482151332003</v>
      </c>
      <c r="Y7684" s="11">
        <v>0.272132951803559</v>
      </c>
      <c r="Z7684" s="11">
        <v>0.2501806306164228</v>
      </c>
    </row>
    <row r="7685" ht="22.5" customHeight="1">
      <c r="Q7685" s="9" t="s">
        <v>7723</v>
      </c>
      <c r="R7685" s="10">
        <v>0.6472502918767656</v>
      </c>
      <c r="S7685" s="10">
        <v>0.03307049456305084</v>
      </c>
      <c r="T7685" s="10">
        <v>18.362298474823447</v>
      </c>
      <c r="U7685" s="11">
        <v>0.07005692522692054</v>
      </c>
      <c r="V7685" s="11">
        <v>0.1206515065402266</v>
      </c>
      <c r="W7685" s="11">
        <v>0.27490051645874825</v>
      </c>
      <c r="X7685" s="11">
        <v>0.0037169780094993437</v>
      </c>
      <c r="Y7685" s="11">
        <v>0.27504428863235547</v>
      </c>
      <c r="Z7685" s="11">
        <v>0.2556297851322499</v>
      </c>
    </row>
    <row r="7686" ht="22.5" customHeight="1">
      <c r="Q7686" s="9" t="s">
        <v>7724</v>
      </c>
      <c r="R7686" s="10">
        <v>0.6483227020068786</v>
      </c>
      <c r="S7686" s="10">
        <v>0.0331311008949093</v>
      </c>
      <c r="T7686" s="10">
        <v>18.36107722277195</v>
      </c>
      <c r="U7686" s="11">
        <v>0.08152816754304051</v>
      </c>
      <c r="V7686" s="11">
        <v>0.3112728049011318</v>
      </c>
      <c r="W7686" s="11">
        <v>0.050462940477447635</v>
      </c>
      <c r="X7686" s="11">
        <v>0.2684344710089605</v>
      </c>
      <c r="Y7686" s="11">
        <v>0.1265286577654038</v>
      </c>
      <c r="Z7686" s="11">
        <v>0.16177295830401572</v>
      </c>
    </row>
    <row r="7687" ht="22.5" customHeight="1">
      <c r="Q7687" s="9" t="s">
        <v>7725</v>
      </c>
      <c r="R7687" s="10">
        <v>0.522331348251574</v>
      </c>
      <c r="S7687" s="10">
        <v>0.04057038694209017</v>
      </c>
      <c r="T7687" s="10">
        <v>18.360429780996586</v>
      </c>
      <c r="U7687" s="11">
        <v>0.08674576222191971</v>
      </c>
      <c r="V7687" s="11">
        <v>0.38120725146188367</v>
      </c>
      <c r="W7687" s="11">
        <v>0.08010926360508275</v>
      </c>
      <c r="X7687" s="11">
        <v>0.2669437563684662</v>
      </c>
      <c r="Y7687" s="11">
        <v>0.09145792701434004</v>
      </c>
      <c r="Z7687" s="11">
        <v>0.09353603932830779</v>
      </c>
    </row>
    <row r="7688" ht="22.5" customHeight="1">
      <c r="Q7688" s="9" t="s">
        <v>7726</v>
      </c>
      <c r="R7688" s="10">
        <v>0.5479107304484748</v>
      </c>
      <c r="S7688" s="10">
        <v>0.027663468446180176</v>
      </c>
      <c r="T7688" s="10">
        <v>18.360341597678726</v>
      </c>
      <c r="U7688" s="11">
        <v>0.15039771637266003</v>
      </c>
      <c r="V7688" s="11">
        <v>0.25428393164864205</v>
      </c>
      <c r="W7688" s="11">
        <v>0.027933818358449315</v>
      </c>
      <c r="X7688" s="11">
        <v>0.2322285582935014</v>
      </c>
      <c r="Y7688" s="11">
        <v>0.25628288300591695</v>
      </c>
      <c r="Z7688" s="11">
        <v>0.0788730923208304</v>
      </c>
    </row>
    <row r="7689" ht="22.5" customHeight="1">
      <c r="Q7689" s="9" t="s">
        <v>7727</v>
      </c>
      <c r="R7689" s="10">
        <v>0.5804317823395245</v>
      </c>
      <c r="S7689" s="10">
        <v>0.029434963820870724</v>
      </c>
      <c r="T7689" s="10">
        <v>18.36019862733223</v>
      </c>
      <c r="U7689" s="11">
        <v>0.17850826961133268</v>
      </c>
      <c r="V7689" s="11">
        <v>0.2759061902207772</v>
      </c>
      <c r="W7689" s="11">
        <v>0.0423368145881542</v>
      </c>
      <c r="X7689" s="11">
        <v>0.24903466836157573</v>
      </c>
      <c r="Y7689" s="11">
        <v>0.025127674464994833</v>
      </c>
      <c r="Z7689" s="11">
        <v>0.22908638275316534</v>
      </c>
    </row>
    <row r="7690" ht="22.5" customHeight="1">
      <c r="Q7690" s="9" t="s">
        <v>7728</v>
      </c>
      <c r="R7690" s="10">
        <v>0.7857593332795656</v>
      </c>
      <c r="S7690" s="10">
        <v>0.040618971761875906</v>
      </c>
      <c r="T7690" s="10">
        <v>18.359877193629977</v>
      </c>
      <c r="U7690" s="11">
        <v>0.24998859595608525</v>
      </c>
      <c r="V7690" s="11">
        <v>0.37636872509084796</v>
      </c>
      <c r="W7690" s="11">
        <v>0.10579274375003174</v>
      </c>
      <c r="X7690" s="11">
        <v>0.04830745819885938</v>
      </c>
      <c r="Y7690" s="11">
        <v>0.09680879841790156</v>
      </c>
      <c r="Z7690" s="11">
        <v>0.12273367858627401</v>
      </c>
    </row>
    <row r="7691" ht="22.5" customHeight="1">
      <c r="Q7691" s="9" t="s">
        <v>7729</v>
      </c>
      <c r="R7691" s="10">
        <v>0.33683006795873577</v>
      </c>
      <c r="S7691" s="10">
        <v>0.016169657398979742</v>
      </c>
      <c r="T7691" s="10">
        <v>18.357226788086734</v>
      </c>
      <c r="U7691" s="11">
        <v>0.24440538700538744</v>
      </c>
      <c r="V7691" s="11">
        <v>0.12701982052919458</v>
      </c>
      <c r="W7691" s="11">
        <v>0.005991743502116063</v>
      </c>
      <c r="X7691" s="11">
        <v>0.15199649452926164</v>
      </c>
      <c r="Y7691" s="11">
        <v>0.33412678419854813</v>
      </c>
      <c r="Z7691" s="11">
        <v>0.13645977023549202</v>
      </c>
    </row>
    <row r="7692" ht="22.5" customHeight="1">
      <c r="Q7692" s="9" t="s">
        <v>7730</v>
      </c>
      <c r="R7692" s="10">
        <v>0.5697457796013364</v>
      </c>
      <c r="S7692" s="10">
        <v>0.02885811371636477</v>
      </c>
      <c r="T7692" s="10">
        <v>18.356909422701797</v>
      </c>
      <c r="U7692" s="11">
        <v>0.23039945834364275</v>
      </c>
      <c r="V7692" s="11">
        <v>0.07833142122134834</v>
      </c>
      <c r="W7692" s="11">
        <v>0.2418996436200779</v>
      </c>
      <c r="X7692" s="11">
        <v>0.080065462658292</v>
      </c>
      <c r="Y7692" s="11">
        <v>0.29452035457618314</v>
      </c>
      <c r="Z7692" s="11">
        <v>0.07478365958045591</v>
      </c>
    </row>
    <row r="7693" ht="22.5" customHeight="1">
      <c r="Q7693" s="9" t="s">
        <v>7731</v>
      </c>
      <c r="R7693" s="10">
        <v>0.6108127728654432</v>
      </c>
      <c r="S7693" s="10">
        <v>0.031101694065148632</v>
      </c>
      <c r="T7693" s="10">
        <v>18.353108730018477</v>
      </c>
      <c r="U7693" s="11">
        <v>0.24837456846011652</v>
      </c>
      <c r="V7693" s="11">
        <v>0.09722671762435031</v>
      </c>
      <c r="W7693" s="11">
        <v>0.2662703462602794</v>
      </c>
      <c r="X7693" s="11">
        <v>0.12904371760175343</v>
      </c>
      <c r="Y7693" s="11">
        <v>0.0010583109658342837</v>
      </c>
      <c r="Z7693" s="11">
        <v>0.25802633908766615</v>
      </c>
    </row>
    <row r="7694" ht="22.5" customHeight="1">
      <c r="Q7694" s="9" t="s">
        <v>7732</v>
      </c>
      <c r="R7694" s="10">
        <v>0.47149613471055296</v>
      </c>
      <c r="S7694" s="10">
        <v>0.023510911677920552</v>
      </c>
      <c r="T7694" s="10">
        <v>18.35301585160466</v>
      </c>
      <c r="U7694" s="11">
        <v>0.20802714408658507</v>
      </c>
      <c r="V7694" s="11">
        <v>0.2146843545590942</v>
      </c>
      <c r="W7694" s="11">
        <v>0.02170456457471045</v>
      </c>
      <c r="X7694" s="11">
        <v>0.17422432428772314</v>
      </c>
      <c r="Y7694" s="11">
        <v>0.20362432068789055</v>
      </c>
      <c r="Z7694" s="11">
        <v>0.17773529180399664</v>
      </c>
    </row>
    <row r="7695" ht="22.5" customHeight="1">
      <c r="Q7695" s="9" t="s">
        <v>7733</v>
      </c>
      <c r="R7695" s="10">
        <v>0.4463354236468362</v>
      </c>
      <c r="S7695" s="10">
        <v>0.0221402294215773</v>
      </c>
      <c r="T7695" s="10">
        <v>18.35280998718252</v>
      </c>
      <c r="U7695" s="11">
        <v>0.19313962865634188</v>
      </c>
      <c r="V7695" s="11">
        <v>0.20010547632670836</v>
      </c>
      <c r="W7695" s="11">
        <v>0.012190680009821668</v>
      </c>
      <c r="X7695" s="11">
        <v>0.22773724678533694</v>
      </c>
      <c r="Y7695" s="11">
        <v>0.20285016967188488</v>
      </c>
      <c r="Z7695" s="11">
        <v>0.16397679854990624</v>
      </c>
    </row>
    <row r="7696" ht="22.5" customHeight="1">
      <c r="Q7696" s="9" t="s">
        <v>7734</v>
      </c>
      <c r="R7696" s="10">
        <v>0.5663732929657086</v>
      </c>
      <c r="S7696" s="10">
        <v>0.028682377908099223</v>
      </c>
      <c r="T7696" s="10">
        <v>18.35180104844352</v>
      </c>
      <c r="U7696" s="11">
        <v>0.050878029790124436</v>
      </c>
      <c r="V7696" s="11">
        <v>0.09762859403514138</v>
      </c>
      <c r="W7696" s="11">
        <v>0.23274258955755078</v>
      </c>
      <c r="X7696" s="11">
        <v>2.958814643121366E-4</v>
      </c>
      <c r="Y7696" s="11">
        <v>0.3879213202609565</v>
      </c>
      <c r="Z7696" s="11">
        <v>0.23053358489191472</v>
      </c>
    </row>
    <row r="7697" ht="22.5" customHeight="1">
      <c r="Q7697" s="9" t="s">
        <v>7735</v>
      </c>
      <c r="R7697" s="10">
        <v>0.5900590578539439</v>
      </c>
      <c r="S7697" s="10">
        <v>0.02997574059731032</v>
      </c>
      <c r="T7697" s="10">
        <v>18.350140710228185</v>
      </c>
      <c r="U7697" s="11">
        <v>0.12600810473038035</v>
      </c>
      <c r="V7697" s="11">
        <v>0.08998592360338142</v>
      </c>
      <c r="W7697" s="11">
        <v>0.2536167021297791</v>
      </c>
      <c r="X7697" s="11">
        <v>0.07926025763308281</v>
      </c>
      <c r="Y7697" s="11">
        <v>0.2506769332025538</v>
      </c>
      <c r="Z7697" s="11">
        <v>0.20045207870082268</v>
      </c>
    </row>
    <row r="7698" ht="22.5" customHeight="1">
      <c r="Q7698" s="9" t="s">
        <v>7736</v>
      </c>
      <c r="R7698" s="10">
        <v>0.590600274307456</v>
      </c>
      <c r="S7698" s="10">
        <v>0.03000533290525849</v>
      </c>
      <c r="T7698" s="10">
        <v>18.350080502221733</v>
      </c>
      <c r="U7698" s="11">
        <v>0.2165901897953858</v>
      </c>
      <c r="V7698" s="11">
        <v>0.28039856079234865</v>
      </c>
      <c r="W7698" s="11">
        <v>0.040423771027099605</v>
      </c>
      <c r="X7698" s="11">
        <v>0.22942525411885628</v>
      </c>
      <c r="Y7698" s="11">
        <v>0.09666258761229314</v>
      </c>
      <c r="Z7698" s="11">
        <v>0.13649963665401635</v>
      </c>
    </row>
    <row r="7699" ht="22.5" customHeight="1">
      <c r="Q7699" s="9" t="s">
        <v>7737</v>
      </c>
      <c r="R7699" s="10">
        <v>0.5611951881178926</v>
      </c>
      <c r="S7699" s="10">
        <v>0.028403301057461573</v>
      </c>
      <c r="T7699" s="10">
        <v>18.34981036406591</v>
      </c>
      <c r="U7699" s="11">
        <v>0.16756048520463523</v>
      </c>
      <c r="V7699" s="11">
        <v>0.054638835771248236</v>
      </c>
      <c r="W7699" s="11">
        <v>0.2432661487105736</v>
      </c>
      <c r="X7699" s="11">
        <v>0.2651002500934402</v>
      </c>
      <c r="Y7699" s="11">
        <v>0.238319545612411</v>
      </c>
      <c r="Z7699" s="11">
        <v>0.03111473460769176</v>
      </c>
    </row>
    <row r="7700" ht="22.5" customHeight="1">
      <c r="Q7700" s="9" t="s">
        <v>7738</v>
      </c>
      <c r="R7700" s="10">
        <v>0.5904285654652174</v>
      </c>
      <c r="S7700" s="10">
        <v>0.02999908292566906</v>
      </c>
      <c r="T7700" s="10">
        <v>18.34817973699579</v>
      </c>
      <c r="U7700" s="11">
        <v>0.12278239223176972</v>
      </c>
      <c r="V7700" s="11">
        <v>0.2809154500378135</v>
      </c>
      <c r="W7700" s="11">
        <v>0.04252448902619007</v>
      </c>
      <c r="X7700" s="11">
        <v>0.21205023540548767</v>
      </c>
      <c r="Y7700" s="11">
        <v>0.16019136780737075</v>
      </c>
      <c r="Z7700" s="11">
        <v>0.18153606549136828</v>
      </c>
    </row>
    <row r="7701" ht="22.5" customHeight="1">
      <c r="Q7701" s="9" t="s">
        <v>7739</v>
      </c>
      <c r="R7701" s="10">
        <v>0.45015824384804304</v>
      </c>
      <c r="S7701" s="10">
        <v>0.02235764694327659</v>
      </c>
      <c r="T7701" s="10">
        <v>18.345322514871636</v>
      </c>
      <c r="U7701" s="11">
        <v>0.281309563074046</v>
      </c>
      <c r="V7701" s="11">
        <v>0.20092106940418525</v>
      </c>
      <c r="W7701" s="11">
        <v>0.01135695557888302</v>
      </c>
      <c r="X7701" s="11">
        <v>0.23467120283114765</v>
      </c>
      <c r="Y7701" s="11">
        <v>0.16288569293788138</v>
      </c>
      <c r="Z7701" s="11">
        <v>0.10885551617385665</v>
      </c>
    </row>
    <row r="7702" ht="22.5" customHeight="1">
      <c r="Q7702" s="9" t="s">
        <v>7740</v>
      </c>
      <c r="R7702" s="10">
        <v>0.6624483069585242</v>
      </c>
      <c r="S7702" s="10">
        <v>0.033930794684703044</v>
      </c>
      <c r="T7702" s="10">
        <v>18.34464275719252</v>
      </c>
      <c r="U7702" s="11">
        <v>0.1054010092033557</v>
      </c>
      <c r="V7702" s="11">
        <v>0.31269818152272505</v>
      </c>
      <c r="W7702" s="11">
        <v>0.07524540972713237</v>
      </c>
      <c r="X7702" s="11">
        <v>0.04396874488640747</v>
      </c>
      <c r="Y7702" s="11">
        <v>0.3018114976161534</v>
      </c>
      <c r="Z7702" s="11">
        <v>0.16087515704422614</v>
      </c>
    </row>
    <row r="7703" ht="22.5" customHeight="1">
      <c r="Q7703" s="9" t="s">
        <v>7741</v>
      </c>
      <c r="R7703" s="10">
        <v>0.7349651421513343</v>
      </c>
      <c r="S7703" s="10">
        <v>0.03788640823872114</v>
      </c>
      <c r="T7703" s="10">
        <v>18.34338947551796</v>
      </c>
      <c r="U7703" s="11">
        <v>0.3145812272539526</v>
      </c>
      <c r="V7703" s="11">
        <v>0.14269298030426322</v>
      </c>
      <c r="W7703" s="11">
        <v>0.31849874664333605</v>
      </c>
      <c r="X7703" s="11">
        <v>0.02169541342431574</v>
      </c>
      <c r="Y7703" s="11">
        <v>0.03148780633225922</v>
      </c>
      <c r="Z7703" s="11">
        <v>0.17104382604187315</v>
      </c>
    </row>
    <row r="7704" ht="22.5" customHeight="1">
      <c r="Q7704" s="9" t="s">
        <v>7742</v>
      </c>
      <c r="R7704" s="10">
        <v>0.6933403011713587</v>
      </c>
      <c r="S7704" s="10">
        <v>0.03561801654087166</v>
      </c>
      <c r="T7704" s="10">
        <v>18.34297259145946</v>
      </c>
      <c r="U7704" s="11">
        <v>0.10179715260100546</v>
      </c>
      <c r="V7704" s="11">
        <v>0.09717863153986281</v>
      </c>
      <c r="W7704" s="11">
        <v>0.30937540178891115</v>
      </c>
      <c r="X7704" s="11">
        <v>0.2701670197606029</v>
      </c>
      <c r="Y7704" s="11">
        <v>0.09421840681446982</v>
      </c>
      <c r="Z7704" s="11">
        <v>0.127263387495148</v>
      </c>
    </row>
    <row r="7705" ht="22.5" customHeight="1">
      <c r="Q7705" s="9" t="s">
        <v>7743</v>
      </c>
      <c r="R7705" s="10">
        <v>0.6408652761569715</v>
      </c>
      <c r="S7705" s="10">
        <v>0.03276202353744849</v>
      </c>
      <c r="T7705" s="10">
        <v>18.340298042645475</v>
      </c>
      <c r="U7705" s="11">
        <v>0.06865625200652062</v>
      </c>
      <c r="V7705" s="11">
        <v>0.3014593742958421</v>
      </c>
      <c r="W7705" s="11">
        <v>0.08118162974199072</v>
      </c>
      <c r="X7705" s="11">
        <v>0.002411385961266164</v>
      </c>
      <c r="Y7705" s="11">
        <v>0.26792857808132553</v>
      </c>
      <c r="Z7705" s="11">
        <v>0.27836277991305497</v>
      </c>
    </row>
    <row r="7706" ht="22.5" customHeight="1">
      <c r="Q7706" s="9" t="s">
        <v>7744</v>
      </c>
      <c r="R7706" s="10">
        <v>0.45303520556258636</v>
      </c>
      <c r="S7706" s="10">
        <v>0.022521726186597688</v>
      </c>
      <c r="T7706" s="10">
        <v>18.339411559331403</v>
      </c>
      <c r="U7706" s="11">
        <v>0.21870304289636175</v>
      </c>
      <c r="V7706" s="11">
        <v>0.06644889447589866</v>
      </c>
      <c r="W7706" s="11">
        <v>0.1812133152189751</v>
      </c>
      <c r="X7706" s="11">
        <v>0.00112606346131799</v>
      </c>
      <c r="Y7706" s="11">
        <v>0.27266066195104127</v>
      </c>
      <c r="Z7706" s="11">
        <v>0.2598480219964053</v>
      </c>
    </row>
    <row r="7707" ht="22.5" customHeight="1">
      <c r="Q7707" s="9" t="s">
        <v>7745</v>
      </c>
      <c r="R7707" s="10">
        <v>0.5050675971275819</v>
      </c>
      <c r="S7707" s="10">
        <v>0.02535907922039789</v>
      </c>
      <c r="T7707" s="10">
        <v>18.339293516363124</v>
      </c>
      <c r="U7707" s="11">
        <v>0.30025665220360015</v>
      </c>
      <c r="V7707" s="11">
        <v>0.06876888348814131</v>
      </c>
      <c r="W7707" s="11">
        <v>0.21487884501009405</v>
      </c>
      <c r="X7707" s="11">
        <v>0.10455678603032761</v>
      </c>
      <c r="Y7707" s="11">
        <v>0.05355394608168284</v>
      </c>
      <c r="Z7707" s="11">
        <v>0.2579848871861539</v>
      </c>
    </row>
    <row r="7708" ht="22.5" customHeight="1">
      <c r="Q7708" s="9" t="s">
        <v>7746</v>
      </c>
      <c r="R7708" s="10">
        <v>0.5363335659041186</v>
      </c>
      <c r="S7708" s="10">
        <v>0.027064908979514076</v>
      </c>
      <c r="T7708" s="10">
        <v>18.338637912279793</v>
      </c>
      <c r="U7708" s="11">
        <v>0.23679044128580795</v>
      </c>
      <c r="V7708" s="11">
        <v>0.06677123021224757</v>
      </c>
      <c r="W7708" s="11">
        <v>0.231735846867804</v>
      </c>
      <c r="X7708" s="11">
        <v>0.1415989596393722</v>
      </c>
      <c r="Y7708" s="11">
        <v>0.1459120989854112</v>
      </c>
      <c r="Z7708" s="11">
        <v>0.17719142300935714</v>
      </c>
    </row>
    <row r="7709" ht="22.5" customHeight="1">
      <c r="Q7709" s="9" t="s">
        <v>7747</v>
      </c>
      <c r="R7709" s="10">
        <v>0.5488761453383848</v>
      </c>
      <c r="S7709" s="10">
        <v>0.027749810270913975</v>
      </c>
      <c r="T7709" s="10">
        <v>18.338004489773553</v>
      </c>
      <c r="U7709" s="11">
        <v>0.2175364477989818</v>
      </c>
      <c r="V7709" s="11">
        <v>0.06786177891075457</v>
      </c>
      <c r="W7709" s="11">
        <v>0.2380708124083001</v>
      </c>
      <c r="X7709" s="11">
        <v>0.15387649973532377</v>
      </c>
      <c r="Y7709" s="11">
        <v>0.1617836875347364</v>
      </c>
      <c r="Z7709" s="11">
        <v>0.16087077361190333</v>
      </c>
    </row>
    <row r="7710" ht="22.5" customHeight="1">
      <c r="Q7710" s="9" t="s">
        <v>7748</v>
      </c>
      <c r="R7710" s="10">
        <v>0.489634202548509</v>
      </c>
      <c r="S7710" s="10">
        <v>0.024519383117511867</v>
      </c>
      <c r="T7710" s="10">
        <v>18.33790843732027</v>
      </c>
      <c r="U7710" s="11">
        <v>0.2979173911764877</v>
      </c>
      <c r="V7710" s="11">
        <v>0.06532573864026973</v>
      </c>
      <c r="W7710" s="11">
        <v>0.1986113692647229</v>
      </c>
      <c r="X7710" s="11">
        <v>0.028703692946681673</v>
      </c>
      <c r="Y7710" s="11">
        <v>0.3101009110870192</v>
      </c>
      <c r="Z7710" s="11">
        <v>0.09934089688481874</v>
      </c>
    </row>
    <row r="7711" ht="22.5" customHeight="1">
      <c r="Q7711" s="9" t="s">
        <v>7749</v>
      </c>
      <c r="R7711" s="10">
        <v>0.5579654643237413</v>
      </c>
      <c r="S7711" s="10">
        <v>0.02824808304868863</v>
      </c>
      <c r="T7711" s="10">
        <v>18.336304924867704</v>
      </c>
      <c r="U7711" s="11">
        <v>0.20507386851033965</v>
      </c>
      <c r="V7711" s="11">
        <v>0.08502166442016644</v>
      </c>
      <c r="W7711" s="11">
        <v>0.2358456452811732</v>
      </c>
      <c r="X7711" s="11">
        <v>0.0338910034124623</v>
      </c>
      <c r="Y7711" s="11">
        <v>0.2659119206370536</v>
      </c>
      <c r="Z7711" s="11">
        <v>0.1742558977388047</v>
      </c>
    </row>
    <row r="7712" ht="22.5" customHeight="1">
      <c r="Q7712" s="9" t="s">
        <v>7750</v>
      </c>
      <c r="R7712" s="10">
        <v>0.627907909004077</v>
      </c>
      <c r="S7712" s="10">
        <v>0.03206388263692101</v>
      </c>
      <c r="T7712" s="10">
        <v>18.335518366921388</v>
      </c>
      <c r="U7712" s="11">
        <v>0.14953403643868007</v>
      </c>
      <c r="V7712" s="11">
        <v>0.07334195608103075</v>
      </c>
      <c r="W7712" s="11">
        <v>0.2759859950461746</v>
      </c>
      <c r="X7712" s="11">
        <v>0.2461799923606842</v>
      </c>
      <c r="Y7712" s="11">
        <v>0.24222276492091085</v>
      </c>
      <c r="Z7712" s="11">
        <v>0.01273525515251947</v>
      </c>
    </row>
    <row r="7713" ht="22.5" customHeight="1">
      <c r="Q7713" s="9" t="s">
        <v>7751</v>
      </c>
      <c r="R7713" s="10">
        <v>0.6843545738323173</v>
      </c>
      <c r="S7713" s="10">
        <v>0.0351440641921261</v>
      </c>
      <c r="T7713" s="10">
        <v>18.3346630119314</v>
      </c>
      <c r="U7713" s="11">
        <v>0.14400784749458564</v>
      </c>
      <c r="V7713" s="11">
        <v>0.32944365009779814</v>
      </c>
      <c r="W7713" s="11">
        <v>0.050866326134643584</v>
      </c>
      <c r="X7713" s="11">
        <v>0.360198667013999</v>
      </c>
      <c r="Y7713" s="11">
        <v>0.008998480958085578</v>
      </c>
      <c r="Z7713" s="11">
        <v>0.10648502830088788</v>
      </c>
    </row>
    <row r="7714" ht="22.5" customHeight="1">
      <c r="Q7714" s="9" t="s">
        <v>7752</v>
      </c>
      <c r="R7714" s="10">
        <v>0.6067143804836184</v>
      </c>
      <c r="S7714" s="10">
        <v>0.030912332307549754</v>
      </c>
      <c r="T7714" s="10">
        <v>18.332954461194408</v>
      </c>
      <c r="U7714" s="11">
        <v>0.19602245497352833</v>
      </c>
      <c r="V7714" s="11">
        <v>0.07107231472079088</v>
      </c>
      <c r="W7714" s="11">
        <v>0.2686526072344573</v>
      </c>
      <c r="X7714" s="11">
        <v>0.26964503195232975</v>
      </c>
      <c r="Y7714" s="11">
        <v>0.08440300543934472</v>
      </c>
      <c r="Z7714" s="11">
        <v>0.11020458567954908</v>
      </c>
    </row>
    <row r="7715" ht="22.5" customHeight="1">
      <c r="Q7715" s="9" t="s">
        <v>7753</v>
      </c>
      <c r="R7715" s="10">
        <v>0.5649780299565128</v>
      </c>
      <c r="S7715" s="10">
        <v>0.028636458383904075</v>
      </c>
      <c r="T7715" s="10">
        <v>18.33250546972636</v>
      </c>
      <c r="U7715" s="11">
        <v>0.14749950765147474</v>
      </c>
      <c r="V7715" s="11">
        <v>0.2623862276956922</v>
      </c>
      <c r="W7715" s="11">
        <v>0.021650527723180726</v>
      </c>
      <c r="X7715" s="11">
        <v>0.3240492855800348</v>
      </c>
      <c r="Y7715" s="11">
        <v>0.23210631117606578</v>
      </c>
      <c r="Z7715" s="11">
        <v>0.01230814017355179</v>
      </c>
    </row>
    <row r="7716" ht="22.5" customHeight="1">
      <c r="Q7716" s="9" t="s">
        <v>7754</v>
      </c>
      <c r="R7716" s="10">
        <v>0.3255898952445153</v>
      </c>
      <c r="S7716" s="10">
        <v>0.01557872130229062</v>
      </c>
      <c r="T7716" s="10">
        <v>18.332049832775656</v>
      </c>
      <c r="U7716" s="11">
        <v>0.18318038781997217</v>
      </c>
      <c r="V7716" s="11">
        <v>0.010039513950240785</v>
      </c>
      <c r="W7716" s="11">
        <v>0.12037624204832457</v>
      </c>
      <c r="X7716" s="11">
        <v>0.2550334832599301</v>
      </c>
      <c r="Y7716" s="11">
        <v>0.19320058532945344</v>
      </c>
      <c r="Z7716" s="11">
        <v>0.23816978759207885</v>
      </c>
    </row>
    <row r="7717" ht="22.5" customHeight="1">
      <c r="Q7717" s="9" t="s">
        <v>7755</v>
      </c>
      <c r="R7717" s="10">
        <v>0.5626451396262252</v>
      </c>
      <c r="S7717" s="10">
        <v>0.028511942824017027</v>
      </c>
      <c r="T7717" s="10">
        <v>18.33074451825763</v>
      </c>
      <c r="U7717" s="11">
        <v>0.09791600638354357</v>
      </c>
      <c r="V7717" s="11">
        <v>0.06918702998847492</v>
      </c>
      <c r="W7717" s="11">
        <v>0.24589446688183383</v>
      </c>
      <c r="X7717" s="11">
        <v>0.20368445941295021</v>
      </c>
      <c r="Y7717" s="11">
        <v>0.17227026827915676</v>
      </c>
      <c r="Z7717" s="11">
        <v>0.21104776905404082</v>
      </c>
    </row>
    <row r="7718" ht="22.5" customHeight="1">
      <c r="Q7718" s="9" t="s">
        <v>7756</v>
      </c>
      <c r="R7718" s="10">
        <v>0.5789913096516363</v>
      </c>
      <c r="S7718" s="10">
        <v>0.029404856073826813</v>
      </c>
      <c r="T7718" s="10">
        <v>18.330010128204336</v>
      </c>
      <c r="U7718" s="11">
        <v>0.26816163185912656</v>
      </c>
      <c r="V7718" s="11">
        <v>0.09984661862626039</v>
      </c>
      <c r="W7718" s="11">
        <v>0.24743504450894996</v>
      </c>
      <c r="X7718" s="11">
        <v>0.033599295795474986</v>
      </c>
      <c r="Y7718" s="11">
        <v>0.060268864262651885</v>
      </c>
      <c r="Z7718" s="11">
        <v>0.2906885449475362</v>
      </c>
    </row>
    <row r="7719" ht="22.5" customHeight="1">
      <c r="Q7719" s="9" t="s">
        <v>7757</v>
      </c>
      <c r="R7719" s="10">
        <v>0.31405440465185847</v>
      </c>
      <c r="S7719" s="10">
        <v>0.014952462739323016</v>
      </c>
      <c r="T7719" s="10">
        <v>18.328379038934592</v>
      </c>
      <c r="U7719" s="11">
        <v>0.2660105523319789</v>
      </c>
      <c r="V7719" s="11">
        <v>0.12391428354090905</v>
      </c>
      <c r="W7719" s="11">
        <v>0.0033595667562746246</v>
      </c>
      <c r="X7719" s="11">
        <v>0.18124874918311015</v>
      </c>
      <c r="Y7719" s="11">
        <v>0.11607257714242947</v>
      </c>
      <c r="Z7719" s="11">
        <v>0.30939427104529793</v>
      </c>
    </row>
    <row r="7720" ht="22.5" customHeight="1">
      <c r="Q7720" s="9" t="s">
        <v>7758</v>
      </c>
      <c r="R7720" s="10">
        <v>0.550122742786243</v>
      </c>
      <c r="S7720" s="10">
        <v>0.027833691085182615</v>
      </c>
      <c r="T7720" s="10">
        <v>18.327527643568946</v>
      </c>
      <c r="U7720" s="11">
        <v>0.2231331990674428</v>
      </c>
      <c r="V7720" s="11">
        <v>0.07222575966392103</v>
      </c>
      <c r="W7720" s="11">
        <v>0.23711881992952305</v>
      </c>
      <c r="X7720" s="11">
        <v>0.11267733771882445</v>
      </c>
      <c r="Y7720" s="11">
        <v>0.1958297763761377</v>
      </c>
      <c r="Z7720" s="11">
        <v>0.15901510724415094</v>
      </c>
    </row>
    <row r="7721" ht="22.5" customHeight="1">
      <c r="Q7721" s="9" t="s">
        <v>7759</v>
      </c>
      <c r="R7721" s="10">
        <v>0.39685211154950223</v>
      </c>
      <c r="S7721" s="10">
        <v>0.01947082801914348</v>
      </c>
      <c r="T7721" s="10">
        <v>18.327526245861225</v>
      </c>
      <c r="U7721" s="11">
        <v>0.18563797881253336</v>
      </c>
      <c r="V7721" s="11">
        <v>0.17428971338836236</v>
      </c>
      <c r="W7721" s="11">
        <v>0.006157125996894834</v>
      </c>
      <c r="X7721" s="11">
        <v>0.28659096937150497</v>
      </c>
      <c r="Y7721" s="11">
        <v>0.05576598944317008</v>
      </c>
      <c r="Z7721" s="11">
        <v>0.2915582229875345</v>
      </c>
    </row>
    <row r="7722" ht="22.5" customHeight="1">
      <c r="Q7722" s="9" t="s">
        <v>7760</v>
      </c>
      <c r="R7722" s="10">
        <v>0.5614738007757442</v>
      </c>
      <c r="S7722" s="10">
        <v>0.028454196656263635</v>
      </c>
      <c r="T7722" s="10">
        <v>18.326779950083456</v>
      </c>
      <c r="U7722" s="11">
        <v>0.021511960751284847</v>
      </c>
      <c r="V7722" s="11">
        <v>0.2669811972372422</v>
      </c>
      <c r="W7722" s="11">
        <v>0.03607648615259808</v>
      </c>
      <c r="X7722" s="11">
        <v>0.28725764793132197</v>
      </c>
      <c r="Y7722" s="11">
        <v>0.09465203354977557</v>
      </c>
      <c r="Z7722" s="11">
        <v>0.2935206743777775</v>
      </c>
    </row>
    <row r="7723" ht="22.5" customHeight="1">
      <c r="Q7723" s="9" t="s">
        <v>7761</v>
      </c>
      <c r="R7723" s="10">
        <v>0.2635408718245948</v>
      </c>
      <c r="S7723" s="10">
        <v>0.012197860920728769</v>
      </c>
      <c r="T7723" s="10">
        <v>18.326235499596038</v>
      </c>
      <c r="U7723" s="11">
        <v>0.26537251923074856</v>
      </c>
      <c r="V7723" s="11">
        <v>0.04872165076073392</v>
      </c>
      <c r="W7723" s="11">
        <v>0.04088325474663338</v>
      </c>
      <c r="X7723" s="11">
        <v>0.06562205216344398</v>
      </c>
      <c r="Y7723" s="11">
        <v>0.3850884329900136</v>
      </c>
      <c r="Z7723" s="11">
        <v>0.19431209010842668</v>
      </c>
    </row>
    <row r="7724" ht="22.5" customHeight="1">
      <c r="Q7724" s="9" t="s">
        <v>7762</v>
      </c>
      <c r="R7724" s="10">
        <v>0.36657041096005083</v>
      </c>
      <c r="S7724" s="10">
        <v>0.017820512318061133</v>
      </c>
      <c r="T7724" s="10">
        <v>18.325534369125343</v>
      </c>
      <c r="U7724" s="11">
        <v>0.1564119950450912</v>
      </c>
      <c r="V7724" s="11">
        <v>0.02335909496496045</v>
      </c>
      <c r="W7724" s="11">
        <v>0.14488593452443196</v>
      </c>
      <c r="X7724" s="11">
        <v>0.20241919322431126</v>
      </c>
      <c r="Y7724" s="11">
        <v>0.1956124154455241</v>
      </c>
      <c r="Z7724" s="11">
        <v>0.27731136679568114</v>
      </c>
    </row>
    <row r="7725" ht="22.5" customHeight="1">
      <c r="Q7725" s="9" t="s">
        <v>7763</v>
      </c>
      <c r="R7725" s="10">
        <v>0.522331348251574</v>
      </c>
      <c r="S7725" s="10">
        <v>0.033515718135860594</v>
      </c>
      <c r="T7725" s="10">
        <v>18.324799427820075</v>
      </c>
      <c r="U7725" s="11">
        <v>6.822748162202694E-4</v>
      </c>
      <c r="V7725" s="11">
        <v>0.3064405198647805</v>
      </c>
      <c r="W7725" s="11">
        <v>0.08151171883005277</v>
      </c>
      <c r="X7725" s="11">
        <v>0.013136179900836214</v>
      </c>
      <c r="Y7725" s="11">
        <v>0.3566914054707638</v>
      </c>
      <c r="Z7725" s="11">
        <v>0.2415379011173464</v>
      </c>
    </row>
    <row r="7726" ht="22.5" customHeight="1">
      <c r="Q7726" s="9" t="s">
        <v>7764</v>
      </c>
      <c r="R7726" s="10">
        <v>0.6007950666095017</v>
      </c>
      <c r="S7726" s="10">
        <v>0.030604087408700076</v>
      </c>
      <c r="T7726" s="10">
        <v>18.324188502026033</v>
      </c>
      <c r="U7726" s="11">
        <v>0.26890056645201255</v>
      </c>
      <c r="V7726" s="11">
        <v>0.28289643273386694</v>
      </c>
      <c r="W7726" s="11">
        <v>0.05323973813214167</v>
      </c>
      <c r="X7726" s="11">
        <v>0.09396189756555956</v>
      </c>
      <c r="Y7726" s="11">
        <v>0.19685751495586717</v>
      </c>
      <c r="Z7726" s="11">
        <v>0.10414385016055225</v>
      </c>
    </row>
    <row r="7727" ht="22.5" customHeight="1">
      <c r="Q7727" s="9" t="s">
        <v>7765</v>
      </c>
      <c r="R7727" s="10">
        <v>0.38530833207108234</v>
      </c>
      <c r="S7727" s="10">
        <v>0.018846703402990675</v>
      </c>
      <c r="T7727" s="10">
        <v>18.32194865529042</v>
      </c>
      <c r="U7727" s="11">
        <v>0.2554413568761939</v>
      </c>
      <c r="V7727" s="11">
        <v>0.020739638303490248</v>
      </c>
      <c r="W7727" s="11">
        <v>0.15520832192022982</v>
      </c>
      <c r="X7727" s="11">
        <v>0.24546681519687127</v>
      </c>
      <c r="Y7727" s="11">
        <v>0.12854148436817303</v>
      </c>
      <c r="Z7727" s="11">
        <v>0.1946023833350416</v>
      </c>
    </row>
    <row r="7728" ht="22.5" customHeight="1">
      <c r="Q7728" s="9" t="s">
        <v>7766</v>
      </c>
      <c r="R7728" s="10">
        <v>0.5256528125793378</v>
      </c>
      <c r="S7728" s="10">
        <v>0.026507472604809148</v>
      </c>
      <c r="T7728" s="10">
        <v>18.321354880556502</v>
      </c>
      <c r="U7728" s="11">
        <v>0.14297089851316905</v>
      </c>
      <c r="V7728" s="11">
        <v>0.05329124045250226</v>
      </c>
      <c r="W7728" s="11">
        <v>0.22691279816392745</v>
      </c>
      <c r="X7728" s="11">
        <v>0.2203233338716755</v>
      </c>
      <c r="Y7728" s="11">
        <v>0.22351536894484444</v>
      </c>
      <c r="Z7728" s="11">
        <v>0.13298636005388123</v>
      </c>
    </row>
    <row r="7729" ht="22.5" customHeight="1">
      <c r="Q7729" s="9" t="s">
        <v>7767</v>
      </c>
      <c r="R7729" s="10">
        <v>0.7872098463861464</v>
      </c>
      <c r="S7729" s="10">
        <v>0.04078443156466241</v>
      </c>
      <c r="T7729" s="10">
        <v>18.320957721366526</v>
      </c>
      <c r="U7729" s="11">
        <v>0.37847373245177945</v>
      </c>
      <c r="V7729" s="11">
        <v>0.375043165696895</v>
      </c>
      <c r="W7729" s="11">
        <v>0.10797141949509673</v>
      </c>
      <c r="X7729" s="11">
        <v>0.015516513713872975</v>
      </c>
      <c r="Y7729" s="11">
        <v>0.06514242770098232</v>
      </c>
      <c r="Z7729" s="11">
        <v>0.05785274094137345</v>
      </c>
    </row>
    <row r="7730" ht="22.5" customHeight="1">
      <c r="Q7730" s="9" t="s">
        <v>7768</v>
      </c>
      <c r="R7730" s="10">
        <v>0.5563519953494362</v>
      </c>
      <c r="S7730" s="10">
        <v>0.02818787137277695</v>
      </c>
      <c r="T7730" s="10">
        <v>18.318232991800663</v>
      </c>
      <c r="U7730" s="11">
        <v>0.09151892640651461</v>
      </c>
      <c r="V7730" s="11">
        <v>0.06388491499040555</v>
      </c>
      <c r="W7730" s="11">
        <v>0.24102651630847569</v>
      </c>
      <c r="X7730" s="11">
        <v>0.20188152416014</v>
      </c>
      <c r="Y7730" s="11">
        <v>0.2595137316535613</v>
      </c>
      <c r="Z7730" s="11">
        <v>0.14217438648090283</v>
      </c>
    </row>
    <row r="7731" ht="22.5" customHeight="1">
      <c r="Q7731" s="9" t="s">
        <v>7769</v>
      </c>
      <c r="R7731" s="10">
        <v>0.6782111187642916</v>
      </c>
      <c r="S7731" s="10">
        <v>0.0348429518266174</v>
      </c>
      <c r="T7731" s="10">
        <v>18.31679250197012</v>
      </c>
      <c r="U7731" s="11">
        <v>0.2070550892801629</v>
      </c>
      <c r="V7731" s="11">
        <v>0.12283852412016469</v>
      </c>
      <c r="W7731" s="11">
        <v>0.2942742410658291</v>
      </c>
      <c r="X7731" s="11">
        <v>0.0244314582773838</v>
      </c>
      <c r="Y7731" s="11">
        <v>0.15097395988364695</v>
      </c>
      <c r="Z7731" s="11">
        <v>0.20042672737281267</v>
      </c>
    </row>
    <row r="7732" ht="22.5" customHeight="1">
      <c r="Q7732" s="9" t="s">
        <v>7770</v>
      </c>
      <c r="R7732" s="10">
        <v>0.6903456608053743</v>
      </c>
      <c r="S7732" s="10">
        <v>0.03550606370320099</v>
      </c>
      <c r="T7732" s="10">
        <v>18.31646746994214</v>
      </c>
      <c r="U7732" s="11">
        <v>0.09328064572409267</v>
      </c>
      <c r="V7732" s="11">
        <v>0.10258204622906947</v>
      </c>
      <c r="W7732" s="11">
        <v>0.3061994912086211</v>
      </c>
      <c r="X7732" s="11">
        <v>0.185609644364733</v>
      </c>
      <c r="Y7732" s="11">
        <v>0.19072051643595103</v>
      </c>
      <c r="Z7732" s="11">
        <v>0.12160765603753262</v>
      </c>
    </row>
    <row r="7733" ht="22.5" customHeight="1">
      <c r="Q7733" s="9" t="s">
        <v>7771</v>
      </c>
      <c r="R7733" s="10">
        <v>0.2515445090308262</v>
      </c>
      <c r="S7733" s="10">
        <v>0.011549592299234477</v>
      </c>
      <c r="T7733" s="10">
        <v>18.316188446309717</v>
      </c>
      <c r="U7733" s="11">
        <v>0.3395671657774008</v>
      </c>
      <c r="V7733" s="11">
        <v>0.06289764870030229</v>
      </c>
      <c r="W7733" s="11">
        <v>0.028252284509643687</v>
      </c>
      <c r="X7733" s="11">
        <v>0.042047337083381195</v>
      </c>
      <c r="Y7733" s="11">
        <v>0.22167884322013975</v>
      </c>
      <c r="Z7733" s="11">
        <v>0.30555672070913226</v>
      </c>
    </row>
    <row r="7734" ht="22.5" customHeight="1">
      <c r="Q7734" s="9" t="s">
        <v>7772</v>
      </c>
      <c r="R7734" s="10">
        <v>0.6352027887150362</v>
      </c>
      <c r="S7734" s="10">
        <v>0.03249680843056382</v>
      </c>
      <c r="T7734" s="10">
        <v>18.315730604339514</v>
      </c>
      <c r="U7734" s="11">
        <v>0.3518554102170655</v>
      </c>
      <c r="V7734" s="11">
        <v>0.09117573223585325</v>
      </c>
      <c r="W7734" s="11">
        <v>0.27642885815420865</v>
      </c>
      <c r="X7734" s="11">
        <v>0.09576296307629814</v>
      </c>
      <c r="Y7734" s="11">
        <v>0.17833060537346399</v>
      </c>
      <c r="Z7734" s="11">
        <v>0.006446430943110592</v>
      </c>
    </row>
    <row r="7735" ht="22.5" customHeight="1">
      <c r="Q7735" s="9" t="s">
        <v>7773</v>
      </c>
      <c r="R7735" s="10">
        <v>0.45383185564526685</v>
      </c>
      <c r="S7735" s="10">
        <v>0.022595014795566987</v>
      </c>
      <c r="T7735" s="10">
        <v>18.31518409655825</v>
      </c>
      <c r="U7735" s="11">
        <v>0.22707477273998353</v>
      </c>
      <c r="V7735" s="11">
        <v>0.045868881896025934</v>
      </c>
      <c r="W7735" s="11">
        <v>0.19176434885645835</v>
      </c>
      <c r="X7735" s="11">
        <v>0.1642685112063271</v>
      </c>
      <c r="Y7735" s="11">
        <v>0.1275218738486407</v>
      </c>
      <c r="Z7735" s="11">
        <v>0.24350161145256433</v>
      </c>
    </row>
    <row r="7736" ht="22.5" customHeight="1">
      <c r="Q7736" s="9" t="s">
        <v>7774</v>
      </c>
      <c r="R7736" s="10">
        <v>0.7001747503505554</v>
      </c>
      <c r="S7736" s="10">
        <v>0.036048247048898745</v>
      </c>
      <c r="T7736" s="10">
        <v>18.31364364139652</v>
      </c>
      <c r="U7736" s="11">
        <v>0.13900740556571167</v>
      </c>
      <c r="V7736" s="11">
        <v>0.11160084208868687</v>
      </c>
      <c r="W7736" s="11">
        <v>0.30847587685491074</v>
      </c>
      <c r="X7736" s="11">
        <v>0.11831844657027536</v>
      </c>
      <c r="Y7736" s="11">
        <v>0.21811497557309203</v>
      </c>
      <c r="Z7736" s="11">
        <v>0.10448245334732327</v>
      </c>
    </row>
    <row r="7737" ht="22.5" customHeight="1">
      <c r="Q7737" s="9" t="s">
        <v>7775</v>
      </c>
      <c r="R7737" s="10">
        <v>0.5018053369473178</v>
      </c>
      <c r="S7737" s="10">
        <v>0.025217785092231243</v>
      </c>
      <c r="T7737" s="10">
        <v>18.31268429238794</v>
      </c>
      <c r="U7737" s="11">
        <v>0.22323674694038517</v>
      </c>
      <c r="V7737" s="11">
        <v>0.0644432874661859</v>
      </c>
      <c r="W7737" s="11">
        <v>0.21304191619624896</v>
      </c>
      <c r="X7737" s="11">
        <v>0.09041663815890874</v>
      </c>
      <c r="Y7737" s="11">
        <v>0.19083399198363965</v>
      </c>
      <c r="Z7737" s="11">
        <v>0.2180274192546316</v>
      </c>
    </row>
    <row r="7738" ht="22.5" customHeight="1">
      <c r="Q7738" s="9" t="s">
        <v>7776</v>
      </c>
      <c r="R7738" s="10">
        <v>0.775596197839721</v>
      </c>
      <c r="S7738" s="10">
        <v>0.040172470043833806</v>
      </c>
      <c r="T7738" s="10">
        <v>18.31095267572749</v>
      </c>
      <c r="U7738" s="11">
        <v>0.01320159601160195</v>
      </c>
      <c r="V7738" s="11">
        <v>0.10890363365120302</v>
      </c>
      <c r="W7738" s="11">
        <v>0.3483744146735257</v>
      </c>
      <c r="X7738" s="11">
        <v>0.3458760671926886</v>
      </c>
      <c r="Y7738" s="11">
        <v>0.1483400364803911</v>
      </c>
      <c r="Z7738" s="11">
        <v>0.035304251990589654</v>
      </c>
    </row>
    <row r="7739" ht="22.5" customHeight="1">
      <c r="Q7739" s="9" t="s">
        <v>7777</v>
      </c>
      <c r="R7739" s="10">
        <v>0.20954350067295782</v>
      </c>
      <c r="S7739" s="10">
        <v>0.009259294647471395</v>
      </c>
      <c r="T7739" s="10">
        <v>18.31062809079719</v>
      </c>
      <c r="U7739" s="11">
        <v>0.028513686227209185</v>
      </c>
      <c r="V7739" s="11">
        <v>0.023016287749221605</v>
      </c>
      <c r="W7739" s="11">
        <v>0.018834013752518548</v>
      </c>
      <c r="X7739" s="11">
        <v>0.3459443314961677</v>
      </c>
      <c r="Y7739" s="11">
        <v>0.17564398785809615</v>
      </c>
      <c r="Z7739" s="11">
        <v>0.4080476929167868</v>
      </c>
    </row>
    <row r="7740" ht="22.5" customHeight="1">
      <c r="Q7740" s="9" t="s">
        <v>7778</v>
      </c>
      <c r="R7740" s="10">
        <v>0.8188891249704975</v>
      </c>
      <c r="S7740" s="10">
        <v>0.04253965817157616</v>
      </c>
      <c r="T7740" s="10">
        <v>18.309717530615465</v>
      </c>
      <c r="U7740" s="11">
        <v>0.07683937983540144</v>
      </c>
      <c r="V7740" s="11">
        <v>0.39989522002057964</v>
      </c>
      <c r="W7740" s="11">
        <v>0.08165541494737653</v>
      </c>
      <c r="X7740" s="11">
        <v>0.344325516832114</v>
      </c>
      <c r="Y7740" s="11">
        <v>0.010455707202347803</v>
      </c>
      <c r="Z7740" s="11">
        <v>0.08682876116218065</v>
      </c>
    </row>
    <row r="7741" ht="22.5" customHeight="1">
      <c r="Q7741" s="9" t="s">
        <v>7779</v>
      </c>
      <c r="R7741" s="10">
        <v>0.7390291160955885</v>
      </c>
      <c r="S7741" s="10">
        <v>0.03817963514790913</v>
      </c>
      <c r="T7741" s="10">
        <v>18.3089522303586</v>
      </c>
      <c r="U7741" s="11">
        <v>0.10854628728834075</v>
      </c>
      <c r="V7741" s="11">
        <v>0.14242874158412214</v>
      </c>
      <c r="W7741" s="11">
        <v>0.32276008182229815</v>
      </c>
      <c r="X7741" s="11">
        <v>0.04366697284264753</v>
      </c>
      <c r="Y7741" s="11">
        <v>0.13077326208554269</v>
      </c>
      <c r="Z7741" s="11">
        <v>0.2518246543770488</v>
      </c>
    </row>
    <row r="7742" ht="22.5" customHeight="1">
      <c r="Q7742" s="9" t="s">
        <v>7780</v>
      </c>
      <c r="R7742" s="10">
        <v>0.8815227458023138</v>
      </c>
      <c r="S7742" s="10">
        <v>0.04596601365499564</v>
      </c>
      <c r="T7742" s="10">
        <v>18.30749892993725</v>
      </c>
      <c r="U7742" s="11">
        <v>0.28647878181514047</v>
      </c>
      <c r="V7742" s="11">
        <v>0.1871873876661061</v>
      </c>
      <c r="W7742" s="11">
        <v>0.3843395685677243</v>
      </c>
      <c r="X7742" s="11">
        <v>0.005844772776724268</v>
      </c>
      <c r="Y7742" s="11">
        <v>0.018228883525535894</v>
      </c>
      <c r="Z7742" s="11">
        <v>0.11792060564876894</v>
      </c>
    </row>
    <row r="7743" ht="22.5" customHeight="1">
      <c r="Q7743" s="9" t="s">
        <v>7781</v>
      </c>
      <c r="R7743" s="10">
        <v>0.9340915859583977</v>
      </c>
      <c r="S7743" s="10">
        <v>0.048839505542114095</v>
      </c>
      <c r="T7743" s="10">
        <v>18.306728867011692</v>
      </c>
      <c r="U7743" s="11">
        <v>0.01284920191743549</v>
      </c>
      <c r="V7743" s="11">
        <v>0.4541651185963833</v>
      </c>
      <c r="W7743" s="11">
        <v>0.1401911791217609</v>
      </c>
      <c r="X7743" s="11">
        <v>0.11478133800612998</v>
      </c>
      <c r="Y7743" s="11">
        <v>0.05826500418412097</v>
      </c>
      <c r="Z7743" s="11">
        <v>0.21974815817416926</v>
      </c>
    </row>
    <row r="7744" ht="22.5" customHeight="1">
      <c r="Q7744" s="9" t="s">
        <v>7782</v>
      </c>
      <c r="R7744" s="10">
        <v>0.7383556503688078</v>
      </c>
      <c r="S7744" s="10">
        <v>0.03814752346195887</v>
      </c>
      <c r="T7744" s="10">
        <v>18.306710029688183</v>
      </c>
      <c r="U7744" s="11">
        <v>0.2282358640488821</v>
      </c>
      <c r="V7744" s="11">
        <v>0.35622025667333806</v>
      </c>
      <c r="W7744" s="11">
        <v>0.09204271901152626</v>
      </c>
      <c r="X7744" s="11">
        <v>0.0972266208739768</v>
      </c>
      <c r="Y7744" s="11">
        <v>0.02350236053262913</v>
      </c>
      <c r="Z7744" s="11">
        <v>0.20277217885964768</v>
      </c>
    </row>
    <row r="7745" ht="22.5" customHeight="1">
      <c r="Q7745" s="9" t="s">
        <v>7783</v>
      </c>
      <c r="R7745" s="10">
        <v>0.7386758105853927</v>
      </c>
      <c r="S7745" s="10">
        <v>0.038166052244076425</v>
      </c>
      <c r="T7745" s="10">
        <v>18.306211135416312</v>
      </c>
      <c r="U7745" s="11">
        <v>0.0995012588928412</v>
      </c>
      <c r="V7745" s="11">
        <v>0.12727092871283177</v>
      </c>
      <c r="W7745" s="11">
        <v>0.3249940180150911</v>
      </c>
      <c r="X7745" s="11">
        <v>0.09310886121906962</v>
      </c>
      <c r="Y7745" s="11">
        <v>0.23045749839970148</v>
      </c>
      <c r="Z7745" s="11">
        <v>0.12466743476046482</v>
      </c>
    </row>
    <row r="7746" ht="22.5" customHeight="1">
      <c r="Q7746" s="9" t="s">
        <v>7784</v>
      </c>
      <c r="R7746" s="10">
        <v>0.5211130554569158</v>
      </c>
      <c r="S7746" s="10">
        <v>0.02628391328243586</v>
      </c>
      <c r="T7746" s="10">
        <v>18.304468223094393</v>
      </c>
      <c r="U7746" s="11">
        <v>0.10749338846607441</v>
      </c>
      <c r="V7746" s="11">
        <v>0.2388977401922099</v>
      </c>
      <c r="W7746" s="11">
        <v>0.022458332795993217</v>
      </c>
      <c r="X7746" s="11">
        <v>0.23187694032780992</v>
      </c>
      <c r="Y7746" s="11">
        <v>0.3146071940056998</v>
      </c>
      <c r="Z7746" s="11">
        <v>0.08466640421221282</v>
      </c>
    </row>
    <row r="7747" ht="22.5" customHeight="1">
      <c r="Q7747" s="9" t="s">
        <v>7785</v>
      </c>
      <c r="R7747" s="10">
        <v>0.49868693691583804</v>
      </c>
      <c r="S7747" s="10">
        <v>0.025058774529243343</v>
      </c>
      <c r="T7747" s="10">
        <v>18.304444073294764</v>
      </c>
      <c r="U7747" s="11">
        <v>0.2679473888526011</v>
      </c>
      <c r="V7747" s="11">
        <v>0.05395031461870265</v>
      </c>
      <c r="W7747" s="11">
        <v>0.2152430161201602</v>
      </c>
      <c r="X7747" s="11">
        <v>0.2196782085046785</v>
      </c>
      <c r="Y7747" s="11">
        <v>0.010636254145063922</v>
      </c>
      <c r="Z7747" s="11">
        <v>0.23254481775879376</v>
      </c>
    </row>
    <row r="7748" ht="22.5" customHeight="1">
      <c r="Q7748" s="9" t="s">
        <v>7786</v>
      </c>
      <c r="R7748" s="10">
        <v>0.22114307501226776</v>
      </c>
      <c r="S7748" s="10">
        <v>0.009896404890949636</v>
      </c>
      <c r="T7748" s="10">
        <v>18.30392723502299</v>
      </c>
      <c r="U7748" s="11">
        <v>0.15648504004170988</v>
      </c>
      <c r="V7748" s="11">
        <v>0.026142136848679706</v>
      </c>
      <c r="W7748" s="11">
        <v>0.0166245527310634</v>
      </c>
      <c r="X7748" s="11">
        <v>0.27369905685119167</v>
      </c>
      <c r="Y7748" s="11">
        <v>0.3145927359843954</v>
      </c>
      <c r="Z7748" s="11">
        <v>0.2124564775429599</v>
      </c>
    </row>
    <row r="7749" ht="22.5" customHeight="1">
      <c r="Q7749" s="9" t="s">
        <v>7787</v>
      </c>
      <c r="R7749" s="10">
        <v>0.6612049807890311</v>
      </c>
      <c r="S7749" s="10">
        <v>0.033938704156066556</v>
      </c>
      <c r="T7749" s="10">
        <v>18.303733045682314</v>
      </c>
      <c r="U7749" s="11">
        <v>0.01034596211949363</v>
      </c>
      <c r="V7749" s="11">
        <v>0.11742050504843556</v>
      </c>
      <c r="W7749" s="11">
        <v>0.28366793358202785</v>
      </c>
      <c r="X7749" s="11">
        <v>0.03973459215908918</v>
      </c>
      <c r="Y7749" s="11">
        <v>0.32053727335683513</v>
      </c>
      <c r="Z7749" s="11">
        <v>0.22829373373411846</v>
      </c>
    </row>
    <row r="7750" ht="22.5" customHeight="1">
      <c r="Q7750" s="9" t="s">
        <v>7788</v>
      </c>
      <c r="R7750" s="10">
        <v>0.4077999477349025</v>
      </c>
      <c r="S7750" s="10">
        <v>0.02009446650999705</v>
      </c>
      <c r="T7750" s="10">
        <v>18.30354379161652</v>
      </c>
      <c r="U7750" s="11">
        <v>0.016453862680540395</v>
      </c>
      <c r="V7750" s="11">
        <v>0.17682682665068591</v>
      </c>
      <c r="W7750" s="11">
        <v>0.026767428369776837</v>
      </c>
      <c r="X7750" s="11">
        <v>0.0881999485739429</v>
      </c>
      <c r="Y7750" s="11">
        <v>0.3358295103972816</v>
      </c>
      <c r="Z7750" s="11">
        <v>0.3559224233277724</v>
      </c>
    </row>
    <row r="7751" ht="22.5" customHeight="1">
      <c r="Q7751" s="9" t="s">
        <v>7789</v>
      </c>
      <c r="R7751" s="10">
        <v>0.5664201235907349</v>
      </c>
      <c r="S7751" s="10">
        <v>0.028762780152072568</v>
      </c>
      <c r="T7751" s="10">
        <v>18.30212937718409</v>
      </c>
      <c r="U7751" s="11">
        <v>0.24511616190009575</v>
      </c>
      <c r="V7751" s="11">
        <v>0.07893138171459162</v>
      </c>
      <c r="W7751" s="11">
        <v>0.24740883467820002</v>
      </c>
      <c r="X7751" s="11">
        <v>0.1435919879427476</v>
      </c>
      <c r="Y7751" s="11">
        <v>0.0503104330327043</v>
      </c>
      <c r="Z7751" s="11">
        <v>0.2346412007316609</v>
      </c>
    </row>
    <row r="7752" ht="22.5" customHeight="1">
      <c r="Q7752" s="9" t="s">
        <v>7790</v>
      </c>
      <c r="R7752" s="10">
        <v>0.5761771705035341</v>
      </c>
      <c r="S7752" s="10">
        <v>0.029297474518249548</v>
      </c>
      <c r="T7752" s="10">
        <v>18.301139580121372</v>
      </c>
      <c r="U7752" s="11">
        <v>0.18408990619059695</v>
      </c>
      <c r="V7752" s="11">
        <v>0.09318088575800403</v>
      </c>
      <c r="W7752" s="11">
        <v>0.24563055894999866</v>
      </c>
      <c r="X7752" s="11">
        <v>0.022273762394034443</v>
      </c>
      <c r="Y7752" s="11">
        <v>0.23525766053594238</v>
      </c>
      <c r="Z7752" s="11">
        <v>0.21956722617142355</v>
      </c>
    </row>
    <row r="7753" ht="22.5" customHeight="1">
      <c r="Q7753" s="9" t="s">
        <v>7791</v>
      </c>
      <c r="R7753" s="10">
        <v>0.522331348251574</v>
      </c>
      <c r="S7753" s="10">
        <v>0.033868473825844674</v>
      </c>
      <c r="T7753" s="10">
        <v>18.300789245744458</v>
      </c>
      <c r="U7753" s="11">
        <v>0.313012903116175</v>
      </c>
      <c r="V7753" s="11">
        <v>0.3163174874630052</v>
      </c>
      <c r="W7753" s="11">
        <v>0.053456373875811654</v>
      </c>
      <c r="X7753" s="11">
        <v>0.2389278762696166</v>
      </c>
      <c r="Y7753" s="11">
        <v>0.011003702741115638</v>
      </c>
      <c r="Z7753" s="11">
        <v>0.06728165653427598</v>
      </c>
    </row>
    <row r="7754" ht="22.5" customHeight="1">
      <c r="Q7754" s="9" t="s">
        <v>7792</v>
      </c>
      <c r="R7754" s="10">
        <v>0.7061610973831399</v>
      </c>
      <c r="S7754" s="10">
        <v>0.03640167617021814</v>
      </c>
      <c r="T7754" s="10">
        <v>18.30028634582922</v>
      </c>
      <c r="U7754" s="11">
        <v>0.32268907422508436</v>
      </c>
      <c r="V7754" s="11">
        <v>0.12341473666094388</v>
      </c>
      <c r="W7754" s="11">
        <v>0.3053361394010383</v>
      </c>
      <c r="X7754" s="11">
        <v>0.00468388362131073</v>
      </c>
      <c r="Y7754" s="11">
        <v>0.22297301904782302</v>
      </c>
      <c r="Z7754" s="11">
        <v>0.020903147043799662</v>
      </c>
    </row>
    <row r="7755" ht="22.5" customHeight="1">
      <c r="Q7755" s="9" t="s">
        <v>7793</v>
      </c>
      <c r="R7755" s="10">
        <v>0.7173541135354808</v>
      </c>
      <c r="S7755" s="10">
        <v>0.03701474844549285</v>
      </c>
      <c r="T7755" s="10">
        <v>18.299573601937034</v>
      </c>
      <c r="U7755" s="11">
        <v>0.047955325933594625</v>
      </c>
      <c r="V7755" s="11">
        <v>0.10137995430803498</v>
      </c>
      <c r="W7755" s="11">
        <v>0.32099352891157756</v>
      </c>
      <c r="X7755" s="11">
        <v>0.2693520749916302</v>
      </c>
      <c r="Y7755" s="11">
        <v>0.1582929981078687</v>
      </c>
      <c r="Z7755" s="11">
        <v>0.10202611774729406</v>
      </c>
    </row>
    <row r="7756" ht="22.5" customHeight="1">
      <c r="Q7756" s="9" t="s">
        <v>7794</v>
      </c>
      <c r="R7756" s="10">
        <v>0.9289883564400592</v>
      </c>
      <c r="S7756" s="10">
        <v>0.048580160926825475</v>
      </c>
      <c r="T7756" s="10">
        <v>18.299411518605503</v>
      </c>
      <c r="U7756" s="11">
        <v>0.08583667113399483</v>
      </c>
      <c r="V7756" s="11">
        <v>0.4535475543345845</v>
      </c>
      <c r="W7756" s="11">
        <v>0.11661905187863073</v>
      </c>
      <c r="X7756" s="11">
        <v>0.18172074146590617</v>
      </c>
      <c r="Y7756" s="11">
        <v>0.16133838582357662</v>
      </c>
      <c r="Z7756" s="11">
        <v>9.375953633070441E-4</v>
      </c>
    </row>
    <row r="7757" ht="22.5" customHeight="1">
      <c r="Q7757" s="9" t="s">
        <v>7795</v>
      </c>
      <c r="R7757" s="10">
        <v>0.29913707728569977</v>
      </c>
      <c r="S7757" s="10">
        <v>0.01416097196751904</v>
      </c>
      <c r="T7757" s="10">
        <v>18.29938494900501</v>
      </c>
      <c r="U7757" s="11">
        <v>0.19743962895362432</v>
      </c>
      <c r="V7757" s="11">
        <v>0.006954639881304822</v>
      </c>
      <c r="W7757" s="11">
        <v>0.09914096866782135</v>
      </c>
      <c r="X7757" s="11">
        <v>0.23701915790563682</v>
      </c>
      <c r="Y7757" s="11">
        <v>0.2837013005421766</v>
      </c>
      <c r="Z7757" s="11">
        <v>0.17574430404943595</v>
      </c>
    </row>
    <row r="7758" ht="22.5" customHeight="1">
      <c r="Q7758" s="9" t="s">
        <v>7796</v>
      </c>
      <c r="R7758" s="10">
        <v>0.531450711251387</v>
      </c>
      <c r="S7758" s="10">
        <v>0.02685656338183023</v>
      </c>
      <c r="T7758" s="10">
        <v>18.29909152054344</v>
      </c>
      <c r="U7758" s="11">
        <v>0.27856207164467445</v>
      </c>
      <c r="V7758" s="11">
        <v>0.24806929326530383</v>
      </c>
      <c r="W7758" s="11">
        <v>0.025050746722307702</v>
      </c>
      <c r="X7758" s="11">
        <v>0.24854472492745874</v>
      </c>
      <c r="Y7758" s="11">
        <v>0.09427231466209562</v>
      </c>
      <c r="Z7758" s="11">
        <v>0.10550084877815973</v>
      </c>
    </row>
    <row r="7759" ht="22.5" customHeight="1">
      <c r="Q7759" s="9" t="s">
        <v>7797</v>
      </c>
      <c r="R7759" s="10">
        <v>0.8838947295387212</v>
      </c>
      <c r="S7759" s="10">
        <v>0.04611784524934164</v>
      </c>
      <c r="T7759" s="10">
        <v>18.29865911939518</v>
      </c>
      <c r="U7759" s="11">
        <v>0.09663715988376577</v>
      </c>
      <c r="V7759" s="11">
        <v>0.4294275031441331</v>
      </c>
      <c r="W7759" s="11">
        <v>0.12057458670415895</v>
      </c>
      <c r="X7759" s="11">
        <v>0.09396041524710307</v>
      </c>
      <c r="Y7759" s="11">
        <v>0.15177455428827044</v>
      </c>
      <c r="Z7759" s="11">
        <v>0.10762578073256865</v>
      </c>
    </row>
    <row r="7760" ht="22.5" customHeight="1">
      <c r="Q7760" s="9" t="s">
        <v>7798</v>
      </c>
      <c r="R7760" s="10">
        <v>0.7816798104883692</v>
      </c>
      <c r="S7760" s="10">
        <v>0.04053262914939725</v>
      </c>
      <c r="T7760" s="10">
        <v>18.298339536639666</v>
      </c>
      <c r="U7760" s="11">
        <v>0.08187794616212608</v>
      </c>
      <c r="V7760" s="11">
        <v>0.1565602165384158</v>
      </c>
      <c r="W7760" s="11">
        <v>0.34316849426394647</v>
      </c>
      <c r="X7760" s="11">
        <v>0.0911002240221852</v>
      </c>
      <c r="Y7760" s="11">
        <v>0.011613056854191858</v>
      </c>
      <c r="Z7760" s="11">
        <v>0.3156800621591346</v>
      </c>
    </row>
    <row r="7761" ht="22.5" customHeight="1">
      <c r="Q7761" s="9" t="s">
        <v>7799</v>
      </c>
      <c r="R7761" s="10">
        <v>0.5124786508575228</v>
      </c>
      <c r="S7761" s="10">
        <v>0.02582102869761112</v>
      </c>
      <c r="T7761" s="10">
        <v>18.29821175564686</v>
      </c>
      <c r="U7761" s="11">
        <v>0.15176040322233195</v>
      </c>
      <c r="V7761" s="11">
        <v>0.23883562746401338</v>
      </c>
      <c r="W7761" s="11">
        <v>0.03236044810847703</v>
      </c>
      <c r="X7761" s="11">
        <v>0.14574510238327487</v>
      </c>
      <c r="Y7761" s="11">
        <v>0.21781385714979726</v>
      </c>
      <c r="Z7761" s="11">
        <v>0.2134845616721054</v>
      </c>
    </row>
    <row r="7762" ht="22.5" customHeight="1">
      <c r="Q7762" s="9" t="s">
        <v>7800</v>
      </c>
      <c r="R7762" s="10">
        <v>0.47083361591829864</v>
      </c>
      <c r="S7762" s="10">
        <v>0.0235452273244995</v>
      </c>
      <c r="T7762" s="10">
        <v>18.29812938225505</v>
      </c>
      <c r="U7762" s="11">
        <v>0.18138630543762066</v>
      </c>
      <c r="V7762" s="11">
        <v>0.049869197486486494</v>
      </c>
      <c r="W7762" s="11">
        <v>0.19920091111391727</v>
      </c>
      <c r="X7762" s="11">
        <v>0.14535537335124185</v>
      </c>
      <c r="Y7762" s="11">
        <v>0.20805488525641713</v>
      </c>
      <c r="Z7762" s="11">
        <v>0.2161333273543166</v>
      </c>
    </row>
    <row r="7763" ht="22.5" customHeight="1">
      <c r="Q7763" s="9" t="s">
        <v>7801</v>
      </c>
      <c r="R7763" s="10">
        <v>0.4118299810045253</v>
      </c>
      <c r="S7763" s="10">
        <v>0.020321758715940646</v>
      </c>
      <c r="T7763" s="10">
        <v>18.297135902556363</v>
      </c>
      <c r="U7763" s="11">
        <v>0.06787293322102439</v>
      </c>
      <c r="V7763" s="11">
        <v>0.02321665372073878</v>
      </c>
      <c r="W7763" s="11">
        <v>0.1690257025581181</v>
      </c>
      <c r="X7763" s="11">
        <v>0.3809876752687085</v>
      </c>
      <c r="Y7763" s="11">
        <v>0.06285894060587521</v>
      </c>
      <c r="Z7763" s="11">
        <v>0.2960380946255349</v>
      </c>
    </row>
    <row r="7764" ht="22.5" customHeight="1">
      <c r="Q7764" s="9" t="s">
        <v>7802</v>
      </c>
      <c r="R7764" s="10">
        <v>0.6039116622255591</v>
      </c>
      <c r="S7764" s="10">
        <v>0.030820440678020464</v>
      </c>
      <c r="T7764" s="10">
        <v>18.29667745885644</v>
      </c>
      <c r="U7764" s="11">
        <v>0.1411371332117111</v>
      </c>
      <c r="V7764" s="11">
        <v>0.09600031770043417</v>
      </c>
      <c r="W7764" s="11">
        <v>0.2627067905993266</v>
      </c>
      <c r="X7764" s="11">
        <v>0.07821552657907249</v>
      </c>
      <c r="Y7764" s="11">
        <v>0.170307079826892</v>
      </c>
      <c r="Z7764" s="11">
        <v>0.2516331520825637</v>
      </c>
    </row>
    <row r="7765" ht="22.5" customHeight="1">
      <c r="Q7765" s="9" t="s">
        <v>7803</v>
      </c>
      <c r="R7765" s="10">
        <v>0.6269799077595598</v>
      </c>
      <c r="S7765" s="10">
        <v>0.03208322391467256</v>
      </c>
      <c r="T7765" s="10">
        <v>18.295540040510623</v>
      </c>
      <c r="U7765" s="11">
        <v>0.10517421978422216</v>
      </c>
      <c r="V7765" s="11">
        <v>0.07915297657730674</v>
      </c>
      <c r="W7765" s="11">
        <v>0.2745279121292462</v>
      </c>
      <c r="X7765" s="11">
        <v>0.19650966072113885</v>
      </c>
      <c r="Y7765" s="11">
        <v>0.2931133672478728</v>
      </c>
      <c r="Z7765" s="11">
        <v>0.05152186354021317</v>
      </c>
    </row>
    <row r="7766" ht="22.5" customHeight="1">
      <c r="Q7766" s="9" t="s">
        <v>7804</v>
      </c>
      <c r="R7766" s="10">
        <v>0.42204086131478713</v>
      </c>
      <c r="S7766" s="10">
        <v>0.020882100879366462</v>
      </c>
      <c r="T7766" s="10">
        <v>18.29513531812695</v>
      </c>
      <c r="U7766" s="11">
        <v>0.2958091930107731</v>
      </c>
      <c r="V7766" s="11">
        <v>0.030670052972447147</v>
      </c>
      <c r="W7766" s="11">
        <v>0.17544598520469604</v>
      </c>
      <c r="X7766" s="11">
        <v>0.26767365066524235</v>
      </c>
      <c r="Y7766" s="11">
        <v>0.008715014676651494</v>
      </c>
      <c r="Z7766" s="11">
        <v>0.22168610347018985</v>
      </c>
    </row>
    <row r="7767" ht="22.5" customHeight="1">
      <c r="Q7767" s="9" t="s">
        <v>7805</v>
      </c>
      <c r="R7767" s="10">
        <v>0.48734924114014544</v>
      </c>
      <c r="S7767" s="10">
        <v>0.024453830061432744</v>
      </c>
      <c r="T7767" s="10">
        <v>18.293626806774963</v>
      </c>
      <c r="U7767" s="11">
        <v>0.19583185140716775</v>
      </c>
      <c r="V7767" s="11">
        <v>0.06306468140635815</v>
      </c>
      <c r="W7767" s="11">
        <v>0.20696820232640342</v>
      </c>
      <c r="X7767" s="11">
        <v>0.09435038803517454</v>
      </c>
      <c r="Y7767" s="11">
        <v>0.16131313267487649</v>
      </c>
      <c r="Z7767" s="11">
        <v>0.2784717441500196</v>
      </c>
    </row>
    <row r="7768" ht="22.5" customHeight="1">
      <c r="Q7768" s="9" t="s">
        <v>7806</v>
      </c>
      <c r="R7768" s="10">
        <v>0.25123682841350486</v>
      </c>
      <c r="S7768" s="10">
        <v>0.011549235893841228</v>
      </c>
      <c r="T7768" s="10">
        <v>18.290112900555567</v>
      </c>
      <c r="U7768" s="11">
        <v>0.1812309782497076</v>
      </c>
      <c r="V7768" s="11">
        <v>0.05236106798444814</v>
      </c>
      <c r="W7768" s="11">
        <v>0.029214891664932144</v>
      </c>
      <c r="X7768" s="11">
        <v>0.09207003685081608</v>
      </c>
      <c r="Y7768" s="11">
        <v>0.38269236915804244</v>
      </c>
      <c r="Z7768" s="11">
        <v>0.26243065609205357</v>
      </c>
    </row>
    <row r="7769" ht="22.5" customHeight="1">
      <c r="Q7769" s="9" t="s">
        <v>7807</v>
      </c>
      <c r="R7769" s="10">
        <v>0.522331348251574</v>
      </c>
      <c r="S7769" s="10">
        <v>0.029555615629091394</v>
      </c>
      <c r="T7769" s="10">
        <v>18.290034418248236</v>
      </c>
      <c r="U7769" s="11">
        <v>0.2579987518472213</v>
      </c>
      <c r="V7769" s="11">
        <v>0.2741455268217606</v>
      </c>
      <c r="W7769" s="11">
        <v>0.028576194712991644</v>
      </c>
      <c r="X7769" s="11">
        <v>0.3073282669502029</v>
      </c>
      <c r="Y7769" s="11">
        <v>0.07429326398765496</v>
      </c>
      <c r="Z7769" s="11">
        <v>0.057657995680168585</v>
      </c>
    </row>
    <row r="7770" ht="22.5" customHeight="1">
      <c r="Q7770" s="9" t="s">
        <v>7808</v>
      </c>
      <c r="R7770" s="10">
        <v>0.6272550990404264</v>
      </c>
      <c r="S7770" s="10">
        <v>0.03210907597961524</v>
      </c>
      <c r="T7770" s="10">
        <v>18.289380218018454</v>
      </c>
      <c r="U7770" s="11">
        <v>0.27059198810343393</v>
      </c>
      <c r="V7770" s="11">
        <v>0.29945547639119025</v>
      </c>
      <c r="W7770" s="11">
        <v>0.04973394410272228</v>
      </c>
      <c r="X7770" s="11">
        <v>0.17225667327644995</v>
      </c>
      <c r="Y7770" s="11">
        <v>0.12926867138621204</v>
      </c>
      <c r="Z7770" s="11">
        <v>0.07869324673999147</v>
      </c>
    </row>
    <row r="7771" ht="22.5" customHeight="1">
      <c r="Q7771" s="9" t="s">
        <v>7809</v>
      </c>
      <c r="R7771" s="10">
        <v>0.24675704850555322</v>
      </c>
      <c r="S7771" s="10">
        <v>0.011305418132964958</v>
      </c>
      <c r="T7771" s="10">
        <v>18.28831504273864</v>
      </c>
      <c r="U7771" s="11">
        <v>0.4569371302708745</v>
      </c>
      <c r="V7771" s="11">
        <v>0.024059700788543244</v>
      </c>
      <c r="W7771" s="11">
        <v>0.032792111697655925</v>
      </c>
      <c r="X7771" s="11">
        <v>0.2188709671666353</v>
      </c>
      <c r="Y7771" s="11">
        <v>0.25833975039437823</v>
      </c>
      <c r="Z7771" s="11">
        <v>0.009000339681912823</v>
      </c>
    </row>
    <row r="7772" ht="22.5" customHeight="1">
      <c r="Q7772" s="9" t="s">
        <v>7810</v>
      </c>
      <c r="R7772" s="10">
        <v>0.5877745889567053</v>
      </c>
      <c r="S7772" s="10">
        <v>0.029952436657098694</v>
      </c>
      <c r="T7772" s="10">
        <v>18.288147813406137</v>
      </c>
      <c r="U7772" s="11">
        <v>0.20720739878987782</v>
      </c>
      <c r="V7772" s="11">
        <v>0.07648757177144733</v>
      </c>
      <c r="W7772" s="11">
        <v>0.2594613902166313</v>
      </c>
      <c r="X7772" s="11">
        <v>0.19035495199753213</v>
      </c>
      <c r="Y7772" s="11">
        <v>0.07827358205655831</v>
      </c>
      <c r="Z7772" s="11">
        <v>0.18821510516795326</v>
      </c>
    </row>
    <row r="7773" ht="22.5" customHeight="1">
      <c r="Q7773" s="9" t="s">
        <v>7811</v>
      </c>
      <c r="R7773" s="10">
        <v>0.4867209983639943</v>
      </c>
      <c r="S7773" s="10">
        <v>0.024428180871809438</v>
      </c>
      <c r="T7773" s="10">
        <v>18.287116863438587</v>
      </c>
      <c r="U7773" s="11">
        <v>0.16638944797870706</v>
      </c>
      <c r="V7773" s="11">
        <v>0.22672208693027845</v>
      </c>
      <c r="W7773" s="11">
        <v>0.031005756640769107</v>
      </c>
      <c r="X7773" s="11">
        <v>0.14324174274017218</v>
      </c>
      <c r="Y7773" s="11">
        <v>0.14462058261244565</v>
      </c>
      <c r="Z7773" s="11">
        <v>0.2880203830976275</v>
      </c>
    </row>
    <row r="7774" ht="22.5" customHeight="1">
      <c r="Q7774" s="9" t="s">
        <v>7812</v>
      </c>
      <c r="R7774" s="10">
        <v>0.6986359380156058</v>
      </c>
      <c r="S7774" s="10">
        <v>0.03601838499854051</v>
      </c>
      <c r="T7774" s="10">
        <v>18.286104111616723</v>
      </c>
      <c r="U7774" s="11">
        <v>0.0042468624212407</v>
      </c>
      <c r="V7774" s="11">
        <v>0.10963406719597787</v>
      </c>
      <c r="W7774" s="11">
        <v>0.31164610113830016</v>
      </c>
      <c r="X7774" s="11">
        <v>0.24676443933071815</v>
      </c>
      <c r="Y7774" s="11">
        <v>0.05304414614790257</v>
      </c>
      <c r="Z7774" s="11">
        <v>0.27466438376586055</v>
      </c>
    </row>
    <row r="7775" ht="22.5" customHeight="1">
      <c r="Q7775" s="9" t="s">
        <v>7813</v>
      </c>
      <c r="R7775" s="10">
        <v>0.25449556521912076</v>
      </c>
      <c r="S7775" s="10">
        <v>0.011730334653433466</v>
      </c>
      <c r="T7775" s="10">
        <v>18.285545259899123</v>
      </c>
      <c r="U7775" s="11">
        <v>0.18573850858618246</v>
      </c>
      <c r="V7775" s="11">
        <v>0.001408049972862913</v>
      </c>
      <c r="W7775" s="11">
        <v>0.06905270169108302</v>
      </c>
      <c r="X7775" s="11">
        <v>0.2822014531370058</v>
      </c>
      <c r="Y7775" s="11">
        <v>0.2513481807678224</v>
      </c>
      <c r="Z7775" s="11">
        <v>0.21025110584504347</v>
      </c>
    </row>
    <row r="7776" ht="22.5" customHeight="1">
      <c r="Q7776" s="9" t="s">
        <v>7814</v>
      </c>
      <c r="R7776" s="10">
        <v>0.877605556847177</v>
      </c>
      <c r="S7776" s="10">
        <v>0.04580907908166698</v>
      </c>
      <c r="T7776" s="10">
        <v>18.284706299245183</v>
      </c>
      <c r="U7776" s="11">
        <v>0.03274518258745834</v>
      </c>
      <c r="V7776" s="11">
        <v>0.1828563681041982</v>
      </c>
      <c r="W7776" s="11">
        <v>0.38537950335446985</v>
      </c>
      <c r="X7776" s="11">
        <v>0.05311840956949985</v>
      </c>
      <c r="Y7776" s="11">
        <v>0.12874913439668406</v>
      </c>
      <c r="Z7776" s="11">
        <v>0.21715140198768962</v>
      </c>
    </row>
    <row r="7777" ht="22.5" customHeight="1">
      <c r="Q7777" s="9" t="s">
        <v>7815</v>
      </c>
      <c r="R7777" s="10">
        <v>0.3845737872716278</v>
      </c>
      <c r="S7777" s="10">
        <v>0.018845762461287933</v>
      </c>
      <c r="T7777" s="10">
        <v>18.28388678778239</v>
      </c>
      <c r="U7777" s="11">
        <v>0.19105668042846405</v>
      </c>
      <c r="V7777" s="11">
        <v>0.028772636185007618</v>
      </c>
      <c r="W7777" s="11">
        <v>0.14694757448165519</v>
      </c>
      <c r="X7777" s="11">
        <v>0.14731751337761534</v>
      </c>
      <c r="Y7777" s="11">
        <v>0.34581362345779504</v>
      </c>
      <c r="Z7777" s="11">
        <v>0.14009197206946278</v>
      </c>
    </row>
    <row r="7778" ht="22.5" customHeight="1">
      <c r="Q7778" s="9" t="s">
        <v>7816</v>
      </c>
      <c r="R7778" s="10">
        <v>0.49158547107307776</v>
      </c>
      <c r="S7778" s="10">
        <v>0.024700253025903392</v>
      </c>
      <c r="T7778" s="10">
        <v>18.28262530750174</v>
      </c>
      <c r="U7778" s="11">
        <v>0.3075364883135004</v>
      </c>
      <c r="V7778" s="11">
        <v>0.05374344335631001</v>
      </c>
      <c r="W7778" s="11">
        <v>0.20710952310817846</v>
      </c>
      <c r="X7778" s="11">
        <v>0.11241215240498402</v>
      </c>
      <c r="Y7778" s="11">
        <v>0.21972768036438792</v>
      </c>
      <c r="Z7778" s="11">
        <v>0.09947071245263918</v>
      </c>
    </row>
    <row r="7779" ht="22.5" customHeight="1">
      <c r="Q7779" s="9" t="s">
        <v>7817</v>
      </c>
      <c r="R7779" s="10">
        <v>0.6096426236456554</v>
      </c>
      <c r="S7779" s="10">
        <v>0.031158120484868938</v>
      </c>
      <c r="T7779" s="10">
        <v>18.282316608997203</v>
      </c>
      <c r="U7779" s="11">
        <v>0.25365823932213616</v>
      </c>
      <c r="V7779" s="11">
        <v>0.29004178739035336</v>
      </c>
      <c r="W7779" s="11">
        <v>0.040255886991312224</v>
      </c>
      <c r="X7779" s="11">
        <v>0.2162385998678088</v>
      </c>
      <c r="Y7779" s="11">
        <v>0.1487966581957487</v>
      </c>
      <c r="Z7779" s="11">
        <v>0.05100882823264075</v>
      </c>
    </row>
    <row r="7780" ht="22.5" customHeight="1">
      <c r="Q7780" s="9" t="s">
        <v>7818</v>
      </c>
      <c r="R7780" s="10">
        <v>0.6925334285280899</v>
      </c>
      <c r="S7780" s="10">
        <v>0.035692495253258044</v>
      </c>
      <c r="T7780" s="10">
        <v>18.28209050384411</v>
      </c>
      <c r="U7780" s="11">
        <v>0.35897218364958244</v>
      </c>
      <c r="V7780" s="11">
        <v>0.10360956413170373</v>
      </c>
      <c r="W7780" s="11">
        <v>0.3077416669358274</v>
      </c>
      <c r="X7780" s="11">
        <v>0.16842956534695833</v>
      </c>
      <c r="Y7780" s="11">
        <v>0.011076637203221705</v>
      </c>
      <c r="Z7780" s="11">
        <v>0.05017038273270634</v>
      </c>
    </row>
    <row r="7781" ht="22.5" customHeight="1">
      <c r="Q7781" s="9" t="s">
        <v>7819</v>
      </c>
      <c r="R7781" s="10">
        <v>0.6233089303561307</v>
      </c>
      <c r="S7781" s="10">
        <v>0.03190605556004866</v>
      </c>
      <c r="T7781" s="10">
        <v>18.28207592938953</v>
      </c>
      <c r="U7781" s="11">
        <v>0.14900745176537647</v>
      </c>
      <c r="V7781" s="11">
        <v>0.09204215736848638</v>
      </c>
      <c r="W7781" s="11">
        <v>0.2744092953977333</v>
      </c>
      <c r="X7781" s="11">
        <v>0.12858901635102835</v>
      </c>
      <c r="Y7781" s="11">
        <v>0.16450184501704393</v>
      </c>
      <c r="Z7781" s="11">
        <v>0.1914502341003316</v>
      </c>
    </row>
    <row r="7782" ht="22.5" customHeight="1">
      <c r="Q7782" s="9" t="s">
        <v>7820</v>
      </c>
      <c r="R7782" s="10">
        <v>0.60763061960974</v>
      </c>
      <c r="S7782" s="10">
        <v>0.031049036749408173</v>
      </c>
      <c r="T7782" s="10">
        <v>18.281746522154492</v>
      </c>
      <c r="U7782" s="11">
        <v>0.05015629899578944</v>
      </c>
      <c r="V7782" s="11">
        <v>0.2929272896320312</v>
      </c>
      <c r="W7782" s="11">
        <v>0.051710196972799036</v>
      </c>
      <c r="X7782" s="11">
        <v>0.23100869853876457</v>
      </c>
      <c r="Y7782" s="11">
        <v>0.054840441355954304</v>
      </c>
      <c r="Z7782" s="11">
        <v>0.3193570745046614</v>
      </c>
    </row>
    <row r="7783" ht="22.5" customHeight="1">
      <c r="Q7783" s="9" t="s">
        <v>7821</v>
      </c>
      <c r="R7783" s="10">
        <v>0.42271312796445054</v>
      </c>
      <c r="S7783" s="10">
        <v>0.020934302073239593</v>
      </c>
      <c r="T7783" s="10">
        <v>18.28162823988646</v>
      </c>
      <c r="U7783" s="11">
        <v>0.22927995594749967</v>
      </c>
      <c r="V7783" s="11">
        <v>0.18624101053684197</v>
      </c>
      <c r="W7783" s="11">
        <v>0.026347194492336603</v>
      </c>
      <c r="X7783" s="11">
        <v>0.06313803084899514</v>
      </c>
      <c r="Y7783" s="11">
        <v>0.24437966487835094</v>
      </c>
      <c r="Z7783" s="11">
        <v>0.25061414329597553</v>
      </c>
    </row>
    <row r="7784" ht="22.5" customHeight="1">
      <c r="Q7784" s="9" t="s">
        <v>7822</v>
      </c>
      <c r="R7784" s="10">
        <v>0.3552504830349005</v>
      </c>
      <c r="S7784" s="10">
        <v>0.017244173954118116</v>
      </c>
      <c r="T7784" s="10">
        <v>18.28156476927762</v>
      </c>
      <c r="U7784" s="11">
        <v>0.2676614333993265</v>
      </c>
      <c r="V7784" s="11">
        <v>0.02806101889600811</v>
      </c>
      <c r="W7784" s="11">
        <v>0.13603727089787726</v>
      </c>
      <c r="X7784" s="11">
        <v>0.11715400161606777</v>
      </c>
      <c r="Y7784" s="11">
        <v>0.20830380479826818</v>
      </c>
      <c r="Z7784" s="11">
        <v>0.24278247039245202</v>
      </c>
    </row>
    <row r="7785" ht="22.5" customHeight="1">
      <c r="Q7785" s="9" t="s">
        <v>7823</v>
      </c>
      <c r="R7785" s="10">
        <v>0.7583181720162967</v>
      </c>
      <c r="S7785" s="10">
        <v>0.03929272936547415</v>
      </c>
      <c r="T7785" s="10">
        <v>18.281198166077782</v>
      </c>
      <c r="U7785" s="11">
        <v>0.29042807237635104</v>
      </c>
      <c r="V7785" s="11">
        <v>0.12196551966616674</v>
      </c>
      <c r="W7785" s="11">
        <v>0.33919823459329984</v>
      </c>
      <c r="X7785" s="11">
        <v>0.17907014211589242</v>
      </c>
      <c r="Y7785" s="11">
        <v>0.011402685805593726</v>
      </c>
      <c r="Z7785" s="11">
        <v>0.057935345442696025</v>
      </c>
    </row>
    <row r="7786" ht="22.5" customHeight="1">
      <c r="Q7786" s="9" t="s">
        <v>7824</v>
      </c>
      <c r="R7786" s="10">
        <v>0.5034263500259599</v>
      </c>
      <c r="S7786" s="10">
        <v>0.025349977164950337</v>
      </c>
      <c r="T7786" s="10">
        <v>18.28113481169946</v>
      </c>
      <c r="U7786" s="11">
        <v>0.12383700111465366</v>
      </c>
      <c r="V7786" s="11">
        <v>0.047699922566598406</v>
      </c>
      <c r="W7786" s="11">
        <v>0.21686096520773057</v>
      </c>
      <c r="X7786" s="11">
        <v>0.22920296372306623</v>
      </c>
      <c r="Y7786" s="11">
        <v>0.2153980608273987</v>
      </c>
      <c r="Z7786" s="11">
        <v>0.1670010865605524</v>
      </c>
    </row>
    <row r="7787" ht="22.5" customHeight="1">
      <c r="Q7787" s="9" t="s">
        <v>7825</v>
      </c>
      <c r="R7787" s="10">
        <v>0.4435065549056518</v>
      </c>
      <c r="S7787" s="10">
        <v>0.022072727757131504</v>
      </c>
      <c r="T7787" s="10">
        <v>18.280774326828833</v>
      </c>
      <c r="U7787" s="11">
        <v>0.3140608858449093</v>
      </c>
      <c r="V7787" s="11">
        <v>0.19985738903907954</v>
      </c>
      <c r="W7787" s="11">
        <v>0.03633053823882368</v>
      </c>
      <c r="X7787" s="11">
        <v>0.08158000916687183</v>
      </c>
      <c r="Y7787" s="11">
        <v>0.025353266397508508</v>
      </c>
      <c r="Z7787" s="11">
        <v>0.34281791131280703</v>
      </c>
    </row>
    <row r="7788" ht="22.5" customHeight="1">
      <c r="Q7788" s="9" t="s">
        <v>7826</v>
      </c>
      <c r="R7788" s="10">
        <v>0.4066729968096293</v>
      </c>
      <c r="S7788" s="10">
        <v>0.020058593771214658</v>
      </c>
      <c r="T7788" s="10">
        <v>18.28009485569363</v>
      </c>
      <c r="U7788" s="11">
        <v>0.0025646942651722324</v>
      </c>
      <c r="V7788" s="11">
        <v>0.05639627804952641</v>
      </c>
      <c r="W7788" s="11">
        <v>0.1483182664388589</v>
      </c>
      <c r="X7788" s="11">
        <v>0.05229135520536826</v>
      </c>
      <c r="Y7788" s="11">
        <v>0.46676570272041196</v>
      </c>
      <c r="Z7788" s="11">
        <v>0.27366370332066225</v>
      </c>
    </row>
    <row r="7789" ht="22.5" customHeight="1">
      <c r="Q7789" s="9" t="s">
        <v>7827</v>
      </c>
      <c r="R7789" s="10">
        <v>0.3837294835510403</v>
      </c>
      <c r="S7789" s="10">
        <v>0.018805447216711717</v>
      </c>
      <c r="T7789" s="10">
        <v>18.278187143860126</v>
      </c>
      <c r="U7789" s="11">
        <v>0.30712430559033616</v>
      </c>
      <c r="V7789" s="11">
        <v>0.04192570666001133</v>
      </c>
      <c r="W7789" s="11">
        <v>0.15284920619234432</v>
      </c>
      <c r="X7789" s="11">
        <v>0.10091427101699371</v>
      </c>
      <c r="Y7789" s="11">
        <v>0.06671780253760835</v>
      </c>
      <c r="Z7789" s="11">
        <v>0.33046870800270606</v>
      </c>
    </row>
    <row r="7790" ht="22.5" customHeight="1">
      <c r="Q7790" s="9" t="s">
        <v>7828</v>
      </c>
      <c r="R7790" s="10">
        <v>0.2566635715885377</v>
      </c>
      <c r="S7790" s="10">
        <v>0.011854147844045966</v>
      </c>
      <c r="T7790" s="10">
        <v>18.277448066194168</v>
      </c>
      <c r="U7790" s="11">
        <v>0.3128426801398627</v>
      </c>
      <c r="V7790" s="11">
        <v>0.02355886241897321</v>
      </c>
      <c r="W7790" s="11">
        <v>0.05729769772689672</v>
      </c>
      <c r="X7790" s="11">
        <v>0.11784418732343967</v>
      </c>
      <c r="Y7790" s="11">
        <v>0.32188414988434394</v>
      </c>
      <c r="Z7790" s="11">
        <v>0.16657242250648363</v>
      </c>
    </row>
    <row r="7791" ht="22.5" customHeight="1">
      <c r="Q7791" s="9" t="s">
        <v>7829</v>
      </c>
      <c r="R7791" s="10">
        <v>0.9189449280896067</v>
      </c>
      <c r="S7791" s="10">
        <v>0.0480891158808297</v>
      </c>
      <c r="T7791" s="10">
        <v>18.27741916211835</v>
      </c>
      <c r="U7791" s="11">
        <v>0.04387918944095983</v>
      </c>
      <c r="V7791" s="11">
        <v>0.18356907385839694</v>
      </c>
      <c r="W7791" s="11">
        <v>0.40566983577814697</v>
      </c>
      <c r="X7791" s="11">
        <v>0.06991444768760623</v>
      </c>
      <c r="Y7791" s="11">
        <v>0.2182675660995486</v>
      </c>
      <c r="Z7791" s="11">
        <v>0.07869988713534143</v>
      </c>
    </row>
    <row r="7792" ht="22.5" customHeight="1">
      <c r="Q7792" s="9" t="s">
        <v>7830</v>
      </c>
      <c r="R7792" s="10">
        <v>0.4215591645032364</v>
      </c>
      <c r="S7792" s="10">
        <v>0.020876368596140032</v>
      </c>
      <c r="T7792" s="10">
        <v>18.277085056535423</v>
      </c>
      <c r="U7792" s="11">
        <v>0.4078664843142664</v>
      </c>
      <c r="V7792" s="11">
        <v>0.027578788611631926</v>
      </c>
      <c r="W7792" s="11">
        <v>0.17155262957177606</v>
      </c>
      <c r="X7792" s="11">
        <v>0.2082980472518671</v>
      </c>
      <c r="Y7792" s="11">
        <v>0.12659424165945038</v>
      </c>
      <c r="Z7792" s="11">
        <v>0.05810980859100807</v>
      </c>
    </row>
    <row r="7793" ht="22.5" customHeight="1">
      <c r="Q7793" s="9" t="s">
        <v>7831</v>
      </c>
      <c r="R7793" s="10">
        <v>0.4464889786171402</v>
      </c>
      <c r="S7793" s="10">
        <v>0.02224198491717622</v>
      </c>
      <c r="T7793" s="10">
        <v>18.275751023607246</v>
      </c>
      <c r="U7793" s="11">
        <v>0.08565939633557686</v>
      </c>
      <c r="V7793" s="11">
        <v>0.20183392457542587</v>
      </c>
      <c r="W7793" s="11">
        <v>0.016411251347524945</v>
      </c>
      <c r="X7793" s="11">
        <v>0.19386999312848066</v>
      </c>
      <c r="Y7793" s="11">
        <v>0.2635895520436183</v>
      </c>
      <c r="Z7793" s="11">
        <v>0.23863588256937343</v>
      </c>
    </row>
    <row r="7794" ht="22.5" customHeight="1">
      <c r="Q7794" s="9" t="s">
        <v>7832</v>
      </c>
      <c r="R7794" s="10">
        <v>0.6592636259105025</v>
      </c>
      <c r="S7794" s="10">
        <v>0.0338886391343274</v>
      </c>
      <c r="T7794" s="10">
        <v>18.273487567791445</v>
      </c>
      <c r="U7794" s="11">
        <v>0.1776773384709747</v>
      </c>
      <c r="V7794" s="11">
        <v>0.31537180886151284</v>
      </c>
      <c r="W7794" s="11">
        <v>0.05514391024364753</v>
      </c>
      <c r="X7794" s="11">
        <v>0.15837959254146286</v>
      </c>
      <c r="Y7794" s="11">
        <v>0.24344794751479687</v>
      </c>
      <c r="Z7794" s="11">
        <v>0.049979402367605244</v>
      </c>
    </row>
    <row r="7795" ht="22.5" customHeight="1">
      <c r="Q7795" s="9" t="s">
        <v>7833</v>
      </c>
      <c r="R7795" s="10">
        <v>0.6698781095953722</v>
      </c>
      <c r="S7795" s="10">
        <v>0.03447570493112402</v>
      </c>
      <c r="T7795" s="10">
        <v>18.270202476026242</v>
      </c>
      <c r="U7795" s="11">
        <v>0.14184999007401705</v>
      </c>
      <c r="V7795" s="11">
        <v>0.09057109484846022</v>
      </c>
      <c r="W7795" s="11">
        <v>0.297143485848992</v>
      </c>
      <c r="X7795" s="11">
        <v>0.1908945483852216</v>
      </c>
      <c r="Y7795" s="11">
        <v>0.23503515734069994</v>
      </c>
      <c r="Z7795" s="11">
        <v>0.044505723502609174</v>
      </c>
    </row>
    <row r="7796" ht="22.5" customHeight="1">
      <c r="Q7796" s="9" t="s">
        <v>7834</v>
      </c>
      <c r="R7796" s="10">
        <v>0.6553827615286113</v>
      </c>
      <c r="S7796" s="10">
        <v>0.033684106479089364</v>
      </c>
      <c r="T7796" s="10">
        <v>18.26923216474905</v>
      </c>
      <c r="U7796" s="11">
        <v>0.041989033775460906</v>
      </c>
      <c r="V7796" s="11">
        <v>0.10313043883409863</v>
      </c>
      <c r="W7796" s="11">
        <v>0.29089132501920806</v>
      </c>
      <c r="X7796" s="11">
        <v>0.18628145764732065</v>
      </c>
      <c r="Y7796" s="11">
        <v>0.07712611878769442</v>
      </c>
      <c r="Z7796" s="11">
        <v>0.3005816259362175</v>
      </c>
    </row>
    <row r="7797" ht="22.5" customHeight="1">
      <c r="Q7797" s="9" t="s">
        <v>7835</v>
      </c>
      <c r="R7797" s="10">
        <v>0.6043266295216825</v>
      </c>
      <c r="S7797" s="10">
        <v>0.030890315560372302</v>
      </c>
      <c r="T7797" s="10">
        <v>18.268723361493592</v>
      </c>
      <c r="U7797" s="11">
        <v>0.07718599969681794</v>
      </c>
      <c r="V7797" s="11">
        <v>0.10463252325795744</v>
      </c>
      <c r="W7797" s="11">
        <v>0.26037173807567926</v>
      </c>
      <c r="X7797" s="11">
        <v>0.03515450552527112</v>
      </c>
      <c r="Y7797" s="11">
        <v>0.20871235954152387</v>
      </c>
      <c r="Z7797" s="11">
        <v>0.31394287390275055</v>
      </c>
    </row>
    <row r="7798" ht="22.5" customHeight="1">
      <c r="Q7798" s="9" t="s">
        <v>7836</v>
      </c>
      <c r="R7798" s="10">
        <v>0.6316060692219934</v>
      </c>
      <c r="S7798" s="10">
        <v>0.03238623274199589</v>
      </c>
      <c r="T7798" s="10">
        <v>18.26720859863536</v>
      </c>
      <c r="U7798" s="11">
        <v>0.1694614780878913</v>
      </c>
      <c r="V7798" s="11">
        <v>0.3033090613721116</v>
      </c>
      <c r="W7798" s="11">
        <v>0.039405573226155205</v>
      </c>
      <c r="X7798" s="11">
        <v>0.29904745263702764</v>
      </c>
      <c r="Y7798" s="11">
        <v>0.10241721504178512</v>
      </c>
      <c r="Z7798" s="11">
        <v>0.08635921963502918</v>
      </c>
    </row>
    <row r="7799" ht="22.5" customHeight="1">
      <c r="Q7799" s="9" t="s">
        <v>7837</v>
      </c>
      <c r="R7799" s="10">
        <v>0.8263917264723049</v>
      </c>
      <c r="S7799" s="10">
        <v>0.04305279597025521</v>
      </c>
      <c r="T7799" s="10">
        <v>18.26575275193778</v>
      </c>
      <c r="U7799" s="11">
        <v>0.2155228099915589</v>
      </c>
      <c r="V7799" s="11">
        <v>0.1526920885237642</v>
      </c>
      <c r="W7799" s="11">
        <v>0.3674544990463512</v>
      </c>
      <c r="X7799" s="11">
        <v>0.08991395936883902</v>
      </c>
      <c r="Y7799" s="11">
        <v>0.088045656564222</v>
      </c>
      <c r="Z7799" s="11">
        <v>0.08637098650526466</v>
      </c>
    </row>
    <row r="7800" ht="22.5" customHeight="1">
      <c r="Q7800" s="9" t="s">
        <v>7838</v>
      </c>
      <c r="R7800" s="10">
        <v>0.4931372480855153</v>
      </c>
      <c r="S7800" s="10">
        <v>0.024809992445829872</v>
      </c>
      <c r="T7800" s="10">
        <v>18.264304153856354</v>
      </c>
      <c r="U7800" s="11">
        <v>0.15631309537226926</v>
      </c>
      <c r="V7800" s="11">
        <v>0.05058103577989711</v>
      </c>
      <c r="W7800" s="11">
        <v>0.21066528756633934</v>
      </c>
      <c r="X7800" s="11">
        <v>0.16962463073895342</v>
      </c>
      <c r="Y7800" s="11">
        <v>0.23989991993234813</v>
      </c>
      <c r="Z7800" s="11">
        <v>0.17291603061019264</v>
      </c>
    </row>
    <row r="7801" ht="22.5" customHeight="1">
      <c r="Q7801" s="9" t="s">
        <v>7839</v>
      </c>
      <c r="R7801" s="10">
        <v>0.5293801675589007</v>
      </c>
      <c r="S7801" s="10">
        <v>0.026794585921315128</v>
      </c>
      <c r="T7801" s="10">
        <v>18.264143696641273</v>
      </c>
      <c r="U7801" s="11">
        <v>0.23519347326772974</v>
      </c>
      <c r="V7801" s="11">
        <v>0.04617315730075178</v>
      </c>
      <c r="W7801" s="11">
        <v>0.2280417700596737</v>
      </c>
      <c r="X7801" s="11">
        <v>0.23950623826245426</v>
      </c>
      <c r="Y7801" s="11">
        <v>0.24415145769052454</v>
      </c>
      <c r="Z7801" s="11">
        <v>0.006933903418866197</v>
      </c>
    </row>
    <row r="7802" ht="22.5" customHeight="1">
      <c r="Q7802" s="9" t="s">
        <v>7840</v>
      </c>
      <c r="R7802" s="10">
        <v>0.5727771474488754</v>
      </c>
      <c r="S7802" s="10">
        <v>0.029171084621042755</v>
      </c>
      <c r="T7802" s="10">
        <v>18.263878575997584</v>
      </c>
      <c r="U7802" s="11">
        <v>0.0033163827350137305</v>
      </c>
      <c r="V7802" s="11">
        <v>0.27385306292782907</v>
      </c>
      <c r="W7802" s="11">
        <v>0.03692383008400221</v>
      </c>
      <c r="X7802" s="11">
        <v>0.2637252048413207</v>
      </c>
      <c r="Y7802" s="11">
        <v>0.15472424474803903</v>
      </c>
      <c r="Z7802" s="11">
        <v>0.2674572746637953</v>
      </c>
    </row>
    <row r="7803" ht="22.5" customHeight="1">
      <c r="Q7803" s="9" t="s">
        <v>7841</v>
      </c>
      <c r="R7803" s="10">
        <v>0.5942058414991949</v>
      </c>
      <c r="S7803" s="10">
        <v>0.03034654134769105</v>
      </c>
      <c r="T7803" s="10">
        <v>18.262570193731886</v>
      </c>
      <c r="U7803" s="11">
        <v>0.19494235059505027</v>
      </c>
      <c r="V7803" s="11">
        <v>0.28094483403380566</v>
      </c>
      <c r="W7803" s="11">
        <v>0.03984234880141701</v>
      </c>
      <c r="X7803" s="11">
        <v>0.17486882936466855</v>
      </c>
      <c r="Y7803" s="11">
        <v>0.24871834154882144</v>
      </c>
      <c r="Z7803" s="11">
        <v>0.060683295656237195</v>
      </c>
    </row>
    <row r="7804" ht="22.5" customHeight="1">
      <c r="Q7804" s="9" t="s">
        <v>7842</v>
      </c>
      <c r="R7804" s="10">
        <v>0.556863630332359</v>
      </c>
      <c r="S7804" s="10">
        <v>0.02830356943513637</v>
      </c>
      <c r="T7804" s="10">
        <v>18.261429234813</v>
      </c>
      <c r="U7804" s="11">
        <v>0.28194755509796937</v>
      </c>
      <c r="V7804" s="11">
        <v>0.06558078752593881</v>
      </c>
      <c r="W7804" s="11">
        <v>0.23894450537957956</v>
      </c>
      <c r="X7804" s="11">
        <v>0.12251670025917946</v>
      </c>
      <c r="Y7804" s="11">
        <v>0.2723365835844625</v>
      </c>
      <c r="Z7804" s="11">
        <v>0.018673868152870438</v>
      </c>
    </row>
    <row r="7805" ht="22.5" customHeight="1">
      <c r="Q7805" s="9" t="s">
        <v>7843</v>
      </c>
      <c r="R7805" s="10">
        <v>0.60253497873418</v>
      </c>
      <c r="S7805" s="10">
        <v>0.030805205911945337</v>
      </c>
      <c r="T7805" s="10">
        <v>18.261036148959672</v>
      </c>
      <c r="U7805" s="11">
        <v>0.06024412355120578</v>
      </c>
      <c r="V7805" s="11">
        <v>0.08195226070464307</v>
      </c>
      <c r="W7805" s="11">
        <v>0.2672899530856688</v>
      </c>
      <c r="X7805" s="11">
        <v>0.22967222395538414</v>
      </c>
      <c r="Y7805" s="11">
        <v>0.07877105116382921</v>
      </c>
      <c r="Z7805" s="11">
        <v>0.2820703875392691</v>
      </c>
    </row>
    <row r="7806" ht="22.5" customHeight="1">
      <c r="Q7806" s="9" t="s">
        <v>7844</v>
      </c>
      <c r="R7806" s="10">
        <v>0.6568568128322146</v>
      </c>
      <c r="S7806" s="10">
        <v>0.03378471863193984</v>
      </c>
      <c r="T7806" s="10">
        <v>18.258456420857755</v>
      </c>
      <c r="U7806" s="11">
        <v>0.14060032819837803</v>
      </c>
      <c r="V7806" s="11">
        <v>0.11064746237416948</v>
      </c>
      <c r="W7806" s="11">
        <v>0.2867002793727714</v>
      </c>
      <c r="X7806" s="11">
        <v>0.049190022630840186</v>
      </c>
      <c r="Y7806" s="11">
        <v>0.21853629563145657</v>
      </c>
      <c r="Z7806" s="11">
        <v>0.1943256117923842</v>
      </c>
    </row>
    <row r="7807" ht="22.5" customHeight="1">
      <c r="Q7807" s="9" t="s">
        <v>7845</v>
      </c>
      <c r="R7807" s="10">
        <v>0.48511291000849943</v>
      </c>
      <c r="S7807" s="10">
        <v>0.024379348789865214</v>
      </c>
      <c r="T7807" s="10">
        <v>18.257785055913313</v>
      </c>
      <c r="U7807" s="11">
        <v>0.21642055585805803</v>
      </c>
      <c r="V7807" s="11">
        <v>0.2207809940509751</v>
      </c>
      <c r="W7807" s="11">
        <v>0.040949645063969926</v>
      </c>
      <c r="X7807" s="11">
        <v>0.028212260128617824</v>
      </c>
      <c r="Y7807" s="11">
        <v>0.2506954040758636</v>
      </c>
      <c r="Z7807" s="11">
        <v>0.2429411408225155</v>
      </c>
    </row>
    <row r="7808" ht="22.5" customHeight="1">
      <c r="Q7808" s="9" t="s">
        <v>7846</v>
      </c>
      <c r="R7808" s="10">
        <v>0.5255561319703091</v>
      </c>
      <c r="S7808" s="10">
        <v>0.026594747410390227</v>
      </c>
      <c r="T7808" s="10">
        <v>18.25759517387289</v>
      </c>
      <c r="U7808" s="11">
        <v>0.10768453050214857</v>
      </c>
      <c r="V7808" s="11">
        <v>0.2427373589131305</v>
      </c>
      <c r="W7808" s="11">
        <v>0.02747912835782714</v>
      </c>
      <c r="X7808" s="11">
        <v>0.1851971533995083</v>
      </c>
      <c r="Y7808" s="11">
        <v>0.3207640773693958</v>
      </c>
      <c r="Z7808" s="11">
        <v>0.11613775145798963</v>
      </c>
    </row>
    <row r="7809" ht="22.5" customHeight="1">
      <c r="Q7809" s="9" t="s">
        <v>7847</v>
      </c>
      <c r="R7809" s="10">
        <v>0.7164689618311045</v>
      </c>
      <c r="S7809" s="10">
        <v>0.037051634923922785</v>
      </c>
      <c r="T7809" s="10">
        <v>18.25746591803794</v>
      </c>
      <c r="U7809" s="11">
        <v>0.008104500843753103</v>
      </c>
      <c r="V7809" s="11">
        <v>0.11397731839966005</v>
      </c>
      <c r="W7809" s="11">
        <v>0.3117895165556914</v>
      </c>
      <c r="X7809" s="11">
        <v>0.11788738167798207</v>
      </c>
      <c r="Y7809" s="11">
        <v>0.4006315139941771</v>
      </c>
      <c r="Z7809" s="11">
        <v>0.04760976852873617</v>
      </c>
    </row>
    <row r="7810" ht="22.5" customHeight="1">
      <c r="Q7810" s="9" t="s">
        <v>7848</v>
      </c>
      <c r="R7810" s="10">
        <v>0.7704784605785595</v>
      </c>
      <c r="S7810" s="10">
        <v>0.040010299825158344</v>
      </c>
      <c r="T7810" s="10">
        <v>18.257260349727172</v>
      </c>
      <c r="U7810" s="11">
        <v>0.055139160208887796</v>
      </c>
      <c r="V7810" s="11">
        <v>0.37634258830080286</v>
      </c>
      <c r="W7810" s="11">
        <v>0.08428305393121281</v>
      </c>
      <c r="X7810" s="11">
        <v>0.17790631922773678</v>
      </c>
      <c r="Y7810" s="11">
        <v>0.14527552338354266</v>
      </c>
      <c r="Z7810" s="11">
        <v>0.1610533549478171</v>
      </c>
    </row>
    <row r="7811" ht="22.5" customHeight="1">
      <c r="Q7811" s="9" t="s">
        <v>7849</v>
      </c>
      <c r="R7811" s="10">
        <v>0.9071681887249947</v>
      </c>
      <c r="S7811" s="10">
        <v>0.04749784919441995</v>
      </c>
      <c r="T7811" s="10">
        <v>18.25699907327319</v>
      </c>
      <c r="U7811" s="11">
        <v>0.19608059049521853</v>
      </c>
      <c r="V7811" s="11">
        <v>0.1827982825317731</v>
      </c>
      <c r="W7811" s="11">
        <v>0.40174797054053485</v>
      </c>
      <c r="X7811" s="11">
        <v>0.05276335224423796</v>
      </c>
      <c r="Y7811" s="11">
        <v>0.08276800152223247</v>
      </c>
      <c r="Z7811" s="11">
        <v>0.08384180266600305</v>
      </c>
    </row>
    <row r="7812" ht="22.5" customHeight="1">
      <c r="Q7812" s="9" t="s">
        <v>7850</v>
      </c>
      <c r="R7812" s="10">
        <v>0.8195788596989072</v>
      </c>
      <c r="S7812" s="10">
        <v>0.04270089548224167</v>
      </c>
      <c r="T7812" s="10">
        <v>18.256733281462825</v>
      </c>
      <c r="U7812" s="11">
        <v>0.05876984025766356</v>
      </c>
      <c r="V7812" s="11">
        <v>0.15579022604590637</v>
      </c>
      <c r="W7812" s="11">
        <v>0.36309095186215323</v>
      </c>
      <c r="X7812" s="11">
        <v>0.08433566996961031</v>
      </c>
      <c r="Y7812" s="11">
        <v>0.161245649758979</v>
      </c>
      <c r="Z7812" s="11">
        <v>0.1767676621056875</v>
      </c>
    </row>
    <row r="7813" ht="22.5" customHeight="1">
      <c r="Q7813" s="9" t="s">
        <v>7851</v>
      </c>
      <c r="R7813" s="10">
        <v>0.7183927789188753</v>
      </c>
      <c r="S7813" s="10">
        <v>0.0371589520566817</v>
      </c>
      <c r="T7813" s="10">
        <v>18.25650997595587</v>
      </c>
      <c r="U7813" s="11">
        <v>0.16493194910848127</v>
      </c>
      <c r="V7813" s="11">
        <v>0.3454816227333491</v>
      </c>
      <c r="W7813" s="11">
        <v>0.07970781740166072</v>
      </c>
      <c r="X7813" s="11">
        <v>0.07043876636242152</v>
      </c>
      <c r="Y7813" s="11">
        <v>0.24103960485210635</v>
      </c>
      <c r="Z7813" s="11">
        <v>0.09840023954198111</v>
      </c>
    </row>
    <row r="7814" ht="22.5" customHeight="1">
      <c r="Q7814" s="9" t="s">
        <v>7852</v>
      </c>
      <c r="R7814" s="10">
        <v>0.590203129965042</v>
      </c>
      <c r="S7814" s="10">
        <v>0.030137404918345632</v>
      </c>
      <c r="T7814" s="10">
        <v>18.256486630344046</v>
      </c>
      <c r="U7814" s="11">
        <v>0.032547313963710814</v>
      </c>
      <c r="V7814" s="11">
        <v>0.2750961275888366</v>
      </c>
      <c r="W7814" s="11">
        <v>0.01773444579017382</v>
      </c>
      <c r="X7814" s="11">
        <v>0.46202259902685233</v>
      </c>
      <c r="Y7814" s="11">
        <v>0.1905033214966108</v>
      </c>
      <c r="Z7814" s="11">
        <v>0.022096192133815553</v>
      </c>
    </row>
    <row r="7815" ht="22.5" customHeight="1">
      <c r="Q7815" s="9" t="s">
        <v>7853</v>
      </c>
      <c r="R7815" s="10">
        <v>0.719141079414411</v>
      </c>
      <c r="S7815" s="10">
        <v>0.03720086095014936</v>
      </c>
      <c r="T7815" s="10">
        <v>18.256058114474477</v>
      </c>
      <c r="U7815" s="11">
        <v>0.10119687733628502</v>
      </c>
      <c r="V7815" s="11">
        <v>0.12914384729800882</v>
      </c>
      <c r="W7815" s="11">
        <v>0.3135734376171791</v>
      </c>
      <c r="X7815" s="11">
        <v>0.03082544964793463</v>
      </c>
      <c r="Y7815" s="11">
        <v>0.27556944115134124</v>
      </c>
      <c r="Z7815" s="11">
        <v>0.14969094694925122</v>
      </c>
    </row>
    <row r="7816" ht="22.5" customHeight="1">
      <c r="Q7816" s="9" t="s">
        <v>7854</v>
      </c>
      <c r="R7816" s="10">
        <v>0.657077610912674</v>
      </c>
      <c r="S7816" s="10">
        <v>0.03380369972325256</v>
      </c>
      <c r="T7816" s="10">
        <v>18.254735900644764</v>
      </c>
      <c r="U7816" s="11">
        <v>0.14600046435904926</v>
      </c>
      <c r="V7816" s="11">
        <v>0.09943419677431295</v>
      </c>
      <c r="W7816" s="11">
        <v>0.2925119570161324</v>
      </c>
      <c r="X7816" s="11">
        <v>0.1648047706039301</v>
      </c>
      <c r="Y7816" s="11">
        <v>0.08703478075511381</v>
      </c>
      <c r="Z7816" s="11">
        <v>0.21021383049146145</v>
      </c>
    </row>
    <row r="7817" ht="22.5" customHeight="1">
      <c r="Q7817" s="9" t="s">
        <v>7855</v>
      </c>
      <c r="R7817" s="10">
        <v>0.5938322363966635</v>
      </c>
      <c r="S7817" s="10">
        <v>0.030340656078218342</v>
      </c>
      <c r="T7817" s="10">
        <v>18.25379896100076</v>
      </c>
      <c r="U7817" s="11">
        <v>0.3168692255016526</v>
      </c>
      <c r="V7817" s="11">
        <v>0.2791708858828989</v>
      </c>
      <c r="W7817" s="11">
        <v>0.04223366134750149</v>
      </c>
      <c r="X7817" s="11">
        <v>0.1400740267245916</v>
      </c>
      <c r="Y7817" s="11">
        <v>0.2107559267724028</v>
      </c>
      <c r="Z7817" s="11">
        <v>0.010896273770952798</v>
      </c>
    </row>
    <row r="7818" ht="22.5" customHeight="1">
      <c r="Q7818" s="9" t="s">
        <v>7856</v>
      </c>
      <c r="R7818" s="10">
        <v>0.4134310345649379</v>
      </c>
      <c r="S7818" s="10">
        <v>0.020458795084919868</v>
      </c>
      <c r="T7818" s="10">
        <v>18.252836152613558</v>
      </c>
      <c r="U7818" s="11">
        <v>0.026149070865008655</v>
      </c>
      <c r="V7818" s="11">
        <v>0.04536329777789274</v>
      </c>
      <c r="W7818" s="11">
        <v>0.15501194786802044</v>
      </c>
      <c r="X7818" s="11">
        <v>0.1158857596497935</v>
      </c>
      <c r="Y7818" s="11">
        <v>0.4678684366254236</v>
      </c>
      <c r="Z7818" s="11">
        <v>0.18972148721386106</v>
      </c>
    </row>
    <row r="7819" ht="22.5" customHeight="1">
      <c r="Q7819" s="9" t="s">
        <v>7857</v>
      </c>
      <c r="R7819" s="10">
        <v>0.28526514373545003</v>
      </c>
      <c r="S7819" s="10">
        <v>0.013437138439817867</v>
      </c>
      <c r="T7819" s="10">
        <v>18.25278089036154</v>
      </c>
      <c r="U7819" s="11">
        <v>0.31472940557280593</v>
      </c>
      <c r="V7819" s="11">
        <v>0.02314331382028111</v>
      </c>
      <c r="W7819" s="11">
        <v>0.09009822497266336</v>
      </c>
      <c r="X7819" s="11">
        <v>0.08715152520984851</v>
      </c>
      <c r="Y7819" s="11">
        <v>0.22216745987090766</v>
      </c>
      <c r="Z7819" s="11">
        <v>0.2627100705534933</v>
      </c>
    </row>
    <row r="7820" ht="22.5" customHeight="1">
      <c r="Q7820" s="9" t="s">
        <v>7858</v>
      </c>
      <c r="R7820" s="10">
        <v>0.6293512617437158</v>
      </c>
      <c r="S7820" s="10">
        <v>0.03228851640529285</v>
      </c>
      <c r="T7820" s="10">
        <v>18.252658448162926</v>
      </c>
      <c r="U7820" s="11">
        <v>0.2509959149719611</v>
      </c>
      <c r="V7820" s="11">
        <v>0.07150895636883631</v>
      </c>
      <c r="W7820" s="11">
        <v>0.28053347346592616</v>
      </c>
      <c r="X7820" s="11">
        <v>0.25955340852233477</v>
      </c>
      <c r="Y7820" s="11">
        <v>0.12117607443192309</v>
      </c>
      <c r="Z7820" s="11">
        <v>0.016232172239018596</v>
      </c>
    </row>
    <row r="7821" ht="22.5" customHeight="1">
      <c r="Q7821" s="9" t="s">
        <v>7859</v>
      </c>
      <c r="R7821" s="10">
        <v>0.3902883018396587</v>
      </c>
      <c r="S7821" s="10">
        <v>0.019191317924896072</v>
      </c>
      <c r="T7821" s="10">
        <v>18.252435982275337</v>
      </c>
      <c r="U7821" s="11">
        <v>0.12533152163967165</v>
      </c>
      <c r="V7821" s="11">
        <v>0.010078927160562346</v>
      </c>
      <c r="W7821" s="11">
        <v>0.15511588110669022</v>
      </c>
      <c r="X7821" s="11">
        <v>0.3812355698093374</v>
      </c>
      <c r="Y7821" s="11">
        <v>0.1814157041254635</v>
      </c>
      <c r="Z7821" s="11">
        <v>0.14682239615827491</v>
      </c>
    </row>
    <row r="7822" ht="22.5" customHeight="1">
      <c r="Q7822" s="9" t="s">
        <v>7860</v>
      </c>
      <c r="R7822" s="10">
        <v>0.5257623993056321</v>
      </c>
      <c r="S7822" s="10">
        <v>0.02661417990842949</v>
      </c>
      <c r="T7822" s="10">
        <v>18.25201456430288</v>
      </c>
      <c r="U7822" s="11">
        <v>0.21145199091479785</v>
      </c>
      <c r="V7822" s="11">
        <v>0.06349349930673619</v>
      </c>
      <c r="W7822" s="11">
        <v>0.22982131189902424</v>
      </c>
      <c r="X7822" s="11">
        <v>0.19591558066757916</v>
      </c>
      <c r="Y7822" s="11">
        <v>0.03236084880615113</v>
      </c>
      <c r="Z7822" s="11">
        <v>0.2669567684057114</v>
      </c>
    </row>
    <row r="7823" ht="22.5" customHeight="1">
      <c r="Q7823" s="9" t="s">
        <v>7861</v>
      </c>
      <c r="R7823" s="10">
        <v>0.44619764609486134</v>
      </c>
      <c r="S7823" s="10">
        <v>0.02225540908070187</v>
      </c>
      <c r="T7823" s="10">
        <v>18.251636922148684</v>
      </c>
      <c r="U7823" s="11">
        <v>0.24149369408909427</v>
      </c>
      <c r="V7823" s="11">
        <v>0.2025540225194369</v>
      </c>
      <c r="W7823" s="11">
        <v>0.01801017414759718</v>
      </c>
      <c r="X7823" s="11">
        <v>0.16337124680827672</v>
      </c>
      <c r="Y7823" s="11">
        <v>0.16850800104239186</v>
      </c>
      <c r="Z7823" s="11">
        <v>0.20606286139320307</v>
      </c>
    </row>
    <row r="7824" ht="22.5" customHeight="1">
      <c r="Q7824" s="9" t="s">
        <v>7862</v>
      </c>
      <c r="R7824" s="10">
        <v>0.9213835095301243</v>
      </c>
      <c r="S7824" s="10">
        <v>0.0482921402064115</v>
      </c>
      <c r="T7824" s="10">
        <v>18.25107576021465</v>
      </c>
      <c r="U7824" s="11">
        <v>0.05989447573160385</v>
      </c>
      <c r="V7824" s="11">
        <v>0.19861611881070895</v>
      </c>
      <c r="W7824" s="11">
        <v>0.40560460769081863</v>
      </c>
      <c r="X7824" s="11">
        <v>0.05325891304294198</v>
      </c>
      <c r="Y7824" s="11">
        <v>0.04648778234289051</v>
      </c>
      <c r="Z7824" s="11">
        <v>0.236138102381036</v>
      </c>
    </row>
    <row r="7825" ht="22.5" customHeight="1">
      <c r="Q7825" s="9" t="s">
        <v>7863</v>
      </c>
      <c r="R7825" s="10">
        <v>0.8093183525220506</v>
      </c>
      <c r="S7825" s="10">
        <v>0.04215280855584709</v>
      </c>
      <c r="T7825" s="10">
        <v>18.250702121136293</v>
      </c>
      <c r="U7825" s="11">
        <v>0.08484459792817059</v>
      </c>
      <c r="V7825" s="11">
        <v>0.145905154209529</v>
      </c>
      <c r="W7825" s="11">
        <v>0.36101786445387546</v>
      </c>
      <c r="X7825" s="11">
        <v>0.12370637238546214</v>
      </c>
      <c r="Y7825" s="11">
        <v>0.13683506371917745</v>
      </c>
      <c r="Z7825" s="11">
        <v>0.1476909473037852</v>
      </c>
    </row>
    <row r="7826" ht="22.5" customHeight="1">
      <c r="Q7826" s="9" t="s">
        <v>7864</v>
      </c>
      <c r="R7826" s="10">
        <v>0.33958881324155943</v>
      </c>
      <c r="S7826" s="10">
        <v>0.016415575752075535</v>
      </c>
      <c r="T7826" s="10">
        <v>18.250277527041984</v>
      </c>
      <c r="U7826" s="11">
        <v>0.1509137277850684</v>
      </c>
      <c r="V7826" s="11">
        <v>0.13748711457064455</v>
      </c>
      <c r="W7826" s="11">
        <v>0.01497934793426452</v>
      </c>
      <c r="X7826" s="11">
        <v>0.08194267395718406</v>
      </c>
      <c r="Y7826" s="11">
        <v>0.2863651654965184</v>
      </c>
      <c r="Z7826" s="11">
        <v>0.32831197025632003</v>
      </c>
    </row>
    <row r="7827" ht="22.5" customHeight="1">
      <c r="Q7827" s="9" t="s">
        <v>7865</v>
      </c>
      <c r="R7827" s="10">
        <v>0.5923133627581301</v>
      </c>
      <c r="S7827" s="10">
        <v>0.03026352072913189</v>
      </c>
      <c r="T7827" s="10">
        <v>18.250135788942398</v>
      </c>
      <c r="U7827" s="11">
        <v>0.19216532684491833</v>
      </c>
      <c r="V7827" s="11">
        <v>0.08445343757904479</v>
      </c>
      <c r="W7827" s="11">
        <v>0.2612807740560924</v>
      </c>
      <c r="X7827" s="11">
        <v>0.14481730740253695</v>
      </c>
      <c r="Y7827" s="11">
        <v>0.07918462748950696</v>
      </c>
      <c r="Z7827" s="11">
        <v>0.23809852662790057</v>
      </c>
    </row>
    <row r="7828" ht="22.5" customHeight="1">
      <c r="Q7828" s="9" t="s">
        <v>7866</v>
      </c>
      <c r="R7828" s="10">
        <v>0.5443829384616217</v>
      </c>
      <c r="S7828" s="10">
        <v>0.02763778545533889</v>
      </c>
      <c r="T7828" s="10">
        <v>18.249759528551092</v>
      </c>
      <c r="U7828" s="11">
        <v>0.20411781699210058</v>
      </c>
      <c r="V7828" s="11">
        <v>0.258715152594572</v>
      </c>
      <c r="W7828" s="11">
        <v>0.03561111615176661</v>
      </c>
      <c r="X7828" s="11">
        <v>0.20589738405268623</v>
      </c>
      <c r="Y7828" s="11">
        <v>0.06061616862583325</v>
      </c>
      <c r="Z7828" s="11">
        <v>0.23504236158304134</v>
      </c>
    </row>
    <row r="7829" ht="22.5" customHeight="1">
      <c r="Q7829" s="9" t="s">
        <v>7867</v>
      </c>
      <c r="R7829" s="10">
        <v>0.7242254543416439</v>
      </c>
      <c r="S7829" s="10">
        <v>0.03749460876004316</v>
      </c>
      <c r="T7829" s="10">
        <v>18.2486356564094</v>
      </c>
      <c r="U7829" s="11">
        <v>0.0584550033387423</v>
      </c>
      <c r="V7829" s="11">
        <v>0.1280508467157012</v>
      </c>
      <c r="W7829" s="11">
        <v>0.3220715592381858</v>
      </c>
      <c r="X7829" s="11">
        <v>0.1547194584691396</v>
      </c>
      <c r="Y7829" s="11">
        <v>0.031825472222343665</v>
      </c>
      <c r="Z7829" s="11">
        <v>0.3048776600158874</v>
      </c>
    </row>
    <row r="7830" ht="22.5" customHeight="1">
      <c r="Q7830" s="9" t="s">
        <v>7868</v>
      </c>
      <c r="R7830" s="10">
        <v>0.489765424397929</v>
      </c>
      <c r="S7830" s="10">
        <v>0.024646781741592527</v>
      </c>
      <c r="T7830" s="10">
        <v>18.248444324839785</v>
      </c>
      <c r="U7830" s="11">
        <v>0.209407233466246</v>
      </c>
      <c r="V7830" s="11">
        <v>0.22311417874915387</v>
      </c>
      <c r="W7830" s="11">
        <v>0.04345642803685423</v>
      </c>
      <c r="X7830" s="11">
        <v>0.016690735318534818</v>
      </c>
      <c r="Y7830" s="11">
        <v>0.25604610843229697</v>
      </c>
      <c r="Z7830" s="11">
        <v>0.25128531599691406</v>
      </c>
    </row>
    <row r="7831" ht="22.5" customHeight="1">
      <c r="Q7831" s="9" t="s">
        <v>7869</v>
      </c>
      <c r="R7831" s="10">
        <v>0.7233831227372002</v>
      </c>
      <c r="S7831" s="10">
        <v>0.03745200600098199</v>
      </c>
      <c r="T7831" s="10">
        <v>18.246903055587513</v>
      </c>
      <c r="U7831" s="11">
        <v>0.14249587435330774</v>
      </c>
      <c r="V7831" s="11">
        <v>0.3486188060754878</v>
      </c>
      <c r="W7831" s="11">
        <v>0.084263289135062</v>
      </c>
      <c r="X7831" s="11">
        <v>0.056892068902615715</v>
      </c>
      <c r="Y7831" s="11">
        <v>0.22542672702764519</v>
      </c>
      <c r="Z7831" s="11">
        <v>0.1423032345058816</v>
      </c>
    </row>
    <row r="7832" ht="22.5" customHeight="1">
      <c r="Q7832" s="9" t="s">
        <v>7870</v>
      </c>
      <c r="R7832" s="10">
        <v>0.24111229587725022</v>
      </c>
      <c r="S7832" s="10">
        <v>0.011021950136662597</v>
      </c>
      <c r="T7832" s="10">
        <v>18.24652564960217</v>
      </c>
      <c r="U7832" s="11">
        <v>0.158465714598808</v>
      </c>
      <c r="V7832" s="11">
        <v>0.018016373075267662</v>
      </c>
      <c r="W7832" s="11">
        <v>0.028875473762755725</v>
      </c>
      <c r="X7832" s="11">
        <v>0.3207777110761128</v>
      </c>
      <c r="Y7832" s="11">
        <v>0.37718616684834266</v>
      </c>
      <c r="Z7832" s="11">
        <v>0.09667856063871318</v>
      </c>
    </row>
    <row r="7833" ht="22.5" customHeight="1">
      <c r="Q7833" s="9" t="s">
        <v>7871</v>
      </c>
      <c r="R7833" s="10">
        <v>0.5787566900849577</v>
      </c>
      <c r="S7833" s="10">
        <v>0.029527013484095005</v>
      </c>
      <c r="T7833" s="10">
        <v>18.24623036715731</v>
      </c>
      <c r="U7833" s="11">
        <v>0.08427293315118166</v>
      </c>
      <c r="V7833" s="11">
        <v>0.08454062221414453</v>
      </c>
      <c r="W7833" s="11">
        <v>0.2503823454816739</v>
      </c>
      <c r="X7833" s="11">
        <v>0.08970191992782643</v>
      </c>
      <c r="Y7833" s="11">
        <v>0.2711531020467767</v>
      </c>
      <c r="Z7833" s="11">
        <v>0.21994907717839685</v>
      </c>
    </row>
    <row r="7834" ht="22.5" customHeight="1">
      <c r="Q7834" s="9" t="s">
        <v>7872</v>
      </c>
      <c r="R7834" s="10">
        <v>0.5418185331865617</v>
      </c>
      <c r="S7834" s="10">
        <v>0.027503031974066214</v>
      </c>
      <c r="T7834" s="10">
        <v>18.245934981268533</v>
      </c>
      <c r="U7834" s="11">
        <v>0.23297604639924976</v>
      </c>
      <c r="V7834" s="11">
        <v>0.06721528336757486</v>
      </c>
      <c r="W7834" s="11">
        <v>0.2334323776328534</v>
      </c>
      <c r="X7834" s="11">
        <v>0.1073703162676513</v>
      </c>
      <c r="Y7834" s="11">
        <v>0.2368707719741402</v>
      </c>
      <c r="Z7834" s="11">
        <v>0.12213520435853042</v>
      </c>
    </row>
    <row r="7835" ht="22.5" customHeight="1">
      <c r="Q7835" s="9" t="s">
        <v>7873</v>
      </c>
      <c r="R7835" s="10">
        <v>0.23661918724300526</v>
      </c>
      <c r="S7835" s="10">
        <v>0.010776143079889108</v>
      </c>
      <c r="T7835" s="10">
        <v>18.245784765974783</v>
      </c>
      <c r="U7835" s="11">
        <v>0.18063848717362477</v>
      </c>
      <c r="V7835" s="11">
        <v>0.011572593476021227</v>
      </c>
      <c r="W7835" s="11">
        <v>0.06508106474550708</v>
      </c>
      <c r="X7835" s="11">
        <v>0.20299111197823205</v>
      </c>
      <c r="Y7835" s="11">
        <v>0.1284805808928602</v>
      </c>
      <c r="Z7835" s="11">
        <v>0.41123616173375466</v>
      </c>
    </row>
    <row r="7836" ht="22.5" customHeight="1">
      <c r="Q7836" s="9" t="s">
        <v>7874</v>
      </c>
      <c r="R7836" s="10">
        <v>0.5468374657615871</v>
      </c>
      <c r="S7836" s="10">
        <v>0.027778980766632894</v>
      </c>
      <c r="T7836" s="10">
        <v>18.245358604747008</v>
      </c>
      <c r="U7836" s="11">
        <v>0.3203657506954678</v>
      </c>
      <c r="V7836" s="11">
        <v>0.25018689836165436</v>
      </c>
      <c r="W7836" s="11">
        <v>0.047433496302718925</v>
      </c>
      <c r="X7836" s="11">
        <v>0.02883601774159509</v>
      </c>
      <c r="Y7836" s="11">
        <v>0.2830955225055065</v>
      </c>
      <c r="Z7836" s="11">
        <v>0.0700823143930572</v>
      </c>
    </row>
    <row r="7837" ht="22.5" customHeight="1">
      <c r="Q7837" s="9" t="s">
        <v>7875</v>
      </c>
      <c r="R7837" s="10">
        <v>0.408255679919493</v>
      </c>
      <c r="S7837" s="10">
        <v>0.020184117212310015</v>
      </c>
      <c r="T7837" s="10">
        <v>18.24482468298881</v>
      </c>
      <c r="U7837" s="11">
        <v>0.2652543575839678</v>
      </c>
      <c r="V7837" s="11">
        <v>0.04750988622171674</v>
      </c>
      <c r="W7837" s="11">
        <v>0.16085494354066066</v>
      </c>
      <c r="X7837" s="11">
        <v>0.03968875602427761</v>
      </c>
      <c r="Y7837" s="11">
        <v>0.2668730383739742</v>
      </c>
      <c r="Z7837" s="11">
        <v>0.21981901825540295</v>
      </c>
    </row>
    <row r="7838" ht="22.5" customHeight="1">
      <c r="Q7838" s="9" t="s">
        <v>7876</v>
      </c>
      <c r="R7838" s="10">
        <v>0.781536968745622</v>
      </c>
      <c r="S7838" s="10">
        <v>0.04064463764582744</v>
      </c>
      <c r="T7838" s="10">
        <v>18.24439856512653</v>
      </c>
      <c r="U7838" s="11">
        <v>0.09149649436879155</v>
      </c>
      <c r="V7838" s="11">
        <v>0.15824379438660494</v>
      </c>
      <c r="W7838" s="11">
        <v>0.3425746671471524</v>
      </c>
      <c r="X7838" s="11">
        <v>0.025006792698969434</v>
      </c>
      <c r="Y7838" s="11">
        <v>0.10768752125180871</v>
      </c>
      <c r="Z7838" s="11">
        <v>0.274990730146673</v>
      </c>
    </row>
    <row r="7839" ht="22.5" customHeight="1">
      <c r="Q7839" s="9" t="s">
        <v>7877</v>
      </c>
      <c r="R7839" s="10">
        <v>0.5310479627171563</v>
      </c>
      <c r="S7839" s="10">
        <v>0.026915804233005842</v>
      </c>
      <c r="T7839" s="10">
        <v>18.24385251379569</v>
      </c>
      <c r="U7839" s="11">
        <v>0.32011440529380575</v>
      </c>
      <c r="V7839" s="11">
        <v>0.04449259131216864</v>
      </c>
      <c r="W7839" s="11">
        <v>0.23189627497854706</v>
      </c>
      <c r="X7839" s="11">
        <v>0.3271781227622893</v>
      </c>
      <c r="Y7839" s="11">
        <v>0.009261688511995126</v>
      </c>
      <c r="Z7839" s="11">
        <v>0.06705691714119402</v>
      </c>
    </row>
    <row r="7840" ht="22.5" customHeight="1">
      <c r="Q7840" s="9" t="s">
        <v>7878</v>
      </c>
      <c r="R7840" s="10">
        <v>0.35815782170365845</v>
      </c>
      <c r="S7840" s="10">
        <v>0.017439425260693347</v>
      </c>
      <c r="T7840" s="10">
        <v>18.24359558573029</v>
      </c>
      <c r="U7840" s="11">
        <v>0.26886204799817986</v>
      </c>
      <c r="V7840" s="11">
        <v>0.027252061485459823</v>
      </c>
      <c r="W7840" s="11">
        <v>0.1397874918789975</v>
      </c>
      <c r="X7840" s="11">
        <v>0.13375413378584014</v>
      </c>
      <c r="Y7840" s="11">
        <v>0.1667222948597719</v>
      </c>
      <c r="Z7840" s="11">
        <v>0.26362196999175086</v>
      </c>
    </row>
    <row r="7841" ht="22.5" customHeight="1">
      <c r="Q7841" s="9" t="s">
        <v>7879</v>
      </c>
      <c r="R7841" s="10">
        <v>0.7006698267428413</v>
      </c>
      <c r="S7841" s="10">
        <v>0.036214941214873134</v>
      </c>
      <c r="T7841" s="10">
        <v>18.243018063260322</v>
      </c>
      <c r="U7841" s="11">
        <v>0.11597401568582746</v>
      </c>
      <c r="V7841" s="11">
        <v>0.33947934395834894</v>
      </c>
      <c r="W7841" s="11">
        <v>0.080346636510889</v>
      </c>
      <c r="X7841" s="11">
        <v>0.08721872160392062</v>
      </c>
      <c r="Y7841" s="11">
        <v>0.14581099390242416</v>
      </c>
      <c r="Z7841" s="11">
        <v>0.23117028833858996</v>
      </c>
    </row>
    <row r="7842" ht="22.5" customHeight="1">
      <c r="Q7842" s="9" t="s">
        <v>7880</v>
      </c>
      <c r="R7842" s="10">
        <v>0.562637753701562</v>
      </c>
      <c r="S7842" s="10">
        <v>0.028648780481321644</v>
      </c>
      <c r="T7842" s="10">
        <v>18.242931982473387</v>
      </c>
      <c r="U7842" s="11">
        <v>0.2806998322599679</v>
      </c>
      <c r="V7842" s="11">
        <v>0.2586436921823358</v>
      </c>
      <c r="W7842" s="11">
        <v>0.04785648763338894</v>
      </c>
      <c r="X7842" s="11">
        <v>0.04356356738513134</v>
      </c>
      <c r="Y7842" s="11">
        <v>0.31755213409415634</v>
      </c>
      <c r="Z7842" s="11">
        <v>0.05168428644501952</v>
      </c>
    </row>
    <row r="7843" ht="22.5" customHeight="1">
      <c r="Q7843" s="9" t="s">
        <v>7881</v>
      </c>
      <c r="R7843" s="10">
        <v>0.6597312759393607</v>
      </c>
      <c r="S7843" s="10">
        <v>0.03397178321082073</v>
      </c>
      <c r="T7843" s="10">
        <v>18.242530045993085</v>
      </c>
      <c r="U7843" s="11">
        <v>0.11895847278693475</v>
      </c>
      <c r="V7843" s="11">
        <v>0.3158122744313741</v>
      </c>
      <c r="W7843" s="11">
        <v>0.04875775709161419</v>
      </c>
      <c r="X7843" s="11">
        <v>0.20897057989835288</v>
      </c>
      <c r="Y7843" s="11">
        <v>0.28027435673982387</v>
      </c>
      <c r="Z7843" s="11">
        <v>0.027226559051900384</v>
      </c>
    </row>
    <row r="7844" ht="22.5" customHeight="1">
      <c r="Q7844" s="9" t="s">
        <v>7882</v>
      </c>
      <c r="R7844" s="10">
        <v>0.591166002701854</v>
      </c>
      <c r="S7844" s="10">
        <v>0.030214889329372125</v>
      </c>
      <c r="T7844" s="10">
        <v>18.24153637279953</v>
      </c>
      <c r="U7844" s="11">
        <v>0.08007326778944203</v>
      </c>
      <c r="V7844" s="11">
        <v>0.06854285766323602</v>
      </c>
      <c r="W7844" s="11">
        <v>0.26308472569447283</v>
      </c>
      <c r="X7844" s="11">
        <v>0.3058687285575452</v>
      </c>
      <c r="Y7844" s="11">
        <v>0.060256029618853464</v>
      </c>
      <c r="Z7844" s="11">
        <v>0.2221743906764506</v>
      </c>
    </row>
    <row r="7845" ht="22.5" customHeight="1">
      <c r="Q7845" s="9" t="s">
        <v>7883</v>
      </c>
      <c r="R7845" s="10">
        <v>0.43790255531162436</v>
      </c>
      <c r="S7845" s="10">
        <v>0.021813008948866827</v>
      </c>
      <c r="T7845" s="10">
        <v>18.241525332170884</v>
      </c>
      <c r="U7845" s="11">
        <v>0.06362153495646529</v>
      </c>
      <c r="V7845" s="11">
        <v>0.19827125547375427</v>
      </c>
      <c r="W7845" s="11">
        <v>0.01039109080911208</v>
      </c>
      <c r="X7845" s="11">
        <v>0.2538929086400448</v>
      </c>
      <c r="Y7845" s="11">
        <v>0.21729176049470458</v>
      </c>
      <c r="Z7845" s="11">
        <v>0.25653144962591895</v>
      </c>
    </row>
    <row r="7846" ht="22.5" customHeight="1">
      <c r="Q7846" s="9" t="s">
        <v>7884</v>
      </c>
      <c r="R7846" s="10">
        <v>0.4769838098327768</v>
      </c>
      <c r="S7846" s="10">
        <v>0.02395667302297168</v>
      </c>
      <c r="T7846" s="10">
        <v>18.240588307640206</v>
      </c>
      <c r="U7846" s="11">
        <v>0.2286691370024029</v>
      </c>
      <c r="V7846" s="11">
        <v>0.04371242290611061</v>
      </c>
      <c r="W7846" s="11">
        <v>0.20396316231639786</v>
      </c>
      <c r="X7846" s="11">
        <v>0.18656126403959228</v>
      </c>
      <c r="Y7846" s="11">
        <v>0.1828029474339885</v>
      </c>
      <c r="Z7846" s="11">
        <v>0.15429106630150785</v>
      </c>
    </row>
    <row r="7847" ht="22.5" customHeight="1">
      <c r="Q7847" s="9" t="s">
        <v>7885</v>
      </c>
      <c r="R7847" s="10">
        <v>0.5927950790848272</v>
      </c>
      <c r="S7847" s="10">
        <v>0.03031422309662747</v>
      </c>
      <c r="T7847" s="10">
        <v>18.235502104829695</v>
      </c>
      <c r="U7847" s="11">
        <v>0.06433490144607665</v>
      </c>
      <c r="V7847" s="11">
        <v>0.0867168831297704</v>
      </c>
      <c r="W7847" s="11">
        <v>0.2570793361561302</v>
      </c>
      <c r="X7847" s="11">
        <v>0.09754128077945738</v>
      </c>
      <c r="Y7847" s="11">
        <v>0.29017110364181004</v>
      </c>
      <c r="Z7847" s="11">
        <v>0.20415649484675535</v>
      </c>
    </row>
    <row r="7848" ht="22.5" customHeight="1">
      <c r="Q7848" s="9" t="s">
        <v>7886</v>
      </c>
      <c r="R7848" s="10">
        <v>0.5911545739770484</v>
      </c>
      <c r="S7848" s="10">
        <v>0.030227024705536946</v>
      </c>
      <c r="T7848" s="10">
        <v>18.233834766942465</v>
      </c>
      <c r="U7848" s="11">
        <v>0.09103189547650808</v>
      </c>
      <c r="V7848" s="11">
        <v>0.06495053909396487</v>
      </c>
      <c r="W7848" s="11">
        <v>0.26072786449117114</v>
      </c>
      <c r="X7848" s="11">
        <v>0.24973306894284633</v>
      </c>
      <c r="Y7848" s="11">
        <v>0.2381929924375711</v>
      </c>
      <c r="Z7848" s="11">
        <v>0.09536363955793853</v>
      </c>
    </row>
    <row r="7849" ht="22.5" customHeight="1">
      <c r="Q7849" s="9" t="s">
        <v>7887</v>
      </c>
      <c r="R7849" s="10">
        <v>0.5763171864296576</v>
      </c>
      <c r="S7849" s="10">
        <v>0.029413988763260523</v>
      </c>
      <c r="T7849" s="10">
        <v>18.233405565842308</v>
      </c>
      <c r="U7849" s="11">
        <v>0.1368912775372237</v>
      </c>
      <c r="V7849" s="11">
        <v>0.08685323820403505</v>
      </c>
      <c r="W7849" s="11">
        <v>0.25050086363256374</v>
      </c>
      <c r="X7849" s="11">
        <v>0.07448178251719235</v>
      </c>
      <c r="Y7849" s="11">
        <v>0.20057426377700238</v>
      </c>
      <c r="Z7849" s="11">
        <v>0.2506985743319827</v>
      </c>
    </row>
    <row r="7850" ht="22.5" customHeight="1">
      <c r="Q7850" s="9" t="s">
        <v>7888</v>
      </c>
      <c r="R7850" s="10">
        <v>0.4641492136073248</v>
      </c>
      <c r="S7850" s="10">
        <v>0.023262418694238854</v>
      </c>
      <c r="T7850" s="10">
        <v>18.23323787531901</v>
      </c>
      <c r="U7850" s="11">
        <v>0.09751469890235528</v>
      </c>
      <c r="V7850" s="11">
        <v>0.054447879806929514</v>
      </c>
      <c r="W7850" s="11">
        <v>0.19053034731056342</v>
      </c>
      <c r="X7850" s="11">
        <v>0.09413696808946934</v>
      </c>
      <c r="Y7850" s="11">
        <v>0.3493789423094325</v>
      </c>
      <c r="Z7850" s="11">
        <v>0.2139911635812498</v>
      </c>
    </row>
    <row r="7851" ht="22.5" customHeight="1">
      <c r="Q7851" s="9" t="s">
        <v>7889</v>
      </c>
      <c r="R7851" s="10">
        <v>0.4872606767802849</v>
      </c>
      <c r="S7851" s="10">
        <v>0.02453166525110254</v>
      </c>
      <c r="T7851" s="10">
        <v>18.23197374504299</v>
      </c>
      <c r="U7851" s="11">
        <v>0.3108112228457881</v>
      </c>
      <c r="V7851" s="11">
        <v>0.22168077802444128</v>
      </c>
      <c r="W7851" s="11">
        <v>0.019337145789533394</v>
      </c>
      <c r="X7851" s="11">
        <v>0.17823091030400406</v>
      </c>
      <c r="Y7851" s="11">
        <v>0.21060356061893343</v>
      </c>
      <c r="Z7851" s="11">
        <v>0.059336382417299896</v>
      </c>
    </row>
    <row r="7852" ht="22.5" customHeight="1">
      <c r="Q7852" s="9" t="s">
        <v>7890</v>
      </c>
      <c r="R7852" s="10">
        <v>0.6285811877864946</v>
      </c>
      <c r="S7852" s="10">
        <v>0.0322846755153611</v>
      </c>
      <c r="T7852" s="10">
        <v>18.230977341136562</v>
      </c>
      <c r="U7852" s="11">
        <v>0.22568318983346874</v>
      </c>
      <c r="V7852" s="11">
        <v>0.08712245771509768</v>
      </c>
      <c r="W7852" s="11">
        <v>0.27741566871941414</v>
      </c>
      <c r="X7852" s="11">
        <v>0.1250826339204411</v>
      </c>
      <c r="Y7852" s="11">
        <v>0.19648591096740628</v>
      </c>
      <c r="Z7852" s="11">
        <v>0.08821013884417199</v>
      </c>
    </row>
    <row r="7853" ht="22.5" customHeight="1">
      <c r="Q7853" s="9" t="s">
        <v>7891</v>
      </c>
      <c r="R7853" s="10">
        <v>0.31732406407107844</v>
      </c>
      <c r="S7853" s="10">
        <v>0.01521187578238184</v>
      </c>
      <c r="T7853" s="10">
        <v>18.23076049518304</v>
      </c>
      <c r="U7853" s="11">
        <v>0.34306272183632674</v>
      </c>
      <c r="V7853" s="11">
        <v>0.03209687049680008</v>
      </c>
      <c r="W7853" s="11">
        <v>0.1128111968544335</v>
      </c>
      <c r="X7853" s="11">
        <v>0.0715399463725284</v>
      </c>
      <c r="Y7853" s="11">
        <v>0.11351453834687882</v>
      </c>
      <c r="Z7853" s="11">
        <v>0.3269747260930324</v>
      </c>
    </row>
    <row r="7854" ht="22.5" customHeight="1">
      <c r="Q7854" s="9" t="s">
        <v>7892</v>
      </c>
      <c r="R7854" s="10">
        <v>0.5334793818851448</v>
      </c>
      <c r="S7854" s="10">
        <v>0.02706907561508355</v>
      </c>
      <c r="T7854" s="10">
        <v>18.230374354200926</v>
      </c>
      <c r="U7854" s="11">
        <v>0.14333793688350616</v>
      </c>
      <c r="V7854" s="11">
        <v>0.06183982088962297</v>
      </c>
      <c r="W7854" s="11">
        <v>0.23291696266626055</v>
      </c>
      <c r="X7854" s="11">
        <v>0.17229122903694447</v>
      </c>
      <c r="Y7854" s="11">
        <v>0.1851017391247466</v>
      </c>
      <c r="Z7854" s="11">
        <v>0.20451231139891926</v>
      </c>
    </row>
    <row r="7855" ht="22.5" customHeight="1">
      <c r="Q7855" s="9" t="s">
        <v>7893</v>
      </c>
      <c r="R7855" s="10">
        <v>0.4174567399126677</v>
      </c>
      <c r="S7855" s="10">
        <v>0.020705074760276082</v>
      </c>
      <c r="T7855" s="10">
        <v>18.230155857096488</v>
      </c>
      <c r="U7855" s="11">
        <v>0.3269001332025908</v>
      </c>
      <c r="V7855" s="11">
        <v>0.03684322187296559</v>
      </c>
      <c r="W7855" s="11">
        <v>0.1732595846699691</v>
      </c>
      <c r="X7855" s="11">
        <v>0.20153618378803326</v>
      </c>
      <c r="Y7855" s="11">
        <v>0.0016470965016763194</v>
      </c>
      <c r="Z7855" s="11">
        <v>0.2598137799647649</v>
      </c>
    </row>
    <row r="7856" ht="22.5" customHeight="1">
      <c r="Q7856" s="9" t="s">
        <v>7894</v>
      </c>
      <c r="R7856" s="10">
        <v>0.47714898778711756</v>
      </c>
      <c r="S7856" s="10">
        <v>0.02397972535175093</v>
      </c>
      <c r="T7856" s="10">
        <v>18.229941393186067</v>
      </c>
      <c r="U7856" s="11">
        <v>0.073527556029209</v>
      </c>
      <c r="V7856" s="11">
        <v>0.06377889407994179</v>
      </c>
      <c r="W7856" s="11">
        <v>0.19764255863873623</v>
      </c>
      <c r="X7856" s="11">
        <v>0.06520694302484442</v>
      </c>
      <c r="Y7856" s="11">
        <v>0.3198471859034278</v>
      </c>
      <c r="Z7856" s="11">
        <v>0.27999686232384075</v>
      </c>
    </row>
    <row r="7857" ht="22.5" customHeight="1">
      <c r="Q7857" s="9" t="s">
        <v>7895</v>
      </c>
      <c r="R7857" s="10">
        <v>0.522331348251574</v>
      </c>
      <c r="S7857" s="10">
        <v>0.02373649346482162</v>
      </c>
      <c r="T7857" s="10">
        <v>18.22852006565948</v>
      </c>
      <c r="U7857" s="11">
        <v>0.1367424120741672</v>
      </c>
      <c r="V7857" s="11">
        <v>0.06373671324514836</v>
      </c>
      <c r="W7857" s="11">
        <v>0.19867071438243689</v>
      </c>
      <c r="X7857" s="11">
        <v>0.06387440629016718</v>
      </c>
      <c r="Y7857" s="11">
        <v>0.21698016431211137</v>
      </c>
      <c r="Z7857" s="11">
        <v>0.3199955896959691</v>
      </c>
    </row>
    <row r="7858" ht="22.5" customHeight="1">
      <c r="Q7858" s="9" t="s">
        <v>7896</v>
      </c>
      <c r="R7858" s="10">
        <v>0.7574493129184111</v>
      </c>
      <c r="S7858" s="10">
        <v>0.03935918020796548</v>
      </c>
      <c r="T7858" s="10">
        <v>18.22825854419636</v>
      </c>
      <c r="U7858" s="11">
        <v>0.16610835242823382</v>
      </c>
      <c r="V7858" s="11">
        <v>0.3660499458111561</v>
      </c>
      <c r="W7858" s="11">
        <v>0.108643224595949</v>
      </c>
      <c r="X7858" s="11">
        <v>0.03609443010405346</v>
      </c>
      <c r="Y7858" s="11">
        <v>0.005630851189444993</v>
      </c>
      <c r="Z7858" s="11">
        <v>0.3174731958711626</v>
      </c>
    </row>
    <row r="7859" ht="22.5" customHeight="1">
      <c r="Q7859" s="9" t="s">
        <v>7897</v>
      </c>
      <c r="R7859" s="10">
        <v>0.21318830327189242</v>
      </c>
      <c r="S7859" s="10">
        <v>0.009501224450482052</v>
      </c>
      <c r="T7859" s="10">
        <v>18.22799831479674</v>
      </c>
      <c r="U7859" s="11">
        <v>0.2694051574934241</v>
      </c>
      <c r="V7859" s="11">
        <v>0.027335640575174975</v>
      </c>
      <c r="W7859" s="11">
        <v>0.006785888626385048</v>
      </c>
      <c r="X7859" s="11">
        <v>0.318306286287688</v>
      </c>
      <c r="Y7859" s="11">
        <v>0.18658235619685362</v>
      </c>
      <c r="Z7859" s="11">
        <v>0.1915846708204743</v>
      </c>
    </row>
    <row r="7860" ht="22.5" customHeight="1">
      <c r="Q7860" s="9" t="s">
        <v>7898</v>
      </c>
      <c r="R7860" s="10">
        <v>0.522331348251574</v>
      </c>
      <c r="S7860" s="10">
        <v>0.025212911092535806</v>
      </c>
      <c r="T7860" s="10">
        <v>18.22724596140862</v>
      </c>
      <c r="U7860" s="11">
        <v>0.19040507879988525</v>
      </c>
      <c r="V7860" s="11">
        <v>0.061237043950708635</v>
      </c>
      <c r="W7860" s="11">
        <v>0.20485575751269602</v>
      </c>
      <c r="X7860" s="11">
        <v>0.06839281739789123</v>
      </c>
      <c r="Y7860" s="11">
        <v>0.3906256352105121</v>
      </c>
      <c r="Z7860" s="11">
        <v>0.0844836671283068</v>
      </c>
    </row>
    <row r="7861" ht="22.5" customHeight="1">
      <c r="Q7861" s="9" t="s">
        <v>7899</v>
      </c>
      <c r="R7861" s="10">
        <v>0.44755100300877093</v>
      </c>
      <c r="S7861" s="10">
        <v>0.022359565171250994</v>
      </c>
      <c r="T7861" s="10">
        <v>18.227143501555354</v>
      </c>
      <c r="U7861" s="11">
        <v>0.21607821776540476</v>
      </c>
      <c r="V7861" s="11">
        <v>0.202009133430047</v>
      </c>
      <c r="W7861" s="11">
        <v>0.012183212806222539</v>
      </c>
      <c r="X7861" s="11">
        <v>0.2036255513820456</v>
      </c>
      <c r="Y7861" s="11">
        <v>0.21488404739753267</v>
      </c>
      <c r="Z7861" s="11">
        <v>0.1512198372187475</v>
      </c>
    </row>
    <row r="7862" ht="22.5" customHeight="1">
      <c r="Q7862" s="9" t="s">
        <v>7900</v>
      </c>
      <c r="R7862" s="10">
        <v>0.4913904367120274</v>
      </c>
      <c r="S7862" s="10">
        <v>0.024766403487578813</v>
      </c>
      <c r="T7862" s="10">
        <v>18.225917902791778</v>
      </c>
      <c r="U7862" s="11">
        <v>0.03827585752720859</v>
      </c>
      <c r="V7862" s="11">
        <v>0.040985423351517385</v>
      </c>
      <c r="W7862" s="11">
        <v>0.20933584352418344</v>
      </c>
      <c r="X7862" s="11">
        <v>0.2702656121839139</v>
      </c>
      <c r="Y7862" s="11">
        <v>0.2819178349650888</v>
      </c>
      <c r="Z7862" s="11">
        <v>0.1592194284480879</v>
      </c>
    </row>
    <row r="7863" ht="22.5" customHeight="1">
      <c r="Q7863" s="9" t="s">
        <v>7901</v>
      </c>
      <c r="R7863" s="10">
        <v>0.5898706792582651</v>
      </c>
      <c r="S7863" s="10">
        <v>0.030170861378499957</v>
      </c>
      <c r="T7863" s="10">
        <v>18.225223083955704</v>
      </c>
      <c r="U7863" s="11">
        <v>0.21520016999926508</v>
      </c>
      <c r="V7863" s="11">
        <v>0.28045724316239923</v>
      </c>
      <c r="W7863" s="11">
        <v>0.032878702198717615</v>
      </c>
      <c r="X7863" s="11">
        <v>0.23553906201544705</v>
      </c>
      <c r="Y7863" s="11">
        <v>0.18140255420476561</v>
      </c>
      <c r="Z7863" s="11">
        <v>0.05452226841940532</v>
      </c>
    </row>
    <row r="7864" ht="22.5" customHeight="1">
      <c r="Q7864" s="9" t="s">
        <v>7902</v>
      </c>
      <c r="R7864" s="10">
        <v>0.6045210948039295</v>
      </c>
      <c r="S7864" s="10">
        <v>0.030975590457528148</v>
      </c>
      <c r="T7864" s="10">
        <v>18.224708115829674</v>
      </c>
      <c r="U7864" s="11">
        <v>0.24438452118863138</v>
      </c>
      <c r="V7864" s="11">
        <v>0.2842766449556386</v>
      </c>
      <c r="W7864" s="11">
        <v>0.06422394558880584</v>
      </c>
      <c r="X7864" s="11">
        <v>0.0049637687111080825</v>
      </c>
      <c r="Y7864" s="11">
        <v>0.24522022469363633</v>
      </c>
      <c r="Z7864" s="11">
        <v>0.15693089486217973</v>
      </c>
    </row>
    <row r="7865" ht="22.5" customHeight="1">
      <c r="Q7865" s="9" t="s">
        <v>7903</v>
      </c>
      <c r="R7865" s="10">
        <v>0.5911636968976931</v>
      </c>
      <c r="S7865" s="10">
        <v>0.03024273011660522</v>
      </c>
      <c r="T7865" s="10">
        <v>18.224667375352745</v>
      </c>
      <c r="U7865" s="11">
        <v>0.14057615940897894</v>
      </c>
      <c r="V7865" s="11">
        <v>0.28498371424994023</v>
      </c>
      <c r="W7865" s="11">
        <v>0.04978868910223899</v>
      </c>
      <c r="X7865" s="11">
        <v>0.19779004201557732</v>
      </c>
      <c r="Y7865" s="11">
        <v>0.022875237727948434</v>
      </c>
      <c r="Z7865" s="11">
        <v>0.30398615749531593</v>
      </c>
    </row>
    <row r="7866" ht="22.5" customHeight="1">
      <c r="Q7866" s="9" t="s">
        <v>7904</v>
      </c>
      <c r="R7866" s="10">
        <v>0.7092587495710194</v>
      </c>
      <c r="S7866" s="10">
        <v>0.036723719375863696</v>
      </c>
      <c r="T7866" s="10">
        <v>18.224154877157762</v>
      </c>
      <c r="U7866" s="11">
        <v>0.022584344880717908</v>
      </c>
      <c r="V7866" s="11">
        <v>0.346880691596377</v>
      </c>
      <c r="W7866" s="11">
        <v>0.07062296658658954</v>
      </c>
      <c r="X7866" s="11">
        <v>0.21224938932491377</v>
      </c>
      <c r="Y7866" s="11">
        <v>0.0999316109767782</v>
      </c>
      <c r="Z7866" s="11">
        <v>0.2477309966346236</v>
      </c>
    </row>
    <row r="7867" ht="22.5" customHeight="1">
      <c r="Q7867" s="9" t="s">
        <v>7905</v>
      </c>
      <c r="R7867" s="10">
        <v>0.44901806241581704</v>
      </c>
      <c r="S7867" s="10">
        <v>0.022443733724090576</v>
      </c>
      <c r="T7867" s="10">
        <v>18.22415411998881</v>
      </c>
      <c r="U7867" s="11">
        <v>0.21065434652352816</v>
      </c>
      <c r="V7867" s="11">
        <v>0.19660530031867</v>
      </c>
      <c r="W7867" s="11">
        <v>0.026612315668208243</v>
      </c>
      <c r="X7867" s="11">
        <v>0.07194377411387362</v>
      </c>
      <c r="Y7867" s="11">
        <v>0.3544962798183167</v>
      </c>
      <c r="Z7867" s="11">
        <v>0.13968798355740328</v>
      </c>
    </row>
    <row r="7868" ht="22.5" customHeight="1">
      <c r="Q7868" s="9" t="s">
        <v>7906</v>
      </c>
      <c r="R7868" s="10">
        <v>0.522331348251574</v>
      </c>
      <c r="S7868" s="10">
        <v>0.029210297195480506</v>
      </c>
      <c r="T7868" s="10">
        <v>18.223483963663607</v>
      </c>
      <c r="U7868" s="11">
        <v>0.24847680665618727</v>
      </c>
      <c r="V7868" s="11">
        <v>0.08679843171538579</v>
      </c>
      <c r="W7868" s="11">
        <v>0.24878014442754712</v>
      </c>
      <c r="X7868" s="11">
        <v>0.06128831681437786</v>
      </c>
      <c r="Y7868" s="11">
        <v>0.12585049468786733</v>
      </c>
      <c r="Z7868" s="11">
        <v>0.2288058056986346</v>
      </c>
    </row>
    <row r="7869" ht="22.5" customHeight="1">
      <c r="Q7869" s="9" t="s">
        <v>7907</v>
      </c>
      <c r="R7869" s="10">
        <v>0.8144868921095993</v>
      </c>
      <c r="S7869" s="10">
        <v>0.04249967744609292</v>
      </c>
      <c r="T7869" s="10">
        <v>18.22335929706684</v>
      </c>
      <c r="U7869" s="11">
        <v>0.0013715012981033834</v>
      </c>
      <c r="V7869" s="11">
        <v>0.3928292795029958</v>
      </c>
      <c r="W7869" s="11">
        <v>0.10330490580810274</v>
      </c>
      <c r="X7869" s="11">
        <v>0.0579103802735574</v>
      </c>
      <c r="Y7869" s="11">
        <v>0.3507609880423915</v>
      </c>
      <c r="Z7869" s="11">
        <v>0.09382294507484924</v>
      </c>
    </row>
    <row r="7870" ht="22.5" customHeight="1">
      <c r="Q7870" s="9" t="s">
        <v>7908</v>
      </c>
      <c r="R7870" s="10">
        <v>0.9038494066596675</v>
      </c>
      <c r="S7870" s="10">
        <v>0.04741128413514155</v>
      </c>
      <c r="T7870" s="10">
        <v>18.220333458957647</v>
      </c>
      <c r="U7870" s="11">
        <v>0.06413861437425837</v>
      </c>
      <c r="V7870" s="11">
        <v>0.4438753893962034</v>
      </c>
      <c r="W7870" s="11">
        <v>0.11873697628711097</v>
      </c>
      <c r="X7870" s="11">
        <v>0.13852468040174792</v>
      </c>
      <c r="Y7870" s="11">
        <v>0.11320303116762886</v>
      </c>
      <c r="Z7870" s="11">
        <v>0.12152130837305036</v>
      </c>
    </row>
    <row r="7871" ht="22.5" customHeight="1">
      <c r="Q7871" s="9" t="s">
        <v>7909</v>
      </c>
      <c r="R7871" s="10">
        <v>0.6920744031731232</v>
      </c>
      <c r="S7871" s="10">
        <v>0.035789005332911426</v>
      </c>
      <c r="T7871" s="10">
        <v>18.219964402684255</v>
      </c>
      <c r="U7871" s="11">
        <v>0.17812235918072652</v>
      </c>
      <c r="V7871" s="11">
        <v>0.1067243445891955</v>
      </c>
      <c r="W7871" s="11">
        <v>0.30457803912797016</v>
      </c>
      <c r="X7871" s="11">
        <v>0.08723856924436953</v>
      </c>
      <c r="Y7871" s="11">
        <v>0.2875016839031064</v>
      </c>
      <c r="Z7871" s="11">
        <v>0.03583500395463188</v>
      </c>
    </row>
    <row r="7872" ht="22.5" customHeight="1">
      <c r="Q7872" s="9" t="s">
        <v>7910</v>
      </c>
      <c r="R7872" s="10">
        <v>0.38167656991253746</v>
      </c>
      <c r="S7872" s="10">
        <v>0.018753835402062623</v>
      </c>
      <c r="T7872" s="10">
        <v>18.21902360703019</v>
      </c>
      <c r="U7872" s="11">
        <v>0.34998048218552014</v>
      </c>
      <c r="V7872" s="11">
        <v>0.028375915129798573</v>
      </c>
      <c r="W7872" s="11">
        <v>0.15352991320738807</v>
      </c>
      <c r="X7872" s="11">
        <v>0.19471743201584651</v>
      </c>
      <c r="Y7872" s="11">
        <v>0.027944576716471863</v>
      </c>
      <c r="Z7872" s="11">
        <v>0.24545168074497478</v>
      </c>
    </row>
    <row r="7873" ht="22.5" customHeight="1">
      <c r="Q7873" s="9" t="s">
        <v>7911</v>
      </c>
      <c r="R7873" s="10">
        <v>0.2888678170926781</v>
      </c>
      <c r="S7873" s="10">
        <v>0.013659911098105607</v>
      </c>
      <c r="T7873" s="10">
        <v>18.21884603093733</v>
      </c>
      <c r="U7873" s="11">
        <v>0.28908221237956866</v>
      </c>
      <c r="V7873" s="11">
        <v>0.022888458319437918</v>
      </c>
      <c r="W7873" s="11">
        <v>0.09257959320792</v>
      </c>
      <c r="X7873" s="11">
        <v>0.08740181536087396</v>
      </c>
      <c r="Y7873" s="11">
        <v>0.24674741447196133</v>
      </c>
      <c r="Z7873" s="11">
        <v>0.26130050626023815</v>
      </c>
    </row>
    <row r="7874" ht="22.5" customHeight="1">
      <c r="Q7874" s="9" t="s">
        <v>7912</v>
      </c>
      <c r="R7874" s="10">
        <v>0.545070545886914</v>
      </c>
      <c r="S7874" s="10">
        <v>0.027722840438816686</v>
      </c>
      <c r="T7874" s="10">
        <v>18.21857132574804</v>
      </c>
      <c r="U7874" s="11">
        <v>0.1551269015677027</v>
      </c>
      <c r="V7874" s="11">
        <v>0.25706394312459213</v>
      </c>
      <c r="W7874" s="11">
        <v>0.03838549911238189</v>
      </c>
      <c r="X7874" s="11">
        <v>0.12467862787860143</v>
      </c>
      <c r="Y7874" s="11">
        <v>0.2379715802200242</v>
      </c>
      <c r="Z7874" s="11">
        <v>0.18677344809669771</v>
      </c>
    </row>
    <row r="7875" ht="22.5" customHeight="1">
      <c r="Q7875" s="9" t="s">
        <v>7913</v>
      </c>
      <c r="R7875" s="10">
        <v>0.5745807105025622</v>
      </c>
      <c r="S7875" s="10">
        <v>0.029343351740244654</v>
      </c>
      <c r="T7875" s="10">
        <v>18.21812024866199</v>
      </c>
      <c r="U7875" s="11">
        <v>0.050174398095266456</v>
      </c>
      <c r="V7875" s="11">
        <v>0.06866971168272032</v>
      </c>
      <c r="W7875" s="11">
        <v>0.2530664242519923</v>
      </c>
      <c r="X7875" s="11">
        <v>0.21290571553040355</v>
      </c>
      <c r="Y7875" s="11">
        <v>0.22038260529634984</v>
      </c>
      <c r="Z7875" s="11">
        <v>0.1948011451432676</v>
      </c>
    </row>
    <row r="7876" ht="22.5" customHeight="1">
      <c r="Q7876" s="9" t="s">
        <v>7914</v>
      </c>
      <c r="R7876" s="10">
        <v>0.5274047991576649</v>
      </c>
      <c r="S7876" s="10">
        <v>0.026754533632069453</v>
      </c>
      <c r="T7876" s="10">
        <v>18.21765259901353</v>
      </c>
      <c r="U7876" s="11">
        <v>0.2386884033736487</v>
      </c>
      <c r="V7876" s="11">
        <v>0.06202381306104501</v>
      </c>
      <c r="W7876" s="11">
        <v>0.23049423199839883</v>
      </c>
      <c r="X7876" s="11">
        <v>0.16001278796828747</v>
      </c>
      <c r="Y7876" s="11">
        <v>0.1060951245904397</v>
      </c>
      <c r="Z7876" s="11">
        <v>0.20268563900818032</v>
      </c>
    </row>
    <row r="7877" ht="22.5" customHeight="1">
      <c r="Q7877" s="9" t="s">
        <v>7915</v>
      </c>
      <c r="R7877" s="10">
        <v>0.6848937866266231</v>
      </c>
      <c r="S7877" s="10">
        <v>0.035400746726878714</v>
      </c>
      <c r="T7877" s="10">
        <v>18.216954337208225</v>
      </c>
      <c r="U7877" s="11">
        <v>0.18227353568375057</v>
      </c>
      <c r="V7877" s="11">
        <v>0.11462006792972458</v>
      </c>
      <c r="W7877" s="11">
        <v>0.3023331973116592</v>
      </c>
      <c r="X7877" s="11">
        <v>0.06257714808130152</v>
      </c>
      <c r="Y7877" s="11">
        <v>0.1746892146613707</v>
      </c>
      <c r="Z7877" s="11">
        <v>0.1635068363321934</v>
      </c>
    </row>
    <row r="7878" ht="22.5" customHeight="1">
      <c r="Q7878" s="9" t="s">
        <v>7916</v>
      </c>
      <c r="R7878" s="10">
        <v>0.5405212481203057</v>
      </c>
      <c r="S7878" s="10">
        <v>0.02747593768249967</v>
      </c>
      <c r="T7878" s="10">
        <v>18.21671216116872</v>
      </c>
      <c r="U7878" s="11">
        <v>0.24079044923700815</v>
      </c>
      <c r="V7878" s="11">
        <v>0.07005671562199778</v>
      </c>
      <c r="W7878" s="11">
        <v>0.23375996474907718</v>
      </c>
      <c r="X7878" s="11">
        <v>0.09188784397689888</v>
      </c>
      <c r="Y7878" s="11">
        <v>0.20108060688566087</v>
      </c>
      <c r="Z7878" s="11">
        <v>0.1624244195293573</v>
      </c>
    </row>
    <row r="7879" ht="22.5" customHeight="1">
      <c r="Q7879" s="9" t="s">
        <v>7917</v>
      </c>
      <c r="R7879" s="10">
        <v>0.5999012245976963</v>
      </c>
      <c r="S7879" s="10">
        <v>0.030735837416031798</v>
      </c>
      <c r="T7879" s="10">
        <v>18.216559940079982</v>
      </c>
      <c r="U7879" s="11">
        <v>0.01891605846493992</v>
      </c>
      <c r="V7879" s="11">
        <v>0.28094311222618096</v>
      </c>
      <c r="W7879" s="11">
        <v>0.06904241449275131</v>
      </c>
      <c r="X7879" s="11">
        <v>0.0037509916018253525</v>
      </c>
      <c r="Y7879" s="11">
        <v>0.3503131196269702</v>
      </c>
      <c r="Z7879" s="11">
        <v>0.27703430358733233</v>
      </c>
    </row>
    <row r="7880" ht="22.5" customHeight="1">
      <c r="Q7880" s="9" t="s">
        <v>7918</v>
      </c>
      <c r="R7880" s="10">
        <v>0.6743012977482363</v>
      </c>
      <c r="S7880" s="10">
        <v>0.03482064162120807</v>
      </c>
      <c r="T7880" s="10">
        <v>18.21624382021453</v>
      </c>
      <c r="U7880" s="11">
        <v>0.16171592538028295</v>
      </c>
      <c r="V7880" s="11">
        <v>0.3280519771641417</v>
      </c>
      <c r="W7880" s="11">
        <v>0.07009919564317113</v>
      </c>
      <c r="X7880" s="11">
        <v>0.15762569505442967</v>
      </c>
      <c r="Y7880" s="11">
        <v>0.021874816564586976</v>
      </c>
      <c r="Z7880" s="11">
        <v>0.2606323901933876</v>
      </c>
    </row>
    <row r="7881" ht="22.5" customHeight="1">
      <c r="Q7881" s="9" t="s">
        <v>7919</v>
      </c>
      <c r="R7881" s="10">
        <v>0.5273616385679959</v>
      </c>
      <c r="S7881" s="10">
        <v>0.026755759830389293</v>
      </c>
      <c r="T7881" s="10">
        <v>18.21520456370851</v>
      </c>
      <c r="U7881" s="11">
        <v>0.11107420031454425</v>
      </c>
      <c r="V7881" s="11">
        <v>0.04313700637102252</v>
      </c>
      <c r="W7881" s="11">
        <v>0.23007640075289149</v>
      </c>
      <c r="X7881" s="11">
        <v>0.3136357391641371</v>
      </c>
      <c r="Y7881" s="11">
        <v>0.19637155302379874</v>
      </c>
      <c r="Z7881" s="11">
        <v>0.10570510037360593</v>
      </c>
    </row>
    <row r="7882" ht="22.5" customHeight="1">
      <c r="Q7882" s="9" t="s">
        <v>7920</v>
      </c>
      <c r="R7882" s="10">
        <v>0.48046581275382366</v>
      </c>
      <c r="S7882" s="10">
        <v>0.024181578025778614</v>
      </c>
      <c r="T7882" s="10">
        <v>18.214932552551698</v>
      </c>
      <c r="U7882" s="11">
        <v>0.15565838460291875</v>
      </c>
      <c r="V7882" s="11">
        <v>0.048146920734058886</v>
      </c>
      <c r="W7882" s="11">
        <v>0.20630720549875856</v>
      </c>
      <c r="X7882" s="11">
        <v>0.17415303119479317</v>
      </c>
      <c r="Y7882" s="11">
        <v>0.19908693021589982</v>
      </c>
      <c r="Z7882" s="11">
        <v>0.2166475277535708</v>
      </c>
    </row>
    <row r="7883" ht="22.5" customHeight="1">
      <c r="Q7883" s="9" t="s">
        <v>7921</v>
      </c>
      <c r="R7883" s="10">
        <v>0.6351360808845742</v>
      </c>
      <c r="S7883" s="10">
        <v>0.032675568798469785</v>
      </c>
      <c r="T7883" s="10">
        <v>18.213488020825046</v>
      </c>
      <c r="U7883" s="11">
        <v>0.21515699330026156</v>
      </c>
      <c r="V7883" s="11">
        <v>0.0763188322407188</v>
      </c>
      <c r="W7883" s="11">
        <v>0.2827243818745801</v>
      </c>
      <c r="X7883" s="11">
        <v>0.2100084686810084</v>
      </c>
      <c r="Y7883" s="11">
        <v>0.19754540890586783</v>
      </c>
      <c r="Z7883" s="11">
        <v>0.018245914997563423</v>
      </c>
    </row>
    <row r="7884" ht="22.5" customHeight="1">
      <c r="Q7884" s="9" t="s">
        <v>7922</v>
      </c>
      <c r="R7884" s="10">
        <v>0.6763583162716983</v>
      </c>
      <c r="S7884" s="10">
        <v>0.03493939135391405</v>
      </c>
      <c r="T7884" s="10">
        <v>18.213205542872483</v>
      </c>
      <c r="U7884" s="11">
        <v>0.2195691615650367</v>
      </c>
      <c r="V7884" s="11">
        <v>0.12293392320711868</v>
      </c>
      <c r="W7884" s="11">
        <v>0.2960772910206602</v>
      </c>
      <c r="X7884" s="11">
        <v>0.018664574723787956</v>
      </c>
      <c r="Y7884" s="11">
        <v>0.10758489317786107</v>
      </c>
      <c r="Z7884" s="11">
        <v>0.23517015630553528</v>
      </c>
    </row>
    <row r="7885" ht="22.5" customHeight="1">
      <c r="Q7885" s="9" t="s">
        <v>7923</v>
      </c>
      <c r="R7885" s="10">
        <v>0.39128462057632846</v>
      </c>
      <c r="S7885" s="10">
        <v>0.019288264704216226</v>
      </c>
      <c r="T7885" s="10">
        <v>18.2123496314078</v>
      </c>
      <c r="U7885" s="11">
        <v>0.2724843118305374</v>
      </c>
      <c r="V7885" s="11">
        <v>0.1684758903952042</v>
      </c>
      <c r="W7885" s="11">
        <v>0.0225212174557251</v>
      </c>
      <c r="X7885" s="11">
        <v>0.053149864916646784</v>
      </c>
      <c r="Y7885" s="11">
        <v>0.221379499429485</v>
      </c>
      <c r="Z7885" s="11">
        <v>0.26198921597240143</v>
      </c>
    </row>
    <row r="7886" ht="22.5" customHeight="1">
      <c r="Q7886" s="9" t="s">
        <v>7924</v>
      </c>
      <c r="R7886" s="10">
        <v>0.5533288854596436</v>
      </c>
      <c r="S7886" s="10">
        <v>0.02818742163054596</v>
      </c>
      <c r="T7886" s="10">
        <v>18.21127495050355</v>
      </c>
      <c r="U7886" s="11">
        <v>0.1744356376598056</v>
      </c>
      <c r="V7886" s="11">
        <v>0.2598087703432947</v>
      </c>
      <c r="W7886" s="11">
        <v>0.027328961675979833</v>
      </c>
      <c r="X7886" s="11">
        <v>0.21445873790314252</v>
      </c>
      <c r="Y7886" s="11">
        <v>0.2544355644243171</v>
      </c>
      <c r="Z7886" s="11">
        <v>0.06953232799346028</v>
      </c>
    </row>
    <row r="7887" ht="22.5" customHeight="1">
      <c r="Q7887" s="9" t="s">
        <v>7925</v>
      </c>
      <c r="R7887" s="10">
        <v>0.5513943376393142</v>
      </c>
      <c r="S7887" s="10">
        <v>0.02808232208101856</v>
      </c>
      <c r="T7887" s="10">
        <v>18.210543136850372</v>
      </c>
      <c r="U7887" s="11">
        <v>0.2281344215510158</v>
      </c>
      <c r="V7887" s="11">
        <v>0.0941172728007717</v>
      </c>
      <c r="W7887" s="11">
        <v>0.23549388722887793</v>
      </c>
      <c r="X7887" s="11">
        <v>0.0045478739992173825</v>
      </c>
      <c r="Y7887" s="11">
        <v>0.11068361027919804</v>
      </c>
      <c r="Z7887" s="11">
        <v>0.3270229341409191</v>
      </c>
    </row>
    <row r="7888" ht="22.5" customHeight="1">
      <c r="Q7888" s="9" t="s">
        <v>7926</v>
      </c>
      <c r="R7888" s="10">
        <v>0.5299991566264104</v>
      </c>
      <c r="S7888" s="10">
        <v>0.02690818977573297</v>
      </c>
      <c r="T7888" s="10">
        <v>18.21003793678882</v>
      </c>
      <c r="U7888" s="11">
        <v>0.23633606129636744</v>
      </c>
      <c r="V7888" s="11">
        <v>0.2432831258960563</v>
      </c>
      <c r="W7888" s="11">
        <v>0.04801898170895157</v>
      </c>
      <c r="X7888" s="11">
        <v>0.012155189548064996</v>
      </c>
      <c r="Y7888" s="11">
        <v>0.2975455985446204</v>
      </c>
      <c r="Z7888" s="11">
        <v>0.16266104300593925</v>
      </c>
    </row>
    <row r="7889" ht="22.5" customHeight="1">
      <c r="Q7889" s="9" t="s">
        <v>7927</v>
      </c>
      <c r="R7889" s="10">
        <v>0.655660595872765</v>
      </c>
      <c r="S7889" s="10">
        <v>0.033809959677651095</v>
      </c>
      <c r="T7889" s="10">
        <v>18.209444842364782</v>
      </c>
      <c r="U7889" s="11">
        <v>0.2208743276696021</v>
      </c>
      <c r="V7889" s="11">
        <v>0.11130342451900371</v>
      </c>
      <c r="W7889" s="11">
        <v>0.28750443784340163</v>
      </c>
      <c r="X7889" s="11">
        <v>0.034790339115298566</v>
      </c>
      <c r="Y7889" s="11">
        <v>0.1528216402480143</v>
      </c>
      <c r="Z7889" s="11">
        <v>0.19270583060467972</v>
      </c>
    </row>
    <row r="7890" ht="22.5" customHeight="1">
      <c r="Q7890" s="9" t="s">
        <v>7928</v>
      </c>
      <c r="R7890" s="10">
        <v>0.5468579715975942</v>
      </c>
      <c r="S7890" s="10">
        <v>0.027835668797327216</v>
      </c>
      <c r="T7890" s="10">
        <v>18.208938153706683</v>
      </c>
      <c r="U7890" s="11">
        <v>0.028935621649066164</v>
      </c>
      <c r="V7890" s="11">
        <v>0.062337577133394155</v>
      </c>
      <c r="W7890" s="11">
        <v>0.2413761613846157</v>
      </c>
      <c r="X7890" s="11">
        <v>0.27680910593939917</v>
      </c>
      <c r="Y7890" s="11">
        <v>0.09107888091050179</v>
      </c>
      <c r="Z7890" s="11">
        <v>0.2994626529830231</v>
      </c>
    </row>
    <row r="7891" ht="22.5" customHeight="1">
      <c r="Q7891" s="9" t="s">
        <v>7929</v>
      </c>
      <c r="R7891" s="10">
        <v>0.6858897370111334</v>
      </c>
      <c r="S7891" s="10">
        <v>0.03547195047880258</v>
      </c>
      <c r="T7891" s="10">
        <v>18.20846410453538</v>
      </c>
      <c r="U7891" s="11">
        <v>0.44845746719026314</v>
      </c>
      <c r="V7891" s="11">
        <v>0.10889335829086987</v>
      </c>
      <c r="W7891" s="11">
        <v>0.3017044352012968</v>
      </c>
      <c r="X7891" s="11">
        <v>0.06717949285860139</v>
      </c>
      <c r="Y7891" s="11">
        <v>0.06940296166357779</v>
      </c>
      <c r="Z7891" s="11">
        <v>0.004362284795391118</v>
      </c>
    </row>
    <row r="7892" ht="22.5" customHeight="1">
      <c r="Q7892" s="9" t="s">
        <v>7930</v>
      </c>
      <c r="R7892" s="10">
        <v>0.6720401505515857</v>
      </c>
      <c r="S7892" s="10">
        <v>0.03471157830450885</v>
      </c>
      <c r="T7892" s="10">
        <v>18.208338007767484</v>
      </c>
      <c r="U7892" s="11">
        <v>0.03556534361575636</v>
      </c>
      <c r="V7892" s="11">
        <v>0.09910557007114092</v>
      </c>
      <c r="W7892" s="11">
        <v>0.30020481155639767</v>
      </c>
      <c r="X7892" s="11">
        <v>0.18656094436485623</v>
      </c>
      <c r="Y7892" s="11">
        <v>0.17942343686113663</v>
      </c>
      <c r="Z7892" s="11">
        <v>0.19913989353071232</v>
      </c>
    </row>
    <row r="7893" ht="22.5" customHeight="1">
      <c r="Q7893" s="9" t="s">
        <v>7931</v>
      </c>
      <c r="R7893" s="10">
        <v>0.480069610416736</v>
      </c>
      <c r="S7893" s="10">
        <v>0.02417044963739267</v>
      </c>
      <c r="T7893" s="10">
        <v>18.20692693014409</v>
      </c>
      <c r="U7893" s="11">
        <v>0.27695204159279324</v>
      </c>
      <c r="V7893" s="11">
        <v>0.21477477789836186</v>
      </c>
      <c r="W7893" s="11">
        <v>0.023619460936348913</v>
      </c>
      <c r="X7893" s="11">
        <v>0.1182263112585993</v>
      </c>
      <c r="Y7893" s="11">
        <v>0.31348801500413903</v>
      </c>
      <c r="Z7893" s="11">
        <v>0.05293939330975754</v>
      </c>
    </row>
    <row r="7894" ht="22.5" customHeight="1">
      <c r="Q7894" s="9" t="s">
        <v>7932</v>
      </c>
      <c r="R7894" s="10">
        <v>0.5214954400360962</v>
      </c>
      <c r="S7894" s="10">
        <v>0.026446476612132865</v>
      </c>
      <c r="T7894" s="10">
        <v>18.20641165542635</v>
      </c>
      <c r="U7894" s="11">
        <v>0.38604427635126226</v>
      </c>
      <c r="V7894" s="11">
        <v>0.06551325693832499</v>
      </c>
      <c r="W7894" s="11">
        <v>0.22027572719660493</v>
      </c>
      <c r="X7894" s="11">
        <v>0.0571865516578646</v>
      </c>
      <c r="Y7894" s="11">
        <v>0.2145603174990416</v>
      </c>
      <c r="Z7894" s="11">
        <v>0.05641987035690171</v>
      </c>
    </row>
    <row r="7895" ht="22.5" customHeight="1">
      <c r="Q7895" s="9" t="s">
        <v>7933</v>
      </c>
      <c r="R7895" s="10">
        <v>0.6556703232430658</v>
      </c>
      <c r="S7895" s="10">
        <v>0.033816782367839505</v>
      </c>
      <c r="T7895" s="10">
        <v>18.206058652953974</v>
      </c>
      <c r="U7895" s="11">
        <v>0.015440827189923173</v>
      </c>
      <c r="V7895" s="11">
        <v>0.3171839225237809</v>
      </c>
      <c r="W7895" s="11">
        <v>0.05282350894345261</v>
      </c>
      <c r="X7895" s="11">
        <v>0.20847311640872632</v>
      </c>
      <c r="Y7895" s="11">
        <v>0.24198394384709498</v>
      </c>
      <c r="Z7895" s="11">
        <v>0.1640946810870221</v>
      </c>
    </row>
    <row r="7896" ht="22.5" customHeight="1">
      <c r="Q7896" s="9" t="s">
        <v>7934</v>
      </c>
      <c r="R7896" s="10">
        <v>0.49667102903301685</v>
      </c>
      <c r="S7896" s="10">
        <v>0.025084411456624895</v>
      </c>
      <c r="T7896" s="10">
        <v>18.205371484305175</v>
      </c>
      <c r="U7896" s="11">
        <v>0.10556559725137268</v>
      </c>
      <c r="V7896" s="11">
        <v>0.2264091299268334</v>
      </c>
      <c r="W7896" s="11">
        <v>0.006473745333084579</v>
      </c>
      <c r="X7896" s="11">
        <v>0.3665790935982692</v>
      </c>
      <c r="Y7896" s="11">
        <v>0.22161194963576952</v>
      </c>
      <c r="Z7896" s="11">
        <v>0.07336048425467047</v>
      </c>
    </row>
    <row r="7897" ht="22.5" customHeight="1">
      <c r="Q7897" s="9" t="s">
        <v>7935</v>
      </c>
      <c r="R7897" s="10">
        <v>0.42294912919705285</v>
      </c>
      <c r="S7897" s="10">
        <v>0.021036752717004788</v>
      </c>
      <c r="T7897" s="10">
        <v>18.20381378954466</v>
      </c>
      <c r="U7897" s="11">
        <v>0.30275839496893425</v>
      </c>
      <c r="V7897" s="11">
        <v>0.19057688263083308</v>
      </c>
      <c r="W7897" s="11">
        <v>0.020891879756659033</v>
      </c>
      <c r="X7897" s="11">
        <v>0.14726170272703545</v>
      </c>
      <c r="Y7897" s="11">
        <v>0.05096071973053217</v>
      </c>
      <c r="Z7897" s="11">
        <v>0.28755042018600596</v>
      </c>
    </row>
    <row r="7898" ht="22.5" customHeight="1">
      <c r="Q7898" s="9" t="s">
        <v>7936</v>
      </c>
      <c r="R7898" s="10">
        <v>0.5819554763752762</v>
      </c>
      <c r="S7898" s="10">
        <v>0.029776836042803817</v>
      </c>
      <c r="T7898" s="10">
        <v>18.200572941874086</v>
      </c>
      <c r="U7898" s="11">
        <v>0.30454989328027915</v>
      </c>
      <c r="V7898" s="11">
        <v>0.07930288117676224</v>
      </c>
      <c r="W7898" s="11">
        <v>0.2559967291490115</v>
      </c>
      <c r="X7898" s="11">
        <v>0.11762576732915192</v>
      </c>
      <c r="Y7898" s="11">
        <v>0.08723914731967371</v>
      </c>
      <c r="Z7898" s="11">
        <v>0.1552855817451214</v>
      </c>
    </row>
    <row r="7899" ht="22.5" customHeight="1">
      <c r="Q7899" s="9" t="s">
        <v>7937</v>
      </c>
      <c r="R7899" s="10">
        <v>0.45963826239352507</v>
      </c>
      <c r="S7899" s="10">
        <v>0.023056990882408174</v>
      </c>
      <c r="T7899" s="10">
        <v>18.200044599648827</v>
      </c>
      <c r="U7899" s="11">
        <v>0.10958451306391793</v>
      </c>
      <c r="V7899" s="11">
        <v>0.05079999860972746</v>
      </c>
      <c r="W7899" s="11">
        <v>0.19561842935640972</v>
      </c>
      <c r="X7899" s="11">
        <v>0.14183372469579278</v>
      </c>
      <c r="Y7899" s="11">
        <v>0.19076517353026504</v>
      </c>
      <c r="Z7899" s="11">
        <v>0.3113981607438871</v>
      </c>
    </row>
    <row r="7900" ht="22.5" customHeight="1">
      <c r="Q7900" s="9" t="s">
        <v>7938</v>
      </c>
      <c r="R7900" s="10">
        <v>0.43213605161745466</v>
      </c>
      <c r="S7900" s="10">
        <v>0.02154618405096979</v>
      </c>
      <c r="T7900" s="10">
        <v>18.19979123402154</v>
      </c>
      <c r="U7900" s="11">
        <v>0.24478369913918824</v>
      </c>
      <c r="V7900" s="11">
        <v>0.1933301673384373</v>
      </c>
      <c r="W7900" s="11">
        <v>0.00727202606290297</v>
      </c>
      <c r="X7900" s="11">
        <v>0.22952935057014226</v>
      </c>
      <c r="Y7900" s="11">
        <v>0.182737186186787</v>
      </c>
      <c r="Z7900" s="11">
        <v>0.1423475707025423</v>
      </c>
    </row>
    <row r="7901" ht="22.5" customHeight="1">
      <c r="Q7901" s="9" t="s">
        <v>7939</v>
      </c>
      <c r="R7901" s="10">
        <v>0.5499875004913227</v>
      </c>
      <c r="S7901" s="10">
        <v>0.028022396444606683</v>
      </c>
      <c r="T7901" s="10">
        <v>18.199282188425293</v>
      </c>
      <c r="U7901" s="11">
        <v>0.26307430056028347</v>
      </c>
      <c r="V7901" s="11">
        <v>0.049151932098834575</v>
      </c>
      <c r="W7901" s="11">
        <v>0.2428757918996438</v>
      </c>
      <c r="X7901" s="11">
        <v>0.29492060750653215</v>
      </c>
      <c r="Y7901" s="11">
        <v>0.08423840028275745</v>
      </c>
      <c r="Z7901" s="11">
        <v>0.06573896765194863</v>
      </c>
    </row>
    <row r="7902" ht="22.5" customHeight="1">
      <c r="Q7902" s="9" t="s">
        <v>7940</v>
      </c>
      <c r="R7902" s="10">
        <v>0.49862041319054456</v>
      </c>
      <c r="S7902" s="10">
        <v>0.02520027701727419</v>
      </c>
      <c r="T7902" s="10">
        <v>18.199022688368515</v>
      </c>
      <c r="U7902" s="11">
        <v>0.1644517949704618</v>
      </c>
      <c r="V7902" s="11">
        <v>0.042082775593451284</v>
      </c>
      <c r="W7902" s="11">
        <v>0.21581726044358637</v>
      </c>
      <c r="X7902" s="11">
        <v>0.2436296928544597</v>
      </c>
      <c r="Y7902" s="11">
        <v>0.20535481789120727</v>
      </c>
      <c r="Z7902" s="11">
        <v>0.12866365824683357</v>
      </c>
    </row>
    <row r="7903" ht="22.5" customHeight="1">
      <c r="Q7903" s="9" t="s">
        <v>7941</v>
      </c>
      <c r="R7903" s="10">
        <v>0.6284507119901336</v>
      </c>
      <c r="S7903" s="10">
        <v>0.03233528073015456</v>
      </c>
      <c r="T7903" s="10">
        <v>18.19841048855866</v>
      </c>
      <c r="U7903" s="11">
        <v>0.18295452336390958</v>
      </c>
      <c r="V7903" s="11">
        <v>0.1023026558214684</v>
      </c>
      <c r="W7903" s="11">
        <v>0.27792811774784626</v>
      </c>
      <c r="X7903" s="11">
        <v>0.10969020113998924</v>
      </c>
      <c r="Y7903" s="11">
        <v>0.030366963005163</v>
      </c>
      <c r="Z7903" s="11">
        <v>0.2967575389216236</v>
      </c>
    </row>
    <row r="7904" ht="22.5" customHeight="1">
      <c r="Q7904" s="9" t="s">
        <v>7942</v>
      </c>
      <c r="R7904" s="10">
        <v>0.5993293404100726</v>
      </c>
      <c r="S7904" s="10">
        <v>0.03074087053546819</v>
      </c>
      <c r="T7904" s="10">
        <v>18.19497400910393</v>
      </c>
      <c r="U7904" s="11">
        <v>0.03594109671983568</v>
      </c>
      <c r="V7904" s="11">
        <v>0.08894022479779949</v>
      </c>
      <c r="W7904" s="11">
        <v>0.2655157806114979</v>
      </c>
      <c r="X7904" s="11">
        <v>0.16918087178154084</v>
      </c>
      <c r="Y7904" s="11">
        <v>0.09906651968377304</v>
      </c>
      <c r="Z7904" s="11">
        <v>0.3413555064055531</v>
      </c>
    </row>
    <row r="7905" ht="22.5" customHeight="1">
      <c r="Q7905" s="9" t="s">
        <v>7943</v>
      </c>
      <c r="R7905" s="10">
        <v>0.5866218012344989</v>
      </c>
      <c r="S7905" s="10">
        <v>0.030043210842794307</v>
      </c>
      <c r="T7905" s="10">
        <v>18.194520023002234</v>
      </c>
      <c r="U7905" s="11">
        <v>0.2771543228897148</v>
      </c>
      <c r="V7905" s="11">
        <v>0.09259520671180822</v>
      </c>
      <c r="W7905" s="11">
        <v>0.2557691063958774</v>
      </c>
      <c r="X7905" s="11">
        <v>0.051997071516327924</v>
      </c>
      <c r="Y7905" s="11">
        <v>0.08688222957176198</v>
      </c>
      <c r="Z7905" s="11">
        <v>0.2356020629145096</v>
      </c>
    </row>
    <row r="7906" ht="22.5" customHeight="1">
      <c r="Q7906" s="9" t="s">
        <v>7944</v>
      </c>
      <c r="R7906" s="10">
        <v>0.25980306246944856</v>
      </c>
      <c r="S7906" s="10">
        <v>0.012081557926945952</v>
      </c>
      <c r="T7906" s="10">
        <v>18.19327141404616</v>
      </c>
      <c r="U7906" s="11">
        <v>0.3389565508433756</v>
      </c>
      <c r="V7906" s="11">
        <v>0.029259139615628375</v>
      </c>
      <c r="W7906" s="11">
        <v>0.07419254147117597</v>
      </c>
      <c r="X7906" s="11">
        <v>0.08218189184865096</v>
      </c>
      <c r="Y7906" s="11">
        <v>0.08671961483785827</v>
      </c>
      <c r="Z7906" s="11">
        <v>0.38869026138331086</v>
      </c>
    </row>
    <row r="7907" ht="22.5" customHeight="1">
      <c r="Q7907" s="9" t="s">
        <v>7945</v>
      </c>
      <c r="R7907" s="10">
        <v>0.522331348251574</v>
      </c>
      <c r="S7907" s="10">
        <v>0.03637732942919447</v>
      </c>
      <c r="T7907" s="10">
        <v>18.192369202593976</v>
      </c>
      <c r="U7907" s="11">
        <v>0.01097576377170306</v>
      </c>
      <c r="V7907" s="11">
        <v>0.34063064380730185</v>
      </c>
      <c r="W7907" s="11">
        <v>0.08656242145430498</v>
      </c>
      <c r="X7907" s="11">
        <v>0.06266423129017878</v>
      </c>
      <c r="Y7907" s="11">
        <v>0.1784481873173287</v>
      </c>
      <c r="Z7907" s="11">
        <v>0.3207187523591827</v>
      </c>
    </row>
    <row r="7908" ht="22.5" customHeight="1">
      <c r="Q7908" s="9" t="s">
        <v>7946</v>
      </c>
      <c r="R7908" s="10">
        <v>0.7161733485187936</v>
      </c>
      <c r="S7908" s="10">
        <v>0.03717056791844043</v>
      </c>
      <c r="T7908" s="10">
        <v>18.191095438801245</v>
      </c>
      <c r="U7908" s="11">
        <v>0.2617958315825885</v>
      </c>
      <c r="V7908" s="11">
        <v>0.109108866323108</v>
      </c>
      <c r="W7908" s="11">
        <v>0.32243569896903884</v>
      </c>
      <c r="X7908" s="11">
        <v>0.18213054495397704</v>
      </c>
      <c r="Y7908" s="11">
        <v>0.01643475251030103</v>
      </c>
      <c r="Z7908" s="11">
        <v>0.10809430566098664</v>
      </c>
    </row>
    <row r="7909" ht="22.5" customHeight="1">
      <c r="Q7909" s="9" t="s">
        <v>7947</v>
      </c>
      <c r="R7909" s="10">
        <v>0.5635107496624506</v>
      </c>
      <c r="S7909" s="10">
        <v>0.028781956013887368</v>
      </c>
      <c r="T7909" s="10">
        <v>18.188852398004336</v>
      </c>
      <c r="U7909" s="11">
        <v>0.16441732674048376</v>
      </c>
      <c r="V7909" s="11">
        <v>0.05120380407139983</v>
      </c>
      <c r="W7909" s="11">
        <v>0.24758039464070813</v>
      </c>
      <c r="X7909" s="11">
        <v>0.27525479876122544</v>
      </c>
      <c r="Y7909" s="11">
        <v>0.23572398314459012</v>
      </c>
      <c r="Z7909" s="11">
        <v>0.025819692641592663</v>
      </c>
    </row>
    <row r="7910" ht="22.5" customHeight="1">
      <c r="Q7910" s="9" t="s">
        <v>7948</v>
      </c>
      <c r="R7910" s="10">
        <v>0.522331348251574</v>
      </c>
      <c r="S7910" s="10">
        <v>0.03757188550556145</v>
      </c>
      <c r="T7910" s="10">
        <v>18.188771995126768</v>
      </c>
      <c r="U7910" s="11">
        <v>0.09054922969705051</v>
      </c>
      <c r="V7910" s="11">
        <v>0.12002405476545011</v>
      </c>
      <c r="W7910" s="11">
        <v>0.3237719490126268</v>
      </c>
      <c r="X7910" s="11">
        <v>0.12951189925865603</v>
      </c>
      <c r="Y7910" s="11">
        <v>0.13743994720339417</v>
      </c>
      <c r="Z7910" s="11">
        <v>0.19870292006282242</v>
      </c>
    </row>
    <row r="7911" ht="22.5" customHeight="1">
      <c r="Q7911" s="9" t="s">
        <v>7949</v>
      </c>
      <c r="R7911" s="10">
        <v>0.522331348251574</v>
      </c>
      <c r="S7911" s="10">
        <v>0.03592856843194634</v>
      </c>
      <c r="T7911" s="10">
        <v>18.188147423611568</v>
      </c>
      <c r="U7911" s="11">
        <v>0.106486443497871</v>
      </c>
      <c r="V7911" s="11">
        <v>0.3337488425907721</v>
      </c>
      <c r="W7911" s="11">
        <v>0.06892777526360779</v>
      </c>
      <c r="X7911" s="11">
        <v>0.09379665017371638</v>
      </c>
      <c r="Y7911" s="11">
        <v>0.3065820322475329</v>
      </c>
      <c r="Z7911" s="11">
        <v>0.0904582562264997</v>
      </c>
    </row>
    <row r="7912" ht="22.5" customHeight="1">
      <c r="Q7912" s="9" t="s">
        <v>7950</v>
      </c>
      <c r="R7912" s="10">
        <v>0.6422843481913586</v>
      </c>
      <c r="S7912" s="10">
        <v>0.03311675313273259</v>
      </c>
      <c r="T7912" s="10">
        <v>18.186696798970335</v>
      </c>
      <c r="U7912" s="11">
        <v>0.1267408530128816</v>
      </c>
      <c r="V7912" s="11">
        <v>0.10975263473902709</v>
      </c>
      <c r="W7912" s="11">
        <v>0.283522197998676</v>
      </c>
      <c r="X7912" s="11">
        <v>0.08024882283268046</v>
      </c>
      <c r="Y7912" s="11">
        <v>0.08177959374139361</v>
      </c>
      <c r="Z7912" s="11">
        <v>0.3179558976753413</v>
      </c>
    </row>
    <row r="7913" ht="22.5" customHeight="1">
      <c r="Q7913" s="9" t="s">
        <v>7951</v>
      </c>
      <c r="R7913" s="10">
        <v>0.37618788415119353</v>
      </c>
      <c r="S7913" s="10">
        <v>0.01848539547480071</v>
      </c>
      <c r="T7913" s="10">
        <v>18.186675238270386</v>
      </c>
      <c r="U7913" s="11">
        <v>0.04744100721196942</v>
      </c>
      <c r="V7913" s="11">
        <v>0.013353722441057314</v>
      </c>
      <c r="W7913" s="11">
        <v>0.1471733044216194</v>
      </c>
      <c r="X7913" s="11">
        <v>0.32115390675085315</v>
      </c>
      <c r="Y7913" s="11">
        <v>0.26864250981991145</v>
      </c>
      <c r="Z7913" s="11">
        <v>0.20223554935458918</v>
      </c>
    </row>
    <row r="7914" ht="22.5" customHeight="1">
      <c r="Q7914" s="9" t="s">
        <v>7952</v>
      </c>
      <c r="R7914" s="10">
        <v>0.48527538435922896</v>
      </c>
      <c r="S7914" s="10">
        <v>0.024484226711534135</v>
      </c>
      <c r="T7914" s="10">
        <v>18.186213908461596</v>
      </c>
      <c r="U7914" s="11">
        <v>0.26078076408521544</v>
      </c>
      <c r="V7914" s="11">
        <v>0.05272660699268909</v>
      </c>
      <c r="W7914" s="11">
        <v>0.2023943420643948</v>
      </c>
      <c r="X7914" s="11">
        <v>0.09161124320060382</v>
      </c>
      <c r="Y7914" s="11">
        <v>0.30792449721727194</v>
      </c>
      <c r="Z7914" s="11">
        <v>0.08456254643982486</v>
      </c>
    </row>
    <row r="7915" ht="22.5" customHeight="1">
      <c r="Q7915" s="9" t="s">
        <v>7953</v>
      </c>
      <c r="R7915" s="10">
        <v>0.7744793493680493</v>
      </c>
      <c r="S7915" s="10">
        <v>0.04038667636760593</v>
      </c>
      <c r="T7915" s="10">
        <v>18.18617958761206</v>
      </c>
      <c r="U7915" s="11">
        <v>0.03739100957510018</v>
      </c>
      <c r="V7915" s="11">
        <v>0.373599272078543</v>
      </c>
      <c r="W7915" s="11">
        <v>0.09602528026262606</v>
      </c>
      <c r="X7915" s="11">
        <v>0.03647156344415425</v>
      </c>
      <c r="Y7915" s="11">
        <v>0.3358841509314329</v>
      </c>
      <c r="Z7915" s="11">
        <v>0.12062872370814365</v>
      </c>
    </row>
    <row r="7916" ht="22.5" customHeight="1">
      <c r="Q7916" s="9" t="s">
        <v>7954</v>
      </c>
      <c r="R7916" s="10">
        <v>0.5946996404548641</v>
      </c>
      <c r="S7916" s="10">
        <v>0.030502085533723886</v>
      </c>
      <c r="T7916" s="10">
        <v>18.18562995771466</v>
      </c>
      <c r="U7916" s="11">
        <v>0.33310290585400826</v>
      </c>
      <c r="V7916" s="11">
        <v>0.07122909115021085</v>
      </c>
      <c r="W7916" s="11">
        <v>0.26438241534501</v>
      </c>
      <c r="X7916" s="11">
        <v>0.2049740438104703</v>
      </c>
      <c r="Y7916" s="11">
        <v>0.03595776956914959</v>
      </c>
      <c r="Z7916" s="11">
        <v>0.09035377427115102</v>
      </c>
    </row>
    <row r="7917" ht="22.5" customHeight="1">
      <c r="Q7917" s="9" t="s">
        <v>7955</v>
      </c>
      <c r="R7917" s="10">
        <v>0.6422140413651776</v>
      </c>
      <c r="S7917" s="10">
        <v>0.03311588301060511</v>
      </c>
      <c r="T7917" s="10">
        <v>18.185051601140245</v>
      </c>
      <c r="U7917" s="11">
        <v>0.29544765312517685</v>
      </c>
      <c r="V7917" s="11">
        <v>0.30799662256614635</v>
      </c>
      <c r="W7917" s="11">
        <v>0.048741206349731184</v>
      </c>
      <c r="X7917" s="11">
        <v>0.1610956777105653</v>
      </c>
      <c r="Y7917" s="11">
        <v>0.17276404327289177</v>
      </c>
      <c r="Z7917" s="11">
        <v>0.013954796975488674</v>
      </c>
    </row>
    <row r="7918" ht="22.5" customHeight="1">
      <c r="Q7918" s="9" t="s">
        <v>7956</v>
      </c>
      <c r="R7918" s="10">
        <v>0.48467867195285597</v>
      </c>
      <c r="S7918" s="10">
        <v>0.024453766040276888</v>
      </c>
      <c r="T7918" s="10">
        <v>18.184465788232465</v>
      </c>
      <c r="U7918" s="11">
        <v>0.24978728952177695</v>
      </c>
      <c r="V7918" s="11">
        <v>0.22216113811283425</v>
      </c>
      <c r="W7918" s="11">
        <v>0.03885028071557293</v>
      </c>
      <c r="X7918" s="11">
        <v>0.03238280327193305</v>
      </c>
      <c r="Y7918" s="11">
        <v>0.22283172643487958</v>
      </c>
      <c r="Z7918" s="11">
        <v>0.2339867619430033</v>
      </c>
    </row>
    <row r="7919" ht="22.5" customHeight="1">
      <c r="Q7919" s="9" t="s">
        <v>7957</v>
      </c>
      <c r="R7919" s="10">
        <v>0.5757330406895528</v>
      </c>
      <c r="S7919" s="10">
        <v>0.029462208111097215</v>
      </c>
      <c r="T7919" s="10">
        <v>18.18373689675228</v>
      </c>
      <c r="U7919" s="11">
        <v>0.03469864173876362</v>
      </c>
      <c r="V7919" s="11">
        <v>0.0549934468750328</v>
      </c>
      <c r="W7919" s="11">
        <v>0.24901040735087893</v>
      </c>
      <c r="X7919" s="11">
        <v>0.28392901186422126</v>
      </c>
      <c r="Y7919" s="11">
        <v>0.3652478512486347</v>
      </c>
      <c r="Z7919" s="11">
        <v>0.01212064092246871</v>
      </c>
    </row>
    <row r="7920" ht="22.5" customHeight="1">
      <c r="Q7920" s="9" t="s">
        <v>7958</v>
      </c>
      <c r="R7920" s="10">
        <v>0.35802599388345463</v>
      </c>
      <c r="S7920" s="10">
        <v>0.01748999813173088</v>
      </c>
      <c r="T7920" s="10">
        <v>18.183306338179783</v>
      </c>
      <c r="U7920" s="11">
        <v>0.11740452461136267</v>
      </c>
      <c r="V7920" s="11">
        <v>0.014349738765781678</v>
      </c>
      <c r="W7920" s="11">
        <v>0.14100622167034105</v>
      </c>
      <c r="X7920" s="11">
        <v>0.26778486485722836</v>
      </c>
      <c r="Y7920" s="11">
        <v>0.20143020136257483</v>
      </c>
      <c r="Z7920" s="11">
        <v>0.25802444873271146</v>
      </c>
    </row>
    <row r="7921" ht="22.5" customHeight="1">
      <c r="Q7921" s="9" t="s">
        <v>7959</v>
      </c>
      <c r="R7921" s="10">
        <v>0.7575529714541214</v>
      </c>
      <c r="S7921" s="10">
        <v>0.03946335674924769</v>
      </c>
      <c r="T7921" s="10">
        <v>18.182765749337843</v>
      </c>
      <c r="U7921" s="11">
        <v>0.11120316724507512</v>
      </c>
      <c r="V7921" s="11">
        <v>0.3693930099064238</v>
      </c>
      <c r="W7921" s="11">
        <v>0.09297894507678282</v>
      </c>
      <c r="X7921" s="11">
        <v>0.06398587574289118</v>
      </c>
      <c r="Y7921" s="11">
        <v>0.1625193610204213</v>
      </c>
      <c r="Z7921" s="11">
        <v>0.19991964100840595</v>
      </c>
    </row>
    <row r="7922" ht="22.5" customHeight="1">
      <c r="Q7922" s="9" t="s">
        <v>7960</v>
      </c>
      <c r="R7922" s="10">
        <v>0.47752991839832615</v>
      </c>
      <c r="S7922" s="10">
        <v>0.024063521162188833</v>
      </c>
      <c r="T7922" s="10">
        <v>18.182289925458615</v>
      </c>
      <c r="U7922" s="11">
        <v>0.19914994277404138</v>
      </c>
      <c r="V7922" s="11">
        <v>0.2210502139971632</v>
      </c>
      <c r="W7922" s="11">
        <v>0.021298192584989387</v>
      </c>
      <c r="X7922" s="11">
        <v>0.16474779003041812</v>
      </c>
      <c r="Y7922" s="11">
        <v>0.20249148496901473</v>
      </c>
      <c r="Z7922" s="11">
        <v>0.19126237564437318</v>
      </c>
    </row>
    <row r="7923" ht="22.5" customHeight="1">
      <c r="Q7923" s="9" t="s">
        <v>7961</v>
      </c>
      <c r="R7923" s="10">
        <v>0.4165594510528381</v>
      </c>
      <c r="S7923" s="10">
        <v>0.02071275497780199</v>
      </c>
      <c r="T7923" s="10">
        <v>18.18007558417022</v>
      </c>
      <c r="U7923" s="11">
        <v>0.1928440949590167</v>
      </c>
      <c r="V7923" s="11">
        <v>0.18885817347640976</v>
      </c>
      <c r="W7923" s="11">
        <v>0.011872256855167728</v>
      </c>
      <c r="X7923" s="11">
        <v>0.23842151763001082</v>
      </c>
      <c r="Y7923" s="11">
        <v>0.049668137262291884</v>
      </c>
      <c r="Z7923" s="11">
        <v>0.3183358198171031</v>
      </c>
    </row>
    <row r="7924" ht="22.5" customHeight="1">
      <c r="Q7924" s="9" t="s">
        <v>7962</v>
      </c>
      <c r="R7924" s="10">
        <v>0.6416162806038358</v>
      </c>
      <c r="S7924" s="10">
        <v>0.033096984243628676</v>
      </c>
      <c r="T7924" s="10">
        <v>18.17737459628666</v>
      </c>
      <c r="U7924" s="11">
        <v>0.014820888208884806</v>
      </c>
      <c r="V7924" s="11">
        <v>0.3128916291742384</v>
      </c>
      <c r="W7924" s="11">
        <v>0.05870343311521856</v>
      </c>
      <c r="X7924" s="11">
        <v>0.19101376064782785</v>
      </c>
      <c r="Y7924" s="11">
        <v>0.11419396963012866</v>
      </c>
      <c r="Z7924" s="11">
        <v>0.3083763192237019</v>
      </c>
    </row>
    <row r="7925" ht="22.5" customHeight="1">
      <c r="Q7925" s="9" t="s">
        <v>7963</v>
      </c>
      <c r="R7925" s="10">
        <v>0.2117088266253188</v>
      </c>
      <c r="S7925" s="10">
        <v>0.009446893130386373</v>
      </c>
      <c r="T7925" s="10">
        <v>18.176221986994786</v>
      </c>
      <c r="U7925" s="11">
        <v>0.1331392408187409</v>
      </c>
      <c r="V7925" s="11">
        <v>0.02345590773517167</v>
      </c>
      <c r="W7925" s="11">
        <v>0.00937092777796002</v>
      </c>
      <c r="X7925" s="11">
        <v>0.3545312548310372</v>
      </c>
      <c r="Y7925" s="11">
        <v>0.22702532066917022</v>
      </c>
      <c r="Z7925" s="11">
        <v>0.25247734816791995</v>
      </c>
    </row>
    <row r="7926" ht="22.5" customHeight="1">
      <c r="Q7926" s="9" t="s">
        <v>7964</v>
      </c>
      <c r="R7926" s="10">
        <v>0.41824658488962974</v>
      </c>
      <c r="S7926" s="10">
        <v>0.02081047128652679</v>
      </c>
      <c r="T7926" s="10">
        <v>18.17578178224709</v>
      </c>
      <c r="U7926" s="11">
        <v>0.08534905924990471</v>
      </c>
      <c r="V7926" s="11">
        <v>0.026263625557634382</v>
      </c>
      <c r="W7926" s="11">
        <v>0.17085816652491376</v>
      </c>
      <c r="X7926" s="11">
        <v>0.24199516933959325</v>
      </c>
      <c r="Y7926" s="11">
        <v>0.299494584573173</v>
      </c>
      <c r="Z7926" s="11">
        <v>0.1760393947547809</v>
      </c>
    </row>
    <row r="7927" ht="22.5" customHeight="1">
      <c r="Q7927" s="9" t="s">
        <v>7965</v>
      </c>
      <c r="R7927" s="10">
        <v>0.6189274613655635</v>
      </c>
      <c r="S7927" s="10">
        <v>0.031853219495562045</v>
      </c>
      <c r="T7927" s="10">
        <v>18.174849215672616</v>
      </c>
      <c r="U7927" s="11">
        <v>0.07159348940956328</v>
      </c>
      <c r="V7927" s="11">
        <v>0.09980088713032646</v>
      </c>
      <c r="W7927" s="11">
        <v>0.2702956282851981</v>
      </c>
      <c r="X7927" s="11">
        <v>0.05675922893700031</v>
      </c>
      <c r="Y7927" s="11">
        <v>0.25400019044739613</v>
      </c>
      <c r="Z7927" s="11">
        <v>0.2475505757905157</v>
      </c>
    </row>
    <row r="7928" ht="22.5" customHeight="1">
      <c r="Q7928" s="9" t="s">
        <v>7966</v>
      </c>
      <c r="R7928" s="10">
        <v>0.5645269321395904</v>
      </c>
      <c r="S7928" s="10">
        <v>0.028862921096317537</v>
      </c>
      <c r="T7928" s="10">
        <v>18.173036969792772</v>
      </c>
      <c r="U7928" s="11">
        <v>0.13176751459694006</v>
      </c>
      <c r="V7928" s="11">
        <v>0.2656825022359217</v>
      </c>
      <c r="W7928" s="11">
        <v>0.030895934298751027</v>
      </c>
      <c r="X7928" s="11">
        <v>0.19378876097377953</v>
      </c>
      <c r="Y7928" s="11">
        <v>0.30355310719114975</v>
      </c>
      <c r="Z7928" s="11">
        <v>0.07431218070345798</v>
      </c>
    </row>
    <row r="7929" ht="22.5" customHeight="1">
      <c r="Q7929" s="9" t="s">
        <v>7967</v>
      </c>
      <c r="R7929" s="10">
        <v>0.4869839189134108</v>
      </c>
      <c r="S7929" s="10">
        <v>0.024596669902253603</v>
      </c>
      <c r="T7929" s="10">
        <v>18.17253801793946</v>
      </c>
      <c r="U7929" s="11">
        <v>0.27751627442696053</v>
      </c>
      <c r="V7929" s="11">
        <v>0.029199283019089525</v>
      </c>
      <c r="W7929" s="11">
        <v>0.2089547219616148</v>
      </c>
      <c r="X7929" s="11">
        <v>0.30902485112854144</v>
      </c>
      <c r="Y7929" s="11">
        <v>0.16341608352359036</v>
      </c>
      <c r="Z7929" s="11">
        <v>0.011888785940203222</v>
      </c>
    </row>
    <row r="7930" ht="22.5" customHeight="1">
      <c r="Q7930" s="9" t="s">
        <v>7968</v>
      </c>
      <c r="R7930" s="10">
        <v>0.33078882710947805</v>
      </c>
      <c r="S7930" s="10">
        <v>0.016001813402192797</v>
      </c>
      <c r="T7930" s="10">
        <v>18.172242095363394</v>
      </c>
      <c r="U7930" s="11">
        <v>0.04146501863379696</v>
      </c>
      <c r="V7930" s="11">
        <v>0.019041714703951076</v>
      </c>
      <c r="W7930" s="11">
        <v>0.12672100351988796</v>
      </c>
      <c r="X7930" s="11">
        <v>0.2884810484105732</v>
      </c>
      <c r="Y7930" s="11">
        <v>0.07390068610586101</v>
      </c>
      <c r="Z7930" s="11">
        <v>0.45039052862592976</v>
      </c>
    </row>
    <row r="7931" ht="22.5" customHeight="1">
      <c r="Q7931" s="9" t="s">
        <v>7969</v>
      </c>
      <c r="R7931" s="10">
        <v>0.522331348251574</v>
      </c>
      <c r="S7931" s="10">
        <v>0.010402588493108924</v>
      </c>
      <c r="T7931" s="10">
        <v>18.171836328394228</v>
      </c>
      <c r="U7931" s="11">
        <v>0.19111225569026957</v>
      </c>
      <c r="V7931" s="11">
        <v>0.016263598924808775</v>
      </c>
      <c r="W7931" s="11">
        <v>0.04810274994055845</v>
      </c>
      <c r="X7931" s="11">
        <v>0.163394729133147</v>
      </c>
      <c r="Y7931" s="11">
        <v>0.2813502285225059</v>
      </c>
      <c r="Z7931" s="11">
        <v>0.2997764377887104</v>
      </c>
    </row>
    <row r="7932" ht="22.5" customHeight="1">
      <c r="Q7932" s="9" t="s">
        <v>7970</v>
      </c>
      <c r="R7932" s="10">
        <v>0.6399048447297309</v>
      </c>
      <c r="S7932" s="10">
        <v>0.03301411241330688</v>
      </c>
      <c r="T7932" s="10">
        <v>18.17116381078079</v>
      </c>
      <c r="U7932" s="11">
        <v>0.15052771615196925</v>
      </c>
      <c r="V7932" s="11">
        <v>0.08627952483085427</v>
      </c>
      <c r="W7932" s="11">
        <v>0.2801461419878824</v>
      </c>
      <c r="X7932" s="11">
        <v>0.12267815517966414</v>
      </c>
      <c r="Y7932" s="11">
        <v>0.34534980945871097</v>
      </c>
      <c r="Z7932" s="11">
        <v>0.015018652390919054</v>
      </c>
    </row>
    <row r="7933" ht="22.5" customHeight="1">
      <c r="Q7933" s="9" t="s">
        <v>7971</v>
      </c>
      <c r="R7933" s="10">
        <v>0.49619608845927227</v>
      </c>
      <c r="S7933" s="10">
        <v>0.025105595116008492</v>
      </c>
      <c r="T7933" s="10">
        <v>18.171092393997085</v>
      </c>
      <c r="U7933" s="11">
        <v>0.07016086130091925</v>
      </c>
      <c r="V7933" s="11">
        <v>0.22223189629464973</v>
      </c>
      <c r="W7933" s="11">
        <v>0.014044748657015134</v>
      </c>
      <c r="X7933" s="11">
        <v>0.2596568462122396</v>
      </c>
      <c r="Y7933" s="11">
        <v>0.3948219685735279</v>
      </c>
      <c r="Z7933" s="11">
        <v>0.03908367896164833</v>
      </c>
    </row>
    <row r="7934" ht="22.5" customHeight="1">
      <c r="Q7934" s="9" t="s">
        <v>7972</v>
      </c>
      <c r="R7934" s="10">
        <v>0.3815138135269643</v>
      </c>
      <c r="S7934" s="10">
        <v>0.018795866262674987</v>
      </c>
      <c r="T7934" s="10">
        <v>18.169623509459935</v>
      </c>
      <c r="U7934" s="11">
        <v>0.25667943279800864</v>
      </c>
      <c r="V7934" s="11">
        <v>0.03910923827502187</v>
      </c>
      <c r="W7934" s="11">
        <v>0.1502775866758965</v>
      </c>
      <c r="X7934" s="11">
        <v>0.06414371649058209</v>
      </c>
      <c r="Y7934" s="11">
        <v>0.22451663679204006</v>
      </c>
      <c r="Z7934" s="11">
        <v>0.26527338896845076</v>
      </c>
    </row>
    <row r="7935" ht="22.5" customHeight="1">
      <c r="Q7935" s="9" t="s">
        <v>7973</v>
      </c>
      <c r="R7935" s="10">
        <v>0.4952350966861307</v>
      </c>
      <c r="S7935" s="10">
        <v>0.02505561267067985</v>
      </c>
      <c r="T7935" s="10">
        <v>18.168986832193816</v>
      </c>
      <c r="U7935" s="11">
        <v>0.05212774613905734</v>
      </c>
      <c r="V7935" s="11">
        <v>0.23155537511762012</v>
      </c>
      <c r="W7935" s="11">
        <v>0.03717006361296202</v>
      </c>
      <c r="X7935" s="11">
        <v>0.09239882821041519</v>
      </c>
      <c r="Y7935" s="11">
        <v>0.2544199319218693</v>
      </c>
      <c r="Z7935" s="11">
        <v>0.332328054998076</v>
      </c>
    </row>
    <row r="7936" ht="22.5" customHeight="1">
      <c r="Q7936" s="9" t="s">
        <v>7974</v>
      </c>
      <c r="R7936" s="10">
        <v>0.3011496207405125</v>
      </c>
      <c r="S7936" s="10">
        <v>0.014374090053756894</v>
      </c>
      <c r="T7936" s="10">
        <v>18.168080188996516</v>
      </c>
      <c r="U7936" s="11">
        <v>0.22995291628381692</v>
      </c>
      <c r="V7936" s="11">
        <v>0.004629015312349259</v>
      </c>
      <c r="W7936" s="11">
        <v>0.0984412189726549</v>
      </c>
      <c r="X7936" s="11">
        <v>0.24672857882736174</v>
      </c>
      <c r="Y7936" s="11">
        <v>0.3049792431476929</v>
      </c>
      <c r="Z7936" s="11">
        <v>0.11526902745612426</v>
      </c>
    </row>
    <row r="7937" ht="22.5" customHeight="1">
      <c r="Q7937" s="9" t="s">
        <v>7975</v>
      </c>
      <c r="R7937" s="10">
        <v>0.6130984034132138</v>
      </c>
      <c r="S7937" s="10">
        <v>0.03154525685219315</v>
      </c>
      <c r="T7937" s="10">
        <v>18.16749840074197</v>
      </c>
      <c r="U7937" s="11">
        <v>0.16796979974016055</v>
      </c>
      <c r="V7937" s="11">
        <v>0.29566440419827955</v>
      </c>
      <c r="W7937" s="11">
        <v>0.04546904660398688</v>
      </c>
      <c r="X7937" s="11">
        <v>0.16873869205455355</v>
      </c>
      <c r="Y7937" s="11">
        <v>0.1820800310634945</v>
      </c>
      <c r="Z7937" s="11">
        <v>0.1400780263395249</v>
      </c>
    </row>
    <row r="7938" ht="22.5" customHeight="1">
      <c r="Q7938" s="9" t="s">
        <v>7976</v>
      </c>
      <c r="R7938" s="10">
        <v>0.524054415291009</v>
      </c>
      <c r="S7938" s="10">
        <v>0.026645415600794232</v>
      </c>
      <c r="T7938" s="10">
        <v>18.166517743359222</v>
      </c>
      <c r="U7938" s="11">
        <v>0.24711193188611377</v>
      </c>
      <c r="V7938" s="11">
        <v>0.05720187870394916</v>
      </c>
      <c r="W7938" s="11">
        <v>0.23071252283730184</v>
      </c>
      <c r="X7938" s="11">
        <v>0.22876808813064842</v>
      </c>
      <c r="Y7938" s="11">
        <v>0.006754601948787258</v>
      </c>
      <c r="Z7938" s="11">
        <v>0.22945097649319968</v>
      </c>
    </row>
    <row r="7939" ht="22.5" customHeight="1">
      <c r="Q7939" s="9" t="s">
        <v>7977</v>
      </c>
      <c r="R7939" s="10">
        <v>0.2688536465521995</v>
      </c>
      <c r="S7939" s="10">
        <v>0.012597927879514473</v>
      </c>
      <c r="T7939" s="10">
        <v>18.165975289026623</v>
      </c>
      <c r="U7939" s="11">
        <v>0.3573588010497101</v>
      </c>
      <c r="V7939" s="11">
        <v>0.05248811407774725</v>
      </c>
      <c r="W7939" s="11">
        <v>0.049004614505200765</v>
      </c>
      <c r="X7939" s="11">
        <v>0.006930989815876553</v>
      </c>
      <c r="Y7939" s="11">
        <v>0.3124852917669756</v>
      </c>
      <c r="Z7939" s="11">
        <v>0.22173218878448991</v>
      </c>
    </row>
    <row r="7940" ht="22.5" customHeight="1">
      <c r="Q7940" s="9" t="s">
        <v>7978</v>
      </c>
      <c r="R7940" s="10">
        <v>0.4501116463261846</v>
      </c>
      <c r="S7940" s="10">
        <v>0.022577648306657427</v>
      </c>
      <c r="T7940" s="10">
        <v>18.16449794752343</v>
      </c>
      <c r="U7940" s="11">
        <v>0.3102282364138295</v>
      </c>
      <c r="V7940" s="11">
        <v>0.20280369700526432</v>
      </c>
      <c r="W7940" s="11">
        <v>0.006807841083467805</v>
      </c>
      <c r="X7940" s="11">
        <v>0.2656614460087302</v>
      </c>
      <c r="Y7940" s="11">
        <v>0.11950878096838748</v>
      </c>
      <c r="Z7940" s="11">
        <v>0.09498999852032064</v>
      </c>
    </row>
    <row r="7941" ht="22.5" customHeight="1">
      <c r="Q7941" s="9" t="s">
        <v>7979</v>
      </c>
      <c r="R7941" s="10">
        <v>0.522331348251574</v>
      </c>
      <c r="S7941" s="10">
        <v>0.02219365560939702</v>
      </c>
      <c r="T7941" s="10">
        <v>18.164346179038624</v>
      </c>
      <c r="U7941" s="11">
        <v>0.16032953046775403</v>
      </c>
      <c r="V7941" s="11">
        <v>0.03656070121056694</v>
      </c>
      <c r="W7941" s="11">
        <v>0.1898596349793766</v>
      </c>
      <c r="X7941" s="11">
        <v>0.26084068431906315</v>
      </c>
      <c r="Y7941" s="11">
        <v>0.05259337878908943</v>
      </c>
      <c r="Z7941" s="11">
        <v>0.29981607023414986</v>
      </c>
    </row>
    <row r="7942" ht="22.5" customHeight="1">
      <c r="Q7942" s="9" t="s">
        <v>7980</v>
      </c>
      <c r="R7942" s="10">
        <v>0.5186620993228782</v>
      </c>
      <c r="S7942" s="10">
        <v>0.026352108092338882</v>
      </c>
      <c r="T7942" s="10">
        <v>18.164091375370287</v>
      </c>
      <c r="U7942" s="11">
        <v>0.3645710034732658</v>
      </c>
      <c r="V7942" s="11">
        <v>0.05427626524100101</v>
      </c>
      <c r="W7942" s="11">
        <v>0.22178648040806614</v>
      </c>
      <c r="X7942" s="11">
        <v>0.12298913516216574</v>
      </c>
      <c r="Y7942" s="11">
        <v>0.2223202459828007</v>
      </c>
      <c r="Z7942" s="11">
        <v>0.014056869732700566</v>
      </c>
    </row>
    <row r="7943" ht="22.5" customHeight="1">
      <c r="Q7943" s="9" t="s">
        <v>7981</v>
      </c>
      <c r="R7943" s="10">
        <v>0.5232325890435986</v>
      </c>
      <c r="S7943" s="10">
        <v>0.026604394378293733</v>
      </c>
      <c r="T7943" s="10">
        <v>18.16363801304432</v>
      </c>
      <c r="U7943" s="11">
        <v>0.2376182923002391</v>
      </c>
      <c r="V7943" s="11">
        <v>0.05322174002681663</v>
      </c>
      <c r="W7943" s="11">
        <v>0.22830672137634886</v>
      </c>
      <c r="X7943" s="11">
        <v>0.17651395511601287</v>
      </c>
      <c r="Y7943" s="11">
        <v>0.19086353656379298</v>
      </c>
      <c r="Z7943" s="11">
        <v>0.11347575461678965</v>
      </c>
    </row>
    <row r="7944" ht="22.5" customHeight="1">
      <c r="Q7944" s="9" t="s">
        <v>7982</v>
      </c>
      <c r="R7944" s="10">
        <v>0.6036198759754441</v>
      </c>
      <c r="S7944" s="10">
        <v>0.03103018911973142</v>
      </c>
      <c r="T7944" s="10">
        <v>18.163597836954544</v>
      </c>
      <c r="U7944" s="11">
        <v>0.09726248800727383</v>
      </c>
      <c r="V7944" s="11">
        <v>0.28748781324520617</v>
      </c>
      <c r="W7944" s="11">
        <v>0.05515478083486968</v>
      </c>
      <c r="X7944" s="11">
        <v>0.07232102272945568</v>
      </c>
      <c r="Y7944" s="11">
        <v>0.30021012685739906</v>
      </c>
      <c r="Z7944" s="11">
        <v>0.18756376832579547</v>
      </c>
    </row>
    <row r="7945" ht="22.5" customHeight="1">
      <c r="Q7945" s="9" t="s">
        <v>7983</v>
      </c>
      <c r="R7945" s="10">
        <v>0.7869040556203903</v>
      </c>
      <c r="S7945" s="10">
        <v>0.04112366523662603</v>
      </c>
      <c r="T7945" s="10">
        <v>18.16239022768754</v>
      </c>
      <c r="U7945" s="11">
        <v>0.05029213170856415</v>
      </c>
      <c r="V7945" s="11">
        <v>0.11874098683610752</v>
      </c>
      <c r="W7945" s="11">
        <v>0.3582363468626546</v>
      </c>
      <c r="X7945" s="11">
        <v>0.2895409430921133</v>
      </c>
      <c r="Y7945" s="11">
        <v>0.06167581599456385</v>
      </c>
      <c r="Z7945" s="11">
        <v>0.12151377550599644</v>
      </c>
    </row>
    <row r="7946" ht="22.5" customHeight="1">
      <c r="Q7946" s="9" t="s">
        <v>7984</v>
      </c>
      <c r="R7946" s="10">
        <v>0.4762158319524364</v>
      </c>
      <c r="S7946" s="10">
        <v>0.024018120622553568</v>
      </c>
      <c r="T7946" s="10">
        <v>18.161946923641466</v>
      </c>
      <c r="U7946" s="11">
        <v>0.014473740095446575</v>
      </c>
      <c r="V7946" s="11">
        <v>0.0422405588806316</v>
      </c>
      <c r="W7946" s="11">
        <v>0.19825162297278004</v>
      </c>
      <c r="X7946" s="11">
        <v>0.21840972660949803</v>
      </c>
      <c r="Y7946" s="11">
        <v>0.37503478116569666</v>
      </c>
      <c r="Z7946" s="11">
        <v>0.15158957027594702</v>
      </c>
    </row>
    <row r="7947" ht="22.5" customHeight="1">
      <c r="Q7947" s="9" t="s">
        <v>7985</v>
      </c>
      <c r="R7947" s="10">
        <v>0.522331348251574</v>
      </c>
      <c r="S7947" s="10">
        <v>0.015138756135070338</v>
      </c>
      <c r="T7947" s="10">
        <v>18.15994050213282</v>
      </c>
      <c r="U7947" s="11">
        <v>0.2272523348057638</v>
      </c>
      <c r="V7947" s="11">
        <v>0.011886018094111465</v>
      </c>
      <c r="W7947" s="11">
        <v>0.11415495425356954</v>
      </c>
      <c r="X7947" s="11">
        <v>0.1902997001444619</v>
      </c>
      <c r="Y7947" s="11">
        <v>0.22984929872628573</v>
      </c>
      <c r="Z7947" s="11">
        <v>0.2265576939758076</v>
      </c>
    </row>
    <row r="7948" ht="22.5" customHeight="1">
      <c r="Q7948" s="9" t="s">
        <v>7986</v>
      </c>
      <c r="R7948" s="10">
        <v>0.6628061012926735</v>
      </c>
      <c r="S7948" s="10">
        <v>0.03429602096893069</v>
      </c>
      <c r="T7948" s="10">
        <v>18.159718932318224</v>
      </c>
      <c r="U7948" s="11">
        <v>0.11086024128662905</v>
      </c>
      <c r="V7948" s="11">
        <v>0.32203965977261834</v>
      </c>
      <c r="W7948" s="11">
        <v>0.07660904237005815</v>
      </c>
      <c r="X7948" s="11">
        <v>0.06713706687666181</v>
      </c>
      <c r="Y7948" s="11">
        <v>0.10650813963682537</v>
      </c>
      <c r="Z7948" s="11">
        <v>0.31684585005720733</v>
      </c>
    </row>
    <row r="7949" ht="22.5" customHeight="1">
      <c r="Q7949" s="9" t="s">
        <v>7987</v>
      </c>
      <c r="R7949" s="10">
        <v>0.3862318851044447</v>
      </c>
      <c r="S7949" s="10">
        <v>0.019067077151457848</v>
      </c>
      <c r="T7949" s="10">
        <v>18.158624017419065</v>
      </c>
      <c r="U7949" s="11">
        <v>0.20490731899921338</v>
      </c>
      <c r="V7949" s="11">
        <v>0.16593200249806367</v>
      </c>
      <c r="W7949" s="11">
        <v>0.020443836986523474</v>
      </c>
      <c r="X7949" s="11">
        <v>0.05880465232843091</v>
      </c>
      <c r="Y7949" s="11">
        <v>0.27523951156345056</v>
      </c>
      <c r="Z7949" s="11">
        <v>0.2746726776243181</v>
      </c>
    </row>
    <row r="7950" ht="22.5" customHeight="1">
      <c r="Q7950" s="9" t="s">
        <v>7988</v>
      </c>
      <c r="R7950" s="10">
        <v>0.4846057925624465</v>
      </c>
      <c r="S7950" s="10">
        <v>0.02448936754276216</v>
      </c>
      <c r="T7950" s="10">
        <v>18.15505409790993</v>
      </c>
      <c r="U7950" s="11">
        <v>0.22829311853444614</v>
      </c>
      <c r="V7950" s="11">
        <v>0.22669428603986644</v>
      </c>
      <c r="W7950" s="11">
        <v>0.020666151773476405</v>
      </c>
      <c r="X7950" s="11">
        <v>0.2038172077378546</v>
      </c>
      <c r="Y7950" s="11">
        <v>0.10840970317960626</v>
      </c>
      <c r="Z7950" s="11">
        <v>0.2121195327347502</v>
      </c>
    </row>
    <row r="7951" ht="22.5" customHeight="1">
      <c r="Q7951" s="9" t="s">
        <v>7989</v>
      </c>
      <c r="R7951" s="10">
        <v>0.23850049198694317</v>
      </c>
      <c r="S7951" s="10">
        <v>0.010934060524483336</v>
      </c>
      <c r="T7951" s="10">
        <v>18.154325334349917</v>
      </c>
      <c r="U7951" s="11">
        <v>0.30992932571812454</v>
      </c>
      <c r="V7951" s="11">
        <v>0.053362930845310914</v>
      </c>
      <c r="W7951" s="11">
        <v>0.019112351863885633</v>
      </c>
      <c r="X7951" s="11">
        <v>0.09679994286224029</v>
      </c>
      <c r="Y7951" s="11">
        <v>0.2740382042052698</v>
      </c>
      <c r="Z7951" s="11">
        <v>0.2467572445051688</v>
      </c>
    </row>
    <row r="7952" ht="22.5" customHeight="1">
      <c r="Q7952" s="9" t="s">
        <v>7990</v>
      </c>
      <c r="R7952" s="10">
        <v>0.3808413034949871</v>
      </c>
      <c r="S7952" s="10">
        <v>0.018774728159437155</v>
      </c>
      <c r="T7952" s="10">
        <v>18.15426037599711</v>
      </c>
      <c r="U7952" s="11">
        <v>0.17192022685916908</v>
      </c>
      <c r="V7952" s="11">
        <v>0.16488588512309288</v>
      </c>
      <c r="W7952" s="11">
        <v>0.007066964196361283</v>
      </c>
      <c r="X7952" s="11">
        <v>0.16496261496131642</v>
      </c>
      <c r="Y7952" s="11">
        <v>0.24937721987160338</v>
      </c>
      <c r="Z7952" s="11">
        <v>0.24178708898845697</v>
      </c>
    </row>
    <row r="7953" ht="22.5" customHeight="1">
      <c r="Q7953" s="9" t="s">
        <v>7991</v>
      </c>
      <c r="R7953" s="10">
        <v>0.6807837867628252</v>
      </c>
      <c r="S7953" s="10">
        <v>0.03530257768713183</v>
      </c>
      <c r="T7953" s="10">
        <v>18.15118976415135</v>
      </c>
      <c r="U7953" s="11">
        <v>0.07545032764615141</v>
      </c>
      <c r="V7953" s="11">
        <v>0.12274025980378357</v>
      </c>
      <c r="W7953" s="11">
        <v>0.3010882866435117</v>
      </c>
      <c r="X7953" s="11">
        <v>0.05685836706874432</v>
      </c>
      <c r="Y7953" s="11">
        <v>0.12367585078634485</v>
      </c>
      <c r="Z7953" s="11">
        <v>0.3201869080514642</v>
      </c>
    </row>
    <row r="7954" ht="22.5" customHeight="1">
      <c r="Q7954" s="9" t="s">
        <v>7992</v>
      </c>
      <c r="R7954" s="10">
        <v>0.6284458119739782</v>
      </c>
      <c r="S7954" s="10">
        <v>0.03242031973604575</v>
      </c>
      <c r="T7954" s="10">
        <v>18.15052463285021</v>
      </c>
      <c r="U7954" s="11">
        <v>0.177436242769401</v>
      </c>
      <c r="V7954" s="11">
        <v>0.1066683682239753</v>
      </c>
      <c r="W7954" s="11">
        <v>0.27489999114956937</v>
      </c>
      <c r="X7954" s="11">
        <v>0.017085937307443136</v>
      </c>
      <c r="Y7954" s="11">
        <v>0.1822653873566406</v>
      </c>
      <c r="Z7954" s="11">
        <v>0.24164407319297052</v>
      </c>
    </row>
    <row r="7955" ht="22.5" customHeight="1">
      <c r="Q7955" s="9" t="s">
        <v>7993</v>
      </c>
      <c r="R7955" s="10">
        <v>0.4778366876298086</v>
      </c>
      <c r="S7955" s="10">
        <v>0.024122929051047216</v>
      </c>
      <c r="T7955" s="10">
        <v>18.150229049850868</v>
      </c>
      <c r="U7955" s="11">
        <v>0.20426798192928514</v>
      </c>
      <c r="V7955" s="11">
        <v>0.2160449612145505</v>
      </c>
      <c r="W7955" s="11">
        <v>0.004977156286347697</v>
      </c>
      <c r="X7955" s="11">
        <v>0.30703288487815283</v>
      </c>
      <c r="Y7955" s="11">
        <v>0.23665632204476153</v>
      </c>
      <c r="Z7955" s="11">
        <v>0.03102069364690218</v>
      </c>
    </row>
    <row r="7956" ht="22.5" customHeight="1">
      <c r="Q7956" s="9" t="s">
        <v>7994</v>
      </c>
      <c r="R7956" s="10">
        <v>0.5144032320407398</v>
      </c>
      <c r="S7956" s="10">
        <v>0.026137810570702264</v>
      </c>
      <c r="T7956" s="10">
        <v>18.150075376722484</v>
      </c>
      <c r="U7956" s="11">
        <v>0.19308048823054744</v>
      </c>
      <c r="V7956" s="11">
        <v>0.24054615616575595</v>
      </c>
      <c r="W7956" s="11">
        <v>0.020890746635491224</v>
      </c>
      <c r="X7956" s="11">
        <v>0.20792900524237654</v>
      </c>
      <c r="Y7956" s="11">
        <v>0.22509129328933972</v>
      </c>
      <c r="Z7956" s="11">
        <v>0.11246231043648916</v>
      </c>
    </row>
    <row r="7957" ht="22.5" customHeight="1">
      <c r="Q7957" s="9" t="s">
        <v>7995</v>
      </c>
      <c r="R7957" s="10">
        <v>0.2859457470471512</v>
      </c>
      <c r="S7957" s="10">
        <v>0.013550870349700291</v>
      </c>
      <c r="T7957" s="10">
        <v>18.14981183497124</v>
      </c>
      <c r="U7957" s="11">
        <v>0.36834748766773345</v>
      </c>
      <c r="V7957" s="11">
        <v>0.09633894493877856</v>
      </c>
      <c r="W7957" s="11">
        <v>0.0322054097050476</v>
      </c>
      <c r="X7957" s="11">
        <v>0.017158848428907483</v>
      </c>
      <c r="Y7957" s="11">
        <v>0.058347783774423366</v>
      </c>
      <c r="Z7957" s="11">
        <v>0.42760152548510966</v>
      </c>
    </row>
    <row r="7958" ht="22.5" customHeight="1">
      <c r="Q7958" s="9" t="s">
        <v>7996</v>
      </c>
      <c r="R7958" s="10">
        <v>0.6546868378660762</v>
      </c>
      <c r="S7958" s="10">
        <v>0.0338690718773612</v>
      </c>
      <c r="T7958" s="10">
        <v>18.148912969680335</v>
      </c>
      <c r="U7958" s="11">
        <v>0.19008526164850356</v>
      </c>
      <c r="V7958" s="11">
        <v>0.3192734347251416</v>
      </c>
      <c r="W7958" s="11">
        <v>0.06371397632670221</v>
      </c>
      <c r="X7958" s="11">
        <v>0.15109729729629987</v>
      </c>
      <c r="Y7958" s="11">
        <v>0.028514982543894857</v>
      </c>
      <c r="Z7958" s="11">
        <v>0.24731504745945795</v>
      </c>
    </row>
    <row r="7959" ht="22.5" customHeight="1">
      <c r="Q7959" s="9" t="s">
        <v>7997</v>
      </c>
      <c r="R7959" s="10">
        <v>0.4758889774024719</v>
      </c>
      <c r="S7959" s="10">
        <v>0.024018281515545272</v>
      </c>
      <c r="T7959" s="10">
        <v>18.14821668737428</v>
      </c>
      <c r="U7959" s="11">
        <v>0.2086052045760785</v>
      </c>
      <c r="V7959" s="11">
        <v>0.047079106047230174</v>
      </c>
      <c r="W7959" s="11">
        <v>0.20589298885027596</v>
      </c>
      <c r="X7959" s="11">
        <v>0.17264439859775885</v>
      </c>
      <c r="Y7959" s="11">
        <v>0.13747096869769204</v>
      </c>
      <c r="Z7959" s="11">
        <v>0.22830733323096453</v>
      </c>
    </row>
    <row r="7960" ht="22.5" customHeight="1">
      <c r="Q7960" s="9" t="s">
        <v>7998</v>
      </c>
      <c r="R7960" s="10">
        <v>0.5173917930441114</v>
      </c>
      <c r="S7960" s="10">
        <v>0.02630565497379098</v>
      </c>
      <c r="T7960" s="10">
        <v>18.1478770826938</v>
      </c>
      <c r="U7960" s="11">
        <v>0.21495236893350095</v>
      </c>
      <c r="V7960" s="11">
        <v>0.0807058945043605</v>
      </c>
      <c r="W7960" s="11">
        <v>0.22256378838576302</v>
      </c>
      <c r="X7960" s="11">
        <v>0.05085194195008194</v>
      </c>
      <c r="Y7960" s="11">
        <v>0.06279512845593764</v>
      </c>
      <c r="Z7960" s="11">
        <v>0.368130877770356</v>
      </c>
    </row>
    <row r="7961" ht="22.5" customHeight="1">
      <c r="Q7961" s="9" t="s">
        <v>7999</v>
      </c>
      <c r="R7961" s="10">
        <v>0.7011207262471636</v>
      </c>
      <c r="S7961" s="10">
        <v>0.03643481581696175</v>
      </c>
      <c r="T7961" s="10">
        <v>18.145301723726224</v>
      </c>
      <c r="U7961" s="11">
        <v>0.06370182889271071</v>
      </c>
      <c r="V7961" s="11">
        <v>0.33953806127285496</v>
      </c>
      <c r="W7961" s="11">
        <v>0.06258561008029337</v>
      </c>
      <c r="X7961" s="11">
        <v>0.1509330409903118</v>
      </c>
      <c r="Y7961" s="11">
        <v>0.31455336997362404</v>
      </c>
      <c r="Z7961" s="11">
        <v>0.068688088790205</v>
      </c>
    </row>
    <row r="7962" ht="22.5" customHeight="1">
      <c r="Q7962" s="9" t="s">
        <v>8000</v>
      </c>
      <c r="R7962" s="10">
        <v>0.8755611477479978</v>
      </c>
      <c r="S7962" s="10">
        <v>0.04605183320154968</v>
      </c>
      <c r="T7962" s="10">
        <v>18.14392804062967</v>
      </c>
      <c r="U7962" s="11">
        <v>0.08815638991465262</v>
      </c>
      <c r="V7962" s="11">
        <v>0.1719119064761336</v>
      </c>
      <c r="W7962" s="11">
        <v>0.38987966421469444</v>
      </c>
      <c r="X7962" s="11">
        <v>0.028213759318215355</v>
      </c>
      <c r="Y7962" s="11">
        <v>0.20796778650447328</v>
      </c>
      <c r="Z7962" s="11">
        <v>0.11387049357183064</v>
      </c>
    </row>
    <row r="7963" ht="22.5" customHeight="1">
      <c r="Q7963" s="9" t="s">
        <v>8001</v>
      </c>
      <c r="R7963" s="10">
        <v>0.8117305385218213</v>
      </c>
      <c r="S7963" s="10">
        <v>0.042536498413680804</v>
      </c>
      <c r="T7963" s="10">
        <v>18.142784838951705</v>
      </c>
      <c r="U7963" s="11">
        <v>0.02192723428778465</v>
      </c>
      <c r="V7963" s="11">
        <v>0.39288458063694587</v>
      </c>
      <c r="W7963" s="11">
        <v>0.09273460999549288</v>
      </c>
      <c r="X7963" s="11">
        <v>0.08628207060277922</v>
      </c>
      <c r="Y7963" s="11">
        <v>0.39955279289834483</v>
      </c>
      <c r="Z7963" s="11">
        <v>0.006618711578652601</v>
      </c>
    </row>
    <row r="7964" ht="22.5" customHeight="1">
      <c r="Q7964" s="9" t="s">
        <v>8002</v>
      </c>
      <c r="R7964" s="10">
        <v>0.6735518502442636</v>
      </c>
      <c r="S7964" s="10">
        <v>0.03492134864586108</v>
      </c>
      <c r="T7964" s="10">
        <v>18.142250365790293</v>
      </c>
      <c r="U7964" s="11">
        <v>0.1338892752545476</v>
      </c>
      <c r="V7964" s="11">
        <v>0.11135272312431761</v>
      </c>
      <c r="W7964" s="11">
        <v>0.30153472872844145</v>
      </c>
      <c r="X7964" s="11">
        <v>0.1415976462946283</v>
      </c>
      <c r="Y7964" s="11">
        <v>0.009994599540456768</v>
      </c>
      <c r="Z7964" s="11">
        <v>0.3016310270576084</v>
      </c>
    </row>
    <row r="7965" ht="22.5" customHeight="1">
      <c r="Q7965" s="9" t="s">
        <v>8003</v>
      </c>
      <c r="R7965" s="10">
        <v>0.9118084163423601</v>
      </c>
      <c r="S7965" s="10">
        <v>0.04805833523072256</v>
      </c>
      <c r="T7965" s="10">
        <v>18.140628720427117</v>
      </c>
      <c r="U7965" s="11">
        <v>0.034493208813192365</v>
      </c>
      <c r="V7965" s="11">
        <v>0.17062435668423767</v>
      </c>
      <c r="W7965" s="11">
        <v>0.41298093510147094</v>
      </c>
      <c r="X7965" s="11">
        <v>0.17971881827849726</v>
      </c>
      <c r="Y7965" s="11">
        <v>0.038694125438890746</v>
      </c>
      <c r="Z7965" s="11">
        <v>0.16348855568371115</v>
      </c>
    </row>
    <row r="7966" ht="22.5" customHeight="1">
      <c r="Q7966" s="9" t="s">
        <v>8004</v>
      </c>
      <c r="R7966" s="10">
        <v>0.6164326183957375</v>
      </c>
      <c r="S7966" s="10">
        <v>0.03177599317226578</v>
      </c>
      <c r="T7966" s="10">
        <v>18.140506742645268</v>
      </c>
      <c r="U7966" s="11">
        <v>0.28194844278984454</v>
      </c>
      <c r="V7966" s="11">
        <v>0.06830075615792655</v>
      </c>
      <c r="W7966" s="11">
        <v>0.2772558857543408</v>
      </c>
      <c r="X7966" s="11">
        <v>0.2774620084903572</v>
      </c>
      <c r="Y7966" s="11">
        <v>0.02632448068355679</v>
      </c>
      <c r="Z7966" s="11">
        <v>0.0687084261239742</v>
      </c>
    </row>
    <row r="7967" ht="22.5" customHeight="1">
      <c r="Q7967" s="9" t="s">
        <v>8005</v>
      </c>
      <c r="R7967" s="10">
        <v>0.3563787956583664</v>
      </c>
      <c r="S7967" s="10">
        <v>0.017441246085652302</v>
      </c>
      <c r="T7967" s="10">
        <v>18.139689911182963</v>
      </c>
      <c r="U7967" s="11">
        <v>0.14233361588351856</v>
      </c>
      <c r="V7967" s="11">
        <v>0.15129193286383702</v>
      </c>
      <c r="W7967" s="11">
        <v>0.03207313906280563</v>
      </c>
      <c r="X7967" s="11">
        <v>0.012078497468420955</v>
      </c>
      <c r="Y7967" s="11">
        <v>0.1577918445886953</v>
      </c>
      <c r="Z7967" s="11">
        <v>0.5044309701327224</v>
      </c>
    </row>
    <row r="7968" ht="22.5" customHeight="1">
      <c r="Q7968" s="9" t="s">
        <v>8006</v>
      </c>
      <c r="R7968" s="10">
        <v>0.6654580691468185</v>
      </c>
      <c r="S7968" s="10">
        <v>0.03448040773631603</v>
      </c>
      <c r="T7968" s="10">
        <v>18.139520678813295</v>
      </c>
      <c r="U7968" s="11">
        <v>0.17308217766560155</v>
      </c>
      <c r="V7968" s="11">
        <v>0.08744173364210234</v>
      </c>
      <c r="W7968" s="11">
        <v>0.29957313367925564</v>
      </c>
      <c r="X7968" s="11">
        <v>0.1938400695085385</v>
      </c>
      <c r="Y7968" s="11">
        <v>0.17369600085236336</v>
      </c>
      <c r="Z7968" s="11">
        <v>0.07236688465213863</v>
      </c>
    </row>
    <row r="7969" ht="22.5" customHeight="1">
      <c r="Q7969" s="9" t="s">
        <v>8007</v>
      </c>
      <c r="R7969" s="10">
        <v>0.5298008495115117</v>
      </c>
      <c r="S7969" s="10">
        <v>0.027001882444099116</v>
      </c>
      <c r="T7969" s="10">
        <v>18.1395075149122</v>
      </c>
      <c r="U7969" s="11">
        <v>0.10668394400692438</v>
      </c>
      <c r="V7969" s="11">
        <v>0.25353323459030935</v>
      </c>
      <c r="W7969" s="11">
        <v>0.02923958819014585</v>
      </c>
      <c r="X7969" s="11">
        <v>0.2270149850462043</v>
      </c>
      <c r="Y7969" s="11">
        <v>0.10902874670307408</v>
      </c>
      <c r="Z7969" s="11">
        <v>0.2744995014633421</v>
      </c>
    </row>
    <row r="7970" ht="22.5" customHeight="1">
      <c r="Q7970" s="9" t="s">
        <v>8008</v>
      </c>
      <c r="R7970" s="10">
        <v>1.0774160215498965</v>
      </c>
      <c r="S7970" s="10">
        <v>0.05719236871460716</v>
      </c>
      <c r="T7970" s="10">
        <v>18.13906373989606</v>
      </c>
      <c r="U7970" s="11">
        <v>0.02702843755235914</v>
      </c>
      <c r="V7970" s="11">
        <v>0.5348970682009828</v>
      </c>
      <c r="W7970" s="11">
        <v>0.1498363880303036</v>
      </c>
      <c r="X7970" s="11">
        <v>0.2069442814464852</v>
      </c>
      <c r="Y7970" s="11">
        <v>0.03188859692321348</v>
      </c>
      <c r="Z7970" s="11">
        <v>0.049405227846655686</v>
      </c>
    </row>
    <row r="7971" ht="22.5" customHeight="1">
      <c r="Q7971" s="9" t="s">
        <v>8009</v>
      </c>
      <c r="R7971" s="10">
        <v>0.2278753099187293</v>
      </c>
      <c r="S7971" s="10">
        <v>0.010357640982315796</v>
      </c>
      <c r="T7971" s="10">
        <v>18.138812712228564</v>
      </c>
      <c r="U7971" s="11">
        <v>0.0900270121029757</v>
      </c>
      <c r="V7971" s="11">
        <v>0.04235390589644184</v>
      </c>
      <c r="W7971" s="11">
        <v>0.01826298526020667</v>
      </c>
      <c r="X7971" s="11">
        <v>0.17677471916170134</v>
      </c>
      <c r="Y7971" s="11">
        <v>0.3538112813897061</v>
      </c>
      <c r="Z7971" s="11">
        <v>0.31877009618896823</v>
      </c>
    </row>
    <row r="7972" ht="22.5" customHeight="1">
      <c r="Q7972" s="9" t="s">
        <v>8010</v>
      </c>
      <c r="R7972" s="10">
        <v>0.7152110251047779</v>
      </c>
      <c r="S7972" s="10">
        <v>0.03722476486391005</v>
      </c>
      <c r="T7972" s="10">
        <v>18.13875863483035</v>
      </c>
      <c r="U7972" s="11">
        <v>0.060443380436223056</v>
      </c>
      <c r="V7972" s="11">
        <v>0.0953241272938075</v>
      </c>
      <c r="W7972" s="11">
        <v>0.32210969557444147</v>
      </c>
      <c r="X7972" s="11">
        <v>0.23484269670137853</v>
      </c>
      <c r="Y7972" s="11">
        <v>0.26205105202102064</v>
      </c>
      <c r="Z7972" s="11">
        <v>0.025229047973128804</v>
      </c>
    </row>
    <row r="7973" ht="22.5" customHeight="1">
      <c r="Q7973" s="9" t="s">
        <v>8011</v>
      </c>
      <c r="R7973" s="10">
        <v>0.4352796615098104</v>
      </c>
      <c r="S7973" s="10">
        <v>0.021792337805544723</v>
      </c>
      <c r="T7973" s="10">
        <v>18.13846981617721</v>
      </c>
      <c r="U7973" s="11">
        <v>0.1703164793324119</v>
      </c>
      <c r="V7973" s="11">
        <v>0.19661668404927743</v>
      </c>
      <c r="W7973" s="11">
        <v>0.021073650432711383</v>
      </c>
      <c r="X7973" s="11">
        <v>0.10428767605249147</v>
      </c>
      <c r="Y7973" s="11">
        <v>0.2626862314449625</v>
      </c>
      <c r="Z7973" s="11">
        <v>0.24501927868814527</v>
      </c>
    </row>
    <row r="7974" ht="22.5" customHeight="1">
      <c r="Q7974" s="9" t="s">
        <v>8012</v>
      </c>
      <c r="R7974" s="10">
        <v>0.5990888029617306</v>
      </c>
      <c r="S7974" s="10">
        <v>0.030824210839917286</v>
      </c>
      <c r="T7974" s="10">
        <v>18.137976211793614</v>
      </c>
      <c r="U7974" s="11">
        <v>0.14105601677259016</v>
      </c>
      <c r="V7974" s="11">
        <v>0.2903021224264841</v>
      </c>
      <c r="W7974" s="11">
        <v>0.058327576165438544</v>
      </c>
      <c r="X7974" s="11">
        <v>0.1126717362000306</v>
      </c>
      <c r="Y7974" s="11">
        <v>0.0647727127150181</v>
      </c>
      <c r="Z7974" s="11">
        <v>0.3328698357204386</v>
      </c>
    </row>
    <row r="7975" ht="22.5" customHeight="1">
      <c r="Q7975" s="9" t="s">
        <v>8013</v>
      </c>
      <c r="R7975" s="10">
        <v>0.5878689962778384</v>
      </c>
      <c r="S7975" s="10">
        <v>0.03020610134016808</v>
      </c>
      <c r="T7975" s="10">
        <v>18.13769311398297</v>
      </c>
      <c r="U7975" s="11">
        <v>0.010361324510419422</v>
      </c>
      <c r="V7975" s="11">
        <v>0.08270771000711885</v>
      </c>
      <c r="W7975" s="11">
        <v>0.2561054550456634</v>
      </c>
      <c r="X7975" s="11">
        <v>0.11345243996284866</v>
      </c>
      <c r="Y7975" s="11">
        <v>0.32241583983060873</v>
      </c>
      <c r="Z7975" s="11">
        <v>0.214957230643341</v>
      </c>
    </row>
    <row r="7976" ht="22.5" customHeight="1">
      <c r="Q7976" s="9" t="s">
        <v>8014</v>
      </c>
      <c r="R7976" s="10">
        <v>0.7168667630252096</v>
      </c>
      <c r="S7976" s="10">
        <v>0.037319854336441624</v>
      </c>
      <c r="T7976" s="10">
        <v>18.13690795583495</v>
      </c>
      <c r="U7976" s="11">
        <v>0.3371505055211669</v>
      </c>
      <c r="V7976" s="11">
        <v>0.34959729753896784</v>
      </c>
      <c r="W7976" s="11">
        <v>0.0699201287969484</v>
      </c>
      <c r="X7976" s="11">
        <v>0.16436124095296256</v>
      </c>
      <c r="Y7976" s="11">
        <v>0.0010406597466184149</v>
      </c>
      <c r="Z7976" s="11">
        <v>0.07793016744333604</v>
      </c>
    </row>
    <row r="7977" ht="22.5" customHeight="1">
      <c r="Q7977" s="9" t="s">
        <v>8015</v>
      </c>
      <c r="R7977" s="10">
        <v>0.6249570454319432</v>
      </c>
      <c r="S7977" s="10">
        <v>0.03225379633303893</v>
      </c>
      <c r="T7977" s="10">
        <v>18.136068058219454</v>
      </c>
      <c r="U7977" s="11">
        <v>0.31249653196955557</v>
      </c>
      <c r="V7977" s="11">
        <v>0.10298519843438278</v>
      </c>
      <c r="W7977" s="11">
        <v>0.2726158974237679</v>
      </c>
      <c r="X7977" s="11">
        <v>0.0032707916348659848</v>
      </c>
      <c r="Y7977" s="11">
        <v>0.15614392037039873</v>
      </c>
      <c r="Z7977" s="11">
        <v>0.1524876601670288</v>
      </c>
    </row>
    <row r="7978" ht="22.5" customHeight="1">
      <c r="Q7978" s="9" t="s">
        <v>8016</v>
      </c>
      <c r="R7978" s="10">
        <v>0.4339732501726085</v>
      </c>
      <c r="S7978" s="10">
        <v>0.021725906683051556</v>
      </c>
      <c r="T7978" s="10">
        <v>18.13380016402023</v>
      </c>
      <c r="U7978" s="11">
        <v>0.24633729476213678</v>
      </c>
      <c r="V7978" s="11">
        <v>0.18913708287667078</v>
      </c>
      <c r="W7978" s="11">
        <v>2.56101094668692E-4</v>
      </c>
      <c r="X7978" s="11">
        <v>0.27853236376645146</v>
      </c>
      <c r="Y7978" s="11">
        <v>0.26652760055974634</v>
      </c>
      <c r="Z7978" s="11">
        <v>0.019209556940325948</v>
      </c>
    </row>
    <row r="7979" ht="22.5" customHeight="1">
      <c r="Q7979" s="9" t="s">
        <v>8017</v>
      </c>
      <c r="R7979" s="10">
        <v>0.5555877088124577</v>
      </c>
      <c r="S7979" s="10">
        <v>0.028432566971670018</v>
      </c>
      <c r="T7979" s="10">
        <v>18.133702430954795</v>
      </c>
      <c r="U7979" s="11">
        <v>0.2702068195660824</v>
      </c>
      <c r="V7979" s="11">
        <v>0.26551798590253883</v>
      </c>
      <c r="W7979" s="11">
        <v>0.038399701224648516</v>
      </c>
      <c r="X7979" s="11">
        <v>0.15211340441599452</v>
      </c>
      <c r="Y7979" s="11">
        <v>0.08684349060193639</v>
      </c>
      <c r="Z7979" s="11">
        <v>0.18691859828879934</v>
      </c>
    </row>
    <row r="7980" ht="22.5" customHeight="1">
      <c r="Q7980" s="9" t="s">
        <v>8018</v>
      </c>
      <c r="R7980" s="10">
        <v>0.32243516979614034</v>
      </c>
      <c r="S7980" s="10">
        <v>0.0155753356669881</v>
      </c>
      <c r="T7980" s="10">
        <v>18.13348847400838</v>
      </c>
      <c r="U7980" s="11">
        <v>0.2233017293725753</v>
      </c>
      <c r="V7980" s="11">
        <v>0.00578560865205262</v>
      </c>
      <c r="W7980" s="11">
        <v>0.12108436484929606</v>
      </c>
      <c r="X7980" s="11">
        <v>0.3008007546113677</v>
      </c>
      <c r="Y7980" s="11">
        <v>0.09943787321997971</v>
      </c>
      <c r="Z7980" s="11">
        <v>0.24958966929472873</v>
      </c>
    </row>
    <row r="7981" ht="22.5" customHeight="1">
      <c r="Q7981" s="9" t="s">
        <v>8019</v>
      </c>
      <c r="R7981" s="10">
        <v>0.7612229110762276</v>
      </c>
      <c r="S7981" s="10">
        <v>0.039773720546718454</v>
      </c>
      <c r="T7981" s="10">
        <v>18.13315176861754</v>
      </c>
      <c r="U7981" s="11">
        <v>0.14451729653545137</v>
      </c>
      <c r="V7981" s="11">
        <v>0.3752928588493007</v>
      </c>
      <c r="W7981" s="11">
        <v>0.06844206226672865</v>
      </c>
      <c r="X7981" s="11">
        <v>0.24549652553306983</v>
      </c>
      <c r="Y7981" s="11">
        <v>0.09383328701928727</v>
      </c>
      <c r="Z7981" s="11">
        <v>0.0724179697961621</v>
      </c>
    </row>
    <row r="7982" ht="22.5" customHeight="1">
      <c r="Q7982" s="9" t="s">
        <v>8020</v>
      </c>
      <c r="R7982" s="10">
        <v>0.4857567473161153</v>
      </c>
      <c r="S7982" s="10">
        <v>0.024583227082263997</v>
      </c>
      <c r="T7982" s="10">
        <v>18.13255622723814</v>
      </c>
      <c r="U7982" s="11">
        <v>0.08759002378746109</v>
      </c>
      <c r="V7982" s="11">
        <v>0.041110644932166505</v>
      </c>
      <c r="W7982" s="11">
        <v>0.21214872368505988</v>
      </c>
      <c r="X7982" s="11">
        <v>0.3071418373163197</v>
      </c>
      <c r="Y7982" s="11">
        <v>0.08110375092544769</v>
      </c>
      <c r="Z7982" s="11">
        <v>0.2709050193535453</v>
      </c>
    </row>
    <row r="7983" ht="22.5" customHeight="1">
      <c r="Q7983" s="9" t="s">
        <v>8021</v>
      </c>
      <c r="R7983" s="10">
        <v>0.5673732263958826</v>
      </c>
      <c r="S7983" s="10">
        <v>0.029085203259156384</v>
      </c>
      <c r="T7983" s="10">
        <v>18.132011033131043</v>
      </c>
      <c r="U7983" s="11">
        <v>0.05044784605300719</v>
      </c>
      <c r="V7983" s="11">
        <v>0.05416415939257548</v>
      </c>
      <c r="W7983" s="11">
        <v>0.24953936519326483</v>
      </c>
      <c r="X7983" s="11">
        <v>0.2795672730132073</v>
      </c>
      <c r="Y7983" s="11">
        <v>0.2821021233192345</v>
      </c>
      <c r="Z7983" s="11">
        <v>0.08417923302871072</v>
      </c>
    </row>
    <row r="7984" ht="22.5" customHeight="1">
      <c r="Q7984" s="9" t="s">
        <v>8022</v>
      </c>
      <c r="R7984" s="10">
        <v>0.6049604598298608</v>
      </c>
      <c r="S7984" s="10">
        <v>0.03116038781583638</v>
      </c>
      <c r="T7984" s="10">
        <v>18.130726201768763</v>
      </c>
      <c r="U7984" s="11">
        <v>0.21210789607442196</v>
      </c>
      <c r="V7984" s="11">
        <v>0.29065376073807464</v>
      </c>
      <c r="W7984" s="11">
        <v>0.043581404939387024</v>
      </c>
      <c r="X7984" s="11">
        <v>0.14609709556937445</v>
      </c>
      <c r="Y7984" s="11">
        <v>0.2064207196332416</v>
      </c>
      <c r="Z7984" s="11">
        <v>0.10113912304550038</v>
      </c>
    </row>
    <row r="7985" ht="22.5" customHeight="1">
      <c r="Q7985" s="9" t="s">
        <v>8023</v>
      </c>
      <c r="R7985" s="10">
        <v>0.6530398639305893</v>
      </c>
      <c r="S7985" s="10">
        <v>0.033812933415934575</v>
      </c>
      <c r="T7985" s="10">
        <v>18.130336590131222</v>
      </c>
      <c r="U7985" s="11">
        <v>0.2670818677821181</v>
      </c>
      <c r="V7985" s="11">
        <v>0.08816196485489076</v>
      </c>
      <c r="W7985" s="11">
        <v>0.29408269415962024</v>
      </c>
      <c r="X7985" s="11">
        <v>0.17929386598243852</v>
      </c>
      <c r="Y7985" s="11">
        <v>0.07023924948908274</v>
      </c>
      <c r="Z7985" s="11">
        <v>0.10114035773184964</v>
      </c>
    </row>
    <row r="7986" ht="22.5" customHeight="1">
      <c r="Q7986" s="9" t="s">
        <v>8024</v>
      </c>
      <c r="R7986" s="10">
        <v>0.522331348251574</v>
      </c>
      <c r="S7986" s="10">
        <v>0.030847075888307384</v>
      </c>
      <c r="T7986" s="10">
        <v>18.12902063079791</v>
      </c>
      <c r="U7986" s="11">
        <v>0.15861994299280718</v>
      </c>
      <c r="V7986" s="11">
        <v>0.10033655362274178</v>
      </c>
      <c r="W7986" s="11">
        <v>0.26201411578924944</v>
      </c>
      <c r="X7986" s="11">
        <v>0.026414425732605534</v>
      </c>
      <c r="Y7986" s="11">
        <v>0.15208956694087072</v>
      </c>
      <c r="Z7986" s="11">
        <v>0.3005253949217254</v>
      </c>
    </row>
    <row r="7987" ht="22.5" customHeight="1">
      <c r="Q7987" s="9" t="s">
        <v>8025</v>
      </c>
      <c r="R7987" s="10">
        <v>0.23516195504152135</v>
      </c>
      <c r="S7987" s="10">
        <v>0.010765792409031513</v>
      </c>
      <c r="T7987" s="10">
        <v>18.127969370633448</v>
      </c>
      <c r="U7987" s="11">
        <v>0.2938740420497786</v>
      </c>
      <c r="V7987" s="11">
        <v>0.06642112533306287</v>
      </c>
      <c r="W7987" s="11">
        <v>0.002536059966393954</v>
      </c>
      <c r="X7987" s="11">
        <v>0.1764960071627023</v>
      </c>
      <c r="Y7987" s="11">
        <v>0.14605521132697197</v>
      </c>
      <c r="Z7987" s="11">
        <v>0.3146175541610903</v>
      </c>
    </row>
    <row r="7988" ht="22.5" customHeight="1">
      <c r="Q7988" s="9" t="s">
        <v>8026</v>
      </c>
      <c r="R7988" s="10">
        <v>0.3784816179587963</v>
      </c>
      <c r="S7988" s="10">
        <v>0.018673045648727737</v>
      </c>
      <c r="T7988" s="10">
        <v>18.126749343745022</v>
      </c>
      <c r="U7988" s="11">
        <v>0.25619000121718655</v>
      </c>
      <c r="V7988" s="11">
        <v>0.16564620283939818</v>
      </c>
      <c r="W7988" s="11">
        <v>0.004631964440195805</v>
      </c>
      <c r="X7988" s="11">
        <v>0.2147069938697111</v>
      </c>
      <c r="Y7988" s="11">
        <v>0.09462095292309268</v>
      </c>
      <c r="Z7988" s="11">
        <v>0.26420388471041567</v>
      </c>
    </row>
    <row r="7989" ht="22.5" customHeight="1">
      <c r="Q7989" s="9" t="s">
        <v>8027</v>
      </c>
      <c r="R7989" s="10">
        <v>0.5196142094695444</v>
      </c>
      <c r="S7989" s="10">
        <v>0.026460990398157552</v>
      </c>
      <c r="T7989" s="10">
        <v>18.125330996792144</v>
      </c>
      <c r="U7989" s="11">
        <v>0.04623590811188466</v>
      </c>
      <c r="V7989" s="11">
        <v>0.05592795291813267</v>
      </c>
      <c r="W7989" s="11">
        <v>0.2288080085629664</v>
      </c>
      <c r="X7989" s="11">
        <v>0.22821771706157967</v>
      </c>
      <c r="Y7989" s="11">
        <v>0.15648540401622738</v>
      </c>
      <c r="Z7989" s="11">
        <v>0.2843250093292092</v>
      </c>
    </row>
    <row r="7990" ht="22.5" customHeight="1">
      <c r="Q7990" s="9" t="s">
        <v>8028</v>
      </c>
      <c r="R7990" s="10">
        <v>0.36566905641304476</v>
      </c>
      <c r="S7990" s="10">
        <v>0.01796959933195268</v>
      </c>
      <c r="T7990" s="10">
        <v>18.12333432687927</v>
      </c>
      <c r="U7990" s="11">
        <v>0.25229494586255546</v>
      </c>
      <c r="V7990" s="11">
        <v>0.1536443172034413</v>
      </c>
      <c r="W7990" s="11">
        <v>0.021293318392954355</v>
      </c>
      <c r="X7990" s="11">
        <v>0.03448046694488436</v>
      </c>
      <c r="Y7990" s="11">
        <v>0.24221298052927775</v>
      </c>
      <c r="Z7990" s="11">
        <v>0.2960739710668868</v>
      </c>
    </row>
    <row r="7991" ht="22.5" customHeight="1">
      <c r="Q7991" s="9" t="s">
        <v>8029</v>
      </c>
      <c r="R7991" s="10">
        <v>0.3819668161409223</v>
      </c>
      <c r="S7991" s="10">
        <v>0.018869483159764354</v>
      </c>
      <c r="T7991" s="10">
        <v>18.122744181467706</v>
      </c>
      <c r="U7991" s="11">
        <v>0.1129529487494856</v>
      </c>
      <c r="V7991" s="11">
        <v>0.16307223178364658</v>
      </c>
      <c r="W7991" s="11">
        <v>0.018049598845511522</v>
      </c>
      <c r="X7991" s="11">
        <v>0.0820258041735897</v>
      </c>
      <c r="Y7991" s="11">
        <v>0.3318999009351397</v>
      </c>
      <c r="Z7991" s="11">
        <v>0.2919995155126269</v>
      </c>
    </row>
    <row r="7992" ht="22.5" customHeight="1">
      <c r="Q7992" s="9" t="s">
        <v>8030</v>
      </c>
      <c r="R7992" s="10">
        <v>0.4407841605304588</v>
      </c>
      <c r="S7992" s="10">
        <v>0.02211558058580577</v>
      </c>
      <c r="T7992" s="10">
        <v>18.122253629085833</v>
      </c>
      <c r="U7992" s="11">
        <v>0.272699705129831</v>
      </c>
      <c r="V7992" s="11">
        <v>0.04291957727756826</v>
      </c>
      <c r="W7992" s="11">
        <v>0.18789911929202083</v>
      </c>
      <c r="X7992" s="11">
        <v>0.16696731408201357</v>
      </c>
      <c r="Y7992" s="11">
        <v>0.052566203679223794</v>
      </c>
      <c r="Z7992" s="11">
        <v>0.27694808053934256</v>
      </c>
    </row>
    <row r="7993" ht="22.5" customHeight="1">
      <c r="Q7993" s="9" t="s">
        <v>8031</v>
      </c>
      <c r="R7993" s="10">
        <v>0.5256475066938456</v>
      </c>
      <c r="S7993" s="10">
        <v>0.02679998640731457</v>
      </c>
      <c r="T7993" s="10">
        <v>18.121184813783973</v>
      </c>
      <c r="U7993" s="11">
        <v>0.23049720396059317</v>
      </c>
      <c r="V7993" s="11">
        <v>0.24902544065539808</v>
      </c>
      <c r="W7993" s="11">
        <v>0.022181419169936663</v>
      </c>
      <c r="X7993" s="11">
        <v>0.2391513668270109</v>
      </c>
      <c r="Y7993" s="11">
        <v>0.1142144456716549</v>
      </c>
      <c r="Z7993" s="11">
        <v>0.14493012371540615</v>
      </c>
    </row>
    <row r="7994" ht="22.5" customHeight="1">
      <c r="Q7994" s="9" t="s">
        <v>8032</v>
      </c>
      <c r="R7994" s="10">
        <v>0.6482211301721562</v>
      </c>
      <c r="S7994" s="10">
        <v>0.03356455010348537</v>
      </c>
      <c r="T7994" s="10">
        <v>18.120937962728657</v>
      </c>
      <c r="U7994" s="11">
        <v>0.015541688415880548</v>
      </c>
      <c r="V7994" s="11">
        <v>0.08909707580714227</v>
      </c>
      <c r="W7994" s="11">
        <v>0.2923512415702705</v>
      </c>
      <c r="X7994" s="11">
        <v>0.2413858337821829</v>
      </c>
      <c r="Y7994" s="11">
        <v>0.10536171653136694</v>
      </c>
      <c r="Z7994" s="11">
        <v>0.25626244389315694</v>
      </c>
    </row>
    <row r="7995" ht="22.5" customHeight="1">
      <c r="Q7995" s="9" t="s">
        <v>8033</v>
      </c>
      <c r="R7995" s="10">
        <v>0.3768410222578612</v>
      </c>
      <c r="S7995" s="10">
        <v>0.018589861865541905</v>
      </c>
      <c r="T7995" s="10">
        <v>18.119608671338675</v>
      </c>
      <c r="U7995" s="11">
        <v>0.20409686144713815</v>
      </c>
      <c r="V7995" s="11">
        <v>0.024181578475738538</v>
      </c>
      <c r="W7995" s="11">
        <v>0.15045515217672842</v>
      </c>
      <c r="X7995" s="11">
        <v>0.1636317835591277</v>
      </c>
      <c r="Y7995" s="11">
        <v>0.24648253036185871</v>
      </c>
      <c r="Z7995" s="11">
        <v>0.21115209397940832</v>
      </c>
    </row>
    <row r="7996" ht="22.5" customHeight="1">
      <c r="Q7996" s="9" t="s">
        <v>8034</v>
      </c>
      <c r="R7996" s="10">
        <v>0.5363675892324544</v>
      </c>
      <c r="S7996" s="10">
        <v>0.027394177448003678</v>
      </c>
      <c r="T7996" s="10">
        <v>18.119455865196155</v>
      </c>
      <c r="U7996" s="11">
        <v>0.31782374251621853</v>
      </c>
      <c r="V7996" s="11">
        <v>0.062419513464866974</v>
      </c>
      <c r="W7996" s="11">
        <v>0.22912122405636992</v>
      </c>
      <c r="X7996" s="11">
        <v>0.08300392420412145</v>
      </c>
      <c r="Y7996" s="11">
        <v>0.2911877795074588</v>
      </c>
      <c r="Z7996" s="11">
        <v>0.01644381625096447</v>
      </c>
    </row>
    <row r="7997" ht="22.5" customHeight="1">
      <c r="Q7997" s="9" t="s">
        <v>8035</v>
      </c>
      <c r="R7997" s="10">
        <v>0.2552685001963782</v>
      </c>
      <c r="S7997" s="10">
        <v>0.011881419558692954</v>
      </c>
      <c r="T7997" s="10">
        <v>18.118079168316093</v>
      </c>
      <c r="U7997" s="11">
        <v>0.3143582097128211</v>
      </c>
      <c r="V7997" s="11">
        <v>0.03670375696688469</v>
      </c>
      <c r="W7997" s="11">
        <v>0.05671700017637958</v>
      </c>
      <c r="X7997" s="11">
        <v>0.03457135576929637</v>
      </c>
      <c r="Y7997" s="11">
        <v>0.27825220871899514</v>
      </c>
      <c r="Z7997" s="11">
        <v>0.2793974686556232</v>
      </c>
    </row>
    <row r="7998" ht="22.5" customHeight="1">
      <c r="Q7998" s="9" t="s">
        <v>8036</v>
      </c>
      <c r="R7998" s="10">
        <v>0.522090108343886</v>
      </c>
      <c r="S7998" s="10">
        <v>0.026609185624056328</v>
      </c>
      <c r="T7998" s="10">
        <v>18.117431895700225</v>
      </c>
      <c r="U7998" s="11">
        <v>0.2273074779224274</v>
      </c>
      <c r="V7998" s="11">
        <v>0.04784796182816385</v>
      </c>
      <c r="W7998" s="11">
        <v>0.23068095433524397</v>
      </c>
      <c r="X7998" s="11">
        <v>0.24735609199033778</v>
      </c>
      <c r="Y7998" s="11">
        <v>0.1022920354978144</v>
      </c>
      <c r="Z7998" s="11">
        <v>0.14451547842601264</v>
      </c>
    </row>
    <row r="7999" ht="22.5" customHeight="1">
      <c r="Q7999" s="9" t="s">
        <v>8037</v>
      </c>
      <c r="R7999" s="10">
        <v>0.8887439250337809</v>
      </c>
      <c r="S7999" s="10">
        <v>0.046847481341166744</v>
      </c>
      <c r="T7999" s="10">
        <v>18.11717302052599</v>
      </c>
      <c r="U7999" s="11">
        <v>0.1650953592225334</v>
      </c>
      <c r="V7999" s="11">
        <v>0.44021150804606257</v>
      </c>
      <c r="W7999" s="11">
        <v>0.10842291810607761</v>
      </c>
      <c r="X7999" s="11">
        <v>0.15113624520677446</v>
      </c>
      <c r="Y7999" s="11">
        <v>0.05670061956958924</v>
      </c>
      <c r="Z7999" s="11">
        <v>0.07843334984896277</v>
      </c>
    </row>
    <row r="8000" ht="22.5" customHeight="1">
      <c r="Q8000" s="9" t="s">
        <v>8038</v>
      </c>
      <c r="R8000" s="10">
        <v>0.7915282569144468</v>
      </c>
      <c r="S8000" s="10">
        <v>0.0414861271084254</v>
      </c>
      <c r="T8000" s="10">
        <v>18.11517028211147</v>
      </c>
      <c r="U8000" s="11">
        <v>0.08726088985729784</v>
      </c>
      <c r="V8000" s="11">
        <v>0.12031450464100565</v>
      </c>
      <c r="W8000" s="11">
        <v>0.3613378817185786</v>
      </c>
      <c r="X8000" s="11">
        <v>0.24180616588637288</v>
      </c>
      <c r="Y8000" s="11">
        <v>0.10298171286038756</v>
      </c>
      <c r="Z8000" s="11">
        <v>0.08629884503635724</v>
      </c>
    </row>
    <row r="8001" ht="22.5" customHeight="1">
      <c r="Q8001" s="9" t="s">
        <v>8039</v>
      </c>
      <c r="R8001" s="10">
        <v>0.5331808293819202</v>
      </c>
      <c r="S8001" s="10">
        <v>0.0272247641064117</v>
      </c>
      <c r="T8001" s="10">
        <v>18.115155284881652</v>
      </c>
      <c r="U8001" s="11">
        <v>0.20708332001536098</v>
      </c>
      <c r="V8001" s="11">
        <v>0.047920472990488426</v>
      </c>
      <c r="W8001" s="11">
        <v>0.23433338747718488</v>
      </c>
      <c r="X8001" s="11">
        <v>0.23061181221780194</v>
      </c>
      <c r="Y8001" s="11">
        <v>0.20850358774571093</v>
      </c>
      <c r="Z8001" s="11">
        <v>0.07154741955345277</v>
      </c>
    </row>
    <row r="8002" ht="22.5" customHeight="1">
      <c r="Q8002" s="9" t="s">
        <v>8040</v>
      </c>
      <c r="R8002" s="10">
        <v>0.5649362479763633</v>
      </c>
      <c r="S8002" s="10">
        <v>0.02897783895326313</v>
      </c>
      <c r="T8002" s="10">
        <v>18.11509301376842</v>
      </c>
      <c r="U8002" s="11">
        <v>0.22857268935632657</v>
      </c>
      <c r="V8002" s="11">
        <v>0.07916163991100515</v>
      </c>
      <c r="W8002" s="11">
        <v>0.24637395973362422</v>
      </c>
      <c r="X8002" s="11">
        <v>0.05656897081186431</v>
      </c>
      <c r="Y8002" s="11">
        <v>0.21739036852554047</v>
      </c>
      <c r="Z8002" s="11">
        <v>0.1719323716616392</v>
      </c>
    </row>
    <row r="8003" ht="22.5" customHeight="1">
      <c r="Q8003" s="9" t="s">
        <v>8041</v>
      </c>
      <c r="R8003" s="10">
        <v>0.520592748352171</v>
      </c>
      <c r="S8003" s="10">
        <v>0.02653037022928012</v>
      </c>
      <c r="T8003" s="10">
        <v>18.11481499122719</v>
      </c>
      <c r="U8003" s="11">
        <v>0.15736377103988067</v>
      </c>
      <c r="V8003" s="11">
        <v>0.24660176167063527</v>
      </c>
      <c r="W8003" s="11">
        <v>0.0265898208360295</v>
      </c>
      <c r="X8003" s="11">
        <v>0.1782395097911106</v>
      </c>
      <c r="Y8003" s="11">
        <v>0.20341336542473967</v>
      </c>
      <c r="Z8003" s="11">
        <v>0.1877917712376043</v>
      </c>
    </row>
    <row r="8004" ht="22.5" customHeight="1">
      <c r="Q8004" s="9" t="s">
        <v>8042</v>
      </c>
      <c r="R8004" s="10">
        <v>0.522331348251574</v>
      </c>
      <c r="S8004" s="10">
        <v>0.028334068730856542</v>
      </c>
      <c r="T8004" s="10">
        <v>18.114808863453288</v>
      </c>
      <c r="U8004" s="11">
        <v>0.24991153602127453</v>
      </c>
      <c r="V8004" s="11">
        <v>0.264314079380893</v>
      </c>
      <c r="W8004" s="11">
        <v>0.03038899727160961</v>
      </c>
      <c r="X8004" s="11">
        <v>0.20089261203160277</v>
      </c>
      <c r="Y8004" s="11">
        <v>0.11616551266280634</v>
      </c>
      <c r="Z8004" s="11">
        <v>0.13832726263181355</v>
      </c>
    </row>
    <row r="8005" ht="22.5" customHeight="1">
      <c r="Q8005" s="9" t="s">
        <v>8043</v>
      </c>
      <c r="R8005" s="10">
        <v>0.8206060855006261</v>
      </c>
      <c r="S8005" s="10">
        <v>0.04309326783510098</v>
      </c>
      <c r="T8005" s="10">
        <v>18.11433954110101</v>
      </c>
      <c r="U8005" s="11">
        <v>0.016366075182413547</v>
      </c>
      <c r="V8005" s="11">
        <v>0.4040063362723053</v>
      </c>
      <c r="W8005" s="11">
        <v>0.07826864176349774</v>
      </c>
      <c r="X8005" s="11">
        <v>0.22913672034135435</v>
      </c>
      <c r="Y8005" s="11">
        <v>0.270250291164667</v>
      </c>
      <c r="Z8005" s="11">
        <v>0.0019719352757620674</v>
      </c>
    </row>
    <row r="8006" ht="22.5" customHeight="1">
      <c r="Q8006" s="9" t="s">
        <v>8044</v>
      </c>
      <c r="R8006" s="10">
        <v>0.5362524749802856</v>
      </c>
      <c r="S8006" s="10">
        <v>0.027395686747735824</v>
      </c>
      <c r="T8006" s="10">
        <v>18.114255705646784</v>
      </c>
      <c r="U8006" s="11">
        <v>0.04812694116631957</v>
      </c>
      <c r="V8006" s="11">
        <v>0.2561493974186758</v>
      </c>
      <c r="W8006" s="11">
        <v>0.03214556672747337</v>
      </c>
      <c r="X8006" s="11">
        <v>0.18266979241139092</v>
      </c>
      <c r="Y8006" s="11">
        <v>0.22115802611959925</v>
      </c>
      <c r="Z8006" s="11">
        <v>0.25975027615654117</v>
      </c>
    </row>
    <row r="8007" ht="22.5" customHeight="1">
      <c r="Q8007" s="9" t="s">
        <v>8045</v>
      </c>
      <c r="R8007" s="10">
        <v>0.6203287694196351</v>
      </c>
      <c r="S8007" s="10">
        <v>0.03203827094873733</v>
      </c>
      <c r="T8007" s="10">
        <v>18.113610760961073</v>
      </c>
      <c r="U8007" s="11">
        <v>0.2669766407087309</v>
      </c>
      <c r="V8007" s="11">
        <v>0.3000510032926052</v>
      </c>
      <c r="W8007" s="11">
        <v>0.037516613099171</v>
      </c>
      <c r="X8007" s="11">
        <v>0.28871066214501445</v>
      </c>
      <c r="Y8007" s="11">
        <v>0.00798572923346193</v>
      </c>
      <c r="Z8007" s="11">
        <v>0.09875935152101653</v>
      </c>
    </row>
    <row r="8008" ht="22.5" customHeight="1">
      <c r="Q8008" s="9" t="s">
        <v>8046</v>
      </c>
      <c r="R8008" s="10">
        <v>0.7175249452832761</v>
      </c>
      <c r="S8008" s="10">
        <v>0.03740747746859192</v>
      </c>
      <c r="T8008" s="10">
        <v>18.1120190703086</v>
      </c>
      <c r="U8008" s="11">
        <v>0.08683091254526952</v>
      </c>
      <c r="V8008" s="11">
        <v>0.3475946868736864</v>
      </c>
      <c r="W8008" s="11">
        <v>0.08203869917413174</v>
      </c>
      <c r="X8008" s="11">
        <v>0.03269042076746918</v>
      </c>
      <c r="Y8008" s="11">
        <v>0.2970793302353822</v>
      </c>
      <c r="Z8008" s="11">
        <v>0.15376595040406102</v>
      </c>
    </row>
    <row r="8009" ht="22.5" customHeight="1">
      <c r="Q8009" s="9" t="s">
        <v>8047</v>
      </c>
      <c r="R8009" s="10">
        <v>0.4646401907595468</v>
      </c>
      <c r="S8009" s="10">
        <v>0.023445844748636775</v>
      </c>
      <c r="T8009" s="10">
        <v>18.11153299495583</v>
      </c>
      <c r="U8009" s="11">
        <v>0.14700930629503078</v>
      </c>
      <c r="V8009" s="11">
        <v>0.2073975294752365</v>
      </c>
      <c r="W8009" s="11">
        <v>0.004490165025134685</v>
      </c>
      <c r="X8009" s="11">
        <v>0.286941705752521</v>
      </c>
      <c r="Y8009" s="11">
        <v>0.31373632183856415</v>
      </c>
      <c r="Z8009" s="11">
        <v>0.0404249716135129</v>
      </c>
    </row>
    <row r="8010" ht="22.5" customHeight="1">
      <c r="Q8010" s="9" t="s">
        <v>8048</v>
      </c>
      <c r="R8010" s="10">
        <v>0.522331348251574</v>
      </c>
      <c r="S8010" s="10">
        <v>0.039196336457277124</v>
      </c>
      <c r="T8010" s="10">
        <v>18.11098671892528</v>
      </c>
      <c r="U8010" s="11">
        <v>0.2793345448684334</v>
      </c>
      <c r="V8010" s="11">
        <v>0.1308882196535004</v>
      </c>
      <c r="W8010" s="11">
        <v>0.3337843557775756</v>
      </c>
      <c r="X8010" s="11">
        <v>0.02101739153488916</v>
      </c>
      <c r="Y8010" s="11">
        <v>0.16941408414927586</v>
      </c>
      <c r="Z8010" s="11">
        <v>0.0655614040163256</v>
      </c>
    </row>
    <row r="8011" ht="22.5" customHeight="1">
      <c r="Q8011" s="9" t="s">
        <v>8049</v>
      </c>
      <c r="R8011" s="10">
        <v>0.522331348251574</v>
      </c>
      <c r="S8011" s="10">
        <v>0.03390604653708708</v>
      </c>
      <c r="T8011" s="10">
        <v>18.110650614789158</v>
      </c>
      <c r="U8011" s="11">
        <v>0.05896755915784908</v>
      </c>
      <c r="V8011" s="11">
        <v>0.0906113167964813</v>
      </c>
      <c r="W8011" s="11">
        <v>0.29451847304894707</v>
      </c>
      <c r="X8011" s="11">
        <v>0.19089142996782502</v>
      </c>
      <c r="Y8011" s="11">
        <v>0.1727465813152964</v>
      </c>
      <c r="Z8011" s="11">
        <v>0.19226463971360105</v>
      </c>
    </row>
    <row r="8012" ht="22.5" customHeight="1">
      <c r="Q8012" s="9" t="s">
        <v>8050</v>
      </c>
      <c r="R8012" s="10">
        <v>0.7305822712692125</v>
      </c>
      <c r="S8012" s="10">
        <v>0.03813311299427696</v>
      </c>
      <c r="T8012" s="10">
        <v>18.109779586388747</v>
      </c>
      <c r="U8012" s="11">
        <v>0.11335840982559856</v>
      </c>
      <c r="V8012" s="11">
        <v>0.12959159718966612</v>
      </c>
      <c r="W8012" s="11">
        <v>0.3274983233866795</v>
      </c>
      <c r="X8012" s="11">
        <v>0.08359198047096854</v>
      </c>
      <c r="Y8012" s="11">
        <v>0.08866862410811294</v>
      </c>
      <c r="Z8012" s="11">
        <v>0.2572910650189743</v>
      </c>
    </row>
    <row r="8013" ht="22.5" customHeight="1">
      <c r="Q8013" s="9" t="s">
        <v>8051</v>
      </c>
      <c r="R8013" s="10">
        <v>0.522331348251574</v>
      </c>
      <c r="S8013" s="10">
        <v>0.028290663624913354</v>
      </c>
      <c r="T8013" s="10">
        <v>18.109176911726678</v>
      </c>
      <c r="U8013" s="11">
        <v>0.26627502807705167</v>
      </c>
      <c r="V8013" s="11">
        <v>0.05565156629708007</v>
      </c>
      <c r="W8013" s="11">
        <v>0.2447121932064227</v>
      </c>
      <c r="X8013" s="11">
        <v>0.20552023397439476</v>
      </c>
      <c r="Y8013" s="11">
        <v>0.15029835527858365</v>
      </c>
      <c r="Z8013" s="11">
        <v>0.07754262316646711</v>
      </c>
    </row>
    <row r="8014" ht="22.5" customHeight="1">
      <c r="Q8014" s="9" t="s">
        <v>8052</v>
      </c>
      <c r="R8014" s="10">
        <v>0.5409778836302462</v>
      </c>
      <c r="S8014" s="10">
        <v>0.027664328573747874</v>
      </c>
      <c r="T8014" s="10">
        <v>18.109164742413096</v>
      </c>
      <c r="U8014" s="11">
        <v>0.31873212793405503</v>
      </c>
      <c r="V8014" s="11">
        <v>0.25618114459546104</v>
      </c>
      <c r="W8014" s="11">
        <v>0.024490069151076536</v>
      </c>
      <c r="X8014" s="11">
        <v>0.2667179190754628</v>
      </c>
      <c r="Y8014" s="11">
        <v>0.01846027104031131</v>
      </c>
      <c r="Z8014" s="11">
        <v>0.11541846820363319</v>
      </c>
    </row>
    <row r="8015" ht="22.5" customHeight="1">
      <c r="Q8015" s="9" t="s">
        <v>8053</v>
      </c>
      <c r="R8015" s="10">
        <v>0.625067028676881</v>
      </c>
      <c r="S8015" s="10">
        <v>0.03230801279289262</v>
      </c>
      <c r="T8015" s="10">
        <v>18.109037916612095</v>
      </c>
      <c r="U8015" s="11">
        <v>0.21896911934161367</v>
      </c>
      <c r="V8015" s="11">
        <v>0.07379048548149975</v>
      </c>
      <c r="W8015" s="11">
        <v>0.2819571113428047</v>
      </c>
      <c r="X8015" s="11">
        <v>0.22982825163786896</v>
      </c>
      <c r="Y8015" s="11">
        <v>0.10397934008556871</v>
      </c>
      <c r="Z8015" s="11">
        <v>0.09147569211064421</v>
      </c>
    </row>
    <row r="8016" ht="22.5" customHeight="1">
      <c r="Q8016" s="9" t="s">
        <v>8054</v>
      </c>
      <c r="R8016" s="10">
        <v>0.495021747685154</v>
      </c>
      <c r="S8016" s="10">
        <v>0.025128558542809144</v>
      </c>
      <c r="T8016" s="10">
        <v>18.107753650491993</v>
      </c>
      <c r="U8016" s="11">
        <v>0.44485894089822486</v>
      </c>
      <c r="V8016" s="11">
        <v>0.04900475337051278</v>
      </c>
      <c r="W8016" s="11">
        <v>0.21307439307868176</v>
      </c>
      <c r="X8016" s="11">
        <v>0.17235244269497377</v>
      </c>
      <c r="Y8016" s="11">
        <v>0.02938067138219839</v>
      </c>
      <c r="Z8016" s="11">
        <v>0.09132879857540845</v>
      </c>
    </row>
    <row r="8017" ht="22.5" customHeight="1">
      <c r="Q8017" s="9" t="s">
        <v>8055</v>
      </c>
      <c r="R8017" s="10">
        <v>0.6327066105165828</v>
      </c>
      <c r="S8017" s="10">
        <v>0.03273370291581176</v>
      </c>
      <c r="T8017" s="10">
        <v>18.106922154238788</v>
      </c>
      <c r="U8017" s="11">
        <v>0.2048300067704617</v>
      </c>
      <c r="V8017" s="11">
        <v>0.06668895854172131</v>
      </c>
      <c r="W8017" s="11">
        <v>0.28587055305726516</v>
      </c>
      <c r="X8017" s="11">
        <v>0.29489483850434534</v>
      </c>
      <c r="Y8017" s="11">
        <v>0.120872526999395</v>
      </c>
      <c r="Z8017" s="11">
        <v>0.026843116126811426</v>
      </c>
    </row>
    <row r="8018" ht="22.5" customHeight="1">
      <c r="Q8018" s="9" t="s">
        <v>8056</v>
      </c>
      <c r="R8018" s="10">
        <v>0.6108870516781811</v>
      </c>
      <c r="S8018" s="10">
        <v>0.03153883271074756</v>
      </c>
      <c r="T8018" s="10">
        <v>18.101083731093148</v>
      </c>
      <c r="U8018" s="11">
        <v>0.05964022465129793</v>
      </c>
      <c r="V8018" s="11">
        <v>0.29396757568026877</v>
      </c>
      <c r="W8018" s="11">
        <v>0.05219715642152702</v>
      </c>
      <c r="X8018" s="11">
        <v>0.10422355967941238</v>
      </c>
      <c r="Y8018" s="11">
        <v>0.2904802206314677</v>
      </c>
      <c r="Z8018" s="11">
        <v>0.19949126293602623</v>
      </c>
    </row>
    <row r="8019" ht="22.5" customHeight="1">
      <c r="Q8019" s="9" t="s">
        <v>8057</v>
      </c>
      <c r="R8019" s="10">
        <v>0.5662846927250094</v>
      </c>
      <c r="S8019" s="10">
        <v>0.029075173878253095</v>
      </c>
      <c r="T8019" s="10">
        <v>18.100827012375884</v>
      </c>
      <c r="U8019" s="11">
        <v>0.1356900767908931</v>
      </c>
      <c r="V8019" s="11">
        <v>0.06407541260369728</v>
      </c>
      <c r="W8019" s="11">
        <v>0.2535095636560802</v>
      </c>
      <c r="X8019" s="11">
        <v>0.23326934037123415</v>
      </c>
      <c r="Y8019" s="11">
        <v>0.09609478734480367</v>
      </c>
      <c r="Z8019" s="11">
        <v>0.21736081923329173</v>
      </c>
    </row>
    <row r="8020" ht="22.5" customHeight="1">
      <c r="Q8020" s="9" t="s">
        <v>8058</v>
      </c>
      <c r="R8020" s="10">
        <v>0.6712019292611612</v>
      </c>
      <c r="S8020" s="10">
        <v>0.034872882406079456</v>
      </c>
      <c r="T8020" s="10">
        <v>18.1000790789557</v>
      </c>
      <c r="U8020" s="11">
        <v>0.14993644002603196</v>
      </c>
      <c r="V8020" s="11">
        <v>0.32986995781982476</v>
      </c>
      <c r="W8020" s="11">
        <v>0.060736788569691655</v>
      </c>
      <c r="X8020" s="11">
        <v>0.20109390677423833</v>
      </c>
      <c r="Y8020" s="11">
        <v>0.02188710713115695</v>
      </c>
      <c r="Z8020" s="11">
        <v>0.23647579967905621</v>
      </c>
    </row>
    <row r="8021" ht="22.5" customHeight="1">
      <c r="Q8021" s="9" t="s">
        <v>8059</v>
      </c>
      <c r="R8021" s="10">
        <v>0.549831246017998</v>
      </c>
      <c r="S8021" s="10">
        <v>0.02816777922643731</v>
      </c>
      <c r="T8021" s="10">
        <v>18.099802683041762</v>
      </c>
      <c r="U8021" s="11">
        <v>0.12845271372067174</v>
      </c>
      <c r="V8021" s="11">
        <v>0.07315598234731152</v>
      </c>
      <c r="W8021" s="11">
        <v>0.23851584036860385</v>
      </c>
      <c r="X8021" s="11">
        <v>0.07961404385954882</v>
      </c>
      <c r="Y8021" s="11">
        <v>0.2911314225383854</v>
      </c>
      <c r="Z8021" s="11">
        <v>0.18912999716547862</v>
      </c>
    </row>
    <row r="8022" ht="22.5" customHeight="1">
      <c r="Q8022" s="9" t="s">
        <v>8060</v>
      </c>
      <c r="R8022" s="10">
        <v>0.49551282110528727</v>
      </c>
      <c r="S8022" s="10">
        <v>0.02516705793057951</v>
      </c>
      <c r="T8022" s="10">
        <v>18.09956580390795</v>
      </c>
      <c r="U8022" s="11">
        <v>0.02263936527642214</v>
      </c>
      <c r="V8022" s="11">
        <v>0.22738022501811062</v>
      </c>
      <c r="W8022" s="11">
        <v>0.026153370153184335</v>
      </c>
      <c r="X8022" s="11">
        <v>0.15216321079123768</v>
      </c>
      <c r="Y8022" s="11">
        <v>0.3803042964831005</v>
      </c>
      <c r="Z8022" s="11">
        <v>0.19135953227794478</v>
      </c>
    </row>
    <row r="8023" ht="22.5" customHeight="1">
      <c r="Q8023" s="9" t="s">
        <v>8061</v>
      </c>
      <c r="R8023" s="10">
        <v>0.5521431968153339</v>
      </c>
      <c r="S8023" s="10">
        <v>0.02829724684698904</v>
      </c>
      <c r="T8023" s="10">
        <v>18.098693473065854</v>
      </c>
      <c r="U8023" s="11">
        <v>0.06220715188652444</v>
      </c>
      <c r="V8023" s="11">
        <v>0.048173445047651565</v>
      </c>
      <c r="W8023" s="11">
        <v>0.24515295663548373</v>
      </c>
      <c r="X8023" s="11">
        <v>0.41378027104650567</v>
      </c>
      <c r="Y8023" s="11">
        <v>0.02093026782017422</v>
      </c>
      <c r="Z8023" s="11">
        <v>0.20975590756366044</v>
      </c>
    </row>
    <row r="8024" ht="22.5" customHeight="1">
      <c r="Q8024" s="9" t="s">
        <v>8062</v>
      </c>
      <c r="R8024" s="10">
        <v>0.4606521534122603</v>
      </c>
      <c r="S8024" s="10">
        <v>0.023245038105894178</v>
      </c>
      <c r="T8024" s="10">
        <v>18.096427783682433</v>
      </c>
      <c r="U8024" s="11">
        <v>0.07944518034552364</v>
      </c>
      <c r="V8024" s="11">
        <v>0.2150805658954233</v>
      </c>
      <c r="W8024" s="11">
        <v>0.013646248458729068</v>
      </c>
      <c r="X8024" s="11">
        <v>0.2560230598649864</v>
      </c>
      <c r="Y8024" s="11">
        <v>0.14502919767414482</v>
      </c>
      <c r="Z8024" s="11">
        <v>0.2907757477611928</v>
      </c>
    </row>
    <row r="8025" ht="22.5" customHeight="1">
      <c r="Q8025" s="9" t="s">
        <v>8063</v>
      </c>
      <c r="R8025" s="10">
        <v>0.5490192485669482</v>
      </c>
      <c r="S8025" s="10">
        <v>0.02813124526320581</v>
      </c>
      <c r="T8025" s="10">
        <v>18.09444423111687</v>
      </c>
      <c r="U8025" s="11">
        <v>0.23113616368469037</v>
      </c>
      <c r="V8025" s="11">
        <v>0.04880563946542849</v>
      </c>
      <c r="W8025" s="11">
        <v>0.24232136681351657</v>
      </c>
      <c r="X8025" s="11">
        <v>0.240220102084052</v>
      </c>
      <c r="Y8025" s="11">
        <v>0.2106194476567542</v>
      </c>
      <c r="Z8025" s="11">
        <v>0.026897280295558493</v>
      </c>
    </row>
    <row r="8026" ht="22.5" customHeight="1">
      <c r="Q8026" s="9" t="s">
        <v>8064</v>
      </c>
      <c r="R8026" s="10">
        <v>0.3459371345438189</v>
      </c>
      <c r="S8026" s="10">
        <v>0.016909490970099597</v>
      </c>
      <c r="T8026" s="10">
        <v>18.092628281052093</v>
      </c>
      <c r="U8026" s="11">
        <v>0.3030958427439224</v>
      </c>
      <c r="V8026" s="11">
        <v>0.14194357903963578</v>
      </c>
      <c r="W8026" s="11">
        <v>0.007223475837946156</v>
      </c>
      <c r="X8026" s="11">
        <v>0.11639043575372558</v>
      </c>
      <c r="Y8026" s="11">
        <v>0.21639566988828174</v>
      </c>
      <c r="Z8026" s="11">
        <v>0.21495099673648824</v>
      </c>
    </row>
    <row r="8027" ht="22.5" customHeight="1">
      <c r="Q8027" s="9" t="s">
        <v>8065</v>
      </c>
      <c r="R8027" s="10">
        <v>0.7008190161736182</v>
      </c>
      <c r="S8027" s="10">
        <v>0.03652437028067565</v>
      </c>
      <c r="T8027" s="10">
        <v>18.092550565430145</v>
      </c>
      <c r="U8027" s="11">
        <v>0.022179543149314997</v>
      </c>
      <c r="V8027" s="11">
        <v>0.08431745780355403</v>
      </c>
      <c r="W8027" s="11">
        <v>0.3187235539944639</v>
      </c>
      <c r="X8027" s="11">
        <v>0.3345725895981752</v>
      </c>
      <c r="Y8027" s="11">
        <v>0.16765045979521268</v>
      </c>
      <c r="Z8027" s="11">
        <v>0.07255639565927927</v>
      </c>
    </row>
    <row r="8028" ht="22.5" customHeight="1">
      <c r="Q8028" s="9" t="s">
        <v>8066</v>
      </c>
      <c r="R8028" s="10">
        <v>0.7102447828724276</v>
      </c>
      <c r="S8028" s="10">
        <v>0.03704718204541672</v>
      </c>
      <c r="T8028" s="10">
        <v>18.091653558177896</v>
      </c>
      <c r="U8028" s="11">
        <v>0.2829410500782653</v>
      </c>
      <c r="V8028" s="11">
        <v>0.3480440486803546</v>
      </c>
      <c r="W8028" s="11">
        <v>0.061720281385721366</v>
      </c>
      <c r="X8028" s="11">
        <v>0.18051816907831422</v>
      </c>
      <c r="Y8028" s="11">
        <v>0.07943757465784862</v>
      </c>
      <c r="Z8028" s="11">
        <v>0.04733887611949601</v>
      </c>
    </row>
    <row r="8029" ht="22.5" customHeight="1">
      <c r="Q8029" s="9" t="s">
        <v>8067</v>
      </c>
      <c r="R8029" s="10">
        <v>0.38723912750975076</v>
      </c>
      <c r="S8029" s="10">
        <v>0.019194364101058202</v>
      </c>
      <c r="T8029" s="10">
        <v>18.090681498044898</v>
      </c>
      <c r="U8029" s="11">
        <v>0.13017678870986657</v>
      </c>
      <c r="V8029" s="11">
        <v>0.16997630687379844</v>
      </c>
      <c r="W8029" s="11">
        <v>0.007760789223308477</v>
      </c>
      <c r="X8029" s="11">
        <v>0.16647958843545274</v>
      </c>
      <c r="Y8029" s="11">
        <v>0.25948867487402777</v>
      </c>
      <c r="Z8029" s="11">
        <v>0.26611785188354614</v>
      </c>
    </row>
    <row r="8030" ht="22.5" customHeight="1">
      <c r="Q8030" s="9" t="s">
        <v>8068</v>
      </c>
      <c r="R8030" s="10">
        <v>0.3879750249426765</v>
      </c>
      <c r="S8030" s="10">
        <v>0.01923703246096329</v>
      </c>
      <c r="T8030" s="10">
        <v>18.08880998921243</v>
      </c>
      <c r="U8030" s="11">
        <v>0.3724546880588192</v>
      </c>
      <c r="V8030" s="11">
        <v>0.1678254297189121</v>
      </c>
      <c r="W8030" s="11">
        <v>0.028650939106321365</v>
      </c>
      <c r="X8030" s="11">
        <v>0.045368609709980565</v>
      </c>
      <c r="Y8030" s="11">
        <v>0.05369622319516869</v>
      </c>
      <c r="Z8030" s="11">
        <v>0.33200411021079795</v>
      </c>
    </row>
    <row r="8031" ht="22.5" customHeight="1">
      <c r="Q8031" s="9" t="s">
        <v>8069</v>
      </c>
      <c r="R8031" s="10">
        <v>0.21717869560501898</v>
      </c>
      <c r="S8031" s="10">
        <v>0.00979496516784236</v>
      </c>
      <c r="T8031" s="10">
        <v>18.08875198318321</v>
      </c>
      <c r="U8031" s="11">
        <v>0.14850929106373287</v>
      </c>
      <c r="V8031" s="11">
        <v>0.016965075160573603</v>
      </c>
      <c r="W8031" s="11">
        <v>0.04434310728671747</v>
      </c>
      <c r="X8031" s="11">
        <v>0.16733176519371928</v>
      </c>
      <c r="Y8031" s="11">
        <v>0.22783592143425957</v>
      </c>
      <c r="Z8031" s="11">
        <v>0.39501483986099717</v>
      </c>
    </row>
    <row r="8032" ht="22.5" customHeight="1">
      <c r="Q8032" s="9" t="s">
        <v>8070</v>
      </c>
      <c r="R8032" s="10">
        <v>0.8744025704207615</v>
      </c>
      <c r="S8032" s="10">
        <v>0.04613162294643179</v>
      </c>
      <c r="T8032" s="10">
        <v>18.087431508526652</v>
      </c>
      <c r="U8032" s="11">
        <v>0.20674087782753345</v>
      </c>
      <c r="V8032" s="11">
        <v>0.14875148070237665</v>
      </c>
      <c r="W8032" s="11">
        <v>0.3996064961322968</v>
      </c>
      <c r="X8032" s="11">
        <v>0.17940318934104305</v>
      </c>
      <c r="Y8032" s="11">
        <v>0.03142751708075107</v>
      </c>
      <c r="Z8032" s="11">
        <v>0.034070438915998945</v>
      </c>
    </row>
    <row r="8033" ht="22.5" customHeight="1">
      <c r="Q8033" s="9" t="s">
        <v>8071</v>
      </c>
      <c r="R8033" s="10">
        <v>0.7348611800121397</v>
      </c>
      <c r="S8033" s="10">
        <v>0.038418540306049236</v>
      </c>
      <c r="T8033" s="10">
        <v>18.086610643630557</v>
      </c>
      <c r="U8033" s="11">
        <v>0.28090062645125546</v>
      </c>
      <c r="V8033" s="11">
        <v>0.3573494181773028</v>
      </c>
      <c r="W8033" s="11">
        <v>0.09749017157237888</v>
      </c>
      <c r="X8033" s="11">
        <v>0.004048638058176347</v>
      </c>
      <c r="Y8033" s="11">
        <v>0.028801620631407513</v>
      </c>
      <c r="Z8033" s="11">
        <v>0.23140952510947907</v>
      </c>
    </row>
    <row r="8034" ht="22.5" customHeight="1">
      <c r="Q8034" s="9" t="s">
        <v>8072</v>
      </c>
      <c r="R8034" s="10">
        <v>0.5166022448805441</v>
      </c>
      <c r="S8034" s="10">
        <v>0.026352232678406105</v>
      </c>
      <c r="T8034" s="10">
        <v>18.08583927961018</v>
      </c>
      <c r="U8034" s="11">
        <v>0.03472083493162921</v>
      </c>
      <c r="V8034" s="11">
        <v>0.24571175801277256</v>
      </c>
      <c r="W8034" s="11">
        <v>0.03251273861216984</v>
      </c>
      <c r="X8034" s="11">
        <v>0.14970082321768552</v>
      </c>
      <c r="Y8034" s="11">
        <v>0.23828617568445376</v>
      </c>
      <c r="Z8034" s="11">
        <v>0.299067669541289</v>
      </c>
    </row>
    <row r="8035" ht="22.5" customHeight="1">
      <c r="Q8035" s="9" t="s">
        <v>8073</v>
      </c>
      <c r="R8035" s="10">
        <v>0.48391163573715906</v>
      </c>
      <c r="S8035" s="10">
        <v>0.024545498498211464</v>
      </c>
      <c r="T8035" s="10">
        <v>18.085256478677962</v>
      </c>
      <c r="U8035" s="11">
        <v>0.08767381592576208</v>
      </c>
      <c r="V8035" s="11">
        <v>0.04015916738088797</v>
      </c>
      <c r="W8035" s="11">
        <v>0.21149612472287913</v>
      </c>
      <c r="X8035" s="11">
        <v>0.2692082928697415</v>
      </c>
      <c r="Y8035" s="11">
        <v>0.15429841464602204</v>
      </c>
      <c r="Z8035" s="11">
        <v>0.23716418445470713</v>
      </c>
    </row>
    <row r="8036" ht="22.5" customHeight="1">
      <c r="Q8036" s="9" t="s">
        <v>8074</v>
      </c>
      <c r="R8036" s="10">
        <v>0.3339717639218303</v>
      </c>
      <c r="S8036" s="10">
        <v>0.016257353626441765</v>
      </c>
      <c r="T8036" s="10">
        <v>18.082387249281464</v>
      </c>
      <c r="U8036" s="11">
        <v>0.23611761360012135</v>
      </c>
      <c r="V8036" s="11">
        <v>0.011737264433143142</v>
      </c>
      <c r="W8036" s="11">
        <v>0.1296916018591074</v>
      </c>
      <c r="X8036" s="11">
        <v>0.2544521045473267</v>
      </c>
      <c r="Y8036" s="11">
        <v>0.08770309837477508</v>
      </c>
      <c r="Z8036" s="11">
        <v>0.2802983171855262</v>
      </c>
    </row>
    <row r="8037" ht="22.5" customHeight="1">
      <c r="Q8037" s="9" t="s">
        <v>8075</v>
      </c>
      <c r="R8037" s="10">
        <v>0.7383182333196231</v>
      </c>
      <c r="S8037" s="10">
        <v>0.03862206497609432</v>
      </c>
      <c r="T8037" s="10">
        <v>18.08081038007308</v>
      </c>
      <c r="U8037" s="11">
        <v>0.30005266689486293</v>
      </c>
      <c r="V8037" s="11">
        <v>0.3627235917739128</v>
      </c>
      <c r="W8037" s="11">
        <v>0.06592736735530211</v>
      </c>
      <c r="X8037" s="11">
        <v>0.18794023592167863</v>
      </c>
      <c r="Y8037" s="11">
        <v>0.06763602992301775</v>
      </c>
      <c r="Z8037" s="11">
        <v>0.015720108131225864</v>
      </c>
    </row>
    <row r="8038" ht="22.5" customHeight="1">
      <c r="Q8038" s="9" t="s">
        <v>8076</v>
      </c>
      <c r="R8038" s="10">
        <v>0.7802023350796214</v>
      </c>
      <c r="S8038" s="10">
        <v>0.0409386401075267</v>
      </c>
      <c r="T8038" s="10">
        <v>18.080774865395025</v>
      </c>
      <c r="U8038" s="11">
        <v>0.21189949335493805</v>
      </c>
      <c r="V8038" s="11">
        <v>0.13351409857940574</v>
      </c>
      <c r="W8038" s="11">
        <v>0.3519515693461758</v>
      </c>
      <c r="X8038" s="11">
        <v>0.07405146631899613</v>
      </c>
      <c r="Y8038" s="11">
        <v>0.1418050574721664</v>
      </c>
      <c r="Z8038" s="11">
        <v>0.08677831492831779</v>
      </c>
    </row>
    <row r="8039" ht="22.5" customHeight="1">
      <c r="Q8039" s="9" t="s">
        <v>8077</v>
      </c>
      <c r="R8039" s="10">
        <v>0.5684194634763555</v>
      </c>
      <c r="S8039" s="10">
        <v>0.029226299005360112</v>
      </c>
      <c r="T8039" s="10">
        <v>18.08027295482891</v>
      </c>
      <c r="U8039" s="11">
        <v>0.17040956064554885</v>
      </c>
      <c r="V8039" s="11">
        <v>0.058541432588690524</v>
      </c>
      <c r="W8039" s="11">
        <v>0.25236503646759</v>
      </c>
      <c r="X8039" s="11">
        <v>0.20925205594358745</v>
      </c>
      <c r="Y8039" s="11">
        <v>0.23061553878792412</v>
      </c>
      <c r="Z8039" s="11">
        <v>0.07881637556665903</v>
      </c>
    </row>
    <row r="8040" ht="22.5" customHeight="1">
      <c r="Q8040" s="9" t="s">
        <v>8078</v>
      </c>
      <c r="R8040" s="10">
        <v>0.622428611782697</v>
      </c>
      <c r="S8040" s="10">
        <v>0.032214513281722895</v>
      </c>
      <c r="T8040" s="10">
        <v>18.079696150900453</v>
      </c>
      <c r="U8040" s="11">
        <v>0.10489201910361773</v>
      </c>
      <c r="V8040" s="11">
        <v>0.2967301725228611</v>
      </c>
      <c r="W8040" s="11">
        <v>0.06121926918510411</v>
      </c>
      <c r="X8040" s="11">
        <v>0.030820538697088472</v>
      </c>
      <c r="Y8040" s="11">
        <v>0.34416879602970696</v>
      </c>
      <c r="Z8040" s="11">
        <v>0.16216920446162164</v>
      </c>
    </row>
    <row r="8041" ht="22.5" customHeight="1">
      <c r="Q8041" s="9" t="s">
        <v>8079</v>
      </c>
      <c r="R8041" s="10">
        <v>0.5003911662012467</v>
      </c>
      <c r="S8041" s="10">
        <v>0.025468903311954037</v>
      </c>
      <c r="T8041" s="10">
        <v>18.07659955209608</v>
      </c>
      <c r="U8041" s="11">
        <v>0.09039165089560355</v>
      </c>
      <c r="V8041" s="11">
        <v>0.238967740135237</v>
      </c>
      <c r="W8041" s="11">
        <v>0.031255339405705226</v>
      </c>
      <c r="X8041" s="11">
        <v>0.16088931989709782</v>
      </c>
      <c r="Y8041" s="11">
        <v>0.12733975648218365</v>
      </c>
      <c r="Z8041" s="11">
        <v>0.35115619318417274</v>
      </c>
    </row>
    <row r="8042" ht="22.5" customHeight="1">
      <c r="Q8042" s="9" t="s">
        <v>8080</v>
      </c>
      <c r="R8042" s="10">
        <v>0.5744064133751898</v>
      </c>
      <c r="S8042" s="10">
        <v>0.02956397029911044</v>
      </c>
      <c r="T8042" s="10">
        <v>18.076273517000175</v>
      </c>
      <c r="U8042" s="11">
        <v>0.2929203489093955</v>
      </c>
      <c r="V8042" s="11">
        <v>0.2750903060442097</v>
      </c>
      <c r="W8042" s="11">
        <v>0.05594971742457881</v>
      </c>
      <c r="X8042" s="11">
        <v>0.04988675530596096</v>
      </c>
      <c r="Y8042" s="11">
        <v>0.06898271157911155</v>
      </c>
      <c r="Z8042" s="11">
        <v>0.25717016073674354</v>
      </c>
    </row>
    <row r="8043" ht="22.5" customHeight="1">
      <c r="Q8043" s="9" t="s">
        <v>8081</v>
      </c>
      <c r="R8043" s="10">
        <v>0.4981582988985239</v>
      </c>
      <c r="S8043" s="10">
        <v>0.02534631109198313</v>
      </c>
      <c r="T8043" s="10">
        <v>18.075936069585936</v>
      </c>
      <c r="U8043" s="11">
        <v>0.23824806264809567</v>
      </c>
      <c r="V8043" s="11">
        <v>0.0625375440984969</v>
      </c>
      <c r="W8043" s="11">
        <v>0.21369663000045902</v>
      </c>
      <c r="X8043" s="11">
        <v>0.05870845377018834</v>
      </c>
      <c r="Y8043" s="11">
        <v>0.21928291271614977</v>
      </c>
      <c r="Z8043" s="11">
        <v>0.20752639676661025</v>
      </c>
    </row>
    <row r="8044" ht="22.5" customHeight="1">
      <c r="Q8044" s="9" t="s">
        <v>8082</v>
      </c>
      <c r="R8044" s="10">
        <v>0.5497995334543401</v>
      </c>
      <c r="S8044" s="10">
        <v>0.028203386911669067</v>
      </c>
      <c r="T8044" s="10">
        <v>18.075826674682535</v>
      </c>
      <c r="U8044" s="11">
        <v>0.19839487162883437</v>
      </c>
      <c r="V8044" s="11">
        <v>0.26509959294818897</v>
      </c>
      <c r="W8044" s="11">
        <v>0.035184032216563646</v>
      </c>
      <c r="X8044" s="11">
        <v>0.21477513142147175</v>
      </c>
      <c r="Y8044" s="11">
        <v>0.01743846705591481</v>
      </c>
      <c r="Z8044" s="11">
        <v>0.2691079047290266</v>
      </c>
    </row>
    <row r="8045" ht="22.5" customHeight="1">
      <c r="Q8045" s="9" t="s">
        <v>8083</v>
      </c>
      <c r="R8045" s="10">
        <v>0.6908010341346474</v>
      </c>
      <c r="S8045" s="10">
        <v>0.03600422046637135</v>
      </c>
      <c r="T8045" s="10">
        <v>18.075687397329112</v>
      </c>
      <c r="U8045" s="11">
        <v>0.2690000698643426</v>
      </c>
      <c r="V8045" s="11">
        <v>0.10933206623361402</v>
      </c>
      <c r="W8045" s="11">
        <v>0.311333791121717</v>
      </c>
      <c r="X8045" s="11">
        <v>0.11128287821778145</v>
      </c>
      <c r="Y8045" s="11">
        <v>0.03367858897143387</v>
      </c>
      <c r="Z8045" s="11">
        <v>0.16537260559111108</v>
      </c>
    </row>
    <row r="8046" ht="22.5" customHeight="1">
      <c r="Q8046" s="9" t="s">
        <v>8084</v>
      </c>
      <c r="R8046" s="10">
        <v>0.5237575252980254</v>
      </c>
      <c r="S8046" s="10">
        <v>0.026764990701473347</v>
      </c>
      <c r="T8046" s="10">
        <v>18.0742646501796</v>
      </c>
      <c r="U8046" s="11">
        <v>0.18590248834229198</v>
      </c>
      <c r="V8046" s="11">
        <v>0.05421662722792757</v>
      </c>
      <c r="W8046" s="11">
        <v>0.2282544555512484</v>
      </c>
      <c r="X8046" s="11">
        <v>0.15274843143841255</v>
      </c>
      <c r="Y8046" s="11">
        <v>0.2643751602223372</v>
      </c>
      <c r="Z8046" s="11">
        <v>0.11450283721778222</v>
      </c>
    </row>
    <row r="8047" ht="22.5" customHeight="1">
      <c r="Q8047" s="9" t="s">
        <v>8085</v>
      </c>
      <c r="R8047" s="10">
        <v>0.6005954179843043</v>
      </c>
      <c r="S8047" s="10">
        <v>0.031016859201634692</v>
      </c>
      <c r="T8047" s="10">
        <v>18.073893760163795</v>
      </c>
      <c r="U8047" s="11">
        <v>0.060217229168215605</v>
      </c>
      <c r="V8047" s="11">
        <v>0.28995572312762835</v>
      </c>
      <c r="W8047" s="11">
        <v>0.05896312684581627</v>
      </c>
      <c r="X8047" s="11">
        <v>0.05710868260808576</v>
      </c>
      <c r="Y8047" s="11">
        <v>0.23766878418231746</v>
      </c>
      <c r="Z8047" s="11">
        <v>0.2960864540679365</v>
      </c>
    </row>
    <row r="8048" ht="22.5" customHeight="1">
      <c r="Q8048" s="9" t="s">
        <v>8086</v>
      </c>
      <c r="R8048" s="10">
        <v>0.6374809850501406</v>
      </c>
      <c r="S8048" s="10">
        <v>0.033059693292302385</v>
      </c>
      <c r="T8048" s="10">
        <v>18.072792743944117</v>
      </c>
      <c r="U8048" s="11">
        <v>0.13748043241805136</v>
      </c>
      <c r="V8048" s="11">
        <v>0.08867247772359077</v>
      </c>
      <c r="W8048" s="11">
        <v>0.288477165443179</v>
      </c>
      <c r="X8048" s="11">
        <v>0.21196959835281684</v>
      </c>
      <c r="Y8048" s="11">
        <v>0.019530742341192026</v>
      </c>
      <c r="Z8048" s="11">
        <v>0.25386958372117013</v>
      </c>
    </row>
    <row r="8049" ht="22.5" customHeight="1">
      <c r="Q8049" s="9" t="s">
        <v>8087</v>
      </c>
      <c r="R8049" s="10">
        <v>0.2748328660799488</v>
      </c>
      <c r="S8049" s="10">
        <v>0.012993777155914025</v>
      </c>
      <c r="T8049" s="10">
        <v>18.07271767571189</v>
      </c>
      <c r="U8049" s="11">
        <v>0.2314356147607801</v>
      </c>
      <c r="V8049" s="11">
        <v>0.0888685317577726</v>
      </c>
      <c r="W8049" s="11">
        <v>0.016638773111060653</v>
      </c>
      <c r="X8049" s="11">
        <v>0.04892688943222692</v>
      </c>
      <c r="Y8049" s="11">
        <v>0.3099079630890734</v>
      </c>
      <c r="Z8049" s="11">
        <v>0.3042222278490863</v>
      </c>
    </row>
    <row r="8050" ht="22.5" customHeight="1">
      <c r="Q8050" s="9" t="s">
        <v>8088</v>
      </c>
      <c r="R8050" s="10">
        <v>0.767336522912768</v>
      </c>
      <c r="S8050" s="10">
        <v>0.040245057588335784</v>
      </c>
      <c r="T8050" s="10">
        <v>18.072691816039836</v>
      </c>
      <c r="U8050" s="11">
        <v>0.06702601116049833</v>
      </c>
      <c r="V8050" s="11">
        <v>0.3777394400352197</v>
      </c>
      <c r="W8050" s="11">
        <v>0.10115150122864054</v>
      </c>
      <c r="X8050" s="11">
        <v>0.04859741611026852</v>
      </c>
      <c r="Y8050" s="11">
        <v>0.0905339746198529</v>
      </c>
      <c r="Z8050" s="11">
        <v>0.31495165684552</v>
      </c>
    </row>
    <row r="8051" ht="22.5" customHeight="1">
      <c r="Q8051" s="9" t="s">
        <v>8089</v>
      </c>
      <c r="R8051" s="10">
        <v>0.4904781633508925</v>
      </c>
      <c r="S8051" s="10">
        <v>0.024928746843951455</v>
      </c>
      <c r="T8051" s="10">
        <v>18.070630111123837</v>
      </c>
      <c r="U8051" s="11">
        <v>0.13353178812185318</v>
      </c>
      <c r="V8051" s="11">
        <v>0.2323491676811811</v>
      </c>
      <c r="W8051" s="11">
        <v>0.019012394816320433</v>
      </c>
      <c r="X8051" s="11">
        <v>0.23450226703009378</v>
      </c>
      <c r="Y8051" s="11">
        <v>0.12330563630927957</v>
      </c>
      <c r="Z8051" s="11">
        <v>0.257298746041272</v>
      </c>
    </row>
    <row r="8052" ht="22.5" customHeight="1">
      <c r="Q8052" s="9" t="s">
        <v>8090</v>
      </c>
      <c r="R8052" s="10">
        <v>0.45104728154987916</v>
      </c>
      <c r="S8052" s="10">
        <v>0.02274674373929483</v>
      </c>
      <c r="T8052" s="10">
        <v>18.07059886289562</v>
      </c>
      <c r="U8052" s="11">
        <v>0.28040160641900247</v>
      </c>
      <c r="V8052" s="11">
        <v>0.20763217517100374</v>
      </c>
      <c r="W8052" s="11">
        <v>0.024148741997881078</v>
      </c>
      <c r="X8052" s="11">
        <v>0.10013623448557225</v>
      </c>
      <c r="Y8052" s="11">
        <v>0.14721936124337534</v>
      </c>
      <c r="Z8052" s="11">
        <v>0.24046188068316532</v>
      </c>
    </row>
    <row r="8053" ht="22.5" customHeight="1">
      <c r="Q8053" s="9" t="s">
        <v>8091</v>
      </c>
      <c r="R8053" s="10">
        <v>0.4252181682035308</v>
      </c>
      <c r="S8053" s="10">
        <v>0.021318371923976603</v>
      </c>
      <c r="T8053" s="10">
        <v>18.069774257492856</v>
      </c>
      <c r="U8053" s="11">
        <v>0.42890192023268664</v>
      </c>
      <c r="V8053" s="11">
        <v>0.18670616391701692</v>
      </c>
      <c r="W8053" s="11">
        <v>0.038591688658520716</v>
      </c>
      <c r="X8053" s="11">
        <v>0.012725885983488889</v>
      </c>
      <c r="Y8053" s="11">
        <v>0.03953714292083843</v>
      </c>
      <c r="Z8053" s="11">
        <v>0.29353719828744823</v>
      </c>
    </row>
    <row r="8054" ht="22.5" customHeight="1">
      <c r="Q8054" s="9" t="s">
        <v>8092</v>
      </c>
      <c r="R8054" s="10">
        <v>0.5400784170293751</v>
      </c>
      <c r="S8054" s="10">
        <v>0.02767767228479376</v>
      </c>
      <c r="T8054" s="10">
        <v>18.067936200838698</v>
      </c>
      <c r="U8054" s="11">
        <v>0.20165369577269082</v>
      </c>
      <c r="V8054" s="11">
        <v>0.255937489682213</v>
      </c>
      <c r="W8054" s="11">
        <v>0.04901474570451095</v>
      </c>
      <c r="X8054" s="11">
        <v>0.023944170747156775</v>
      </c>
      <c r="Y8054" s="11">
        <v>0.20812491721054807</v>
      </c>
      <c r="Z8054" s="11">
        <v>0.2613249808828804</v>
      </c>
    </row>
    <row r="8055" ht="22.5" customHeight="1">
      <c r="Q8055" s="9" t="s">
        <v>8093</v>
      </c>
      <c r="R8055" s="10">
        <v>0.522331348251574</v>
      </c>
      <c r="S8055" s="10">
        <v>0.0346943790040843</v>
      </c>
      <c r="T8055" s="10">
        <v>18.067808879782667</v>
      </c>
      <c r="U8055" s="11">
        <v>0.10006058077309327</v>
      </c>
      <c r="V8055" s="11">
        <v>0.10240006316630537</v>
      </c>
      <c r="W8055" s="11">
        <v>0.29869762791225113</v>
      </c>
      <c r="X8055" s="11">
        <v>0.09733945343509467</v>
      </c>
      <c r="Y8055" s="11">
        <v>0.21561935704729165</v>
      </c>
      <c r="Z8055" s="11">
        <v>0.18588291766596393</v>
      </c>
    </row>
    <row r="8056" ht="22.5" customHeight="1">
      <c r="Q8056" s="9" t="s">
        <v>8094</v>
      </c>
      <c r="R8056" s="10">
        <v>0.4996369395820131</v>
      </c>
      <c r="S8056" s="10">
        <v>0.02544309038437641</v>
      </c>
      <c r="T8056" s="10">
        <v>18.065295238830654</v>
      </c>
      <c r="U8056" s="11">
        <v>0.15279323077241236</v>
      </c>
      <c r="V8056" s="11">
        <v>0.04243452888554542</v>
      </c>
      <c r="W8056" s="11">
        <v>0.2203921106703933</v>
      </c>
      <c r="X8056" s="11">
        <v>0.31982388330339717</v>
      </c>
      <c r="Y8056" s="11">
        <v>0.01758750591217862</v>
      </c>
      <c r="Z8056" s="11">
        <v>0.24696874045607306</v>
      </c>
    </row>
    <row r="8057" ht="22.5" customHeight="1">
      <c r="Q8057" s="9" t="s">
        <v>8095</v>
      </c>
      <c r="R8057" s="10">
        <v>0.3242390911660487</v>
      </c>
      <c r="S8057" s="10">
        <v>0.01573469086861428</v>
      </c>
      <c r="T8057" s="10">
        <v>18.06448525360073</v>
      </c>
      <c r="U8057" s="11">
        <v>0.13640657087112984</v>
      </c>
      <c r="V8057" s="11">
        <v>0.03540929509953033</v>
      </c>
      <c r="W8057" s="11">
        <v>0.10936412062477975</v>
      </c>
      <c r="X8057" s="11">
        <v>0.04743274634335832</v>
      </c>
      <c r="Y8057" s="11">
        <v>0.3800753989469889</v>
      </c>
      <c r="Z8057" s="11">
        <v>0.29131186811421295</v>
      </c>
    </row>
    <row r="8058" ht="22.5" customHeight="1">
      <c r="Q8058" s="9" t="s">
        <v>8096</v>
      </c>
      <c r="R8058" s="10">
        <v>0.3207346743661047</v>
      </c>
      <c r="S8058" s="10">
        <v>0.015540785959929736</v>
      </c>
      <c r="T8058" s="10">
        <v>18.064380726299767</v>
      </c>
      <c r="U8058" s="11">
        <v>0.24661030553814134</v>
      </c>
      <c r="V8058" s="11">
        <v>0.00820694274882726</v>
      </c>
      <c r="W8058" s="11">
        <v>0.11829169596261571</v>
      </c>
      <c r="X8058" s="11">
        <v>0.21839717823695037</v>
      </c>
      <c r="Y8058" s="11">
        <v>0.21891825507521365</v>
      </c>
      <c r="Z8058" s="11">
        <v>0.1895756224382516</v>
      </c>
    </row>
    <row r="8059" ht="22.5" customHeight="1">
      <c r="Q8059" s="9" t="s">
        <v>8097</v>
      </c>
      <c r="R8059" s="10">
        <v>0.6546717584723682</v>
      </c>
      <c r="S8059" s="10">
        <v>0.03402677015295405</v>
      </c>
      <c r="T8059" s="10">
        <v>18.06435802485371</v>
      </c>
      <c r="U8059" s="11">
        <v>0.26405843021464315</v>
      </c>
      <c r="V8059" s="11">
        <v>0.09346589848450323</v>
      </c>
      <c r="W8059" s="11">
        <v>0.2920141964291168</v>
      </c>
      <c r="X8059" s="11">
        <v>0.0823511045540805</v>
      </c>
      <c r="Y8059" s="11">
        <v>0.21811284111037432</v>
      </c>
      <c r="Z8059" s="11">
        <v>0.049997529207281975</v>
      </c>
    </row>
    <row r="8060" ht="22.5" customHeight="1">
      <c r="Q8060" s="9" t="s">
        <v>8098</v>
      </c>
      <c r="R8060" s="10">
        <v>0.3869806454732349</v>
      </c>
      <c r="S8060" s="10">
        <v>0.01921007700529529</v>
      </c>
      <c r="T8060" s="10">
        <v>18.062428660623752</v>
      </c>
      <c r="U8060" s="11">
        <v>0.18766793269687457</v>
      </c>
      <c r="V8060" s="11">
        <v>0.045108785768457484</v>
      </c>
      <c r="W8060" s="11">
        <v>0.15324549880742275</v>
      </c>
      <c r="X8060" s="11">
        <v>0.03424043748993077</v>
      </c>
      <c r="Y8060" s="11">
        <v>0.25878090376401985</v>
      </c>
      <c r="Z8060" s="11">
        <v>0.32095644147329455</v>
      </c>
    </row>
    <row r="8061" ht="22.5" customHeight="1">
      <c r="Q8061" s="9" t="s">
        <v>8099</v>
      </c>
      <c r="R8061" s="10">
        <v>0.5554976659289774</v>
      </c>
      <c r="S8061" s="10">
        <v>0.02854034086174881</v>
      </c>
      <c r="T8061" s="10">
        <v>18.06207110230674</v>
      </c>
      <c r="U8061" s="11">
        <v>0.27744339125569994</v>
      </c>
      <c r="V8061" s="11">
        <v>0.0782015328062693</v>
      </c>
      <c r="W8061" s="11">
        <v>0.24424495984272415</v>
      </c>
      <c r="X8061" s="11">
        <v>0.06601852974592125</v>
      </c>
      <c r="Y8061" s="11">
        <v>0.11176873410076041</v>
      </c>
      <c r="Z8061" s="11">
        <v>0.22232285224862477</v>
      </c>
    </row>
    <row r="8062" ht="22.5" customHeight="1">
      <c r="Q8062" s="9" t="s">
        <v>8100</v>
      </c>
      <c r="R8062" s="10">
        <v>0.5081806345551776</v>
      </c>
      <c r="S8062" s="10">
        <v>0.02592245894718194</v>
      </c>
      <c r="T8062" s="10">
        <v>18.060811110130974</v>
      </c>
      <c r="U8062" s="11">
        <v>0.20070580013095843</v>
      </c>
      <c r="V8062" s="11">
        <v>0.04308981140659731</v>
      </c>
      <c r="W8062" s="11">
        <v>0.22260031774116448</v>
      </c>
      <c r="X8062" s="11">
        <v>0.22025547920512326</v>
      </c>
      <c r="Y8062" s="11">
        <v>0.2101982157677191</v>
      </c>
      <c r="Z8062" s="11">
        <v>0.10315037574843754</v>
      </c>
    </row>
    <row r="8063" ht="22.5" customHeight="1">
      <c r="Q8063" s="9" t="s">
        <v>8101</v>
      </c>
      <c r="R8063" s="10">
        <v>0.5784655898718717</v>
      </c>
      <c r="S8063" s="10">
        <v>0.029815903754181868</v>
      </c>
      <c r="T8063" s="10">
        <v>18.059676953322217</v>
      </c>
      <c r="U8063" s="11">
        <v>0.10142007193065987</v>
      </c>
      <c r="V8063" s="11">
        <v>0.061746265828162034</v>
      </c>
      <c r="W8063" s="11">
        <v>0.25821173778519235</v>
      </c>
      <c r="X8063" s="11">
        <v>0.22415331923732626</v>
      </c>
      <c r="Y8063" s="11">
        <v>0.22986329208051656</v>
      </c>
      <c r="Z8063" s="11">
        <v>0.12460531313814278</v>
      </c>
    </row>
    <row r="8064" ht="22.5" customHeight="1">
      <c r="Q8064" s="9" t="s">
        <v>8102</v>
      </c>
      <c r="R8064" s="10">
        <v>0.5671847745021614</v>
      </c>
      <c r="S8064" s="10">
        <v>0.029192576164799592</v>
      </c>
      <c r="T8064" s="10">
        <v>18.058864401896834</v>
      </c>
      <c r="U8064" s="11">
        <v>0.1428080572023151</v>
      </c>
      <c r="V8064" s="11">
        <v>0.2712982817878084</v>
      </c>
      <c r="W8064" s="11">
        <v>0.024253286003928863</v>
      </c>
      <c r="X8064" s="11">
        <v>0.2543898875875728</v>
      </c>
      <c r="Y8064" s="11">
        <v>0.2216569381048734</v>
      </c>
      <c r="Z8064" s="11">
        <v>0.08559354931350141</v>
      </c>
    </row>
    <row r="8065" ht="22.5" customHeight="1">
      <c r="Q8065" s="9" t="s">
        <v>8103</v>
      </c>
      <c r="R8065" s="10">
        <v>0.46591101303552523</v>
      </c>
      <c r="S8065" s="10">
        <v>0.023585536314537546</v>
      </c>
      <c r="T8065" s="10">
        <v>18.058144082693772</v>
      </c>
      <c r="U8065" s="11">
        <v>0.09398962213624731</v>
      </c>
      <c r="V8065" s="11">
        <v>0.21649822771862612</v>
      </c>
      <c r="W8065" s="11">
        <v>0.015673486195448876</v>
      </c>
      <c r="X8065" s="11">
        <v>0.19684030828002033</v>
      </c>
      <c r="Y8065" s="11">
        <v>0.24717361539851548</v>
      </c>
      <c r="Z8065" s="11">
        <v>0.2298247402711418</v>
      </c>
    </row>
    <row r="8066" ht="22.5" customHeight="1">
      <c r="Q8066" s="9" t="s">
        <v>8104</v>
      </c>
      <c r="R8066" s="10">
        <v>0.7755658732566549</v>
      </c>
      <c r="S8066" s="10">
        <v>0.040735990524021416</v>
      </c>
      <c r="T8066" s="10">
        <v>18.05690407412341</v>
      </c>
      <c r="U8066" s="11">
        <v>0.025793775006159075</v>
      </c>
      <c r="V8066" s="11">
        <v>0.38139613779768156</v>
      </c>
      <c r="W8066" s="11">
        <v>0.1086609752038385</v>
      </c>
      <c r="X8066" s="11">
        <v>0.028567904822073897</v>
      </c>
      <c r="Y8066" s="11">
        <v>0.0854944922958946</v>
      </c>
      <c r="Z8066" s="11">
        <v>0.3700867148743524</v>
      </c>
    </row>
    <row r="8067" ht="22.5" customHeight="1">
      <c r="Q8067" s="9" t="s">
        <v>8105</v>
      </c>
      <c r="R8067" s="10">
        <v>0.4648079727304324</v>
      </c>
      <c r="S8067" s="10">
        <v>0.023527103248760523</v>
      </c>
      <c r="T8067" s="10">
        <v>18.05611036083724</v>
      </c>
      <c r="U8067" s="11">
        <v>0.18586142872500724</v>
      </c>
      <c r="V8067" s="11">
        <v>0.21659649520932517</v>
      </c>
      <c r="W8067" s="11">
        <v>0.030561361558804824</v>
      </c>
      <c r="X8067" s="11">
        <v>0.07313725973004341</v>
      </c>
      <c r="Y8067" s="11">
        <v>0.18899878643451776</v>
      </c>
      <c r="Z8067" s="11">
        <v>0.3048446683423016</v>
      </c>
    </row>
    <row r="8068" ht="22.5" customHeight="1">
      <c r="Q8068" s="9" t="s">
        <v>8106</v>
      </c>
      <c r="R8068" s="10">
        <v>0.4317147538581666</v>
      </c>
      <c r="S8068" s="10">
        <v>0.021694866023806936</v>
      </c>
      <c r="T8068" s="10">
        <v>18.05564290778828</v>
      </c>
      <c r="U8068" s="11">
        <v>0.21674646653803226</v>
      </c>
      <c r="V8068" s="11">
        <v>0.028160920156212226</v>
      </c>
      <c r="W8068" s="11">
        <v>0.18474223516458063</v>
      </c>
      <c r="X8068" s="11">
        <v>0.2508917896564663</v>
      </c>
      <c r="Y8068" s="11">
        <v>0.10434867459830824</v>
      </c>
      <c r="Z8068" s="11">
        <v>0.21510991388640022</v>
      </c>
    </row>
    <row r="8069" ht="22.5" customHeight="1">
      <c r="Q8069" s="9" t="s">
        <v>8107</v>
      </c>
      <c r="R8069" s="10">
        <v>0.4887048778781064</v>
      </c>
      <c r="S8069" s="10">
        <v>0.024853044381674093</v>
      </c>
      <c r="T8069" s="10">
        <v>18.054322480064787</v>
      </c>
      <c r="U8069" s="11">
        <v>0.2677109422048201</v>
      </c>
      <c r="V8069" s="11">
        <v>0.23010539734728178</v>
      </c>
      <c r="W8069" s="11">
        <v>0.01959179337892412</v>
      </c>
      <c r="X8069" s="11">
        <v>0.2323953038317845</v>
      </c>
      <c r="Y8069" s="11">
        <v>0.0339697689150083</v>
      </c>
      <c r="Z8069" s="11">
        <v>0.2162267943221811</v>
      </c>
    </row>
    <row r="8070" ht="22.5" customHeight="1">
      <c r="Q8070" s="9" t="s">
        <v>8108</v>
      </c>
      <c r="R8070" s="10">
        <v>0.5174594558575804</v>
      </c>
      <c r="S8070" s="10">
        <v>0.026445931112808643</v>
      </c>
      <c r="T8070" s="10">
        <v>18.054174527677375</v>
      </c>
      <c r="U8070" s="11">
        <v>0.005074350048957589</v>
      </c>
      <c r="V8070" s="11">
        <v>0.24298791205789705</v>
      </c>
      <c r="W8070" s="11">
        <v>0.026219555356572978</v>
      </c>
      <c r="X8070" s="11">
        <v>0.18404982995699903</v>
      </c>
      <c r="Y8070" s="11">
        <v>0.3312009192687283</v>
      </c>
      <c r="Z8070" s="11">
        <v>0.21046743331084503</v>
      </c>
    </row>
    <row r="8071" ht="22.5" customHeight="1">
      <c r="Q8071" s="9" t="s">
        <v>8109</v>
      </c>
      <c r="R8071" s="10">
        <v>0.2278879943862225</v>
      </c>
      <c r="S8071" s="10">
        <v>0.010406989719516438</v>
      </c>
      <c r="T8071" s="10">
        <v>18.05401940907776</v>
      </c>
      <c r="U8071" s="11">
        <v>0.10759726223477506</v>
      </c>
      <c r="V8071" s="11">
        <v>0.03887281371317004</v>
      </c>
      <c r="W8071" s="11">
        <v>0.004243553417378879</v>
      </c>
      <c r="X8071" s="11">
        <v>0.3149094422439237</v>
      </c>
      <c r="Y8071" s="11">
        <v>0.3300665600173528</v>
      </c>
      <c r="Z8071" s="11">
        <v>0.2043103683733996</v>
      </c>
    </row>
    <row r="8072" ht="22.5" customHeight="1">
      <c r="Q8072" s="9" t="s">
        <v>8110</v>
      </c>
      <c r="R8072" s="10">
        <v>0.3042068388169017</v>
      </c>
      <c r="S8072" s="10">
        <v>0.014634590863552057</v>
      </c>
      <c r="T8072" s="10">
        <v>18.053585595953884</v>
      </c>
      <c r="U8072" s="11">
        <v>0.3204222863523875</v>
      </c>
      <c r="V8072" s="11">
        <v>0.01693373492846719</v>
      </c>
      <c r="W8072" s="11">
        <v>0.09589818569660126</v>
      </c>
      <c r="X8072" s="11">
        <v>0.13008086577044103</v>
      </c>
      <c r="Y8072" s="11">
        <v>0.33988257878384914</v>
      </c>
      <c r="Z8072" s="11">
        <v>0.09678234846825383</v>
      </c>
    </row>
    <row r="8073" ht="22.5" customHeight="1">
      <c r="Q8073" s="9" t="s">
        <v>8111</v>
      </c>
      <c r="R8073" s="10">
        <v>0.24065970661431554</v>
      </c>
      <c r="S8073" s="10">
        <v>0.011114805905001435</v>
      </c>
      <c r="T8073" s="10">
        <v>18.053370281888842</v>
      </c>
      <c r="U8073" s="11">
        <v>0.0238700958740982</v>
      </c>
      <c r="V8073" s="11">
        <v>0.002597932759384672</v>
      </c>
      <c r="W8073" s="11">
        <v>0.04709500048487474</v>
      </c>
      <c r="X8073" s="11">
        <v>0.41673383054470736</v>
      </c>
      <c r="Y8073" s="11">
        <v>0.2695448325082468</v>
      </c>
      <c r="Z8073" s="11">
        <v>0.24015830782868827</v>
      </c>
    </row>
    <row r="8074" ht="22.5" customHeight="1">
      <c r="Q8074" s="9" t="s">
        <v>8112</v>
      </c>
      <c r="R8074" s="10">
        <v>0.7314717084346998</v>
      </c>
      <c r="S8074" s="10">
        <v>0.03830398718191708</v>
      </c>
      <c r="T8074" s="10">
        <v>18.05221229713486</v>
      </c>
      <c r="U8074" s="11">
        <v>0.2119229682591312</v>
      </c>
      <c r="V8074" s="11">
        <v>0.10854251698223208</v>
      </c>
      <c r="W8074" s="11">
        <v>0.33260218687967175</v>
      </c>
      <c r="X8074" s="11">
        <v>0.145526158751225</v>
      </c>
      <c r="Y8074" s="11">
        <v>0.14342676215060118</v>
      </c>
      <c r="Z8074" s="11">
        <v>0.057979406977138784</v>
      </c>
    </row>
    <row r="8075" ht="22.5" customHeight="1">
      <c r="Q8075" s="9" t="s">
        <v>8113</v>
      </c>
      <c r="R8075" s="10">
        <v>0.5838786511668118</v>
      </c>
      <c r="S8075" s="10">
        <v>0.030128787429809206</v>
      </c>
      <c r="T8075" s="10">
        <v>18.051793568987186</v>
      </c>
      <c r="U8075" s="11">
        <v>0.24006275619847223</v>
      </c>
      <c r="V8075" s="11">
        <v>0.06920958959125977</v>
      </c>
      <c r="W8075" s="11">
        <v>0.2620575551168802</v>
      </c>
      <c r="X8075" s="11">
        <v>0.1755042501483283</v>
      </c>
      <c r="Y8075" s="11">
        <v>0.11069631347685396</v>
      </c>
      <c r="Z8075" s="11">
        <v>0.14246953546820562</v>
      </c>
    </row>
    <row r="8076" ht="22.5" customHeight="1">
      <c r="Q8076" s="9" t="s">
        <v>8114</v>
      </c>
      <c r="R8076" s="10">
        <v>0.39712872238838065</v>
      </c>
      <c r="S8076" s="10">
        <v>0.019785191735945108</v>
      </c>
      <c r="T8076" s="10">
        <v>18.050303841107617</v>
      </c>
      <c r="U8076" s="11">
        <v>0.21397206336124158</v>
      </c>
      <c r="V8076" s="11">
        <v>0.027938816235244395</v>
      </c>
      <c r="W8076" s="11">
        <v>0.16501524875675724</v>
      </c>
      <c r="X8076" s="11">
        <v>0.1729766404746773</v>
      </c>
      <c r="Y8076" s="11">
        <v>0.17341730408097158</v>
      </c>
      <c r="Z8076" s="11">
        <v>0.2466799270911079</v>
      </c>
    </row>
    <row r="8077" ht="22.5" customHeight="1">
      <c r="Q8077" s="9" t="s">
        <v>8115</v>
      </c>
      <c r="R8077" s="10">
        <v>0.5766424628658686</v>
      </c>
      <c r="S8077" s="10">
        <v>0.029732103879442442</v>
      </c>
      <c r="T8077" s="10">
        <v>18.049259650169503</v>
      </c>
      <c r="U8077" s="11">
        <v>0.09389280668206942</v>
      </c>
      <c r="V8077" s="11">
        <v>0.27685229407590406</v>
      </c>
      <c r="W8077" s="11">
        <v>0.04039803999188296</v>
      </c>
      <c r="X8077" s="11">
        <v>0.12954378308036296</v>
      </c>
      <c r="Y8077" s="11">
        <v>0.28091361125704173</v>
      </c>
      <c r="Z8077" s="11">
        <v>0.17839946491273892</v>
      </c>
    </row>
    <row r="8078" ht="22.5" customHeight="1">
      <c r="Q8078" s="9" t="s">
        <v>8116</v>
      </c>
      <c r="R8078" s="10">
        <v>0.5289498681830548</v>
      </c>
      <c r="S8078" s="10">
        <v>0.027091202444194707</v>
      </c>
      <c r="T8078" s="10">
        <v>18.04828963167083</v>
      </c>
      <c r="U8078" s="11">
        <v>0.21142727361724287</v>
      </c>
      <c r="V8078" s="11">
        <v>0.05066309683906992</v>
      </c>
      <c r="W8078" s="11">
        <v>0.23476077960232763</v>
      </c>
      <c r="X8078" s="11">
        <v>0.21280755852575695</v>
      </c>
      <c r="Y8078" s="11">
        <v>0.1500751155934139</v>
      </c>
      <c r="Z8078" s="11">
        <v>0.14026617582218867</v>
      </c>
    </row>
    <row r="8079" ht="22.5" customHeight="1">
      <c r="Q8079" s="9" t="s">
        <v>8117</v>
      </c>
      <c r="R8079" s="10">
        <v>0.2141398012521625</v>
      </c>
      <c r="S8079" s="10">
        <v>0.009648557808312216</v>
      </c>
      <c r="T8079" s="10">
        <v>18.048272572108274</v>
      </c>
      <c r="U8079" s="11">
        <v>0.3486844188315093</v>
      </c>
      <c r="V8079" s="11">
        <v>0.011597072155743347</v>
      </c>
      <c r="W8079" s="11">
        <v>0.03476363198882439</v>
      </c>
      <c r="X8079" s="11">
        <v>0.24260369833112233</v>
      </c>
      <c r="Y8079" s="11">
        <v>0.11903939541890328</v>
      </c>
      <c r="Z8079" s="11">
        <v>0.24331178327389735</v>
      </c>
    </row>
    <row r="8080" ht="22.5" customHeight="1">
      <c r="Q8080" s="9" t="s">
        <v>8118</v>
      </c>
      <c r="R8080" s="10">
        <v>0.5648841203187216</v>
      </c>
      <c r="S8080" s="10">
        <v>0.02908314334529411</v>
      </c>
      <c r="T8080" s="10">
        <v>18.04770942696784</v>
      </c>
      <c r="U8080" s="11">
        <v>0.1321845241929155</v>
      </c>
      <c r="V8080" s="11">
        <v>0.27368086279861226</v>
      </c>
      <c r="W8080" s="11">
        <v>0.02970961787012741</v>
      </c>
      <c r="X8080" s="11">
        <v>0.2564983303110492</v>
      </c>
      <c r="Y8080" s="11">
        <v>0.09387266308457423</v>
      </c>
      <c r="Z8080" s="11">
        <v>0.21405400174272152</v>
      </c>
    </row>
    <row r="8081" ht="22.5" customHeight="1">
      <c r="Q8081" s="9" t="s">
        <v>8119</v>
      </c>
      <c r="R8081" s="10">
        <v>0.353334572194481</v>
      </c>
      <c r="S8081" s="10">
        <v>0.01736330916002734</v>
      </c>
      <c r="T8081" s="10">
        <v>18.045786624350335</v>
      </c>
      <c r="U8081" s="11">
        <v>0.05207263349110761</v>
      </c>
      <c r="V8081" s="11">
        <v>0.0206102616064421</v>
      </c>
      <c r="W8081" s="11">
        <v>0.13557286026415802</v>
      </c>
      <c r="X8081" s="11">
        <v>0.1951993864291683</v>
      </c>
      <c r="Y8081" s="11">
        <v>0.31972558520178945</v>
      </c>
      <c r="Z8081" s="11">
        <v>0.2768192730073345</v>
      </c>
    </row>
    <row r="8082" ht="22.5" customHeight="1">
      <c r="Q8082" s="9" t="s">
        <v>8120</v>
      </c>
      <c r="R8082" s="10">
        <v>0.5012924695252354</v>
      </c>
      <c r="S8082" s="10">
        <v>0.02556466965261839</v>
      </c>
      <c r="T8082" s="10">
        <v>18.04413965810776</v>
      </c>
      <c r="U8082" s="11">
        <v>0.13024033403346413</v>
      </c>
      <c r="V8082" s="11">
        <v>0.05466421287797483</v>
      </c>
      <c r="W8082" s="11">
        <v>0.2122483695276831</v>
      </c>
      <c r="X8082" s="11">
        <v>0.10973199223864287</v>
      </c>
      <c r="Y8082" s="11">
        <v>0.3704748062013959</v>
      </c>
      <c r="Z8082" s="11">
        <v>0.12264028512083908</v>
      </c>
    </row>
    <row r="8083" ht="22.5" customHeight="1">
      <c r="Q8083" s="9" t="s">
        <v>8121</v>
      </c>
      <c r="R8083" s="10">
        <v>0.2834723249448642</v>
      </c>
      <c r="S8083" s="10">
        <v>0.013493337779496486</v>
      </c>
      <c r="T8083" s="10">
        <v>18.04389165405963</v>
      </c>
      <c r="U8083" s="11">
        <v>0.315040106294727</v>
      </c>
      <c r="V8083" s="11">
        <v>0.0028300460817014613</v>
      </c>
      <c r="W8083" s="11">
        <v>0.09440479078224596</v>
      </c>
      <c r="X8083" s="11">
        <v>0.23523032525292253</v>
      </c>
      <c r="Y8083" s="11">
        <v>0.1659342677373331</v>
      </c>
      <c r="Z8083" s="11">
        <v>0.18656046385107</v>
      </c>
    </row>
    <row r="8084" ht="22.5" customHeight="1">
      <c r="Q8084" s="9" t="s">
        <v>8122</v>
      </c>
      <c r="R8084" s="10">
        <v>0.8456632342236527</v>
      </c>
      <c r="S8084" s="10">
        <v>0.044651030554851895</v>
      </c>
      <c r="T8084" s="10">
        <v>18.043552953026015</v>
      </c>
      <c r="U8084" s="11">
        <v>0.0781870917597547</v>
      </c>
      <c r="V8084" s="11">
        <v>0.16240850393693176</v>
      </c>
      <c r="W8084" s="11">
        <v>0.3822355576774449</v>
      </c>
      <c r="X8084" s="11">
        <v>0.07422725687890855</v>
      </c>
      <c r="Y8084" s="11">
        <v>0.0712871366884522</v>
      </c>
      <c r="Z8084" s="11">
        <v>0.231654453058508</v>
      </c>
    </row>
    <row r="8085" ht="22.5" customHeight="1">
      <c r="Q8085" s="9" t="s">
        <v>8123</v>
      </c>
      <c r="R8085" s="10">
        <v>0.538875039337172</v>
      </c>
      <c r="S8085" s="10">
        <v>0.027650131135327282</v>
      </c>
      <c r="T8085" s="10">
        <v>18.04241133235649</v>
      </c>
      <c r="U8085" s="11">
        <v>0.423854209463742</v>
      </c>
      <c r="V8085" s="11">
        <v>0.07574050904572449</v>
      </c>
      <c r="W8085" s="11">
        <v>0.23410488687283673</v>
      </c>
      <c r="X8085" s="11">
        <v>0.06943135679834136</v>
      </c>
      <c r="Y8085" s="11">
        <v>0.0034408333782504326</v>
      </c>
      <c r="Z8085" s="11">
        <v>0.19342820444110503</v>
      </c>
    </row>
    <row r="8086" ht="22.5" customHeight="1">
      <c r="Q8086" s="9" t="s">
        <v>8124</v>
      </c>
      <c r="R8086" s="10">
        <v>0.6236767103854284</v>
      </c>
      <c r="S8086" s="10">
        <v>0.032350485206349124</v>
      </c>
      <c r="T8086" s="10">
        <v>18.042286125305957</v>
      </c>
      <c r="U8086" s="11">
        <v>0.2895632274895899</v>
      </c>
      <c r="V8086" s="11">
        <v>0.09549879129033914</v>
      </c>
      <c r="W8086" s="11">
        <v>0.2764852783659533</v>
      </c>
      <c r="X8086" s="11">
        <v>0.03676253513169571</v>
      </c>
      <c r="Y8086" s="11">
        <v>0.15361866748617833</v>
      </c>
      <c r="Z8086" s="11">
        <v>0.14807150023624344</v>
      </c>
    </row>
    <row r="8087" ht="22.5" customHeight="1">
      <c r="Q8087" s="9" t="s">
        <v>8125</v>
      </c>
      <c r="R8087" s="10">
        <v>0.574123567405665</v>
      </c>
      <c r="S8087" s="10">
        <v>0.029604257937587083</v>
      </c>
      <c r="T8087" s="10">
        <v>18.042119769788734</v>
      </c>
      <c r="U8087" s="11">
        <v>0.0865841511736848</v>
      </c>
      <c r="V8087" s="11">
        <v>0.07664754504092022</v>
      </c>
      <c r="W8087" s="11">
        <v>0.257550808193567</v>
      </c>
      <c r="X8087" s="11">
        <v>0.1918058134292918</v>
      </c>
      <c r="Y8087" s="11">
        <v>0.05166179295027489</v>
      </c>
      <c r="Z8087" s="11">
        <v>0.33574988921226134</v>
      </c>
    </row>
    <row r="8088" ht="22.5" customHeight="1">
      <c r="Q8088" s="9" t="s">
        <v>8126</v>
      </c>
      <c r="R8088" s="10">
        <v>0.6768924097243807</v>
      </c>
      <c r="S8088" s="10">
        <v>0.03530703565988423</v>
      </c>
      <c r="T8088" s="10">
        <v>18.03868259741829</v>
      </c>
      <c r="U8088" s="11">
        <v>0.24980677285761033</v>
      </c>
      <c r="V8088" s="11">
        <v>0.10913221715988135</v>
      </c>
      <c r="W8088" s="11">
        <v>0.3014566782151641</v>
      </c>
      <c r="X8088" s="11">
        <v>0.02641140820201979</v>
      </c>
      <c r="Y8088" s="11">
        <v>0.20076189921323342</v>
      </c>
      <c r="Z8088" s="11">
        <v>0.11243102435209092</v>
      </c>
    </row>
    <row r="8089" ht="22.5" customHeight="1">
      <c r="Q8089" s="9" t="s">
        <v>8127</v>
      </c>
      <c r="R8089" s="10">
        <v>0.32471574637092415</v>
      </c>
      <c r="S8089" s="10">
        <v>0.015785720442852653</v>
      </c>
      <c r="T8089" s="10">
        <v>18.03628459034543</v>
      </c>
      <c r="U8089" s="11">
        <v>0.2369636254536528</v>
      </c>
      <c r="V8089" s="11">
        <v>0.1273267929880614</v>
      </c>
      <c r="W8089" s="11">
        <v>0.007548764906302477</v>
      </c>
      <c r="X8089" s="11">
        <v>0.09746717862816404</v>
      </c>
      <c r="Y8089" s="11">
        <v>0.2917001733675143</v>
      </c>
      <c r="Z8089" s="11">
        <v>0.23899346465630497</v>
      </c>
    </row>
    <row r="8090" ht="22.5" customHeight="1">
      <c r="Q8090" s="9" t="s">
        <v>8128</v>
      </c>
      <c r="R8090" s="10">
        <v>0.5779747270990626</v>
      </c>
      <c r="S8090" s="10">
        <v>0.029828757290655452</v>
      </c>
      <c r="T8090" s="10">
        <v>18.035438816876077</v>
      </c>
      <c r="U8090" s="11">
        <v>0.32375380493778466</v>
      </c>
      <c r="V8090" s="11">
        <v>0.2735252013624943</v>
      </c>
      <c r="W8090" s="11">
        <v>0.044047623398690075</v>
      </c>
      <c r="X8090" s="11">
        <v>0.0620256962927116</v>
      </c>
      <c r="Y8090" s="11">
        <v>0.24481835656760684</v>
      </c>
      <c r="Z8090" s="11">
        <v>0.05182931744071254</v>
      </c>
    </row>
    <row r="8091" ht="22.5" customHeight="1">
      <c r="Q8091" s="9" t="s">
        <v>8129</v>
      </c>
      <c r="R8091" s="10">
        <v>0.6020978545946591</v>
      </c>
      <c r="S8091" s="10">
        <v>0.031166675659403623</v>
      </c>
      <c r="T8091" s="10">
        <v>18.035220077283498</v>
      </c>
      <c r="U8091" s="11">
        <v>0.15897032497096367</v>
      </c>
      <c r="V8091" s="11">
        <v>0.06544137882098265</v>
      </c>
      <c r="W8091" s="11">
        <v>0.27232484065533336</v>
      </c>
      <c r="X8091" s="11">
        <v>0.24763836339210435</v>
      </c>
      <c r="Y8091" s="11">
        <v>0.13622644606503143</v>
      </c>
      <c r="Z8091" s="11">
        <v>0.11939864609558463</v>
      </c>
    </row>
    <row r="8092" ht="22.5" customHeight="1">
      <c r="Q8092" s="9" t="s">
        <v>8130</v>
      </c>
      <c r="R8092" s="10">
        <v>0.7558391527292186</v>
      </c>
      <c r="S8092" s="10">
        <v>0.039693193677844</v>
      </c>
      <c r="T8092" s="10">
        <v>18.034304786333852</v>
      </c>
      <c r="U8092" s="11">
        <v>0.003723878504180388</v>
      </c>
      <c r="V8092" s="11">
        <v>0.11802541274067245</v>
      </c>
      <c r="W8092" s="11">
        <v>0.34398069388822966</v>
      </c>
      <c r="X8092" s="11">
        <v>0.17460464029890585</v>
      </c>
      <c r="Y8092" s="11">
        <v>0.1986105928046405</v>
      </c>
      <c r="Z8092" s="11">
        <v>0.16105478176337124</v>
      </c>
    </row>
    <row r="8093" ht="22.5" customHeight="1">
      <c r="Q8093" s="9" t="s">
        <v>8131</v>
      </c>
      <c r="R8093" s="10">
        <v>0.5876172286944924</v>
      </c>
      <c r="S8093" s="10">
        <v>0.030366458187601482</v>
      </c>
      <c r="T8093" s="10">
        <v>18.033622008577957</v>
      </c>
      <c r="U8093" s="11">
        <v>0.1370597655548155</v>
      </c>
      <c r="V8093" s="11">
        <v>0.28629007865205375</v>
      </c>
      <c r="W8093" s="11">
        <v>0.05644734117663226</v>
      </c>
      <c r="X8093" s="11">
        <v>0.09646908780240461</v>
      </c>
      <c r="Y8093" s="11">
        <v>0.065139635075508</v>
      </c>
      <c r="Z8093" s="11">
        <v>0.3585940917385859</v>
      </c>
    </row>
    <row r="8094" ht="22.5" customHeight="1">
      <c r="Q8094" s="9" t="s">
        <v>8132</v>
      </c>
      <c r="R8094" s="10">
        <v>0.6186809139990452</v>
      </c>
      <c r="S8094" s="10">
        <v>0.03209028307589709</v>
      </c>
      <c r="T8094" s="10">
        <v>18.032901505742423</v>
      </c>
      <c r="U8094" s="11">
        <v>0.097885554003164</v>
      </c>
      <c r="V8094" s="11">
        <v>0.10049968589745335</v>
      </c>
      <c r="W8094" s="11">
        <v>0.274987138079549</v>
      </c>
      <c r="X8094" s="11">
        <v>0.05523835924659128</v>
      </c>
      <c r="Y8094" s="11">
        <v>0.16068570158194573</v>
      </c>
      <c r="Z8094" s="11">
        <v>0.31070356119129666</v>
      </c>
    </row>
    <row r="8095" ht="22.5" customHeight="1">
      <c r="Q8095" s="9" t="s">
        <v>8133</v>
      </c>
      <c r="R8095" s="10">
        <v>0.5423781294860623</v>
      </c>
      <c r="S8095" s="10">
        <v>0.02786141096425706</v>
      </c>
      <c r="T8095" s="10">
        <v>18.03132404638641</v>
      </c>
      <c r="U8095" s="11">
        <v>0.10858429948370568</v>
      </c>
      <c r="V8095" s="11">
        <v>0.061701431282732824</v>
      </c>
      <c r="W8095" s="11">
        <v>0.24172722608167763</v>
      </c>
      <c r="X8095" s="11">
        <v>0.18311361070779558</v>
      </c>
      <c r="Y8095" s="11">
        <v>0.16229665805979357</v>
      </c>
      <c r="Z8095" s="11">
        <v>0.24257677438429476</v>
      </c>
    </row>
    <row r="8096" ht="22.5" customHeight="1">
      <c r="Q8096" s="9" t="s">
        <v>8134</v>
      </c>
      <c r="R8096" s="10">
        <v>0.5601000118403369</v>
      </c>
      <c r="S8096" s="10">
        <v>0.02884838382118057</v>
      </c>
      <c r="T8096" s="10">
        <v>18.02874001761159</v>
      </c>
      <c r="U8096" s="11">
        <v>0.24556178994271172</v>
      </c>
      <c r="V8096" s="11">
        <v>0.26977396748565247</v>
      </c>
      <c r="W8096" s="11">
        <v>0.03200521060957654</v>
      </c>
      <c r="X8096" s="11">
        <v>0.17992717582833323</v>
      </c>
      <c r="Y8096" s="11">
        <v>0.1260592015120137</v>
      </c>
      <c r="Z8096" s="11">
        <v>0.1466726546217124</v>
      </c>
    </row>
    <row r="8097" ht="22.5" customHeight="1">
      <c r="Q8097" s="9" t="s">
        <v>8135</v>
      </c>
      <c r="R8097" s="10">
        <v>0.5803732288462626</v>
      </c>
      <c r="S8097" s="10">
        <v>0.02997294535186472</v>
      </c>
      <c r="T8097" s="10">
        <v>18.02869963237177</v>
      </c>
      <c r="U8097" s="11">
        <v>0.24405432867748839</v>
      </c>
      <c r="V8097" s="11">
        <v>0.28016222813308733</v>
      </c>
      <c r="W8097" s="11">
        <v>0.05904670298908284</v>
      </c>
      <c r="X8097" s="11">
        <v>0.04836876200248559</v>
      </c>
      <c r="Y8097" s="11">
        <v>0.05303037232415653</v>
      </c>
      <c r="Z8097" s="11">
        <v>0.31533760587369947</v>
      </c>
    </row>
    <row r="8098" ht="22.5" customHeight="1">
      <c r="Q8098" s="9" t="s">
        <v>8136</v>
      </c>
      <c r="R8098" s="10">
        <v>0.6854687269275793</v>
      </c>
      <c r="S8098" s="10">
        <v>0.03580723409872419</v>
      </c>
      <c r="T8098" s="10">
        <v>18.026210154851846</v>
      </c>
      <c r="U8098" s="11">
        <v>0.1116188494737747</v>
      </c>
      <c r="V8098" s="11">
        <v>0.3384856036923164</v>
      </c>
      <c r="W8098" s="11">
        <v>0.07306836969350891</v>
      </c>
      <c r="X8098" s="11">
        <v>0.1069394358974156</v>
      </c>
      <c r="Y8098" s="11">
        <v>0.07379653920774165</v>
      </c>
      <c r="Z8098" s="11">
        <v>0.29609120203524264</v>
      </c>
    </row>
    <row r="8099" ht="22.5" customHeight="1">
      <c r="Q8099" s="9" t="s">
        <v>8137</v>
      </c>
      <c r="R8099" s="10">
        <v>0.6113478951817327</v>
      </c>
      <c r="S8099" s="10">
        <v>0.031695566516986365</v>
      </c>
      <c r="T8099" s="10">
        <v>18.026113995329112</v>
      </c>
      <c r="U8099" s="11">
        <v>0.1818826518646051</v>
      </c>
      <c r="V8099" s="11">
        <v>0.08787628079210207</v>
      </c>
      <c r="W8099" s="11">
        <v>0.2656550599995164</v>
      </c>
      <c r="X8099" s="11">
        <v>0.035218936326938746</v>
      </c>
      <c r="Y8099" s="11">
        <v>0.36956315954188057</v>
      </c>
      <c r="Z8099" s="11">
        <v>0.059803911474956964</v>
      </c>
    </row>
    <row r="8100" ht="22.5" customHeight="1">
      <c r="Q8100" s="9" t="s">
        <v>8138</v>
      </c>
      <c r="R8100" s="10">
        <v>0.503978260057329</v>
      </c>
      <c r="S8100" s="10">
        <v>0.025739446457214425</v>
      </c>
      <c r="T8100" s="10">
        <v>18.025961079954854</v>
      </c>
      <c r="U8100" s="11">
        <v>0.3258463363451303</v>
      </c>
      <c r="V8100" s="11">
        <v>0.05016554952724086</v>
      </c>
      <c r="W8100" s="11">
        <v>0.22134500101334162</v>
      </c>
      <c r="X8100" s="11">
        <v>0.16561110568418488</v>
      </c>
      <c r="Y8100" s="11">
        <v>0.09051581585891014</v>
      </c>
      <c r="Z8100" s="11">
        <v>0.14651619157119203</v>
      </c>
    </row>
    <row r="8101" ht="22.5" customHeight="1">
      <c r="Q8101" s="9" t="s">
        <v>8139</v>
      </c>
      <c r="R8101" s="10">
        <v>0.49046374878215193</v>
      </c>
      <c r="S8101" s="10">
        <v>0.02499129507208403</v>
      </c>
      <c r="T8101" s="10">
        <v>18.024826143777258</v>
      </c>
      <c r="U8101" s="11">
        <v>0.2528539837016908</v>
      </c>
      <c r="V8101" s="11">
        <v>0.22480878055779652</v>
      </c>
      <c r="W8101" s="11">
        <v>0.008568750021833384</v>
      </c>
      <c r="X8101" s="11">
        <v>0.25138871615931824</v>
      </c>
      <c r="Y8101" s="11">
        <v>0.25449705074157924</v>
      </c>
      <c r="Z8101" s="11">
        <v>0.007882718817781837</v>
      </c>
    </row>
    <row r="8102" ht="22.5" customHeight="1">
      <c r="Q8102" s="9" t="s">
        <v>8140</v>
      </c>
      <c r="R8102" s="10">
        <v>0.7362070742743382</v>
      </c>
      <c r="S8102" s="10">
        <v>0.03862622508646612</v>
      </c>
      <c r="T8102" s="10">
        <v>18.02420694012565</v>
      </c>
      <c r="U8102" s="11">
        <v>0.14646692152005975</v>
      </c>
      <c r="V8102" s="11">
        <v>0.3588177840939841</v>
      </c>
      <c r="W8102" s="11">
        <v>0.07093772886724281</v>
      </c>
      <c r="X8102" s="11">
        <v>0.08661682182066348</v>
      </c>
      <c r="Y8102" s="11">
        <v>0.332974039836265</v>
      </c>
      <c r="Z8102" s="11">
        <v>0.004186703861784769</v>
      </c>
    </row>
    <row r="8103" ht="22.5" customHeight="1">
      <c r="Q8103" s="9" t="s">
        <v>8141</v>
      </c>
      <c r="R8103" s="10">
        <v>0.7686694031499385</v>
      </c>
      <c r="S8103" s="10">
        <v>0.040428541205904</v>
      </c>
      <c r="T8103" s="10">
        <v>18.02363828659558</v>
      </c>
      <c r="U8103" s="11">
        <v>0.04803775781768942</v>
      </c>
      <c r="V8103" s="11">
        <v>0.13360301939708716</v>
      </c>
      <c r="W8103" s="11">
        <v>0.3453520456367392</v>
      </c>
      <c r="X8103" s="11">
        <v>0.05646114176060885</v>
      </c>
      <c r="Y8103" s="11">
        <v>0.2684197860835868</v>
      </c>
      <c r="Z8103" s="11">
        <v>0.14812624930428847</v>
      </c>
    </row>
    <row r="8104" ht="22.5" customHeight="1">
      <c r="Q8104" s="9" t="s">
        <v>8142</v>
      </c>
      <c r="R8104" s="10">
        <v>0.5031847055940621</v>
      </c>
      <c r="S8104" s="10">
        <v>0.02569953099901929</v>
      </c>
      <c r="T8104" s="10">
        <v>18.023080094797745</v>
      </c>
      <c r="U8104" s="11">
        <v>0.23090424497502268</v>
      </c>
      <c r="V8104" s="11">
        <v>0.05351138659239721</v>
      </c>
      <c r="W8104" s="11">
        <v>0.21879502677831064</v>
      </c>
      <c r="X8104" s="11">
        <v>0.1169555590346648</v>
      </c>
      <c r="Y8104" s="11">
        <v>0.22870801133234636</v>
      </c>
      <c r="Z8104" s="11">
        <v>0.15112577128725824</v>
      </c>
    </row>
    <row r="8105" ht="22.5" customHeight="1">
      <c r="Q8105" s="9" t="s">
        <v>8143</v>
      </c>
      <c r="R8105" s="10">
        <v>0.6262503797348976</v>
      </c>
      <c r="S8105" s="10">
        <v>0.032532959500794524</v>
      </c>
      <c r="T8105" s="10">
        <v>18.020198246045833</v>
      </c>
      <c r="U8105" s="11">
        <v>0.2353916439931973</v>
      </c>
      <c r="V8105" s="11">
        <v>0.07288942579411155</v>
      </c>
      <c r="W8105" s="11">
        <v>0.2837179781794014</v>
      </c>
      <c r="X8105" s="11">
        <v>0.2034043616173119</v>
      </c>
      <c r="Y8105" s="11">
        <v>0.14080528165289977</v>
      </c>
      <c r="Z8105" s="11">
        <v>0.06379130876307805</v>
      </c>
    </row>
    <row r="8106" ht="22.5" customHeight="1">
      <c r="Q8106" s="9" t="s">
        <v>8144</v>
      </c>
      <c r="R8106" s="10">
        <v>0.4297090495872164</v>
      </c>
      <c r="S8106" s="10">
        <v>0.021626521323067856</v>
      </c>
      <c r="T8106" s="10">
        <v>18.01996001879112</v>
      </c>
      <c r="U8106" s="11">
        <v>0.1886856814369974</v>
      </c>
      <c r="V8106" s="11">
        <v>0.033547469692668724</v>
      </c>
      <c r="W8106" s="11">
        <v>0.18467473723757186</v>
      </c>
      <c r="X8106" s="11">
        <v>0.2504574143716848</v>
      </c>
      <c r="Y8106" s="11">
        <v>0.029495976027579772</v>
      </c>
      <c r="Z8106" s="11">
        <v>0.3131387212334975</v>
      </c>
    </row>
    <row r="8107" ht="22.5" customHeight="1">
      <c r="Q8107" s="9" t="s">
        <v>8145</v>
      </c>
      <c r="R8107" s="10">
        <v>0.6670797251975689</v>
      </c>
      <c r="S8107" s="10">
        <v>0.0348000680999847</v>
      </c>
      <c r="T8107" s="10">
        <v>18.019497070979714</v>
      </c>
      <c r="U8107" s="11">
        <v>0.01682058753045331</v>
      </c>
      <c r="V8107" s="11">
        <v>0.10580662490202178</v>
      </c>
      <c r="W8107" s="11">
        <v>0.30151967067851415</v>
      </c>
      <c r="X8107" s="11">
        <v>0.14603361141536816</v>
      </c>
      <c r="Y8107" s="11">
        <v>0.10341506576105791</v>
      </c>
      <c r="Z8107" s="11">
        <v>0.3264044397125847</v>
      </c>
    </row>
    <row r="8108" ht="22.5" customHeight="1">
      <c r="Q8108" s="9" t="s">
        <v>8146</v>
      </c>
      <c r="R8108" s="10">
        <v>0.317402892524944</v>
      </c>
      <c r="S8108" s="10">
        <v>0.015394605048355391</v>
      </c>
      <c r="T8108" s="10">
        <v>18.01948745379337</v>
      </c>
      <c r="U8108" s="11">
        <v>0.3172489676175583</v>
      </c>
      <c r="V8108" s="11">
        <v>0.11787139101716056</v>
      </c>
      <c r="W8108" s="11">
        <v>0.010395738457289</v>
      </c>
      <c r="X8108" s="11">
        <v>0.07384689694479991</v>
      </c>
      <c r="Y8108" s="11">
        <v>0.29835087320653303</v>
      </c>
      <c r="Z8108" s="11">
        <v>0.18228613275665928</v>
      </c>
    </row>
    <row r="8109" ht="22.5" customHeight="1">
      <c r="Q8109" s="9" t="s">
        <v>8147</v>
      </c>
      <c r="R8109" s="10">
        <v>0.48356078894096527</v>
      </c>
      <c r="S8109" s="10">
        <v>0.02461564274402252</v>
      </c>
      <c r="T8109" s="10">
        <v>18.01946809000859</v>
      </c>
      <c r="U8109" s="11">
        <v>0.2554234752545656</v>
      </c>
      <c r="V8109" s="11">
        <v>0.043864201813133996</v>
      </c>
      <c r="W8109" s="11">
        <v>0.21255726957119914</v>
      </c>
      <c r="X8109" s="11">
        <v>0.21290411570899892</v>
      </c>
      <c r="Y8109" s="11">
        <v>0.061442176471235975</v>
      </c>
      <c r="Z8109" s="11">
        <v>0.2138087611808662</v>
      </c>
    </row>
    <row r="8110" ht="22.5" customHeight="1">
      <c r="Q8110" s="9" t="s">
        <v>8148</v>
      </c>
      <c r="R8110" s="10">
        <v>0.5727994301780979</v>
      </c>
      <c r="S8110" s="10">
        <v>0.02957062318672131</v>
      </c>
      <c r="T8110" s="10">
        <v>18.017862755674066</v>
      </c>
      <c r="U8110" s="11">
        <v>0.07605802396040816</v>
      </c>
      <c r="V8110" s="11">
        <v>0.27732135174845157</v>
      </c>
      <c r="W8110" s="11">
        <v>0.041671480425719894</v>
      </c>
      <c r="X8110" s="11">
        <v>0.1293262843513978</v>
      </c>
      <c r="Y8110" s="11">
        <v>0.23177879319682335</v>
      </c>
      <c r="Z8110" s="11">
        <v>0.24384406631719918</v>
      </c>
    </row>
    <row r="8111" ht="22.5" customHeight="1">
      <c r="Q8111" s="9" t="s">
        <v>8149</v>
      </c>
      <c r="R8111" s="10">
        <v>0.40481328661684146</v>
      </c>
      <c r="S8111" s="10">
        <v>0.020248358884896286</v>
      </c>
      <c r="T8111" s="10">
        <v>18.016931085163847</v>
      </c>
      <c r="U8111" s="11">
        <v>0.2641630968233394</v>
      </c>
      <c r="V8111" s="11">
        <v>0.18014850263719603</v>
      </c>
      <c r="W8111" s="11">
        <v>0.01119424790816208</v>
      </c>
      <c r="X8111" s="11">
        <v>0.12992005414663313</v>
      </c>
      <c r="Y8111" s="11">
        <v>0.21081791066725017</v>
      </c>
      <c r="Z8111" s="11">
        <v>0.20375618781741914</v>
      </c>
    </row>
    <row r="8112" ht="22.5" customHeight="1">
      <c r="Q8112" s="9" t="s">
        <v>8150</v>
      </c>
      <c r="R8112" s="10">
        <v>0.4285139464950536</v>
      </c>
      <c r="S8112" s="10">
        <v>0.021564243739000313</v>
      </c>
      <c r="T8112" s="10">
        <v>18.016581114430704</v>
      </c>
      <c r="U8112" s="11">
        <v>0.2823207860325258</v>
      </c>
      <c r="V8112" s="11">
        <v>0.18917040147628242</v>
      </c>
      <c r="W8112" s="11">
        <v>0.03056131048642111</v>
      </c>
      <c r="X8112" s="11">
        <v>0.002176233805577035</v>
      </c>
      <c r="Y8112" s="11">
        <v>0.2751063547633227</v>
      </c>
      <c r="Z8112" s="11">
        <v>0.220664913435871</v>
      </c>
    </row>
    <row r="8113" ht="22.5" customHeight="1">
      <c r="Q8113" s="9" t="s">
        <v>8151</v>
      </c>
      <c r="R8113" s="10">
        <v>0.5133453884232437</v>
      </c>
      <c r="S8113" s="10">
        <v>0.02627677905836235</v>
      </c>
      <c r="T8113" s="10">
        <v>18.013828383300496</v>
      </c>
      <c r="U8113" s="11">
        <v>0.22227686984436376</v>
      </c>
      <c r="V8113" s="11">
        <v>0.24231696361024962</v>
      </c>
      <c r="W8113" s="11">
        <v>0.01225357619389148</v>
      </c>
      <c r="X8113" s="11">
        <v>0.29426085141437797</v>
      </c>
      <c r="Y8113" s="11">
        <v>0.12772920355510942</v>
      </c>
      <c r="Z8113" s="11">
        <v>0.10116253538200785</v>
      </c>
    </row>
    <row r="8114" ht="22.5" customHeight="1">
      <c r="Q8114" s="9" t="s">
        <v>8152</v>
      </c>
      <c r="R8114" s="10">
        <v>0.534176059067487</v>
      </c>
      <c r="S8114" s="10">
        <v>0.027433224863477743</v>
      </c>
      <c r="T8114" s="10">
        <v>18.013779332425145</v>
      </c>
      <c r="U8114" s="11">
        <v>0.2002121036444451</v>
      </c>
      <c r="V8114" s="11">
        <v>0.25677501839994976</v>
      </c>
      <c r="W8114" s="11">
        <v>0.03279900753922756</v>
      </c>
      <c r="X8114" s="11">
        <v>0.1420508337869686</v>
      </c>
      <c r="Y8114" s="11">
        <v>0.1436508942285034</v>
      </c>
      <c r="Z8114" s="11">
        <v>0.2245121424009055</v>
      </c>
    </row>
    <row r="8115" ht="22.5" customHeight="1">
      <c r="Q8115" s="9" t="s">
        <v>8153</v>
      </c>
      <c r="R8115" s="10">
        <v>0.6296394385403252</v>
      </c>
      <c r="S8115" s="10">
        <v>0.03273491346143354</v>
      </c>
      <c r="T8115" s="10">
        <v>18.01255528703339</v>
      </c>
      <c r="U8115" s="11">
        <v>0.17692784982052706</v>
      </c>
      <c r="V8115" s="11">
        <v>0.30825634554324266</v>
      </c>
      <c r="W8115" s="11">
        <v>0.06573486219150838</v>
      </c>
      <c r="X8115" s="11">
        <v>0.07255439321518557</v>
      </c>
      <c r="Y8115" s="11">
        <v>0.06010563652867076</v>
      </c>
      <c r="Z8115" s="11">
        <v>0.31642091270086553</v>
      </c>
    </row>
    <row r="8116" ht="22.5" customHeight="1">
      <c r="Q8116" s="9" t="s">
        <v>8154</v>
      </c>
      <c r="R8116" s="10">
        <v>0.3706796626363156</v>
      </c>
      <c r="S8116" s="10">
        <v>0.01835847240859848</v>
      </c>
      <c r="T8116" s="10">
        <v>18.012373539392993</v>
      </c>
      <c r="U8116" s="11">
        <v>0.32155252277212365</v>
      </c>
      <c r="V8116" s="11">
        <v>0.00983890907473781</v>
      </c>
      <c r="W8116" s="11">
        <v>0.14888230681007214</v>
      </c>
      <c r="X8116" s="11">
        <v>0.2950274518567811</v>
      </c>
      <c r="Y8116" s="11">
        <v>0.08451873955326694</v>
      </c>
      <c r="Z8116" s="11">
        <v>0.14018006993301832</v>
      </c>
    </row>
    <row r="8117" ht="22.5" customHeight="1">
      <c r="Q8117" s="9" t="s">
        <v>8155</v>
      </c>
      <c r="R8117" s="10">
        <v>0.46587013898223195</v>
      </c>
      <c r="S8117" s="10">
        <v>0.023646462955631765</v>
      </c>
      <c r="T8117" s="10">
        <v>18.009887558291442</v>
      </c>
      <c r="U8117" s="11">
        <v>0.11821233635309188</v>
      </c>
      <c r="V8117" s="11">
        <v>0.21854908476974394</v>
      </c>
      <c r="W8117" s="11">
        <v>0.014014417947808798</v>
      </c>
      <c r="X8117" s="11">
        <v>0.21593009572830318</v>
      </c>
      <c r="Y8117" s="11">
        <v>0.18718447470863117</v>
      </c>
      <c r="Z8117" s="11">
        <v>0.24610959049242115</v>
      </c>
    </row>
    <row r="8118" ht="22.5" customHeight="1">
      <c r="Q8118" s="9" t="s">
        <v>8156</v>
      </c>
      <c r="R8118" s="10">
        <v>0.6730254331482284</v>
      </c>
      <c r="S8118" s="10">
        <v>0.03514981657709171</v>
      </c>
      <c r="T8118" s="10">
        <v>18.00935238907596</v>
      </c>
      <c r="U8118" s="11">
        <v>0.2534927938380263</v>
      </c>
      <c r="V8118" s="11">
        <v>0.1235289953072437</v>
      </c>
      <c r="W8118" s="11">
        <v>0.2988148921568126</v>
      </c>
      <c r="X8118" s="11">
        <v>0.005005834818726147</v>
      </c>
      <c r="Y8118" s="11">
        <v>0.027898521422179506</v>
      </c>
      <c r="Z8118" s="11">
        <v>0.29125896245701177</v>
      </c>
    </row>
    <row r="8119" ht="22.5" customHeight="1">
      <c r="Q8119" s="9" t="s">
        <v>8157</v>
      </c>
      <c r="R8119" s="10">
        <v>0.6810373628078216</v>
      </c>
      <c r="S8119" s="10">
        <v>0.035599825722954725</v>
      </c>
      <c r="T8119" s="10">
        <v>18.006755645280627</v>
      </c>
      <c r="U8119" s="11">
        <v>0.20518297134235236</v>
      </c>
      <c r="V8119" s="11">
        <v>0.3352275363043754</v>
      </c>
      <c r="W8119" s="11">
        <v>0.058463940515561245</v>
      </c>
      <c r="X8119" s="11">
        <v>0.13688939271997982</v>
      </c>
      <c r="Y8119" s="11">
        <v>0.15126520480359898</v>
      </c>
      <c r="Z8119" s="11">
        <v>0.11297095431413218</v>
      </c>
    </row>
    <row r="8120" ht="22.5" customHeight="1">
      <c r="Q8120" s="9" t="s">
        <v>8158</v>
      </c>
      <c r="R8120" s="10">
        <v>0.7711881060932839</v>
      </c>
      <c r="S8120" s="10">
        <v>0.0406085869195801</v>
      </c>
      <c r="T8120" s="10">
        <v>18.005751038353157</v>
      </c>
      <c r="U8120" s="11">
        <v>0.013256771559814695</v>
      </c>
      <c r="V8120" s="11">
        <v>0.12291672955242523</v>
      </c>
      <c r="W8120" s="11">
        <v>0.3537830162616894</v>
      </c>
      <c r="X8120" s="11">
        <v>0.2257367446755373</v>
      </c>
      <c r="Y8120" s="11">
        <v>0.04855099977281132</v>
      </c>
      <c r="Z8120" s="11">
        <v>0.2357557381777222</v>
      </c>
    </row>
    <row r="8121" ht="22.5" customHeight="1">
      <c r="Q8121" s="9" t="s">
        <v>8159</v>
      </c>
      <c r="R8121" s="10">
        <v>0.5122092399848218</v>
      </c>
      <c r="S8121" s="10">
        <v>0.026226194106536697</v>
      </c>
      <c r="T8121" s="10">
        <v>18.005252232428454</v>
      </c>
      <c r="U8121" s="11">
        <v>0.030654582141007674</v>
      </c>
      <c r="V8121" s="11">
        <v>0.05228611541447906</v>
      </c>
      <c r="W8121" s="11">
        <v>0.22551718674410123</v>
      </c>
      <c r="X8121" s="11">
        <v>0.20496356794034493</v>
      </c>
      <c r="Y8121" s="11">
        <v>0.23318747107288207</v>
      </c>
      <c r="Z8121" s="11">
        <v>0.253391076687185</v>
      </c>
    </row>
    <row r="8122" ht="22.5" customHeight="1">
      <c r="Q8122" s="9" t="s">
        <v>8160</v>
      </c>
      <c r="R8122" s="10">
        <v>0.406801388296164</v>
      </c>
      <c r="S8122" s="10">
        <v>0.020372497506100377</v>
      </c>
      <c r="T8122" s="10">
        <v>18.00473349849857</v>
      </c>
      <c r="U8122" s="11">
        <v>0.36126220163756584</v>
      </c>
      <c r="V8122" s="11">
        <v>0.04292698022208874</v>
      </c>
      <c r="W8122" s="11">
        <v>0.16512678607971543</v>
      </c>
      <c r="X8122" s="11">
        <v>0.04904985215131634</v>
      </c>
      <c r="Y8122" s="11">
        <v>0.17124452606396062</v>
      </c>
      <c r="Z8122" s="11">
        <v>0.21038965384535296</v>
      </c>
    </row>
    <row r="8123" ht="22.5" customHeight="1">
      <c r="Q8123" s="9" t="s">
        <v>8161</v>
      </c>
      <c r="R8123" s="10">
        <v>0.37327504315406557</v>
      </c>
      <c r="S8123" s="10">
        <v>0.018510831912788156</v>
      </c>
      <c r="T8123" s="10">
        <v>18.00432550650646</v>
      </c>
      <c r="U8123" s="11">
        <v>0.19955066725830284</v>
      </c>
      <c r="V8123" s="11">
        <v>0.16455949252360447</v>
      </c>
      <c r="W8123" s="11">
        <v>6.60186414559006E-4</v>
      </c>
      <c r="X8123" s="11">
        <v>0.25191339053982603</v>
      </c>
      <c r="Y8123" s="11">
        <v>0.08618900290844037</v>
      </c>
      <c r="Z8123" s="11">
        <v>0.29712726035526743</v>
      </c>
    </row>
    <row r="8124" ht="22.5" customHeight="1">
      <c r="Q8124" s="9" t="s">
        <v>8162</v>
      </c>
      <c r="R8124" s="10">
        <v>0.9322519583023641</v>
      </c>
      <c r="S8124" s="10">
        <v>0.04955842937412037</v>
      </c>
      <c r="T8124" s="10">
        <v>18.004040272678658</v>
      </c>
      <c r="U8124" s="11">
        <v>0.09050255829671515</v>
      </c>
      <c r="V8124" s="11">
        <v>0.17860772025046928</v>
      </c>
      <c r="W8124" s="11">
        <v>0.425770747553706</v>
      </c>
      <c r="X8124" s="11">
        <v>0.11390501569761577</v>
      </c>
      <c r="Y8124" s="11">
        <v>0.03377086401917323</v>
      </c>
      <c r="Z8124" s="11">
        <v>0.1574430941823205</v>
      </c>
    </row>
    <row r="8125" ht="22.5" customHeight="1">
      <c r="Q8125" s="9" t="s">
        <v>8163</v>
      </c>
      <c r="R8125" s="10">
        <v>0.6422415110952054</v>
      </c>
      <c r="S8125" s="10">
        <v>0.03345311969576849</v>
      </c>
      <c r="T8125" s="10">
        <v>18.002551527993468</v>
      </c>
      <c r="U8125" s="11">
        <v>0.05364675913557755</v>
      </c>
      <c r="V8125" s="11">
        <v>0.07743300750310837</v>
      </c>
      <c r="W8125" s="11">
        <v>0.29097607201634973</v>
      </c>
      <c r="X8125" s="11">
        <v>0.22683184621560157</v>
      </c>
      <c r="Y8125" s="11">
        <v>0.22950929254171976</v>
      </c>
      <c r="Z8125" s="11">
        <v>0.12160302258764313</v>
      </c>
    </row>
    <row r="8126" ht="22.5" customHeight="1">
      <c r="Q8126" s="9" t="s">
        <v>8164</v>
      </c>
      <c r="R8126" s="10">
        <v>0.6244221524641316</v>
      </c>
      <c r="S8126" s="10">
        <v>0.032464299435162464</v>
      </c>
      <c r="T8126" s="10">
        <v>18.001994887686905</v>
      </c>
      <c r="U8126" s="11">
        <v>0.17683231865417287</v>
      </c>
      <c r="V8126" s="11">
        <v>0.3060891648515083</v>
      </c>
      <c r="W8126" s="11">
        <v>0.03887926418486004</v>
      </c>
      <c r="X8126" s="11">
        <v>0.2339558581401481</v>
      </c>
      <c r="Y8126" s="11">
        <v>0.11086903120918297</v>
      </c>
      <c r="Z8126" s="11">
        <v>0.13337436296012772</v>
      </c>
    </row>
    <row r="8127" ht="22.5" customHeight="1">
      <c r="Q8127" s="9" t="s">
        <v>8165</v>
      </c>
      <c r="R8127" s="10">
        <v>0.6790721311330862</v>
      </c>
      <c r="S8127" s="10">
        <v>0.035501517523717725</v>
      </c>
      <c r="T8127" s="10">
        <v>18.001262360295925</v>
      </c>
      <c r="U8127" s="11">
        <v>0.20683748834430943</v>
      </c>
      <c r="V8127" s="11">
        <v>0.08324586850714291</v>
      </c>
      <c r="W8127" s="11">
        <v>0.31152525129575415</v>
      </c>
      <c r="X8127" s="11">
        <v>0.2637841025570215</v>
      </c>
      <c r="Y8127" s="11">
        <v>0.05477417833725884</v>
      </c>
      <c r="Z8127" s="11">
        <v>0.07983311095851323</v>
      </c>
    </row>
    <row r="8128" ht="22.5" customHeight="1">
      <c r="Q8128" s="9" t="s">
        <v>8166</v>
      </c>
      <c r="R8128" s="10">
        <v>0.5715557577026377</v>
      </c>
      <c r="S8128" s="10">
        <v>0.029532933130104265</v>
      </c>
      <c r="T8128" s="10">
        <v>17.99874585300837</v>
      </c>
      <c r="U8128" s="11">
        <v>0.052673263819212265</v>
      </c>
      <c r="V8128" s="11">
        <v>0.05924242090272035</v>
      </c>
      <c r="W8128" s="11">
        <v>0.25755931135604637</v>
      </c>
      <c r="X8128" s="11">
        <v>0.2709830764707168</v>
      </c>
      <c r="Y8128" s="11">
        <v>0.1558512583641474</v>
      </c>
      <c r="Z8128" s="11">
        <v>0.20369066908715688</v>
      </c>
    </row>
    <row r="8129" ht="22.5" customHeight="1">
      <c r="Q8129" s="9" t="s">
        <v>8167</v>
      </c>
      <c r="R8129" s="10">
        <v>0.6981805819860593</v>
      </c>
      <c r="S8129" s="10">
        <v>0.03656841687800773</v>
      </c>
      <c r="T8129" s="10">
        <v>17.99860749186245</v>
      </c>
      <c r="U8129" s="11">
        <v>0.07708168280355697</v>
      </c>
      <c r="V8129" s="11">
        <v>0.10928301373675882</v>
      </c>
      <c r="W8129" s="11">
        <v>0.31562231279062514</v>
      </c>
      <c r="X8129" s="11">
        <v>0.09999998153622446</v>
      </c>
      <c r="Y8129" s="11">
        <v>0.21309502823990706</v>
      </c>
      <c r="Z8129" s="11">
        <v>0.18491798089292752</v>
      </c>
    </row>
    <row r="8130" ht="22.5" customHeight="1">
      <c r="Q8130" s="9" t="s">
        <v>8168</v>
      </c>
      <c r="R8130" s="10">
        <v>0.4969268155754053</v>
      </c>
      <c r="S8130" s="10">
        <v>0.025386999834884193</v>
      </c>
      <c r="T8130" s="10">
        <v>17.99845663320735</v>
      </c>
      <c r="U8130" s="11">
        <v>0.20107061136162177</v>
      </c>
      <c r="V8130" s="11">
        <v>0.23624538661316058</v>
      </c>
      <c r="W8130" s="11">
        <v>0.017239543762854852</v>
      </c>
      <c r="X8130" s="11">
        <v>0.246913031276961</v>
      </c>
      <c r="Y8130" s="11">
        <v>0.08372806641639098</v>
      </c>
      <c r="Z8130" s="11">
        <v>0.21480336056901078</v>
      </c>
    </row>
    <row r="8131" ht="22.5" customHeight="1">
      <c r="Q8131" s="9" t="s">
        <v>8169</v>
      </c>
      <c r="R8131" s="10">
        <v>0.2112219117500922</v>
      </c>
      <c r="S8131" s="10">
        <v>0.009513305950125122</v>
      </c>
      <c r="T8131" s="10">
        <v>17.998150448198317</v>
      </c>
      <c r="U8131" s="11">
        <v>0.28050803395007046</v>
      </c>
      <c r="V8131" s="11">
        <v>0.02245312710383812</v>
      </c>
      <c r="W8131" s="11">
        <v>0.0242575687460053</v>
      </c>
      <c r="X8131" s="11">
        <v>0.18526395995284495</v>
      </c>
      <c r="Y8131" s="11">
        <v>0.23284768512690887</v>
      </c>
      <c r="Z8131" s="11">
        <v>0.25466962512033225</v>
      </c>
    </row>
    <row r="8132" ht="22.5" customHeight="1">
      <c r="Q8132" s="9" t="s">
        <v>8170</v>
      </c>
      <c r="R8132" s="10">
        <v>0.26466505550648617</v>
      </c>
      <c r="S8132" s="10">
        <v>0.01248299354787711</v>
      </c>
      <c r="T8132" s="10">
        <v>17.997690589585645</v>
      </c>
      <c r="U8132" s="11">
        <v>0.42851624544312616</v>
      </c>
      <c r="V8132" s="11">
        <v>0.07725417326009337</v>
      </c>
      <c r="W8132" s="11">
        <v>0.024569909386487402</v>
      </c>
      <c r="X8132" s="11">
        <v>0.03388535041808347</v>
      </c>
      <c r="Y8132" s="11">
        <v>0.1469947240884433</v>
      </c>
      <c r="Z8132" s="11">
        <v>0.2887795974037664</v>
      </c>
    </row>
    <row r="8133" ht="22.5" customHeight="1">
      <c r="Q8133" s="9" t="s">
        <v>8171</v>
      </c>
      <c r="R8133" s="10">
        <v>0.858770130092179</v>
      </c>
      <c r="S8133" s="10">
        <v>0.04549546263452692</v>
      </c>
      <c r="T8133" s="10">
        <v>17.996742591003063</v>
      </c>
      <c r="U8133" s="11">
        <v>0.1476140856437723</v>
      </c>
      <c r="V8133" s="11">
        <v>0.13641738691653077</v>
      </c>
      <c r="W8133" s="11">
        <v>0.3959978406161459</v>
      </c>
      <c r="X8133" s="11">
        <v>0.19464769412189456</v>
      </c>
      <c r="Y8133" s="11">
        <v>0.11636476978685373</v>
      </c>
      <c r="Z8133" s="11">
        <v>0.008958222914802852</v>
      </c>
    </row>
    <row r="8134" ht="22.5" customHeight="1">
      <c r="Q8134" s="9" t="s">
        <v>8172</v>
      </c>
      <c r="R8134" s="10">
        <v>0.7283949746617261</v>
      </c>
      <c r="S8134" s="10">
        <v>0.038251646349775466</v>
      </c>
      <c r="T8134" s="10">
        <v>17.99647963820953</v>
      </c>
      <c r="U8134" s="11">
        <v>0.003641357280373933</v>
      </c>
      <c r="V8134" s="11">
        <v>0.1224843969151934</v>
      </c>
      <c r="W8134" s="11">
        <v>0.3282938961957454</v>
      </c>
      <c r="X8134" s="11">
        <v>0.08327556283812684</v>
      </c>
      <c r="Y8134" s="11">
        <v>0.23971514355989373</v>
      </c>
      <c r="Z8134" s="11">
        <v>0.22258964321066665</v>
      </c>
    </row>
    <row r="8135" ht="22.5" customHeight="1">
      <c r="Q8135" s="9" t="s">
        <v>8173</v>
      </c>
      <c r="R8135" s="10">
        <v>0.8124231924133077</v>
      </c>
      <c r="S8135" s="10">
        <v>0.042925189729245646</v>
      </c>
      <c r="T8135" s="10">
        <v>17.994636652404658</v>
      </c>
      <c r="U8135" s="11">
        <v>0.1572040700939829</v>
      </c>
      <c r="V8135" s="11">
        <v>0.1303861093045495</v>
      </c>
      <c r="W8135" s="11">
        <v>0.37217150178157815</v>
      </c>
      <c r="X8135" s="11">
        <v>0.13496732472845302</v>
      </c>
      <c r="Y8135" s="11">
        <v>0.16394109238149435</v>
      </c>
      <c r="Z8135" s="11">
        <v>0.04132990170994195</v>
      </c>
    </row>
    <row r="8136" ht="22.5" customHeight="1">
      <c r="Q8136" s="9" t="s">
        <v>8174</v>
      </c>
      <c r="R8136" s="10">
        <v>0.4717743535892902</v>
      </c>
      <c r="S8136" s="10">
        <v>0.0239959963353854</v>
      </c>
      <c r="T8136" s="10">
        <v>17.993599746995272</v>
      </c>
      <c r="U8136" s="11">
        <v>0.2269393342738256</v>
      </c>
      <c r="V8136" s="11">
        <v>0.04954933896964988</v>
      </c>
      <c r="W8136" s="11">
        <v>0.20503986898072157</v>
      </c>
      <c r="X8136" s="11">
        <v>0.12146181041175495</v>
      </c>
      <c r="Y8136" s="11">
        <v>0.15216604684409393</v>
      </c>
      <c r="Z8136" s="11">
        <v>0.24484360051995396</v>
      </c>
    </row>
    <row r="8137" ht="22.5" customHeight="1">
      <c r="Q8137" s="9" t="s">
        <v>8175</v>
      </c>
      <c r="R8137" s="10">
        <v>0.4459991896127206</v>
      </c>
      <c r="S8137" s="10">
        <v>0.022563574095721524</v>
      </c>
      <c r="T8137" s="10">
        <v>17.993567326273265</v>
      </c>
      <c r="U8137" s="11">
        <v>0.22936742163902563</v>
      </c>
      <c r="V8137" s="11">
        <v>0.04385930804114879</v>
      </c>
      <c r="W8137" s="11">
        <v>0.18721819657527525</v>
      </c>
      <c r="X8137" s="11">
        <v>0.089784653509818</v>
      </c>
      <c r="Y8137" s="11">
        <v>0.27393680734431625</v>
      </c>
      <c r="Z8137" s="11">
        <v>0.1758336128904161</v>
      </c>
    </row>
    <row r="8138" ht="22.5" customHeight="1">
      <c r="Q8138" s="9" t="s">
        <v>8176</v>
      </c>
      <c r="R8138" s="10">
        <v>0.5021818060097705</v>
      </c>
      <c r="S8138" s="10">
        <v>0.025686789269688766</v>
      </c>
      <c r="T8138" s="10">
        <v>17.99297690175548</v>
      </c>
      <c r="U8138" s="11">
        <v>0.23560933982950644</v>
      </c>
      <c r="V8138" s="11">
        <v>0.23843311574161355</v>
      </c>
      <c r="W8138" s="11">
        <v>0.020092310459513967</v>
      </c>
      <c r="X8138" s="11">
        <v>0.1950741820833738</v>
      </c>
      <c r="Y8138" s="11">
        <v>0.13526782367448772</v>
      </c>
      <c r="Z8138" s="11">
        <v>0.17552322821150462</v>
      </c>
    </row>
    <row r="8139" ht="22.5" customHeight="1">
      <c r="Q8139" s="9" t="s">
        <v>8177</v>
      </c>
      <c r="R8139" s="10">
        <v>0.5452097425928558</v>
      </c>
      <c r="S8139" s="10">
        <v>0.028085818169330676</v>
      </c>
      <c r="T8139" s="10">
        <v>17.98807282547096</v>
      </c>
      <c r="U8139" s="11">
        <v>0.10632359396344822</v>
      </c>
      <c r="V8139" s="11">
        <v>0.0726750881100265</v>
      </c>
      <c r="W8139" s="11">
        <v>0.23676796977846823</v>
      </c>
      <c r="X8139" s="11">
        <v>0.06184401428493725</v>
      </c>
      <c r="Y8139" s="11">
        <v>0.3242867636387897</v>
      </c>
      <c r="Z8139" s="11">
        <v>0.19810257022433014</v>
      </c>
    </row>
    <row r="8140" ht="22.5" customHeight="1">
      <c r="Q8140" s="9" t="s">
        <v>8178</v>
      </c>
      <c r="R8140" s="10">
        <v>0.23876552213901864</v>
      </c>
      <c r="S8140" s="10">
        <v>0.01105011485772604</v>
      </c>
      <c r="T8140" s="10">
        <v>17.987643087713735</v>
      </c>
      <c r="U8140" s="11">
        <v>0.057861637653085836</v>
      </c>
      <c r="V8140" s="11">
        <v>0.01553045272012208</v>
      </c>
      <c r="W8140" s="11">
        <v>0.06619989976072432</v>
      </c>
      <c r="X8140" s="11">
        <v>0.17359273609862777</v>
      </c>
      <c r="Y8140" s="11">
        <v>0.22286045293741683</v>
      </c>
      <c r="Z8140" s="11">
        <v>0.46395482083002315</v>
      </c>
    </row>
    <row r="8141" ht="22.5" customHeight="1">
      <c r="Q8141" s="9" t="s">
        <v>8179</v>
      </c>
      <c r="R8141" s="10">
        <v>0.6404137029386399</v>
      </c>
      <c r="S8141" s="10">
        <v>0.033380067580658625</v>
      </c>
      <c r="T8141" s="10">
        <v>17.987192550998216</v>
      </c>
      <c r="U8141" s="11">
        <v>0.10876263426871913</v>
      </c>
      <c r="V8141" s="11">
        <v>0.3165651329745769</v>
      </c>
      <c r="W8141" s="11">
        <v>0.04806076907602139</v>
      </c>
      <c r="X8141" s="11">
        <v>0.23572164622187217</v>
      </c>
      <c r="Y8141" s="11">
        <v>0.04342816369144494</v>
      </c>
      <c r="Z8141" s="11">
        <v>0.24746165376736545</v>
      </c>
    </row>
    <row r="8142" ht="22.5" customHeight="1">
      <c r="Q8142" s="9" t="s">
        <v>8180</v>
      </c>
      <c r="R8142" s="10">
        <v>0.5888183093246696</v>
      </c>
      <c r="S8142" s="10">
        <v>0.030516815074991186</v>
      </c>
      <c r="T8142" s="10">
        <v>17.98412802830238</v>
      </c>
      <c r="U8142" s="11">
        <v>0.15917269163381206</v>
      </c>
      <c r="V8142" s="11">
        <v>0.2845446334504199</v>
      </c>
      <c r="W8142" s="11">
        <v>0.040061192199433694</v>
      </c>
      <c r="X8142" s="11">
        <v>0.12495371207679667</v>
      </c>
      <c r="Y8142" s="11">
        <v>0.2576226688394277</v>
      </c>
      <c r="Z8142" s="11">
        <v>0.13364510180010988</v>
      </c>
    </row>
    <row r="8143" ht="22.5" customHeight="1">
      <c r="Q8143" s="9" t="s">
        <v>8181</v>
      </c>
      <c r="R8143" s="10">
        <v>0.2992067034083031</v>
      </c>
      <c r="S8143" s="10">
        <v>0.01441376029291975</v>
      </c>
      <c r="T8143" s="10">
        <v>17.983281124470288</v>
      </c>
      <c r="U8143" s="11">
        <v>0.243562849245497</v>
      </c>
      <c r="V8143" s="11">
        <v>0.009664711237405779</v>
      </c>
      <c r="W8143" s="11">
        <v>0.10371331066549967</v>
      </c>
      <c r="X8143" s="11">
        <v>0.17451769187003452</v>
      </c>
      <c r="Y8143" s="11">
        <v>0.26298109450033286</v>
      </c>
      <c r="Z8143" s="11">
        <v>0.2055603424812302</v>
      </c>
    </row>
    <row r="8144" ht="22.5" customHeight="1">
      <c r="Q8144" s="9" t="s">
        <v>8182</v>
      </c>
      <c r="R8144" s="10">
        <v>0.9213711426443566</v>
      </c>
      <c r="S8144" s="10">
        <v>0.0490168693067995</v>
      </c>
      <c r="T8144" s="10">
        <v>17.98097583768156</v>
      </c>
      <c r="U8144" s="11">
        <v>0.0711009330329084</v>
      </c>
      <c r="V8144" s="11">
        <v>0.18255653662605928</v>
      </c>
      <c r="W8144" s="11">
        <v>0.41603556453413393</v>
      </c>
      <c r="X8144" s="11">
        <v>0.003708123220118242</v>
      </c>
      <c r="Y8144" s="11">
        <v>0.21628779806718357</v>
      </c>
      <c r="Z8144" s="11">
        <v>0.11031104451959649</v>
      </c>
    </row>
    <row r="8145" ht="22.5" customHeight="1">
      <c r="Q8145" s="9" t="s">
        <v>8183</v>
      </c>
      <c r="R8145" s="10">
        <v>0.5731058206450178</v>
      </c>
      <c r="S8145" s="10">
        <v>0.029650114630856712</v>
      </c>
      <c r="T8145" s="10">
        <v>17.979890711458413</v>
      </c>
      <c r="U8145" s="11">
        <v>0.13771392960779158</v>
      </c>
      <c r="V8145" s="11">
        <v>0.2737686306223871</v>
      </c>
      <c r="W8145" s="11">
        <v>0.05557149513462592</v>
      </c>
      <c r="X8145" s="11">
        <v>9.900619817263183E-4</v>
      </c>
      <c r="Y8145" s="11">
        <v>0.28450312720885096</v>
      </c>
      <c r="Z8145" s="11">
        <v>0.2474527554446182</v>
      </c>
    </row>
    <row r="8146" ht="22.5" customHeight="1">
      <c r="Q8146" s="9" t="s">
        <v>8184</v>
      </c>
      <c r="R8146" s="10">
        <v>0.3317878827652614</v>
      </c>
      <c r="S8146" s="10">
        <v>0.016229981586438947</v>
      </c>
      <c r="T8146" s="10">
        <v>17.978324942097682</v>
      </c>
      <c r="U8146" s="11">
        <v>0.1848957160541968</v>
      </c>
      <c r="V8146" s="11">
        <v>0.1269462418404389</v>
      </c>
      <c r="W8146" s="11">
        <v>0.009764463535604439</v>
      </c>
      <c r="X8146" s="11">
        <v>0.0946944334222209</v>
      </c>
      <c r="Y8146" s="11">
        <v>0.3817384493686075</v>
      </c>
      <c r="Z8146" s="11">
        <v>0.20196069577893158</v>
      </c>
    </row>
    <row r="8147" ht="22.5" customHeight="1">
      <c r="Q8147" s="9" t="s">
        <v>8185</v>
      </c>
      <c r="R8147" s="10">
        <v>0.5013017104786703</v>
      </c>
      <c r="S8147" s="10">
        <v>0.025658820520830267</v>
      </c>
      <c r="T8147" s="10">
        <v>17.978289769951733</v>
      </c>
      <c r="U8147" s="11">
        <v>0.2854935438476041</v>
      </c>
      <c r="V8147" s="11">
        <v>0.035998509279308345</v>
      </c>
      <c r="W8147" s="11">
        <v>0.22090569958089218</v>
      </c>
      <c r="X8147" s="11">
        <v>0.2556874832341585</v>
      </c>
      <c r="Y8147" s="11">
        <v>0.13818685409376955</v>
      </c>
      <c r="Z8147" s="11">
        <v>0.06372790996426725</v>
      </c>
    </row>
    <row r="8148" ht="22.5" customHeight="1">
      <c r="Q8148" s="9" t="s">
        <v>8186</v>
      </c>
      <c r="R8148" s="10">
        <v>0.5117797039802565</v>
      </c>
      <c r="S8148" s="10">
        <v>0.02624206353227454</v>
      </c>
      <c r="T8148" s="10">
        <v>17.97799564809471</v>
      </c>
      <c r="U8148" s="11">
        <v>0.21764236288575048</v>
      </c>
      <c r="V8148" s="11">
        <v>0.048535274247054935</v>
      </c>
      <c r="W8148" s="11">
        <v>0.22688415964712616</v>
      </c>
      <c r="X8148" s="11">
        <v>0.18635557962858612</v>
      </c>
      <c r="Y8148" s="11">
        <v>0.15914498522017476</v>
      </c>
      <c r="Z8148" s="11">
        <v>0.16143763837130753</v>
      </c>
    </row>
    <row r="8149" ht="22.5" customHeight="1">
      <c r="Q8149" s="9" t="s">
        <v>8187</v>
      </c>
      <c r="R8149" s="10">
        <v>0.6759737258826607</v>
      </c>
      <c r="S8149" s="10">
        <v>0.03537695182887039</v>
      </c>
      <c r="T8149" s="10">
        <v>17.977063964104893</v>
      </c>
      <c r="U8149" s="11">
        <v>0.04234671189678074</v>
      </c>
      <c r="V8149" s="11">
        <v>0.11042696679311657</v>
      </c>
      <c r="W8149" s="11">
        <v>0.2979757110653967</v>
      </c>
      <c r="X8149" s="11">
        <v>0.024758697329060997</v>
      </c>
      <c r="Y8149" s="11">
        <v>0.3775180646376352</v>
      </c>
      <c r="Z8149" s="11">
        <v>0.14697384827800977</v>
      </c>
    </row>
    <row r="8150" ht="22.5" customHeight="1">
      <c r="Q8150" s="9" t="s">
        <v>8188</v>
      </c>
      <c r="R8150" s="10">
        <v>0.5621208965797394</v>
      </c>
      <c r="S8150" s="10">
        <v>0.02904379225871816</v>
      </c>
      <c r="T8150" s="10">
        <v>17.977022143966508</v>
      </c>
      <c r="U8150" s="11">
        <v>0.2572157121226432</v>
      </c>
      <c r="V8150" s="11">
        <v>0.27227262641536537</v>
      </c>
      <c r="W8150" s="11">
        <v>0.046222893403124674</v>
      </c>
      <c r="X8150" s="11">
        <v>0.09516876871852449</v>
      </c>
      <c r="Y8150" s="11">
        <v>0.062484029614342025</v>
      </c>
      <c r="Z8150" s="11">
        <v>0.2666359697260002</v>
      </c>
    </row>
    <row r="8151" ht="22.5" customHeight="1">
      <c r="Q8151" s="9" t="s">
        <v>8189</v>
      </c>
      <c r="R8151" s="10">
        <v>0.7859933416784708</v>
      </c>
      <c r="S8151" s="10">
        <v>0.041499862255008096</v>
      </c>
      <c r="T8151" s="10">
        <v>17.975802837476795</v>
      </c>
      <c r="U8151" s="11">
        <v>0.18224215333382632</v>
      </c>
      <c r="V8151" s="11">
        <v>0.13659063141264224</v>
      </c>
      <c r="W8151" s="11">
        <v>0.35433501733845923</v>
      </c>
      <c r="X8151" s="11">
        <v>0.01827299524223567</v>
      </c>
      <c r="Y8151" s="11">
        <v>0.24724974869146008</v>
      </c>
      <c r="Z8151" s="11">
        <v>0.061309453981376535</v>
      </c>
    </row>
    <row r="8152" ht="22.5" customHeight="1">
      <c r="Q8152" s="9" t="s">
        <v>8190</v>
      </c>
      <c r="R8152" s="10">
        <v>0.40229572164337074</v>
      </c>
      <c r="S8152" s="10">
        <v>0.02015481129718994</v>
      </c>
      <c r="T8152" s="10">
        <v>17.975644440485702</v>
      </c>
      <c r="U8152" s="11">
        <v>0.24098906845357576</v>
      </c>
      <c r="V8152" s="11">
        <v>0.05092709799018337</v>
      </c>
      <c r="W8152" s="11">
        <v>0.16361468454058986</v>
      </c>
      <c r="X8152" s="11">
        <v>0.016103275017432077</v>
      </c>
      <c r="Y8152" s="11">
        <v>0.18132012361023292</v>
      </c>
      <c r="Z8152" s="11">
        <v>0.347045750387986</v>
      </c>
    </row>
    <row r="8153" ht="22.5" customHeight="1">
      <c r="Q8153" s="9" t="s">
        <v>8191</v>
      </c>
      <c r="R8153" s="10">
        <v>0.4802346561097977</v>
      </c>
      <c r="S8153" s="10">
        <v>0.02449112584796201</v>
      </c>
      <c r="T8153" s="10">
        <v>17.975272302413618</v>
      </c>
      <c r="U8153" s="11">
        <v>0.3151827285761636</v>
      </c>
      <c r="V8153" s="11">
        <v>0.22028752136766666</v>
      </c>
      <c r="W8153" s="11">
        <v>0.03123763459834832</v>
      </c>
      <c r="X8153" s="11">
        <v>0.03662583872648325</v>
      </c>
      <c r="Y8153" s="11">
        <v>0.25267792278808454</v>
      </c>
      <c r="Z8153" s="11">
        <v>0.14398835394325357</v>
      </c>
    </row>
    <row r="8154" ht="22.5" customHeight="1">
      <c r="Q8154" s="9" t="s">
        <v>8192</v>
      </c>
      <c r="R8154" s="10">
        <v>0.4992959379746205</v>
      </c>
      <c r="S8154" s="10">
        <v>0.025551652115261246</v>
      </c>
      <c r="T8154" s="10">
        <v>17.975195337772178</v>
      </c>
      <c r="U8154" s="11">
        <v>0.2378737407896349</v>
      </c>
      <c r="V8154" s="11">
        <v>0.05736620536706984</v>
      </c>
      <c r="W8154" s="11">
        <v>0.21732280825249098</v>
      </c>
      <c r="X8154" s="11">
        <v>0.08438046451413612</v>
      </c>
      <c r="Y8154" s="11">
        <v>0.20874184398152457</v>
      </c>
      <c r="Z8154" s="11">
        <v>0.1943149370951435</v>
      </c>
    </row>
    <row r="8155" ht="22.5" customHeight="1">
      <c r="Q8155" s="9" t="s">
        <v>8193</v>
      </c>
      <c r="R8155" s="10">
        <v>0.6692088409005168</v>
      </c>
      <c r="S8155" s="10">
        <v>0.03500526144679539</v>
      </c>
      <c r="T8155" s="10">
        <v>17.974693371647955</v>
      </c>
      <c r="U8155" s="11">
        <v>0.16499617237814815</v>
      </c>
      <c r="V8155" s="11">
        <v>0.09459100046769463</v>
      </c>
      <c r="W8155" s="11">
        <v>0.3058427438850322</v>
      </c>
      <c r="X8155" s="11">
        <v>0.17187299923631122</v>
      </c>
      <c r="Y8155" s="11">
        <v>0.06940717818224576</v>
      </c>
      <c r="Z8155" s="11">
        <v>0.193289905850568</v>
      </c>
    </row>
    <row r="8156" ht="22.5" customHeight="1">
      <c r="Q8156" s="9" t="s">
        <v>8194</v>
      </c>
      <c r="R8156" s="10">
        <v>0.5687206459046137</v>
      </c>
      <c r="S8156" s="10">
        <v>0.029415739387375423</v>
      </c>
      <c r="T8156" s="10">
        <v>17.974072959441866</v>
      </c>
      <c r="U8156" s="11">
        <v>0.2597916017316175</v>
      </c>
      <c r="V8156" s="11">
        <v>0.2749998981607203</v>
      </c>
      <c r="W8156" s="11">
        <v>0.03551005871662993</v>
      </c>
      <c r="X8156" s="11">
        <v>0.14458284471319185</v>
      </c>
      <c r="Y8156" s="11">
        <v>0.14394649935818507</v>
      </c>
      <c r="Z8156" s="11">
        <v>0.1411690973196553</v>
      </c>
    </row>
    <row r="8157" ht="22.5" customHeight="1">
      <c r="Q8157" s="9" t="s">
        <v>8195</v>
      </c>
      <c r="R8157" s="10">
        <v>0.5136319032227789</v>
      </c>
      <c r="S8157" s="10">
        <v>0.026351355536324627</v>
      </c>
      <c r="T8157" s="10">
        <v>17.97372065243058</v>
      </c>
      <c r="U8157" s="11">
        <v>0.24012259170118433</v>
      </c>
      <c r="V8157" s="11">
        <v>0.05765416928995965</v>
      </c>
      <c r="W8157" s="11">
        <v>0.2241932839720225</v>
      </c>
      <c r="X8157" s="11">
        <v>0.09406626262848215</v>
      </c>
      <c r="Y8157" s="11">
        <v>0.2356141509922225</v>
      </c>
      <c r="Z8157" s="11">
        <v>0.14834954141612886</v>
      </c>
    </row>
    <row r="8158" ht="22.5" customHeight="1">
      <c r="Q8158" s="9" t="s">
        <v>8196</v>
      </c>
      <c r="R8158" s="10">
        <v>0.7469811925722415</v>
      </c>
      <c r="S8158" s="10">
        <v>0.03933678003655058</v>
      </c>
      <c r="T8158" s="10">
        <v>17.97252321911797</v>
      </c>
      <c r="U8158" s="11">
        <v>0.01669774383686245</v>
      </c>
      <c r="V8158" s="11">
        <v>0.37321659432570464</v>
      </c>
      <c r="W8158" s="11">
        <v>0.07922469333549989</v>
      </c>
      <c r="X8158" s="11">
        <v>0.16497630935303376</v>
      </c>
      <c r="Y8158" s="11">
        <v>0.07498478142432895</v>
      </c>
      <c r="Z8158" s="11">
        <v>0.29089987772457016</v>
      </c>
    </row>
    <row r="8159" ht="22.5" customHeight="1">
      <c r="Q8159" s="9" t="s">
        <v>8197</v>
      </c>
      <c r="R8159" s="10">
        <v>0.7077910407883503</v>
      </c>
      <c r="S8159" s="10">
        <v>0.037156478659235326</v>
      </c>
      <c r="T8159" s="10">
        <v>17.972398485677527</v>
      </c>
      <c r="U8159" s="11">
        <v>0.016485372422971104</v>
      </c>
      <c r="V8159" s="11">
        <v>0.11287298556886033</v>
      </c>
      <c r="W8159" s="11">
        <v>0.32267062322911977</v>
      </c>
      <c r="X8159" s="11">
        <v>0.1517087500541032</v>
      </c>
      <c r="Y8159" s="11">
        <v>0.1125923140269194</v>
      </c>
      <c r="Z8159" s="11">
        <v>0.28366995469802636</v>
      </c>
    </row>
    <row r="8160" ht="22.5" customHeight="1">
      <c r="Q8160" s="9" t="s">
        <v>8198</v>
      </c>
      <c r="R8160" s="10">
        <v>0.6558589644371507</v>
      </c>
      <c r="S8160" s="10">
        <v>0.034268020375472844</v>
      </c>
      <c r="T8160" s="10">
        <v>17.971827893447518</v>
      </c>
      <c r="U8160" s="11">
        <v>0.26995928159280247</v>
      </c>
      <c r="V8160" s="11">
        <v>0.09497761525746652</v>
      </c>
      <c r="W8160" s="11">
        <v>0.29231563207679745</v>
      </c>
      <c r="X8160" s="11">
        <v>0.0452443381548071</v>
      </c>
      <c r="Y8160" s="11">
        <v>0.26763557552511813</v>
      </c>
      <c r="Z8160" s="11">
        <v>0.029867557393008292</v>
      </c>
    </row>
    <row r="8161" ht="22.5" customHeight="1">
      <c r="Q8161" s="9" t="s">
        <v>8199</v>
      </c>
      <c r="R8161" s="10">
        <v>0.5176458322180612</v>
      </c>
      <c r="S8161" s="10">
        <v>0.02657803906202686</v>
      </c>
      <c r="T8161" s="10">
        <v>17.971447445891275</v>
      </c>
      <c r="U8161" s="11">
        <v>0.02668876782563712</v>
      </c>
      <c r="V8161" s="11">
        <v>0.24195643552884635</v>
      </c>
      <c r="W8161" s="11">
        <v>0.014757415956239877</v>
      </c>
      <c r="X8161" s="11">
        <v>0.26687101829562615</v>
      </c>
      <c r="Y8161" s="11">
        <v>0.3371494492229348</v>
      </c>
      <c r="Z8161" s="11">
        <v>0.11257691317071572</v>
      </c>
    </row>
    <row r="8162" ht="22.5" customHeight="1">
      <c r="Q8162" s="9" t="s">
        <v>8200</v>
      </c>
      <c r="R8162" s="10">
        <v>0.5472748000171963</v>
      </c>
      <c r="S8162" s="10">
        <v>0.028228016881332776</v>
      </c>
      <c r="T8162" s="10">
        <v>17.970614164987897</v>
      </c>
      <c r="U8162" s="11">
        <v>0.16762065288279168</v>
      </c>
      <c r="V8162" s="11">
        <v>0.2621193220789029</v>
      </c>
      <c r="W8162" s="11">
        <v>0.018463447047908393</v>
      </c>
      <c r="X8162" s="11">
        <v>0.2648441875336634</v>
      </c>
      <c r="Y8162" s="11">
        <v>0.19456586842666182</v>
      </c>
      <c r="Z8162" s="11">
        <v>0.09238652203007174</v>
      </c>
    </row>
    <row r="8163" ht="22.5" customHeight="1">
      <c r="Q8163" s="9" t="s">
        <v>8201</v>
      </c>
      <c r="R8163" s="10">
        <v>0.23602502195594838</v>
      </c>
      <c r="S8163" s="10">
        <v>0.01090944698958846</v>
      </c>
      <c r="T8163" s="10">
        <v>17.96837384544119</v>
      </c>
      <c r="U8163" s="11">
        <v>0.16896713815659026</v>
      </c>
      <c r="V8163" s="11">
        <v>0.05055632440447071</v>
      </c>
      <c r="W8163" s="11">
        <v>0.019013381015343098</v>
      </c>
      <c r="X8163" s="11">
        <v>0.11721823410168453</v>
      </c>
      <c r="Y8163" s="11">
        <v>0.35808362791628523</v>
      </c>
      <c r="Z8163" s="11">
        <v>0.2861612944056262</v>
      </c>
    </row>
    <row r="8164" ht="22.5" customHeight="1">
      <c r="Q8164" s="9" t="s">
        <v>8202</v>
      </c>
      <c r="R8164" s="10">
        <v>0.49740850827440003</v>
      </c>
      <c r="S8164" s="10">
        <v>0.025456559825795512</v>
      </c>
      <c r="T8164" s="10">
        <v>17.968198036362367</v>
      </c>
      <c r="U8164" s="11">
        <v>0.07074215079055657</v>
      </c>
      <c r="V8164" s="11">
        <v>0.23597986602030277</v>
      </c>
      <c r="W8164" s="11">
        <v>0.05657939038183944</v>
      </c>
      <c r="X8164" s="11">
        <v>0.028907624189848935</v>
      </c>
      <c r="Y8164" s="11">
        <v>0.04986423912247457</v>
      </c>
      <c r="Z8164" s="11">
        <v>0.5579267294949777</v>
      </c>
    </row>
    <row r="8165" ht="22.5" customHeight="1">
      <c r="Q8165" s="9" t="s">
        <v>8203</v>
      </c>
      <c r="R8165" s="10">
        <v>0.4964438919134545</v>
      </c>
      <c r="S8165" s="10">
        <v>0.0254035203891114</v>
      </c>
      <c r="T8165" s="10">
        <v>17.967741672099038</v>
      </c>
      <c r="U8165" s="11">
        <v>0.21330010255226411</v>
      </c>
      <c r="V8165" s="11">
        <v>0.2367825457902554</v>
      </c>
      <c r="W8165" s="11">
        <v>0.04117344556921381</v>
      </c>
      <c r="X8165" s="11">
        <v>0.07547197524129254</v>
      </c>
      <c r="Y8165" s="11">
        <v>0.04822865649648005</v>
      </c>
      <c r="Z8165" s="11">
        <v>0.3850432743504942</v>
      </c>
    </row>
    <row r="8166" ht="22.5" customHeight="1">
      <c r="Q8166" s="9" t="s">
        <v>8204</v>
      </c>
      <c r="R8166" s="10">
        <v>0.5914601692421081</v>
      </c>
      <c r="S8166" s="10">
        <v>0.030694670361080083</v>
      </c>
      <c r="T8166" s="10">
        <v>17.96599092790203</v>
      </c>
      <c r="U8166" s="11">
        <v>0.0280169862985622</v>
      </c>
      <c r="V8166" s="11">
        <v>0.28400372471946517</v>
      </c>
      <c r="W8166" s="11">
        <v>0.016275390602090753</v>
      </c>
      <c r="X8166" s="11">
        <v>0.42563222918027843</v>
      </c>
      <c r="Y8166" s="11">
        <v>0.1651779760327878</v>
      </c>
      <c r="Z8166" s="11">
        <v>0.08089369316681584</v>
      </c>
    </row>
    <row r="8167" ht="22.5" customHeight="1">
      <c r="Q8167" s="9" t="s">
        <v>8205</v>
      </c>
      <c r="R8167" s="10">
        <v>0.7072367910217663</v>
      </c>
      <c r="S8167" s="10">
        <v>0.037139773614834795</v>
      </c>
      <c r="T8167" s="10">
        <v>17.965558916472524</v>
      </c>
      <c r="U8167" s="11">
        <v>0.3300734175131127</v>
      </c>
      <c r="V8167" s="11">
        <v>0.10744897846241581</v>
      </c>
      <c r="W8167" s="11">
        <v>0.32243695519983945</v>
      </c>
      <c r="X8167" s="11">
        <v>0.12650399824163844</v>
      </c>
      <c r="Y8167" s="11">
        <v>0.0012135214211499178</v>
      </c>
      <c r="Z8167" s="11">
        <v>0.11232312916184377</v>
      </c>
    </row>
    <row r="8168" ht="22.5" customHeight="1">
      <c r="Q8168" s="9" t="s">
        <v>8206</v>
      </c>
      <c r="R8168" s="10">
        <v>0.5363608625407434</v>
      </c>
      <c r="S8168" s="10">
        <v>0.02762947148462448</v>
      </c>
      <c r="T8168" s="10">
        <v>17.964906162499823</v>
      </c>
      <c r="U8168" s="11">
        <v>0.036970649674672285</v>
      </c>
      <c r="V8168" s="11">
        <v>0.2564067037541434</v>
      </c>
      <c r="W8168" s="11">
        <v>0.01949012781744578</v>
      </c>
      <c r="X8168" s="11">
        <v>0.26138678592951115</v>
      </c>
      <c r="Y8168" s="11">
        <v>0.2559631062267509</v>
      </c>
      <c r="Z8168" s="11">
        <v>0.16978262659747642</v>
      </c>
    </row>
    <row r="8169" ht="22.5" customHeight="1">
      <c r="Q8169" s="9" t="s">
        <v>8207</v>
      </c>
      <c r="R8169" s="10">
        <v>0.7439531705281314</v>
      </c>
      <c r="S8169" s="10">
        <v>0.03918604210177539</v>
      </c>
      <c r="T8169" s="10">
        <v>17.964385601888523</v>
      </c>
      <c r="U8169" s="11">
        <v>0.2878399022111918</v>
      </c>
      <c r="V8169" s="11">
        <v>0.369188742916901</v>
      </c>
      <c r="W8169" s="11">
        <v>0.06032931578952436</v>
      </c>
      <c r="X8169" s="11">
        <v>0.22265968381769963</v>
      </c>
      <c r="Y8169" s="11">
        <v>0.0537567032818015</v>
      </c>
      <c r="Z8169" s="11">
        <v>0.006225651982881457</v>
      </c>
    </row>
    <row r="8170" ht="22.5" customHeight="1">
      <c r="Q8170" s="9" t="s">
        <v>8208</v>
      </c>
      <c r="R8170" s="10">
        <v>0.5970970425428023</v>
      </c>
      <c r="S8170" s="10">
        <v>0.031012869875166396</v>
      </c>
      <c r="T8170" s="10">
        <v>17.963414698002474</v>
      </c>
      <c r="U8170" s="11">
        <v>0.33566577929441893</v>
      </c>
      <c r="V8170" s="11">
        <v>0.07934933146555082</v>
      </c>
      <c r="W8170" s="11">
        <v>0.2673009881934794</v>
      </c>
      <c r="X8170" s="11">
        <v>0.08788751990231031</v>
      </c>
      <c r="Y8170" s="11">
        <v>0.11567453360628567</v>
      </c>
      <c r="Z8170" s="11">
        <v>0.11412184753795485</v>
      </c>
    </row>
    <row r="8171" ht="22.5" customHeight="1">
      <c r="Q8171" s="9" t="s">
        <v>8209</v>
      </c>
      <c r="R8171" s="10">
        <v>0.5669078625066041</v>
      </c>
      <c r="S8171" s="10">
        <v>0.02933302448666099</v>
      </c>
      <c r="T8171" s="10">
        <v>17.962957169527886</v>
      </c>
      <c r="U8171" s="11">
        <v>0.08568437868382699</v>
      </c>
      <c r="V8171" s="11">
        <v>0.2722423484447902</v>
      </c>
      <c r="W8171" s="11">
        <v>0.021094909769254024</v>
      </c>
      <c r="X8171" s="11">
        <v>0.27420987122609614</v>
      </c>
      <c r="Y8171" s="11">
        <v>0.25468890279969997</v>
      </c>
      <c r="Z8171" s="11">
        <v>0.09207958907633271</v>
      </c>
    </row>
    <row r="8172" ht="22.5" customHeight="1">
      <c r="Q8172" s="9" t="s">
        <v>8210</v>
      </c>
      <c r="R8172" s="10">
        <v>0.3701870486862278</v>
      </c>
      <c r="S8172" s="10">
        <v>0.018381980710285153</v>
      </c>
      <c r="T8172" s="10">
        <v>17.962539178461892</v>
      </c>
      <c r="U8172" s="11">
        <v>0.25153031981258916</v>
      </c>
      <c r="V8172" s="11">
        <v>0.03398056742377738</v>
      </c>
      <c r="W8172" s="11">
        <v>0.15058142836326574</v>
      </c>
      <c r="X8172" s="11">
        <v>0.1039315361875208</v>
      </c>
      <c r="Y8172" s="11">
        <v>0.11114365305089058</v>
      </c>
      <c r="Z8172" s="11">
        <v>0.34883249516195625</v>
      </c>
    </row>
    <row r="8173" ht="22.5" customHeight="1">
      <c r="Q8173" s="9" t="s">
        <v>8211</v>
      </c>
      <c r="R8173" s="10">
        <v>0.4974401091737672</v>
      </c>
      <c r="S8173" s="10">
        <v>0.025466734486276024</v>
      </c>
      <c r="T8173" s="10">
        <v>17.9622601170276</v>
      </c>
      <c r="U8173" s="11">
        <v>0.15699074076957456</v>
      </c>
      <c r="V8173" s="11">
        <v>0.238380406785288</v>
      </c>
      <c r="W8173" s="11">
        <v>0.024045415696833904</v>
      </c>
      <c r="X8173" s="11">
        <v>0.17623399795245856</v>
      </c>
      <c r="Y8173" s="11">
        <v>0.1270976975638364</v>
      </c>
      <c r="Z8173" s="11">
        <v>0.27725174123200863</v>
      </c>
    </row>
    <row r="8174" ht="22.5" customHeight="1">
      <c r="Q8174" s="9" t="s">
        <v>8212</v>
      </c>
      <c r="R8174" s="10">
        <v>0.44277846741462945</v>
      </c>
      <c r="S8174" s="10">
        <v>0.02242382418678197</v>
      </c>
      <c r="T8174" s="10">
        <v>17.962077478829535</v>
      </c>
      <c r="U8174" s="11">
        <v>0.22121287090140032</v>
      </c>
      <c r="V8174" s="11">
        <v>0.20113622221193225</v>
      </c>
      <c r="W8174" s="11">
        <v>0.03303176050806786</v>
      </c>
      <c r="X8174" s="11">
        <v>0.003715559637779876</v>
      </c>
      <c r="Y8174" s="11">
        <v>0.25584126788626904</v>
      </c>
      <c r="Z8174" s="11">
        <v>0.2850623188545506</v>
      </c>
    </row>
    <row r="8175" ht="22.5" customHeight="1">
      <c r="Q8175" s="9" t="s">
        <v>8213</v>
      </c>
      <c r="R8175" s="10">
        <v>0.6894526104445822</v>
      </c>
      <c r="S8175" s="10">
        <v>0.036157765813615635</v>
      </c>
      <c r="T8175" s="10">
        <v>17.961635511230153</v>
      </c>
      <c r="U8175" s="11">
        <v>0.15011105801425662</v>
      </c>
      <c r="V8175" s="11">
        <v>0.34037030043588035</v>
      </c>
      <c r="W8175" s="11">
        <v>0.0760014177211868</v>
      </c>
      <c r="X8175" s="11">
        <v>0.044757850724540096</v>
      </c>
      <c r="Y8175" s="11">
        <v>0.13174900262138153</v>
      </c>
      <c r="Z8175" s="11">
        <v>0.2570103704827545</v>
      </c>
    </row>
    <row r="8176" ht="22.5" customHeight="1">
      <c r="Q8176" s="9" t="s">
        <v>8214</v>
      </c>
      <c r="R8176" s="10">
        <v>0.5245814891754307</v>
      </c>
      <c r="S8176" s="10">
        <v>0.026983348385572505</v>
      </c>
      <c r="T8176" s="10">
        <v>17.95853806766722</v>
      </c>
      <c r="U8176" s="11">
        <v>0.16290879011104922</v>
      </c>
      <c r="V8176" s="11">
        <v>0.2453090875555308</v>
      </c>
      <c r="W8176" s="11">
        <v>0.03015455928192739</v>
      </c>
      <c r="X8176" s="11">
        <v>0.09917743018246519</v>
      </c>
      <c r="Y8176" s="11">
        <v>0.3536171432885818</v>
      </c>
      <c r="Z8176" s="11">
        <v>0.10883298958044538</v>
      </c>
    </row>
    <row r="8177" ht="22.5" customHeight="1">
      <c r="Q8177" s="9" t="s">
        <v>8215</v>
      </c>
      <c r="R8177" s="10">
        <v>0.7509211080193247</v>
      </c>
      <c r="S8177" s="10">
        <v>0.039590454254075445</v>
      </c>
      <c r="T8177" s="10">
        <v>17.956881814412178</v>
      </c>
      <c r="U8177" s="11">
        <v>0.04809167104668227</v>
      </c>
      <c r="V8177" s="11">
        <v>0.13492373199410956</v>
      </c>
      <c r="W8177" s="11">
        <v>0.338645678302962</v>
      </c>
      <c r="X8177" s="11">
        <v>0.03276371654340788</v>
      </c>
      <c r="Y8177" s="11">
        <v>0.20579589615793534</v>
      </c>
      <c r="Z8177" s="11">
        <v>0.23977930595490315</v>
      </c>
    </row>
    <row r="8178" ht="22.5" customHeight="1">
      <c r="Q8178" s="9" t="s">
        <v>8216</v>
      </c>
      <c r="R8178" s="10">
        <v>0.6893668695993549</v>
      </c>
      <c r="S8178" s="10">
        <v>0.036164827903266764</v>
      </c>
      <c r="T8178" s="10">
        <v>17.955757216273042</v>
      </c>
      <c r="U8178" s="11">
        <v>0.1006898055976744</v>
      </c>
      <c r="V8178" s="11">
        <v>0.09493990587646385</v>
      </c>
      <c r="W8178" s="11">
        <v>0.31124463200257246</v>
      </c>
      <c r="X8178" s="11">
        <v>0.1310326946118021</v>
      </c>
      <c r="Y8178" s="11">
        <v>0.3156796922120335</v>
      </c>
      <c r="Z8178" s="11">
        <v>0.04641326969945369</v>
      </c>
    </row>
    <row r="8179" ht="22.5" customHeight="1">
      <c r="Q8179" s="9" t="s">
        <v>8217</v>
      </c>
      <c r="R8179" s="10">
        <v>0.682332339340186</v>
      </c>
      <c r="S8179" s="10">
        <v>0.03577548046166096</v>
      </c>
      <c r="T8179" s="10">
        <v>17.95454124029294</v>
      </c>
      <c r="U8179" s="11">
        <v>0.11616997883800838</v>
      </c>
      <c r="V8179" s="11">
        <v>0.3368148043641362</v>
      </c>
      <c r="W8179" s="11">
        <v>0.07174152096494368</v>
      </c>
      <c r="X8179" s="11">
        <v>0.053809972372931364</v>
      </c>
      <c r="Y8179" s="11">
        <v>0.17795430650983599</v>
      </c>
      <c r="Z8179" s="11">
        <v>0.24350941695014447</v>
      </c>
    </row>
    <row r="8180" ht="22.5" customHeight="1">
      <c r="Q8180" s="9" t="s">
        <v>8218</v>
      </c>
      <c r="R8180" s="10">
        <v>0.5755799234250669</v>
      </c>
      <c r="S8180" s="10">
        <v>0.02983091407844845</v>
      </c>
      <c r="T8180" s="10">
        <v>17.953855588086064</v>
      </c>
      <c r="U8180" s="11">
        <v>0.14141891331269613</v>
      </c>
      <c r="V8180" s="11">
        <v>0.28191676315294056</v>
      </c>
      <c r="W8180" s="11">
        <v>0.034361186432490295</v>
      </c>
      <c r="X8180" s="11">
        <v>0.22194499655913433</v>
      </c>
      <c r="Y8180" s="11">
        <v>0.07608192087646638</v>
      </c>
      <c r="Z8180" s="11">
        <v>0.2442762196662722</v>
      </c>
    </row>
    <row r="8181" ht="22.5" customHeight="1">
      <c r="Q8181" s="9" t="s">
        <v>8219</v>
      </c>
      <c r="R8181" s="10">
        <v>0.22398312815727847</v>
      </c>
      <c r="S8181" s="10">
        <v>0.010247712311089447</v>
      </c>
      <c r="T8181" s="10">
        <v>17.953580523350873</v>
      </c>
      <c r="U8181" s="11">
        <v>0.35292611630951964</v>
      </c>
      <c r="V8181" s="11">
        <v>0.012594219224469903</v>
      </c>
      <c r="W8181" s="11">
        <v>0.0429720360118727</v>
      </c>
      <c r="X8181" s="11">
        <v>0.18345962039994893</v>
      </c>
      <c r="Y8181" s="11">
        <v>0.1964779495989336</v>
      </c>
      <c r="Z8181" s="11">
        <v>0.21157005845525534</v>
      </c>
    </row>
    <row r="8182" ht="22.5" customHeight="1">
      <c r="Q8182" s="9" t="s">
        <v>8220</v>
      </c>
      <c r="R8182" s="10">
        <v>0.743360895968481</v>
      </c>
      <c r="S8182" s="10">
        <v>0.03917881175679534</v>
      </c>
      <c r="T8182" s="10">
        <v>17.95258366523806</v>
      </c>
      <c r="U8182" s="11">
        <v>0.24697521194557345</v>
      </c>
      <c r="V8182" s="11">
        <v>0.370158535199932</v>
      </c>
      <c r="W8182" s="11">
        <v>0.06724817682412738</v>
      </c>
      <c r="X8182" s="11">
        <v>0.1796378426257652</v>
      </c>
      <c r="Y8182" s="11">
        <v>0.048283805639569424</v>
      </c>
      <c r="Z8182" s="11">
        <v>0.08769642776503248</v>
      </c>
    </row>
    <row r="8183" ht="22.5" customHeight="1">
      <c r="Q8183" s="9" t="s">
        <v>8221</v>
      </c>
      <c r="R8183" s="10">
        <v>0.39315256228252854</v>
      </c>
      <c r="S8183" s="10">
        <v>0.019672866533568818</v>
      </c>
      <c r="T8183" s="10">
        <v>17.951250860159412</v>
      </c>
      <c r="U8183" s="11">
        <v>0.34820819320110724</v>
      </c>
      <c r="V8183" s="11">
        <v>0.02703620669358482</v>
      </c>
      <c r="W8183" s="11">
        <v>0.16269997187458818</v>
      </c>
      <c r="X8183" s="11">
        <v>0.15823858213406944</v>
      </c>
      <c r="Y8183" s="11">
        <v>0.1052531546928573</v>
      </c>
      <c r="Z8183" s="11">
        <v>0.19856389140379305</v>
      </c>
    </row>
    <row r="8184" ht="22.5" customHeight="1">
      <c r="Q8184" s="9" t="s">
        <v>8222</v>
      </c>
      <c r="R8184" s="10">
        <v>0.6626074829649551</v>
      </c>
      <c r="S8184" s="10">
        <v>0.03468677459129016</v>
      </c>
      <c r="T8184" s="10">
        <v>17.949419924483024</v>
      </c>
      <c r="U8184" s="11">
        <v>0.23367574508747618</v>
      </c>
      <c r="V8184" s="11">
        <v>0.11529218814808014</v>
      </c>
      <c r="W8184" s="11">
        <v>0.2971167029634694</v>
      </c>
      <c r="X8184" s="11">
        <v>0.027053783812662845</v>
      </c>
      <c r="Y8184" s="11">
        <v>0.038848140355301486</v>
      </c>
      <c r="Z8184" s="11">
        <v>0.28801343963301007</v>
      </c>
    </row>
    <row r="8185" ht="22.5" customHeight="1">
      <c r="Q8185" s="9" t="s">
        <v>8223</v>
      </c>
      <c r="R8185" s="10">
        <v>0.621150525905974</v>
      </c>
      <c r="S8185" s="10">
        <v>0.03237866468754864</v>
      </c>
      <c r="T8185" s="10">
        <v>17.948563707429788</v>
      </c>
      <c r="U8185" s="11">
        <v>0.2732348024832537</v>
      </c>
      <c r="V8185" s="11">
        <v>0.2984036350014516</v>
      </c>
      <c r="W8185" s="11">
        <v>0.056197088911727734</v>
      </c>
      <c r="X8185" s="11">
        <v>0.01721661836252879</v>
      </c>
      <c r="Y8185" s="11">
        <v>0.27579320326293444</v>
      </c>
      <c r="Z8185" s="11">
        <v>0.07915465197810366</v>
      </c>
    </row>
    <row r="8186" ht="22.5" customHeight="1">
      <c r="Q8186" s="9" t="s">
        <v>8224</v>
      </c>
      <c r="R8186" s="10">
        <v>0.5046085571409323</v>
      </c>
      <c r="S8186" s="10">
        <v>0.02588556212969714</v>
      </c>
      <c r="T8186" s="10">
        <v>17.948559695673424</v>
      </c>
      <c r="U8186" s="11">
        <v>0.019749438335997474</v>
      </c>
      <c r="V8186" s="11">
        <v>0.0673953695110733</v>
      </c>
      <c r="W8186" s="11">
        <v>0.22126109537790326</v>
      </c>
      <c r="X8186" s="11">
        <v>0.105199062297594</v>
      </c>
      <c r="Y8186" s="11">
        <v>0.1885071556917303</v>
      </c>
      <c r="Z8186" s="11">
        <v>0.3978878787857016</v>
      </c>
    </row>
    <row r="8187" ht="22.5" customHeight="1">
      <c r="Q8187" s="9" t="s">
        <v>8225</v>
      </c>
      <c r="R8187" s="10">
        <v>0.5433327348283452</v>
      </c>
      <c r="S8187" s="10">
        <v>0.028043855157893656</v>
      </c>
      <c r="T8187" s="10">
        <v>17.948057854188047</v>
      </c>
      <c r="U8187" s="11">
        <v>0.19434906461925433</v>
      </c>
      <c r="V8187" s="11">
        <v>0.26335646341374486</v>
      </c>
      <c r="W8187" s="11">
        <v>0.02536581354286273</v>
      </c>
      <c r="X8187" s="11">
        <v>0.24973092991842513</v>
      </c>
      <c r="Y8187" s="11">
        <v>0.05066166360306314</v>
      </c>
      <c r="Z8187" s="11">
        <v>0.21653606490264973</v>
      </c>
    </row>
    <row r="8188" ht="22.5" customHeight="1">
      <c r="Q8188" s="9" t="s">
        <v>8226</v>
      </c>
      <c r="R8188" s="10">
        <v>0.6160097352861981</v>
      </c>
      <c r="S8188" s="10">
        <v>0.03209607212375199</v>
      </c>
      <c r="T8188" s="10">
        <v>17.94642450531929</v>
      </c>
      <c r="U8188" s="11">
        <v>0.28595055100494404</v>
      </c>
      <c r="V8188" s="11">
        <v>0.08582483126512486</v>
      </c>
      <c r="W8188" s="11">
        <v>0.2727940743456237</v>
      </c>
      <c r="X8188" s="11">
        <v>0.036753899107792205</v>
      </c>
      <c r="Y8188" s="11">
        <v>0.26830557519081016</v>
      </c>
      <c r="Z8188" s="11">
        <v>0.050371069085705024</v>
      </c>
    </row>
    <row r="8189" ht="22.5" customHeight="1">
      <c r="Q8189" s="9" t="s">
        <v>8227</v>
      </c>
      <c r="R8189" s="10">
        <v>0.5908778536452524</v>
      </c>
      <c r="S8189" s="10">
        <v>0.030697642511284096</v>
      </c>
      <c r="T8189" s="10">
        <v>17.945282066619807</v>
      </c>
      <c r="U8189" s="11">
        <v>0.19750834754010588</v>
      </c>
      <c r="V8189" s="11">
        <v>0.28658823136922085</v>
      </c>
      <c r="W8189" s="11">
        <v>0.042861604894926235</v>
      </c>
      <c r="X8189" s="11">
        <v>0.09855532978709962</v>
      </c>
      <c r="Y8189" s="11">
        <v>0.23053478277027506</v>
      </c>
      <c r="Z8189" s="11">
        <v>0.1439517036383724</v>
      </c>
    </row>
    <row r="8190" ht="22.5" customHeight="1">
      <c r="Q8190" s="9" t="s">
        <v>8228</v>
      </c>
      <c r="R8190" s="10">
        <v>0.4047618316834993</v>
      </c>
      <c r="S8190" s="10">
        <v>0.020326992865452306</v>
      </c>
      <c r="T8190" s="10">
        <v>17.94470210610677</v>
      </c>
      <c r="U8190" s="11">
        <v>0.16379774787632945</v>
      </c>
      <c r="V8190" s="11">
        <v>0.02042254975751968</v>
      </c>
      <c r="W8190" s="11">
        <v>0.16707175201968136</v>
      </c>
      <c r="X8190" s="11">
        <v>0.2219391991070134</v>
      </c>
      <c r="Y8190" s="11">
        <v>0.2777059109473362</v>
      </c>
      <c r="Z8190" s="11">
        <v>0.14906284029211986</v>
      </c>
    </row>
    <row r="8191" ht="22.5" customHeight="1">
      <c r="Q8191" s="9" t="s">
        <v>8229</v>
      </c>
      <c r="R8191" s="10">
        <v>0.6090082824639336</v>
      </c>
      <c r="S8191" s="10">
        <v>0.03171023890230279</v>
      </c>
      <c r="T8191" s="10">
        <v>17.94399229274215</v>
      </c>
      <c r="U8191" s="11">
        <v>0.1477706032195188</v>
      </c>
      <c r="V8191" s="11">
        <v>0.2981200774041975</v>
      </c>
      <c r="W8191" s="11">
        <v>0.06769986458382962</v>
      </c>
      <c r="X8191" s="11">
        <v>0.0401699376143739</v>
      </c>
      <c r="Y8191" s="11">
        <v>0.05184864307412862</v>
      </c>
      <c r="Z8191" s="11">
        <v>0.3943908741039514</v>
      </c>
    </row>
    <row r="8192" ht="22.5" customHeight="1">
      <c r="Q8192" s="9" t="s">
        <v>8230</v>
      </c>
      <c r="R8192" s="10">
        <v>0.6158875180916981</v>
      </c>
      <c r="S8192" s="10">
        <v>0.032096490924467105</v>
      </c>
      <c r="T8192" s="10">
        <v>17.942382531689777</v>
      </c>
      <c r="U8192" s="11">
        <v>0.1594365560891255</v>
      </c>
      <c r="V8192" s="11">
        <v>0.09859954713159717</v>
      </c>
      <c r="W8192" s="11">
        <v>0.2760425332717321</v>
      </c>
      <c r="X8192" s="11">
        <v>0.047899715936850835</v>
      </c>
      <c r="Y8192" s="11">
        <v>0.11312608373016686</v>
      </c>
      <c r="Z8192" s="11">
        <v>0.3048955638405276</v>
      </c>
    </row>
    <row r="8193" ht="22.5" customHeight="1">
      <c r="Q8193" s="9" t="s">
        <v>8231</v>
      </c>
      <c r="R8193" s="10">
        <v>0.42278198065886463</v>
      </c>
      <c r="S8193" s="10">
        <v>0.021334706799885944</v>
      </c>
      <c r="T8193" s="10">
        <v>17.941750231173135</v>
      </c>
      <c r="U8193" s="11">
        <v>0.2753467281927621</v>
      </c>
      <c r="V8193" s="11">
        <v>0.03573588174724289</v>
      </c>
      <c r="W8193" s="11">
        <v>0.17858339907821213</v>
      </c>
      <c r="X8193" s="11">
        <v>0.12108129442960493</v>
      </c>
      <c r="Y8193" s="11">
        <v>0.18353819878178368</v>
      </c>
      <c r="Z8193" s="11">
        <v>0.2057144977703942</v>
      </c>
    </row>
    <row r="8194" ht="22.5" customHeight="1">
      <c r="Q8194" s="9" t="s">
        <v>8232</v>
      </c>
      <c r="R8194" s="10">
        <v>0.9625404327325939</v>
      </c>
      <c r="S8194" s="10">
        <v>0.05141952323155039</v>
      </c>
      <c r="T8194" s="10">
        <v>17.94144275858502</v>
      </c>
      <c r="U8194" s="11">
        <v>0.07538997662434072</v>
      </c>
      <c r="V8194" s="11">
        <v>0.19780938363086034</v>
      </c>
      <c r="W8194" s="11">
        <v>0.43788259292985987</v>
      </c>
      <c r="X8194" s="11">
        <v>0.03335155257195711</v>
      </c>
      <c r="Y8194" s="11">
        <v>0.05600441086266222</v>
      </c>
      <c r="Z8194" s="11">
        <v>0.19956208338031994</v>
      </c>
    </row>
    <row r="8195" ht="22.5" customHeight="1">
      <c r="Q8195" s="9" t="s">
        <v>8233</v>
      </c>
      <c r="R8195" s="10">
        <v>0.3504918295504125</v>
      </c>
      <c r="S8195" s="10">
        <v>0.01730658310758381</v>
      </c>
      <c r="T8195" s="10">
        <v>17.940677695896763</v>
      </c>
      <c r="U8195" s="11">
        <v>0.414336364903153</v>
      </c>
      <c r="V8195" s="11">
        <v>0.03666667897348733</v>
      </c>
      <c r="W8195" s="11">
        <v>0.1308240824505481</v>
      </c>
      <c r="X8195" s="11">
        <v>0.027355097615534413</v>
      </c>
      <c r="Y8195" s="11">
        <v>0.16335148413204323</v>
      </c>
      <c r="Z8195" s="11">
        <v>0.22746629192523382</v>
      </c>
    </row>
    <row r="8196" ht="22.5" customHeight="1">
      <c r="Q8196" s="9" t="s">
        <v>8234</v>
      </c>
      <c r="R8196" s="10">
        <v>0.7269237805453179</v>
      </c>
      <c r="S8196" s="10">
        <v>0.03829350774964255</v>
      </c>
      <c r="T8196" s="10">
        <v>17.938387494724353</v>
      </c>
      <c r="U8196" s="11">
        <v>0.16461553725904768</v>
      </c>
      <c r="V8196" s="11">
        <v>0.3594056959860232</v>
      </c>
      <c r="W8196" s="11">
        <v>0.06300112142124378</v>
      </c>
      <c r="X8196" s="11">
        <v>0.12942609836384572</v>
      </c>
      <c r="Y8196" s="11">
        <v>0.24793671563094347</v>
      </c>
      <c r="Z8196" s="11">
        <v>0.03561483133889621</v>
      </c>
    </row>
    <row r="8197" ht="22.5" customHeight="1">
      <c r="Q8197" s="9" t="s">
        <v>8235</v>
      </c>
      <c r="R8197" s="10">
        <v>0.522331348251574</v>
      </c>
      <c r="S8197" s="10">
        <v>0.03519570800266697</v>
      </c>
      <c r="T8197" s="10">
        <v>17.936165901472837</v>
      </c>
      <c r="U8197" s="11">
        <v>0.10396841998858429</v>
      </c>
      <c r="V8197" s="11">
        <v>0.07909554473005896</v>
      </c>
      <c r="W8197" s="11">
        <v>0.308301865430156</v>
      </c>
      <c r="X8197" s="11">
        <v>0.2556922175215162</v>
      </c>
      <c r="Y8197" s="11">
        <v>0.1710209583979149</v>
      </c>
      <c r="Z8197" s="11">
        <v>0.08192099393176956</v>
      </c>
    </row>
    <row r="8198" ht="22.5" customHeight="1">
      <c r="Q8198" s="9" t="s">
        <v>8236</v>
      </c>
      <c r="R8198" s="10">
        <v>0.6552113211965185</v>
      </c>
      <c r="S8198" s="10">
        <v>0.034303068469229064</v>
      </c>
      <c r="T8198" s="10">
        <v>17.93458569889695</v>
      </c>
      <c r="U8198" s="11">
        <v>0.045889773593445544</v>
      </c>
      <c r="V8198" s="11">
        <v>0.10596031915219249</v>
      </c>
      <c r="W8198" s="11">
        <v>0.29689128963705524</v>
      </c>
      <c r="X8198" s="11">
        <v>0.10649009580078646</v>
      </c>
      <c r="Y8198" s="11">
        <v>0.09567572098865634</v>
      </c>
      <c r="Z8198" s="11">
        <v>0.34909280082786387</v>
      </c>
    </row>
    <row r="8199" ht="22.5" customHeight="1">
      <c r="Q8199" s="9" t="s">
        <v>8237</v>
      </c>
      <c r="R8199" s="10">
        <v>0.7592993023905593</v>
      </c>
      <c r="S8199" s="10">
        <v>0.040112171415799744</v>
      </c>
      <c r="T8199" s="10">
        <v>17.93219556563909</v>
      </c>
      <c r="U8199" s="11">
        <v>0.028863843796833672</v>
      </c>
      <c r="V8199" s="11">
        <v>0.3771968614778399</v>
      </c>
      <c r="W8199" s="11">
        <v>0.10212710857444417</v>
      </c>
      <c r="X8199" s="11">
        <v>0.02928023970729419</v>
      </c>
      <c r="Y8199" s="11">
        <v>0.06774707015424322</v>
      </c>
      <c r="Z8199" s="11">
        <v>0.39478487628934483</v>
      </c>
    </row>
    <row r="8200" ht="22.5" customHeight="1">
      <c r="Q8200" s="9" t="s">
        <v>8238</v>
      </c>
      <c r="R8200" s="10">
        <v>0.7546051471393314</v>
      </c>
      <c r="S8200" s="10">
        <v>0.03985232106027672</v>
      </c>
      <c r="T8200" s="10">
        <v>17.931330676034893</v>
      </c>
      <c r="U8200" s="11">
        <v>0.13766207495865623</v>
      </c>
      <c r="V8200" s="11">
        <v>0.3731523143103215</v>
      </c>
      <c r="W8200" s="11">
        <v>0.0887605887861061</v>
      </c>
      <c r="X8200" s="11">
        <v>0.008464339831457354</v>
      </c>
      <c r="Y8200" s="11">
        <v>0.21832324269871395</v>
      </c>
      <c r="Z8200" s="11">
        <v>0.17363743941474488</v>
      </c>
    </row>
    <row r="8201" ht="22.5" customHeight="1">
      <c r="Q8201" s="9" t="s">
        <v>8239</v>
      </c>
      <c r="R8201" s="10">
        <v>0.43084510763293893</v>
      </c>
      <c r="S8201" s="10">
        <v>0.021797309447193037</v>
      </c>
      <c r="T8201" s="10">
        <v>17.93088768959374</v>
      </c>
      <c r="U8201" s="11">
        <v>0.14585617565603332</v>
      </c>
      <c r="V8201" s="11">
        <v>0.025053349630797615</v>
      </c>
      <c r="W8201" s="11">
        <v>0.18433321367278213</v>
      </c>
      <c r="X8201" s="11">
        <v>0.24432583577694253</v>
      </c>
      <c r="Y8201" s="11">
        <v>0.2103498885165464</v>
      </c>
      <c r="Z8201" s="11">
        <v>0.1900815367468981</v>
      </c>
    </row>
    <row r="8202" ht="22.5" customHeight="1">
      <c r="Q8202" s="9" t="s">
        <v>8240</v>
      </c>
      <c r="R8202" s="10">
        <v>0.613218130672656</v>
      </c>
      <c r="S8202" s="10">
        <v>0.031972416373567986</v>
      </c>
      <c r="T8202" s="10">
        <v>17.928520759117312</v>
      </c>
      <c r="U8202" s="11">
        <v>0.2949398239703996</v>
      </c>
      <c r="V8202" s="11">
        <v>0.30038834532173075</v>
      </c>
      <c r="W8202" s="11">
        <v>0.054443478202808766</v>
      </c>
      <c r="X8202" s="11">
        <v>0.10402226344066041</v>
      </c>
      <c r="Y8202" s="11">
        <v>0.01689987418861609</v>
      </c>
      <c r="Z8202" s="11">
        <v>0.22930621487578437</v>
      </c>
    </row>
    <row r="8203" ht="22.5" customHeight="1">
      <c r="Q8203" s="9" t="s">
        <v>8241</v>
      </c>
      <c r="R8203" s="10">
        <v>0.4527529865031128</v>
      </c>
      <c r="S8203" s="10">
        <v>0.023023584836687202</v>
      </c>
      <c r="T8203" s="10">
        <v>17.92739877090759</v>
      </c>
      <c r="U8203" s="11">
        <v>0.19189201390135885</v>
      </c>
      <c r="V8203" s="11">
        <v>0.21260727615488242</v>
      </c>
      <c r="W8203" s="11">
        <v>0.01286252049939166</v>
      </c>
      <c r="X8203" s="11">
        <v>0.19671588795216136</v>
      </c>
      <c r="Y8203" s="11">
        <v>0.13655811984658597</v>
      </c>
      <c r="Z8203" s="11">
        <v>0.24936418164561955</v>
      </c>
    </row>
    <row r="8204" ht="22.5" customHeight="1">
      <c r="Q8204" s="9" t="s">
        <v>8242</v>
      </c>
      <c r="R8204" s="10">
        <v>0.6565303044759138</v>
      </c>
      <c r="S8204" s="10">
        <v>0.03439126485632544</v>
      </c>
      <c r="T8204" s="10">
        <v>17.926944735867078</v>
      </c>
      <c r="U8204" s="11">
        <v>0.2085887955887783</v>
      </c>
      <c r="V8204" s="11">
        <v>0.10172801161597729</v>
      </c>
      <c r="W8204" s="11">
        <v>0.29591566124476376</v>
      </c>
      <c r="X8204" s="11">
        <v>0.042652439336058175</v>
      </c>
      <c r="Y8204" s="11">
        <v>0.17873005790426655</v>
      </c>
      <c r="Z8204" s="11">
        <v>0.17238503431015603</v>
      </c>
    </row>
    <row r="8205" ht="22.5" customHeight="1">
      <c r="Q8205" s="9" t="s">
        <v>8243</v>
      </c>
      <c r="R8205" s="10">
        <v>0.5741905460340905</v>
      </c>
      <c r="S8205" s="10">
        <v>0.029800066438378413</v>
      </c>
      <c r="T8205" s="10">
        <v>17.92581728429055</v>
      </c>
      <c r="U8205" s="11">
        <v>0.025049079654736392</v>
      </c>
      <c r="V8205" s="11">
        <v>0.06192146003892019</v>
      </c>
      <c r="W8205" s="11">
        <v>0.2586048291510911</v>
      </c>
      <c r="X8205" s="11">
        <v>0.22526895034851652</v>
      </c>
      <c r="Y8205" s="11">
        <v>0.23363739609692277</v>
      </c>
      <c r="Z8205" s="11">
        <v>0.19551828470981286</v>
      </c>
    </row>
    <row r="8206" ht="22.5" customHeight="1">
      <c r="Q8206" s="9" t="s">
        <v>8244</v>
      </c>
      <c r="R8206" s="10">
        <v>0.44383934261274643</v>
      </c>
      <c r="S8206" s="10">
        <v>0.02252837084258873</v>
      </c>
      <c r="T8206" s="10">
        <v>17.92581209864092</v>
      </c>
      <c r="U8206" s="11">
        <v>0.24739969670568726</v>
      </c>
      <c r="V8206" s="11">
        <v>0.009231136575888711</v>
      </c>
      <c r="W8206" s="11">
        <v>0.1869696085525299</v>
      </c>
      <c r="X8206" s="11">
        <v>0.44927970609027873</v>
      </c>
      <c r="Y8206" s="11">
        <v>0.0822806078802361</v>
      </c>
      <c r="Z8206" s="11">
        <v>0.02483924419537938</v>
      </c>
    </row>
    <row r="8207" ht="22.5" customHeight="1">
      <c r="Q8207" s="9" t="s">
        <v>8245</v>
      </c>
      <c r="R8207" s="10">
        <v>0.41978873663521415</v>
      </c>
      <c r="S8207" s="10">
        <v>0.02118706857207571</v>
      </c>
      <c r="T8207" s="10">
        <v>17.925497118358834</v>
      </c>
      <c r="U8207" s="11">
        <v>0.2937640986554762</v>
      </c>
      <c r="V8207" s="11">
        <v>0.019815822763727925</v>
      </c>
      <c r="W8207" s="11">
        <v>0.1754217901584528</v>
      </c>
      <c r="X8207" s="11">
        <v>0.22423291478113075</v>
      </c>
      <c r="Y8207" s="11">
        <v>0.222838610479082</v>
      </c>
      <c r="Z8207" s="11">
        <v>0.06392676316213028</v>
      </c>
    </row>
    <row r="8208" ht="22.5" customHeight="1">
      <c r="Q8208" s="9" t="s">
        <v>8246</v>
      </c>
      <c r="R8208" s="10">
        <v>0.6954355976664082</v>
      </c>
      <c r="S8208" s="10">
        <v>0.03656761095321673</v>
      </c>
      <c r="T8208" s="10">
        <v>17.923938167712095</v>
      </c>
      <c r="U8208" s="11">
        <v>0.140366243024338</v>
      </c>
      <c r="V8208" s="11">
        <v>0.3407025382139354</v>
      </c>
      <c r="W8208" s="11">
        <v>0.07042594396306669</v>
      </c>
      <c r="X8208" s="11">
        <v>0.028882556083280178</v>
      </c>
      <c r="Y8208" s="11">
        <v>0.2995325912558755</v>
      </c>
      <c r="Z8208" s="11">
        <v>0.12009012745950405</v>
      </c>
    </row>
    <row r="8209" ht="22.5" customHeight="1">
      <c r="Q8209" s="9" t="s">
        <v>8247</v>
      </c>
      <c r="R8209" s="10">
        <v>0.8603023404632755</v>
      </c>
      <c r="S8209" s="10">
        <v>0.045766192353132916</v>
      </c>
      <c r="T8209" s="10">
        <v>17.923762023587305</v>
      </c>
      <c r="U8209" s="11">
        <v>0.06978361047747152</v>
      </c>
      <c r="V8209" s="11">
        <v>0.1558561491512393</v>
      </c>
      <c r="W8209" s="11">
        <v>0.39520425523405683</v>
      </c>
      <c r="X8209" s="11">
        <v>0.10065613275071283</v>
      </c>
      <c r="Y8209" s="11">
        <v>0.09332120273230875</v>
      </c>
      <c r="Z8209" s="11">
        <v>0.18517864965421085</v>
      </c>
    </row>
    <row r="8210" ht="22.5" customHeight="1">
      <c r="Q8210" s="9" t="s">
        <v>8248</v>
      </c>
      <c r="R8210" s="10">
        <v>0.7933235515945587</v>
      </c>
      <c r="S8210" s="10">
        <v>0.04203101414361752</v>
      </c>
      <c r="T8210" s="10">
        <v>17.923040091787843</v>
      </c>
      <c r="U8210" s="11">
        <v>0.13142424054604976</v>
      </c>
      <c r="V8210" s="11">
        <v>0.13317106393468398</v>
      </c>
      <c r="W8210" s="11">
        <v>0.36282758844492935</v>
      </c>
      <c r="X8210" s="11">
        <v>0.07322519217753558</v>
      </c>
      <c r="Y8210" s="11">
        <v>0.19139746615436723</v>
      </c>
      <c r="Z8210" s="11">
        <v>0.10795444874243418</v>
      </c>
    </row>
    <row r="8211" ht="22.5" customHeight="1">
      <c r="Q8211" s="9" t="s">
        <v>8249</v>
      </c>
      <c r="R8211" s="10">
        <v>0.5589656990380348</v>
      </c>
      <c r="S8211" s="10">
        <v>0.028955976971479145</v>
      </c>
      <c r="T8211" s="10">
        <v>17.922576038418665</v>
      </c>
      <c r="U8211" s="11">
        <v>0.3766899385891665</v>
      </c>
      <c r="V8211" s="11">
        <v>0.07501096404496821</v>
      </c>
      <c r="W8211" s="11">
        <v>0.24102561831117308</v>
      </c>
      <c r="X8211" s="11">
        <v>0.0019463697038363966</v>
      </c>
      <c r="Y8211" s="11">
        <v>0.27967718076840414</v>
      </c>
      <c r="Z8211" s="11">
        <v>0.025649928582451707</v>
      </c>
    </row>
    <row r="8212" ht="22.5" customHeight="1">
      <c r="Q8212" s="9" t="s">
        <v>8250</v>
      </c>
      <c r="R8212" s="10">
        <v>0.26111980152876996</v>
      </c>
      <c r="S8212" s="10">
        <v>0.012338488943901773</v>
      </c>
      <c r="T8212" s="10">
        <v>17.921141116559266</v>
      </c>
      <c r="U8212" s="11">
        <v>0.4977196393775444</v>
      </c>
      <c r="V8212" s="11">
        <v>0.02791067690160584</v>
      </c>
      <c r="W8212" s="11">
        <v>0.05938296981660257</v>
      </c>
      <c r="X8212" s="11">
        <v>0.08320652083912464</v>
      </c>
      <c r="Y8212" s="11">
        <v>0.20184421626687782</v>
      </c>
      <c r="Z8212" s="11">
        <v>0.1299359767982447</v>
      </c>
    </row>
    <row r="8213" ht="22.5" customHeight="1">
      <c r="Q8213" s="9" t="s">
        <v>8251</v>
      </c>
      <c r="R8213" s="10">
        <v>0.6168339569462322</v>
      </c>
      <c r="S8213" s="10">
        <v>0.032187436766081254</v>
      </c>
      <c r="T8213" s="10">
        <v>17.9210901799454</v>
      </c>
      <c r="U8213" s="11">
        <v>0.260699563358756</v>
      </c>
      <c r="V8213" s="11">
        <v>0.09288717167854008</v>
      </c>
      <c r="W8213" s="11">
        <v>0.27556755502202207</v>
      </c>
      <c r="X8213" s="11">
        <v>0.02471770474874776</v>
      </c>
      <c r="Y8213" s="11">
        <v>0.17818699909756985</v>
      </c>
      <c r="Z8213" s="11">
        <v>0.16794100609436433</v>
      </c>
    </row>
    <row r="8214" ht="22.5" customHeight="1">
      <c r="Q8214" s="9" t="s">
        <v>8252</v>
      </c>
      <c r="R8214" s="10">
        <v>0.7361596360895517</v>
      </c>
      <c r="S8214" s="10">
        <v>0.038845948230789774</v>
      </c>
      <c r="T8214" s="10">
        <v>17.921035984333805</v>
      </c>
      <c r="U8214" s="11">
        <v>0.19360279908448638</v>
      </c>
      <c r="V8214" s="11">
        <v>0.1100115126724565</v>
      </c>
      <c r="W8214" s="11">
        <v>0.33861510775281345</v>
      </c>
      <c r="X8214" s="11">
        <v>0.13584620881800094</v>
      </c>
      <c r="Y8214" s="11">
        <v>0.11866675388991371</v>
      </c>
      <c r="Z8214" s="11">
        <v>0.10325761778232904</v>
      </c>
    </row>
    <row r="8215" ht="22.5" customHeight="1">
      <c r="Q8215" s="9" t="s">
        <v>8253</v>
      </c>
      <c r="R8215" s="10">
        <v>0.7397125470477891</v>
      </c>
      <c r="S8215" s="10">
        <v>0.039046288161120865</v>
      </c>
      <c r="T8215" s="10">
        <v>17.920078450491644</v>
      </c>
      <c r="U8215" s="11">
        <v>0.07364137689077406</v>
      </c>
      <c r="V8215" s="11">
        <v>0.36882552085987</v>
      </c>
      <c r="W8215" s="11">
        <v>0.08480771612002824</v>
      </c>
      <c r="X8215" s="11">
        <v>0.06392045496399851</v>
      </c>
      <c r="Y8215" s="11">
        <v>0.13081950509747858</v>
      </c>
      <c r="Z8215" s="11">
        <v>0.2779854260678504</v>
      </c>
    </row>
    <row r="8216" ht="22.5" customHeight="1">
      <c r="Q8216" s="9" t="s">
        <v>8254</v>
      </c>
      <c r="R8216" s="10">
        <v>0.46280104605892064</v>
      </c>
      <c r="S8216" s="10">
        <v>0.023595351259266584</v>
      </c>
      <c r="T8216" s="10">
        <v>17.918828222270026</v>
      </c>
      <c r="U8216" s="11">
        <v>0.28150437791680094</v>
      </c>
      <c r="V8216" s="11">
        <v>0.029866858865176846</v>
      </c>
      <c r="W8216" s="11">
        <v>0.20212968668563214</v>
      </c>
      <c r="X8216" s="11">
        <v>0.24337692444128048</v>
      </c>
      <c r="Y8216" s="11">
        <v>0.1207324085966123</v>
      </c>
      <c r="Z8216" s="11">
        <v>0.12238974349449738</v>
      </c>
    </row>
    <row r="8217" ht="22.5" customHeight="1">
      <c r="Q8217" s="9" t="s">
        <v>8255</v>
      </c>
      <c r="R8217" s="10">
        <v>0.7052677182464527</v>
      </c>
      <c r="S8217" s="10">
        <v>0.03713123273790062</v>
      </c>
      <c r="T8217" s="10">
        <v>17.91666123617275</v>
      </c>
      <c r="U8217" s="11">
        <v>0.18403569226779135</v>
      </c>
      <c r="V8217" s="11">
        <v>0.35047832438532883</v>
      </c>
      <c r="W8217" s="11">
        <v>0.04456078089255477</v>
      </c>
      <c r="X8217" s="11">
        <v>0.29819248074769816</v>
      </c>
      <c r="Y8217" s="11">
        <v>0.08740531420952406</v>
      </c>
      <c r="Z8217" s="11">
        <v>0.035327407497102975</v>
      </c>
    </row>
    <row r="8218" ht="22.5" customHeight="1">
      <c r="Q8218" s="9" t="s">
        <v>8256</v>
      </c>
      <c r="R8218" s="10">
        <v>0.781995798304889</v>
      </c>
      <c r="S8218" s="10">
        <v>0.04141635667823192</v>
      </c>
      <c r="T8218" s="10">
        <v>17.91552559945176</v>
      </c>
      <c r="U8218" s="11">
        <v>0.013540780841646904</v>
      </c>
      <c r="V8218" s="11">
        <v>0.1304356096598715</v>
      </c>
      <c r="W8218" s="11">
        <v>0.35933765413235896</v>
      </c>
      <c r="X8218" s="11">
        <v>0.1357294675018194</v>
      </c>
      <c r="Y8218" s="11">
        <v>0.13772568803647306</v>
      </c>
      <c r="Z8218" s="11">
        <v>0.22323079982783006</v>
      </c>
    </row>
    <row r="8219" ht="22.5" customHeight="1">
      <c r="Q8219" s="9" t="s">
        <v>8257</v>
      </c>
      <c r="R8219" s="10">
        <v>0.5308609694466393</v>
      </c>
      <c r="S8219" s="10">
        <v>0.02739947626414685</v>
      </c>
      <c r="T8219" s="10">
        <v>17.914976356279762</v>
      </c>
      <c r="U8219" s="11">
        <v>0.20801244377631806</v>
      </c>
      <c r="V8219" s="11">
        <v>0.2570150515410862</v>
      </c>
      <c r="W8219" s="11">
        <v>0.025581610157998383</v>
      </c>
      <c r="X8219" s="11">
        <v>0.19718351517199129</v>
      </c>
      <c r="Y8219" s="11">
        <v>0.09898722810224192</v>
      </c>
      <c r="Z8219" s="11">
        <v>0.21322015125036417</v>
      </c>
    </row>
    <row r="8220" ht="22.5" customHeight="1">
      <c r="Q8220" s="9" t="s">
        <v>8258</v>
      </c>
      <c r="R8220" s="10">
        <v>0.5550282086723087</v>
      </c>
      <c r="S8220" s="10">
        <v>0.028748980101939544</v>
      </c>
      <c r="T8220" s="10">
        <v>17.91466016693797</v>
      </c>
      <c r="U8220" s="11">
        <v>0.20176759297828373</v>
      </c>
      <c r="V8220" s="11">
        <v>0.05975146020364836</v>
      </c>
      <c r="W8220" s="11">
        <v>0.24797632468033973</v>
      </c>
      <c r="X8220" s="11">
        <v>0.144965605656769</v>
      </c>
      <c r="Y8220" s="11">
        <v>0.2326198322358926</v>
      </c>
      <c r="Z8220" s="11">
        <v>0.11291918424506656</v>
      </c>
    </row>
    <row r="8221" ht="22.5" customHeight="1">
      <c r="Q8221" s="9" t="s">
        <v>8259</v>
      </c>
      <c r="R8221" s="10">
        <v>0.5633843281501434</v>
      </c>
      <c r="S8221" s="10">
        <v>0.029218141215189057</v>
      </c>
      <c r="T8221" s="10">
        <v>17.91299194207679</v>
      </c>
      <c r="U8221" s="11">
        <v>0.17439020217007176</v>
      </c>
      <c r="V8221" s="11">
        <v>0.27208283242274806</v>
      </c>
      <c r="W8221" s="11">
        <v>0.0385595180329958</v>
      </c>
      <c r="X8221" s="11">
        <v>0.0914769281764094</v>
      </c>
      <c r="Y8221" s="11">
        <v>0.25080133333939403</v>
      </c>
      <c r="Z8221" s="11">
        <v>0.1726891858583811</v>
      </c>
    </row>
    <row r="8222" ht="22.5" customHeight="1">
      <c r="Q8222" s="9" t="s">
        <v>8260</v>
      </c>
      <c r="R8222" s="10">
        <v>0.6179600831652791</v>
      </c>
      <c r="S8222" s="10">
        <v>0.03226523994374096</v>
      </c>
      <c r="T8222" s="10">
        <v>17.912778091005514</v>
      </c>
      <c r="U8222" s="11">
        <v>0.14127744919413054</v>
      </c>
      <c r="V8222" s="11">
        <v>0.3011735139112509</v>
      </c>
      <c r="W8222" s="11">
        <v>0.02262103762848543</v>
      </c>
      <c r="X8222" s="11">
        <v>0.3466130443185825</v>
      </c>
      <c r="Y8222" s="11">
        <v>0.15909785101705143</v>
      </c>
      <c r="Z8222" s="11">
        <v>0.02921710393049921</v>
      </c>
    </row>
    <row r="8223" ht="22.5" customHeight="1">
      <c r="Q8223" s="9" t="s">
        <v>8261</v>
      </c>
      <c r="R8223" s="10">
        <v>0.48213906204706664</v>
      </c>
      <c r="S8223" s="10">
        <v>0.024683956151275787</v>
      </c>
      <c r="T8223" s="10">
        <v>17.91200159882859</v>
      </c>
      <c r="U8223" s="11">
        <v>0.0880401913956125</v>
      </c>
      <c r="V8223" s="11">
        <v>0.22862387285851737</v>
      </c>
      <c r="W8223" s="11">
        <v>0.011713222961032901</v>
      </c>
      <c r="X8223" s="11">
        <v>0.2525097996297671</v>
      </c>
      <c r="Y8223" s="11">
        <v>0.19341933065768332</v>
      </c>
      <c r="Z8223" s="11">
        <v>0.22569358249738683</v>
      </c>
    </row>
    <row r="8224" ht="22.5" customHeight="1">
      <c r="Q8224" s="9" t="s">
        <v>8262</v>
      </c>
      <c r="R8224" s="10">
        <v>0.5789695015011662</v>
      </c>
      <c r="S8224" s="10">
        <v>0.03009112337505512</v>
      </c>
      <c r="T8224" s="10">
        <v>17.911245611653037</v>
      </c>
      <c r="U8224" s="11">
        <v>0.04306008738185383</v>
      </c>
      <c r="V8224" s="11">
        <v>0.07007315569294126</v>
      </c>
      <c r="W8224" s="11">
        <v>0.26282797873089553</v>
      </c>
      <c r="X8224" s="11">
        <v>0.2076209903523942</v>
      </c>
      <c r="Y8224" s="11">
        <v>0.1260115857839559</v>
      </c>
      <c r="Z8224" s="11">
        <v>0.2904062020579592</v>
      </c>
    </row>
    <row r="8225" ht="22.5" customHeight="1">
      <c r="Q8225" s="9" t="s">
        <v>8263</v>
      </c>
      <c r="R8225" s="10">
        <v>0.5938866041409032</v>
      </c>
      <c r="S8225" s="10">
        <v>0.030924053782887154</v>
      </c>
      <c r="T8225" s="10">
        <v>17.911190040919365</v>
      </c>
      <c r="U8225" s="11">
        <v>0.2786984532301743</v>
      </c>
      <c r="V8225" s="11">
        <v>0.06678082120046816</v>
      </c>
      <c r="W8225" s="11">
        <v>0.27000539456005684</v>
      </c>
      <c r="X8225" s="11">
        <v>0.18391086063599976</v>
      </c>
      <c r="Y8225" s="11">
        <v>0.09359639182553756</v>
      </c>
      <c r="Z8225" s="11">
        <v>0.10700807854776338</v>
      </c>
    </row>
    <row r="8226" ht="22.5" customHeight="1">
      <c r="Q8226" s="9" t="s">
        <v>8264</v>
      </c>
      <c r="R8226" s="10">
        <v>0.43657528127647116</v>
      </c>
      <c r="S8226" s="10">
        <v>0.022141753251235952</v>
      </c>
      <c r="T8226" s="10">
        <v>17.910744319867007</v>
      </c>
      <c r="U8226" s="11">
        <v>0.11823526343933899</v>
      </c>
      <c r="V8226" s="11">
        <v>0.1988861820426579</v>
      </c>
      <c r="W8226" s="11">
        <v>0.004241769554381625</v>
      </c>
      <c r="X8226" s="11">
        <v>0.23192379529153673</v>
      </c>
      <c r="Y8226" s="11">
        <v>0.27868627553971265</v>
      </c>
      <c r="Z8226" s="11">
        <v>0.16802671413237194</v>
      </c>
    </row>
    <row r="8227" ht="22.5" customHeight="1">
      <c r="Q8227" s="9" t="s">
        <v>8265</v>
      </c>
      <c r="R8227" s="10">
        <v>0.2827572559453433</v>
      </c>
      <c r="S8227" s="10">
        <v>0.013554361407720743</v>
      </c>
      <c r="T8227" s="10">
        <v>17.90989989444029</v>
      </c>
      <c r="U8227" s="11">
        <v>0.31455894524655903</v>
      </c>
      <c r="V8227" s="11">
        <v>0.0065293260936807205</v>
      </c>
      <c r="W8227" s="11">
        <v>0.09266835992138119</v>
      </c>
      <c r="X8227" s="11">
        <v>0.17980195849530686</v>
      </c>
      <c r="Y8227" s="11">
        <v>0.2309851878745761</v>
      </c>
      <c r="Z8227" s="11">
        <v>0.17545622236849615</v>
      </c>
    </row>
    <row r="8228" ht="22.5" customHeight="1">
      <c r="Q8228" s="9" t="s">
        <v>8266</v>
      </c>
      <c r="R8228" s="10">
        <v>0.38097319299824267</v>
      </c>
      <c r="S8228" s="10">
        <v>0.019038384831036613</v>
      </c>
      <c r="T8228" s="10">
        <v>17.909775226435382</v>
      </c>
      <c r="U8228" s="11">
        <v>0.26412808140114463</v>
      </c>
      <c r="V8228" s="11">
        <v>0.03512750861261582</v>
      </c>
      <c r="W8228" s="11">
        <v>0.14421206424929872</v>
      </c>
      <c r="X8228" s="11">
        <v>0.052669846865047956</v>
      </c>
      <c r="Y8228" s="11">
        <v>0.3744262097906219</v>
      </c>
      <c r="Z8228" s="11">
        <v>0.12943628908127075</v>
      </c>
    </row>
    <row r="8229" ht="22.5" customHeight="1">
      <c r="Q8229" s="9" t="s">
        <v>8267</v>
      </c>
      <c r="R8229" s="10">
        <v>0.3343489695185353</v>
      </c>
      <c r="S8229" s="10">
        <v>0.016435287394587196</v>
      </c>
      <c r="T8229" s="10">
        <v>17.909572400630875</v>
      </c>
      <c r="U8229" s="11">
        <v>0.16361996091064518</v>
      </c>
      <c r="V8229" s="11">
        <v>0.0026192287007764797</v>
      </c>
      <c r="W8229" s="11">
        <v>0.1292816117523971</v>
      </c>
      <c r="X8229" s="11">
        <v>0.32574174883504264</v>
      </c>
      <c r="Y8229" s="11">
        <v>0.15146705911300382</v>
      </c>
      <c r="Z8229" s="11">
        <v>0.22727039068813473</v>
      </c>
    </row>
    <row r="8230" ht="22.5" customHeight="1">
      <c r="Q8230" s="9" t="s">
        <v>8268</v>
      </c>
      <c r="R8230" s="10">
        <v>0.5837044336068455</v>
      </c>
      <c r="S8230" s="10">
        <v>0.030358980541280174</v>
      </c>
      <c r="T8230" s="10">
        <v>17.909179554548988</v>
      </c>
      <c r="U8230" s="11">
        <v>0.17326622205872053</v>
      </c>
      <c r="V8230" s="11">
        <v>0.0901280329485955</v>
      </c>
      <c r="W8230" s="11">
        <v>0.2585572314031254</v>
      </c>
      <c r="X8230" s="11">
        <v>0.01031850360349112</v>
      </c>
      <c r="Y8230" s="11">
        <v>0.2080444842354208</v>
      </c>
      <c r="Z8230" s="11">
        <v>0.2596855257506466</v>
      </c>
    </row>
    <row r="8231" ht="22.5" customHeight="1">
      <c r="Q8231" s="9" t="s">
        <v>8269</v>
      </c>
      <c r="R8231" s="10">
        <v>0.601584526453567</v>
      </c>
      <c r="S8231" s="10">
        <v>0.031358028983098724</v>
      </c>
      <c r="T8231" s="10">
        <v>17.908795439797842</v>
      </c>
      <c r="U8231" s="11">
        <v>0.04805485213892001</v>
      </c>
      <c r="V8231" s="11">
        <v>0.2906792278825133</v>
      </c>
      <c r="W8231" s="11">
        <v>0.05578563299313937</v>
      </c>
      <c r="X8231" s="11">
        <v>0.031524593277762476</v>
      </c>
      <c r="Y8231" s="11">
        <v>0.3363840566216127</v>
      </c>
      <c r="Z8231" s="11">
        <v>0.23757163708605195</v>
      </c>
    </row>
    <row r="8232" ht="22.5" customHeight="1">
      <c r="Q8232" s="9" t="s">
        <v>8270</v>
      </c>
      <c r="R8232" s="10">
        <v>0.5099263051184796</v>
      </c>
      <c r="S8232" s="10">
        <v>0.026241813074411736</v>
      </c>
      <c r="T8232" s="10">
        <v>17.907539535700085</v>
      </c>
      <c r="U8232" s="11">
        <v>0.03169396431521568</v>
      </c>
      <c r="V8232" s="11">
        <v>0.2371074070398517</v>
      </c>
      <c r="W8232" s="11">
        <v>0.039636399725934066</v>
      </c>
      <c r="X8232" s="11">
        <v>0.0386741774424937</v>
      </c>
      <c r="Y8232" s="11">
        <v>0.40216487809718626</v>
      </c>
      <c r="Z8232" s="11">
        <v>0.2507231733793186</v>
      </c>
    </row>
    <row r="8233" ht="22.5" customHeight="1">
      <c r="Q8233" s="9" t="s">
        <v>8271</v>
      </c>
      <c r="R8233" s="10">
        <v>0.6888293296025813</v>
      </c>
      <c r="S8233" s="10">
        <v>0.03623596214466721</v>
      </c>
      <c r="T8233" s="10">
        <v>17.905674120428134</v>
      </c>
      <c r="U8233" s="11">
        <v>0.2091700887660612</v>
      </c>
      <c r="V8233" s="11">
        <v>0.3383625580889476</v>
      </c>
      <c r="W8233" s="11">
        <v>0.06934814778317484</v>
      </c>
      <c r="X8233" s="11">
        <v>0.02390340457965752</v>
      </c>
      <c r="Y8233" s="11">
        <v>0.23937192576897018</v>
      </c>
      <c r="Z8233" s="11">
        <v>0.1198438750131886</v>
      </c>
    </row>
    <row r="8234" ht="22.5" customHeight="1">
      <c r="Q8234" s="9" t="s">
        <v>8272</v>
      </c>
      <c r="R8234" s="10">
        <v>0.8397721674558885</v>
      </c>
      <c r="S8234" s="10">
        <v>0.0446679963094142</v>
      </c>
      <c r="T8234" s="10">
        <v>17.904814039919874</v>
      </c>
      <c r="U8234" s="11">
        <v>0.11517613236263188</v>
      </c>
      <c r="V8234" s="11">
        <v>0.1260131223190146</v>
      </c>
      <c r="W8234" s="11">
        <v>0.39135407456616816</v>
      </c>
      <c r="X8234" s="11">
        <v>0.24531743816205742</v>
      </c>
      <c r="Y8234" s="11">
        <v>0.06942970652831991</v>
      </c>
      <c r="Z8234" s="11">
        <v>0.052709526061807975</v>
      </c>
    </row>
    <row r="8235" ht="22.5" customHeight="1">
      <c r="Q8235" s="9" t="s">
        <v>8273</v>
      </c>
      <c r="R8235" s="10">
        <v>0.5994585973508084</v>
      </c>
      <c r="S8235" s="10">
        <v>0.03124808990914973</v>
      </c>
      <c r="T8235" s="10">
        <v>17.90376944566438</v>
      </c>
      <c r="U8235" s="11">
        <v>0.4268111547660695</v>
      </c>
      <c r="V8235" s="11">
        <v>0.06386284602810337</v>
      </c>
      <c r="W8235" s="11">
        <v>0.2714379226251636</v>
      </c>
      <c r="X8235" s="11">
        <v>0.21119653868227847</v>
      </c>
      <c r="Y8235" s="11">
        <v>0.012143798785927497</v>
      </c>
      <c r="Z8235" s="11">
        <v>0.01454773911245753</v>
      </c>
    </row>
    <row r="8236" ht="22.5" customHeight="1">
      <c r="Q8236" s="9" t="s">
        <v>8274</v>
      </c>
      <c r="R8236" s="10">
        <v>0.3727523024269387</v>
      </c>
      <c r="S8236" s="10">
        <v>0.01858645357907068</v>
      </c>
      <c r="T8236" s="10">
        <v>17.902947488682578</v>
      </c>
      <c r="U8236" s="11">
        <v>0.3428653073446174</v>
      </c>
      <c r="V8236" s="11">
        <v>0.034387955964593875</v>
      </c>
      <c r="W8236" s="11">
        <v>0.1316787532993828</v>
      </c>
      <c r="X8236" s="11">
        <v>0.05131560715984199</v>
      </c>
      <c r="Y8236" s="11">
        <v>0.4175487136300703</v>
      </c>
      <c r="Z8236" s="11">
        <v>0.02220366260149355</v>
      </c>
    </row>
    <row r="8237" ht="22.5" customHeight="1">
      <c r="Q8237" s="9" t="s">
        <v>8275</v>
      </c>
      <c r="R8237" s="10">
        <v>0.6519992384920789</v>
      </c>
      <c r="S8237" s="10">
        <v>0.03418534313746057</v>
      </c>
      <c r="T8237" s="10">
        <v>17.902386880576465</v>
      </c>
      <c r="U8237" s="11">
        <v>0.0252935988186685</v>
      </c>
      <c r="V8237" s="11">
        <v>0.31825080858363625</v>
      </c>
      <c r="W8237" s="11">
        <v>0.023794932459904203</v>
      </c>
      <c r="X8237" s="11">
        <v>0.4271594752692134</v>
      </c>
      <c r="Y8237" s="11">
        <v>0.17963431611292208</v>
      </c>
      <c r="Z8237" s="11">
        <v>0.0258668687556555</v>
      </c>
    </row>
    <row r="8238" ht="22.5" customHeight="1">
      <c r="Q8238" s="9" t="s">
        <v>8276</v>
      </c>
      <c r="R8238" s="10">
        <v>0.6156284944158823</v>
      </c>
      <c r="S8238" s="10">
        <v>0.03215803903440872</v>
      </c>
      <c r="T8238" s="10">
        <v>17.899987427714937</v>
      </c>
      <c r="U8238" s="11">
        <v>0.27883522097325436</v>
      </c>
      <c r="V8238" s="11">
        <v>0.06879820753252937</v>
      </c>
      <c r="W8238" s="11">
        <v>0.28002934679891467</v>
      </c>
      <c r="X8238" s="11">
        <v>0.17532183860556583</v>
      </c>
      <c r="Y8238" s="11">
        <v>0.162028927617798</v>
      </c>
      <c r="Z8238" s="11">
        <v>0.03498645847193794</v>
      </c>
    </row>
    <row r="8239" ht="22.5" customHeight="1">
      <c r="Q8239" s="9" t="s">
        <v>8277</v>
      </c>
      <c r="R8239" s="10">
        <v>0.4987244205553033</v>
      </c>
      <c r="S8239" s="10">
        <v>0.02562778945268917</v>
      </c>
      <c r="T8239" s="10">
        <v>17.899492322665722</v>
      </c>
      <c r="U8239" s="11">
        <v>0.06474417124122739</v>
      </c>
      <c r="V8239" s="11">
        <v>0.04278294652016828</v>
      </c>
      <c r="W8239" s="11">
        <v>0.2224420313967433</v>
      </c>
      <c r="X8239" s="11">
        <v>0.26567192329253153</v>
      </c>
      <c r="Y8239" s="11">
        <v>0.13964886543691266</v>
      </c>
      <c r="Z8239" s="11">
        <v>0.2647100621124169</v>
      </c>
    </row>
    <row r="8240" ht="22.5" customHeight="1">
      <c r="Q8240" s="9" t="s">
        <v>8278</v>
      </c>
      <c r="R8240" s="10">
        <v>0.522331348251574</v>
      </c>
      <c r="S8240" s="10">
        <v>0.02909455589020975</v>
      </c>
      <c r="T8240" s="10">
        <v>17.89899506410092</v>
      </c>
      <c r="U8240" s="11">
        <v>0.142265962526466</v>
      </c>
      <c r="V8240" s="11">
        <v>0.2711140127060836</v>
      </c>
      <c r="W8240" s="11">
        <v>0.02930716136645452</v>
      </c>
      <c r="X8240" s="11">
        <v>0.16326774977248457</v>
      </c>
      <c r="Y8240" s="11">
        <v>0.25746350001756163</v>
      </c>
      <c r="Z8240" s="11">
        <v>0.13658161361094964</v>
      </c>
    </row>
    <row r="8241" ht="22.5" customHeight="1">
      <c r="Q8241" s="9" t="s">
        <v>8279</v>
      </c>
      <c r="R8241" s="10">
        <v>0.4629559460842297</v>
      </c>
      <c r="S8241" s="10">
        <v>0.023631875581644684</v>
      </c>
      <c r="T8241" s="10">
        <v>17.897688426082755</v>
      </c>
      <c r="U8241" s="11">
        <v>0.08263373273820747</v>
      </c>
      <c r="V8241" s="11">
        <v>0.034000514130252776</v>
      </c>
      <c r="W8241" s="11">
        <v>0.20168895605419754</v>
      </c>
      <c r="X8241" s="11">
        <v>0.23325424490908958</v>
      </c>
      <c r="Y8241" s="11">
        <v>0.23515244803739996</v>
      </c>
      <c r="Z8241" s="11">
        <v>0.21327010413085276</v>
      </c>
    </row>
    <row r="8242" ht="22.5" customHeight="1">
      <c r="Q8242" s="9" t="s">
        <v>8280</v>
      </c>
      <c r="R8242" s="10">
        <v>0.5903313735103161</v>
      </c>
      <c r="S8242" s="10">
        <v>0.030748921283979522</v>
      </c>
      <c r="T8242" s="10">
        <v>17.897583086826653</v>
      </c>
      <c r="U8242" s="11">
        <v>0.2035906556488389</v>
      </c>
      <c r="V8242" s="11">
        <v>0.060970758071404174</v>
      </c>
      <c r="W8242" s="11">
        <v>0.2678792791916336</v>
      </c>
      <c r="X8242" s="11">
        <v>0.20350216771060167</v>
      </c>
      <c r="Y8242" s="11">
        <v>0.19015327749498612</v>
      </c>
      <c r="Z8242" s="11">
        <v>0.07390386188253555</v>
      </c>
    </row>
    <row r="8243" ht="22.5" customHeight="1">
      <c r="Q8243" s="9" t="s">
        <v>8281</v>
      </c>
      <c r="R8243" s="10">
        <v>0.23587490793833044</v>
      </c>
      <c r="S8243" s="10">
        <v>0.010944854105300293</v>
      </c>
      <c r="T8243" s="10">
        <v>17.89652982614666</v>
      </c>
      <c r="U8243" s="11">
        <v>0.24448296607022355</v>
      </c>
      <c r="V8243" s="11">
        <v>0.060342589321009985</v>
      </c>
      <c r="W8243" s="11">
        <v>0.011774757936881763</v>
      </c>
      <c r="X8243" s="11">
        <v>0.10327337914471925</v>
      </c>
      <c r="Y8243" s="11">
        <v>0.2845450321670378</v>
      </c>
      <c r="Z8243" s="11">
        <v>0.2955812753601276</v>
      </c>
    </row>
    <row r="8244" ht="22.5" customHeight="1">
      <c r="Q8244" s="9" t="s">
        <v>8282</v>
      </c>
      <c r="R8244" s="10">
        <v>0.6089910128797805</v>
      </c>
      <c r="S8244" s="10">
        <v>0.03179425393955298</v>
      </c>
      <c r="T8244" s="10">
        <v>17.896032847996445</v>
      </c>
      <c r="U8244" s="11">
        <v>0.10074862290929502</v>
      </c>
      <c r="V8244" s="11">
        <v>0.29844479639709504</v>
      </c>
      <c r="W8244" s="11">
        <v>0.034815880598448694</v>
      </c>
      <c r="X8244" s="11">
        <v>0.19937832677547307</v>
      </c>
      <c r="Y8244" s="11">
        <v>0.24036276716053118</v>
      </c>
      <c r="Z8244" s="11">
        <v>0.12624960615915695</v>
      </c>
    </row>
    <row r="8245" ht="22.5" customHeight="1">
      <c r="Q8245" s="9" t="s">
        <v>8283</v>
      </c>
      <c r="R8245" s="10">
        <v>0.5067582244526937</v>
      </c>
      <c r="S8245" s="10">
        <v>0.02608190050803605</v>
      </c>
      <c r="T8245" s="10">
        <v>17.89586707107029</v>
      </c>
      <c r="U8245" s="11">
        <v>0.44309353115955363</v>
      </c>
      <c r="V8245" s="11">
        <v>0.23624257145444377</v>
      </c>
      <c r="W8245" s="11">
        <v>0.019600662030777708</v>
      </c>
      <c r="X8245" s="11">
        <v>0.16555463876676274</v>
      </c>
      <c r="Y8245" s="11">
        <v>0.11929995811530202</v>
      </c>
      <c r="Z8245" s="11">
        <v>0.01620863847315997</v>
      </c>
    </row>
    <row r="8246" ht="22.5" customHeight="1">
      <c r="Q8246" s="9" t="s">
        <v>8284</v>
      </c>
      <c r="R8246" s="10">
        <v>0.4941713195057884</v>
      </c>
      <c r="S8246" s="10">
        <v>0.025378718825499545</v>
      </c>
      <c r="T8246" s="10">
        <v>17.895754416470183</v>
      </c>
      <c r="U8246" s="11">
        <v>0.13468375818983383</v>
      </c>
      <c r="V8246" s="11">
        <v>0.23807323838303318</v>
      </c>
      <c r="W8246" s="11">
        <v>0.024463626727729323</v>
      </c>
      <c r="X8246" s="11">
        <v>0.16605339226346627</v>
      </c>
      <c r="Y8246" s="11">
        <v>0.12805857072561144</v>
      </c>
      <c r="Z8246" s="11">
        <v>0.3086674137103259</v>
      </c>
    </row>
    <row r="8247" ht="22.5" customHeight="1">
      <c r="Q8247" s="9" t="s">
        <v>8285</v>
      </c>
      <c r="R8247" s="10">
        <v>0.37066540873471426</v>
      </c>
      <c r="S8247" s="10">
        <v>0.018478932307630733</v>
      </c>
      <c r="T8247" s="10">
        <v>17.894183669809134</v>
      </c>
      <c r="U8247" s="11">
        <v>0.1979807829261205</v>
      </c>
      <c r="V8247" s="11">
        <v>0.1578162720306464</v>
      </c>
      <c r="W8247" s="11">
        <v>0.001693580902229621</v>
      </c>
      <c r="X8247" s="11">
        <v>0.16441641491563264</v>
      </c>
      <c r="Y8247" s="11">
        <v>0.3034226079598847</v>
      </c>
      <c r="Z8247" s="11">
        <v>0.17467034126548608</v>
      </c>
    </row>
    <row r="8248" ht="22.5" customHeight="1">
      <c r="Q8248" s="9" t="s">
        <v>8286</v>
      </c>
      <c r="R8248" s="10">
        <v>1.152543440432262</v>
      </c>
      <c r="S8248" s="10">
        <v>0.06217510676771435</v>
      </c>
      <c r="T8248" s="10">
        <v>17.893711780644214</v>
      </c>
      <c r="U8248" s="11">
        <v>0.04708378812600146</v>
      </c>
      <c r="V8248" s="11">
        <v>0.23363615235900556</v>
      </c>
      <c r="W8248" s="11">
        <v>0.5321051346526181</v>
      </c>
      <c r="X8248" s="11">
        <v>0.11364599132418388</v>
      </c>
      <c r="Y8248" s="11">
        <v>0.040950823876776975</v>
      </c>
      <c r="Z8248" s="11">
        <v>0.03257810966141375</v>
      </c>
    </row>
    <row r="8249" ht="22.5" customHeight="1">
      <c r="Q8249" s="9" t="s">
        <v>8287</v>
      </c>
      <c r="R8249" s="10">
        <v>0.5654847821833259</v>
      </c>
      <c r="S8249" s="10">
        <v>0.02936714229628105</v>
      </c>
      <c r="T8249" s="10">
        <v>17.89363012859005</v>
      </c>
      <c r="U8249" s="11">
        <v>0.24246290743385485</v>
      </c>
      <c r="V8249" s="11">
        <v>0.2724156511727624</v>
      </c>
      <c r="W8249" s="11">
        <v>0.018013171867592794</v>
      </c>
      <c r="X8249" s="11">
        <v>0.27354371818075873</v>
      </c>
      <c r="Y8249" s="11">
        <v>0.16482091854499503</v>
      </c>
      <c r="Z8249" s="11">
        <v>0.0287436328000362</v>
      </c>
    </row>
    <row r="8250" ht="22.5" customHeight="1">
      <c r="Q8250" s="9" t="s">
        <v>8288</v>
      </c>
      <c r="R8250" s="10">
        <v>0.56380603428344</v>
      </c>
      <c r="S8250" s="10">
        <v>0.02927367094183207</v>
      </c>
      <c r="T8250" s="10">
        <v>17.89341812730843</v>
      </c>
      <c r="U8250" s="11">
        <v>0.08407712108286561</v>
      </c>
      <c r="V8250" s="11">
        <v>0.2764951968503966</v>
      </c>
      <c r="W8250" s="11">
        <v>0.02771860077517192</v>
      </c>
      <c r="X8250" s="11">
        <v>0.2788399448492282</v>
      </c>
      <c r="Y8250" s="11">
        <v>0.06479274473242065</v>
      </c>
      <c r="Z8250" s="11">
        <v>0.268076391709917</v>
      </c>
    </row>
    <row r="8251" ht="22.5" customHeight="1">
      <c r="Q8251" s="9" t="s">
        <v>8289</v>
      </c>
      <c r="R8251" s="10">
        <v>0.5238768078845718</v>
      </c>
      <c r="S8251" s="10">
        <v>0.027042476843501376</v>
      </c>
      <c r="T8251" s="10">
        <v>17.893213357816116</v>
      </c>
      <c r="U8251" s="11">
        <v>0.26562193836271036</v>
      </c>
      <c r="V8251" s="11">
        <v>0.07376714151253363</v>
      </c>
      <c r="W8251" s="11">
        <v>0.22916678528144238</v>
      </c>
      <c r="X8251" s="11">
        <v>0.01442500815220997</v>
      </c>
      <c r="Y8251" s="11">
        <v>0.16621290615324785</v>
      </c>
      <c r="Z8251" s="11">
        <v>0.25080622053785584</v>
      </c>
    </row>
    <row r="8252" ht="22.5" customHeight="1">
      <c r="Q8252" s="9" t="s">
        <v>8290</v>
      </c>
      <c r="R8252" s="10">
        <v>0.22207742295575084</v>
      </c>
      <c r="S8252" s="10">
        <v>0.010177809098007716</v>
      </c>
      <c r="T8252" s="10">
        <v>17.88964807675476</v>
      </c>
      <c r="U8252" s="11">
        <v>0.38695447297023783</v>
      </c>
      <c r="V8252" s="11">
        <v>0.038162591224559145</v>
      </c>
      <c r="W8252" s="11">
        <v>0.03116022683363333</v>
      </c>
      <c r="X8252" s="11">
        <v>0.13686543944541826</v>
      </c>
      <c r="Y8252" s="11">
        <v>0.03189262031429126</v>
      </c>
      <c r="Z8252" s="11">
        <v>0.37496464921186007</v>
      </c>
    </row>
    <row r="8253" ht="22.5" customHeight="1">
      <c r="Q8253" s="9" t="s">
        <v>8291</v>
      </c>
      <c r="R8253" s="10">
        <v>0.6942391459337719</v>
      </c>
      <c r="S8253" s="10">
        <v>0.03657082599442275</v>
      </c>
      <c r="T8253" s="10">
        <v>17.889646409231965</v>
      </c>
      <c r="U8253" s="11">
        <v>0.10477939838062807</v>
      </c>
      <c r="V8253" s="11">
        <v>0.12232806967341035</v>
      </c>
      <c r="W8253" s="11">
        <v>0.31441983406900836</v>
      </c>
      <c r="X8253" s="11">
        <v>0.036887333901493825</v>
      </c>
      <c r="Y8253" s="11">
        <v>0.09753063252571167</v>
      </c>
      <c r="Z8253" s="11">
        <v>0.3240547314497477</v>
      </c>
    </row>
    <row r="8254" ht="22.5" customHeight="1">
      <c r="Q8254" s="9" t="s">
        <v>8292</v>
      </c>
      <c r="R8254" s="10">
        <v>0.4556115413919057</v>
      </c>
      <c r="S8254" s="10">
        <v>0.023232271577667583</v>
      </c>
      <c r="T8254" s="10">
        <v>17.88940612210385</v>
      </c>
      <c r="U8254" s="11">
        <v>0.2695904013772822</v>
      </c>
      <c r="V8254" s="11">
        <v>0.049910648474451674</v>
      </c>
      <c r="W8254" s="11">
        <v>0.19661361295945007</v>
      </c>
      <c r="X8254" s="11">
        <v>0.07660955370588646</v>
      </c>
      <c r="Y8254" s="11">
        <v>0.14973944645058357</v>
      </c>
      <c r="Z8254" s="11">
        <v>0.2575363370323461</v>
      </c>
    </row>
    <row r="8255" ht="22.5" customHeight="1">
      <c r="Q8255" s="9" t="s">
        <v>8293</v>
      </c>
      <c r="R8255" s="10">
        <v>0.5461441730058396</v>
      </c>
      <c r="S8255" s="10">
        <v>0.02829357365762821</v>
      </c>
      <c r="T8255" s="10">
        <v>17.889015333677314</v>
      </c>
      <c r="U8255" s="11">
        <v>0.10902352691451823</v>
      </c>
      <c r="V8255" s="11">
        <v>0.06066573985627619</v>
      </c>
      <c r="W8255" s="11">
        <v>0.24504562669000424</v>
      </c>
      <c r="X8255" s="11">
        <v>0.15734076884917272</v>
      </c>
      <c r="Y8255" s="11">
        <v>0.2164324620617729</v>
      </c>
      <c r="Z8255" s="11">
        <v>0.21149187562825564</v>
      </c>
    </row>
    <row r="8256" ht="22.5" customHeight="1">
      <c r="Q8256" s="9" t="s">
        <v>8294</v>
      </c>
      <c r="R8256" s="10">
        <v>0.7737529048340616</v>
      </c>
      <c r="S8256" s="10">
        <v>0.041017125991204</v>
      </c>
      <c r="T8256" s="10">
        <v>17.888939975741174</v>
      </c>
      <c r="U8256" s="11">
        <v>0.1106035751788707</v>
      </c>
      <c r="V8256" s="11">
        <v>0.38641953450219585</v>
      </c>
      <c r="W8256" s="11">
        <v>0.09747882671411554</v>
      </c>
      <c r="X8256" s="11">
        <v>0.027578638651251926</v>
      </c>
      <c r="Y8256" s="11">
        <v>0.08682000927170282</v>
      </c>
      <c r="Z8256" s="11">
        <v>0.2910994156818631</v>
      </c>
    </row>
    <row r="8257" ht="22.5" customHeight="1">
      <c r="Q8257" s="9" t="s">
        <v>8295</v>
      </c>
      <c r="R8257" s="10">
        <v>0.5032080865422309</v>
      </c>
      <c r="S8257" s="10">
        <v>0.025903591888443215</v>
      </c>
      <c r="T8257" s="10">
        <v>17.88200217703744</v>
      </c>
      <c r="U8257" s="11">
        <v>0.12584951965709493</v>
      </c>
      <c r="V8257" s="11">
        <v>0.043627704965084446</v>
      </c>
      <c r="W8257" s="11">
        <v>0.22452522040329653</v>
      </c>
      <c r="X8257" s="11">
        <v>0.22260262294931643</v>
      </c>
      <c r="Y8257" s="11">
        <v>0.17746254260107475</v>
      </c>
      <c r="Z8257" s="11">
        <v>0.2059323894241328</v>
      </c>
    </row>
    <row r="8258" ht="22.5" customHeight="1">
      <c r="Q8258" s="9" t="s">
        <v>8296</v>
      </c>
      <c r="R8258" s="10">
        <v>0.7631198453991709</v>
      </c>
      <c r="S8258" s="10">
        <v>0.0404426219596356</v>
      </c>
      <c r="T8258" s="10">
        <v>17.880142541719774</v>
      </c>
      <c r="U8258" s="11">
        <v>0.11078968474767788</v>
      </c>
      <c r="V8258" s="11">
        <v>0.14506859906942007</v>
      </c>
      <c r="W8258" s="11">
        <v>0.34575819174904504</v>
      </c>
      <c r="X8258" s="11">
        <v>0.002758600605376509</v>
      </c>
      <c r="Y8258" s="11">
        <v>0.09415195949635456</v>
      </c>
      <c r="Z8258" s="11">
        <v>0.30147296433212584</v>
      </c>
    </row>
    <row r="8259" ht="22.5" customHeight="1">
      <c r="Q8259" s="9" t="s">
        <v>8297</v>
      </c>
      <c r="R8259" s="10">
        <v>0.23033255244716375</v>
      </c>
      <c r="S8259" s="10">
        <v>0.010645134802201127</v>
      </c>
      <c r="T8259" s="10">
        <v>17.87976911366196</v>
      </c>
      <c r="U8259" s="11">
        <v>0.25360588729122424</v>
      </c>
      <c r="V8259" s="11">
        <v>0.03527819182219165</v>
      </c>
      <c r="W8259" s="11">
        <v>0.014598970060695778</v>
      </c>
      <c r="X8259" s="11">
        <v>0.2083296385802955</v>
      </c>
      <c r="Y8259" s="11">
        <v>0.35097048637594885</v>
      </c>
      <c r="Z8259" s="11">
        <v>0.13721682586964395</v>
      </c>
    </row>
    <row r="8260" ht="22.5" customHeight="1">
      <c r="Q8260" s="9" t="s">
        <v>8298</v>
      </c>
      <c r="R8260" s="10">
        <v>0.5652222465592481</v>
      </c>
      <c r="S8260" s="10">
        <v>0.02937708781008568</v>
      </c>
      <c r="T8260" s="10">
        <v>17.87863555280418</v>
      </c>
      <c r="U8260" s="11">
        <v>0.2517537869372492</v>
      </c>
      <c r="V8260" s="11">
        <v>0.27271721144239297</v>
      </c>
      <c r="W8260" s="11">
        <v>0.0196625434591066</v>
      </c>
      <c r="X8260" s="11">
        <v>0.2494337390138925</v>
      </c>
      <c r="Y8260" s="11">
        <v>0.17245457196694897</v>
      </c>
      <c r="Z8260" s="11">
        <v>0.03397814718040976</v>
      </c>
    </row>
    <row r="8261" ht="22.5" customHeight="1">
      <c r="Q8261" s="9" t="s">
        <v>8299</v>
      </c>
      <c r="R8261" s="10">
        <v>0.48305246354470965</v>
      </c>
      <c r="S8261" s="10">
        <v>0.02478461496262377</v>
      </c>
      <c r="T8261" s="10">
        <v>17.876108392761044</v>
      </c>
      <c r="U8261" s="11">
        <v>0.06749297524732867</v>
      </c>
      <c r="V8261" s="11">
        <v>0.2275195085269627</v>
      </c>
      <c r="W8261" s="11">
        <v>0.03759859263194232</v>
      </c>
      <c r="X8261" s="11">
        <v>0.02833843493426821</v>
      </c>
      <c r="Y8261" s="11">
        <v>0.28945261520301213</v>
      </c>
      <c r="Z8261" s="11">
        <v>0.34959787345648596</v>
      </c>
    </row>
    <row r="8262" ht="22.5" customHeight="1">
      <c r="Q8262" s="9" t="s">
        <v>8300</v>
      </c>
      <c r="R8262" s="10">
        <v>0.8037105201987543</v>
      </c>
      <c r="S8262" s="10">
        <v>0.04272438333152514</v>
      </c>
      <c r="T8262" s="10">
        <v>17.87528480569627</v>
      </c>
      <c r="U8262" s="11">
        <v>0.05941773034739336</v>
      </c>
      <c r="V8262" s="11">
        <v>0.40278710738989376</v>
      </c>
      <c r="W8262" s="11">
        <v>0.09444239393875682</v>
      </c>
      <c r="X8262" s="11">
        <v>0.05220373445400458</v>
      </c>
      <c r="Y8262" s="11">
        <v>0.18798833136418255</v>
      </c>
      <c r="Z8262" s="11">
        <v>0.20316070250576884</v>
      </c>
    </row>
    <row r="8263" ht="22.5" customHeight="1">
      <c r="Q8263" s="9" t="s">
        <v>8301</v>
      </c>
      <c r="R8263" s="10">
        <v>0.5908273557419155</v>
      </c>
      <c r="S8263" s="10">
        <v>0.03081693088604244</v>
      </c>
      <c r="T8263" s="10">
        <v>17.874179546912487</v>
      </c>
      <c r="U8263" s="11">
        <v>0.2381723900253382</v>
      </c>
      <c r="V8263" s="11">
        <v>0.2901849511568538</v>
      </c>
      <c r="W8263" s="11">
        <v>0.03764974479062446</v>
      </c>
      <c r="X8263" s="11">
        <v>0.1590312002451434</v>
      </c>
      <c r="Y8263" s="11">
        <v>0.10904146710215208</v>
      </c>
      <c r="Z8263" s="11">
        <v>0.16592024667988808</v>
      </c>
    </row>
    <row r="8264" ht="22.5" customHeight="1">
      <c r="Q8264" s="9" t="s">
        <v>8302</v>
      </c>
      <c r="R8264" s="10">
        <v>0.4365190308953999</v>
      </c>
      <c r="S8264" s="10">
        <v>0.022184095655267876</v>
      </c>
      <c r="T8264" s="10">
        <v>17.874022770959417</v>
      </c>
      <c r="U8264" s="11">
        <v>0.24013721545929323</v>
      </c>
      <c r="V8264" s="11">
        <v>0.19345537524966797</v>
      </c>
      <c r="W8264" s="11">
        <v>0.02761445789496482</v>
      </c>
      <c r="X8264" s="11">
        <v>0.010295346839164459</v>
      </c>
      <c r="Y8264" s="11">
        <v>0.3509275511553899</v>
      </c>
      <c r="Z8264" s="11">
        <v>0.17757005340151952</v>
      </c>
    </row>
    <row r="8265" ht="22.5" customHeight="1">
      <c r="Q8265" s="9" t="s">
        <v>8303</v>
      </c>
      <c r="R8265" s="10">
        <v>0.5390449792539439</v>
      </c>
      <c r="S8265" s="10">
        <v>0.02792142039862822</v>
      </c>
      <c r="T8265" s="10">
        <v>17.87319456278313</v>
      </c>
      <c r="U8265" s="11">
        <v>0.18694952722608554</v>
      </c>
      <c r="V8265" s="11">
        <v>0.2631371808502933</v>
      </c>
      <c r="W8265" s="11">
        <v>0.029754449601687383</v>
      </c>
      <c r="X8265" s="11">
        <v>0.18541729099450113</v>
      </c>
      <c r="Y8265" s="11">
        <v>0.07365885111476067</v>
      </c>
      <c r="Z8265" s="11">
        <v>0.2610827002126721</v>
      </c>
    </row>
    <row r="8266" ht="22.5" customHeight="1">
      <c r="Q8266" s="9" t="s">
        <v>8304</v>
      </c>
      <c r="R8266" s="10">
        <v>0.6524448857020213</v>
      </c>
      <c r="S8266" s="10">
        <v>0.034266268688636296</v>
      </c>
      <c r="T8266" s="10">
        <v>17.873112805688297</v>
      </c>
      <c r="U8266" s="11">
        <v>0.12699407705690205</v>
      </c>
      <c r="V8266" s="11">
        <v>0.32415599266930445</v>
      </c>
      <c r="W8266" s="11">
        <v>0.053678856766767674</v>
      </c>
      <c r="X8266" s="11">
        <v>0.1240121393119215</v>
      </c>
      <c r="Y8266" s="11">
        <v>0.16931298312979</v>
      </c>
      <c r="Z8266" s="11">
        <v>0.20184595106531422</v>
      </c>
    </row>
    <row r="8267" ht="22.5" customHeight="1">
      <c r="Q8267" s="9" t="s">
        <v>8305</v>
      </c>
      <c r="R8267" s="10">
        <v>0.30600431851707616</v>
      </c>
      <c r="S8267" s="10">
        <v>0.014884185254069518</v>
      </c>
      <c r="T8267" s="10">
        <v>17.871607614151895</v>
      </c>
      <c r="U8267" s="11">
        <v>0.2229279732161837</v>
      </c>
      <c r="V8267" s="11">
        <v>0.12368898652253592</v>
      </c>
      <c r="W8267" s="11">
        <v>0.010759925577636591</v>
      </c>
      <c r="X8267" s="11">
        <v>0.07552260275087967</v>
      </c>
      <c r="Y8267" s="11">
        <v>0.1622808396356881</v>
      </c>
      <c r="Z8267" s="11">
        <v>0.404819672297076</v>
      </c>
    </row>
    <row r="8268" ht="22.5" customHeight="1">
      <c r="Q8268" s="9" t="s">
        <v>8306</v>
      </c>
      <c r="R8268" s="10">
        <v>0.5442794120057552</v>
      </c>
      <c r="S8268" s="10">
        <v>0.02821733766097646</v>
      </c>
      <c r="T8268" s="10">
        <v>17.87126121055549</v>
      </c>
      <c r="U8268" s="11">
        <v>0.23507677307762015</v>
      </c>
      <c r="V8268" s="11">
        <v>0.05801597774337976</v>
      </c>
      <c r="W8268" s="11">
        <v>0.24591975096575006</v>
      </c>
      <c r="X8268" s="11">
        <v>0.17189497809104531</v>
      </c>
      <c r="Y8268" s="11">
        <v>0.10358261259322041</v>
      </c>
      <c r="Z8268" s="11">
        <v>0.18550990752898422</v>
      </c>
    </row>
    <row r="8269" ht="22.5" customHeight="1">
      <c r="Q8269" s="9" t="s">
        <v>8307</v>
      </c>
      <c r="R8269" s="10">
        <v>0.4627461551312411</v>
      </c>
      <c r="S8269" s="10">
        <v>0.023655141966406917</v>
      </c>
      <c r="T8269" s="10">
        <v>17.871216149604614</v>
      </c>
      <c r="U8269" s="11">
        <v>0.22879842062585865</v>
      </c>
      <c r="V8269" s="11">
        <v>0.04693273516447641</v>
      </c>
      <c r="W8269" s="11">
        <v>0.20313280800488717</v>
      </c>
      <c r="X8269" s="11">
        <v>0.133578531048697</v>
      </c>
      <c r="Y8269" s="11">
        <v>0.10141591908648848</v>
      </c>
      <c r="Z8269" s="11">
        <v>0.2861415860695922</v>
      </c>
    </row>
    <row r="8270" ht="22.5" customHeight="1">
      <c r="Q8270" s="9" t="s">
        <v>8308</v>
      </c>
      <c r="R8270" s="10">
        <v>0.522331348251574</v>
      </c>
      <c r="S8270" s="10">
        <v>0.025396144648466443</v>
      </c>
      <c r="T8270" s="10">
        <v>17.870825912775924</v>
      </c>
      <c r="U8270" s="11">
        <v>0.2791759310699086</v>
      </c>
      <c r="V8270" s="11">
        <v>0.23494990854562614</v>
      </c>
      <c r="W8270" s="11">
        <v>0.014283826506619794</v>
      </c>
      <c r="X8270" s="11">
        <v>0.2682686809580848</v>
      </c>
      <c r="Y8270" s="11">
        <v>0.0147539115147333</v>
      </c>
      <c r="Z8270" s="11">
        <v>0.18856774140502727</v>
      </c>
    </row>
    <row r="8271" ht="22.5" customHeight="1">
      <c r="Q8271" s="9" t="s">
        <v>8309</v>
      </c>
      <c r="R8271" s="10">
        <v>0.5262039614733752</v>
      </c>
      <c r="S8271" s="10">
        <v>0.02720782590632638</v>
      </c>
      <c r="T8271" s="10">
        <v>17.870004135843974</v>
      </c>
      <c r="U8271" s="11">
        <v>0.20542509663524916</v>
      </c>
      <c r="V8271" s="11">
        <v>0.06397095175519932</v>
      </c>
      <c r="W8271" s="11">
        <v>0.23227984973619595</v>
      </c>
      <c r="X8271" s="11">
        <v>0.06807658174378214</v>
      </c>
      <c r="Y8271" s="11">
        <v>0.23426755130405194</v>
      </c>
      <c r="Z8271" s="11">
        <v>0.19597996882552143</v>
      </c>
    </row>
    <row r="8272" ht="22.5" customHeight="1">
      <c r="Q8272" s="9" t="s">
        <v>8310</v>
      </c>
      <c r="R8272" s="10">
        <v>0.5807021825017521</v>
      </c>
      <c r="S8272" s="10">
        <v>0.030258318332061676</v>
      </c>
      <c r="T8272" s="10">
        <v>17.869538437925176</v>
      </c>
      <c r="U8272" s="11">
        <v>0.03017454238697653</v>
      </c>
      <c r="V8272" s="11">
        <v>0.05331652529066094</v>
      </c>
      <c r="W8272" s="11">
        <v>0.2605970354055939</v>
      </c>
      <c r="X8272" s="11">
        <v>0.270071559200334</v>
      </c>
      <c r="Y8272" s="11">
        <v>0.30967834159318147</v>
      </c>
      <c r="Z8272" s="11">
        <v>0.07616199612325313</v>
      </c>
    </row>
    <row r="8273" ht="22.5" customHeight="1">
      <c r="Q8273" s="9" t="s">
        <v>8311</v>
      </c>
      <c r="R8273" s="10">
        <v>0.5486526514516399</v>
      </c>
      <c r="S8273" s="10">
        <v>0.02846602480352441</v>
      </c>
      <c r="T8273" s="10">
        <v>17.86876302407574</v>
      </c>
      <c r="U8273" s="11">
        <v>0.15595202388806703</v>
      </c>
      <c r="V8273" s="11">
        <v>0.051983169201203994</v>
      </c>
      <c r="W8273" s="11">
        <v>0.24865870059413522</v>
      </c>
      <c r="X8273" s="11">
        <v>0.23237009120910648</v>
      </c>
      <c r="Y8273" s="11">
        <v>0.1449646261016068</v>
      </c>
      <c r="Z8273" s="11">
        <v>0.16607138900588048</v>
      </c>
    </row>
    <row r="8274" ht="22.5" customHeight="1">
      <c r="Q8274" s="9" t="s">
        <v>8312</v>
      </c>
      <c r="R8274" s="10">
        <v>0.2570564900374163</v>
      </c>
      <c r="S8274" s="10">
        <v>0.012148278078042274</v>
      </c>
      <c r="T8274" s="10">
        <v>17.867263874189774</v>
      </c>
      <c r="U8274" s="11">
        <v>0.07797026068397064</v>
      </c>
      <c r="V8274" s="11">
        <v>0.004117671521773935</v>
      </c>
      <c r="W8274" s="11">
        <v>0.0500536491723992</v>
      </c>
      <c r="X8274" s="11">
        <v>0.38649134466811325</v>
      </c>
      <c r="Y8274" s="11">
        <v>0.3873275230779482</v>
      </c>
      <c r="Z8274" s="11">
        <v>0.09403955087579473</v>
      </c>
    </row>
    <row r="8275" ht="22.5" customHeight="1">
      <c r="Q8275" s="9" t="s">
        <v>8313</v>
      </c>
      <c r="R8275" s="10">
        <v>0.5569998462370525</v>
      </c>
      <c r="S8275" s="10">
        <v>0.028936594861665325</v>
      </c>
      <c r="T8275" s="10">
        <v>17.866644251289028</v>
      </c>
      <c r="U8275" s="11">
        <v>0.29101267242802625</v>
      </c>
      <c r="V8275" s="11">
        <v>0.2710266789590008</v>
      </c>
      <c r="W8275" s="11">
        <v>0.02823415695551071</v>
      </c>
      <c r="X8275" s="11">
        <v>0.22960374399682312</v>
      </c>
      <c r="Y8275" s="11">
        <v>0.003982926113392306</v>
      </c>
      <c r="Z8275" s="11">
        <v>0.1761398215472469</v>
      </c>
    </row>
    <row r="8276" ht="22.5" customHeight="1">
      <c r="Q8276" s="9" t="s">
        <v>8314</v>
      </c>
      <c r="R8276" s="10">
        <v>0.6343736602947592</v>
      </c>
      <c r="S8276" s="10">
        <v>0.03326751853353379</v>
      </c>
      <c r="T8276" s="10">
        <v>17.86648618518475</v>
      </c>
      <c r="U8276" s="11">
        <v>0.19155061720440963</v>
      </c>
      <c r="V8276" s="11">
        <v>0.31543582344826443</v>
      </c>
      <c r="W8276" s="11">
        <v>0.04844508704958075</v>
      </c>
      <c r="X8276" s="11">
        <v>0.1942481890479544</v>
      </c>
      <c r="Y8276" s="11">
        <v>0.007889238679436765</v>
      </c>
      <c r="Z8276" s="11">
        <v>0.24243104457035425</v>
      </c>
    </row>
    <row r="8277" ht="22.5" customHeight="1">
      <c r="Q8277" s="9" t="s">
        <v>8315</v>
      </c>
      <c r="R8277" s="10">
        <v>0.7085466729058695</v>
      </c>
      <c r="S8277" s="10">
        <v>0.037421348979710375</v>
      </c>
      <c r="T8277" s="10">
        <v>17.86538142353851</v>
      </c>
      <c r="U8277" s="11">
        <v>0.29095809971247866</v>
      </c>
      <c r="V8277" s="11">
        <v>0.35314298819481305</v>
      </c>
      <c r="W8277" s="11">
        <v>0.06720143863791639</v>
      </c>
      <c r="X8277" s="11">
        <v>0.11758913164862253</v>
      </c>
      <c r="Y8277" s="11">
        <v>0.02334390002971638</v>
      </c>
      <c r="Z8277" s="11">
        <v>0.14776444177645304</v>
      </c>
    </row>
    <row r="8278" ht="22.5" customHeight="1">
      <c r="Q8278" s="9" t="s">
        <v>8316</v>
      </c>
      <c r="R8278" s="10">
        <v>0.39588225474817695</v>
      </c>
      <c r="S8278" s="10">
        <v>0.019922685125390735</v>
      </c>
      <c r="T8278" s="10">
        <v>17.86316716387883</v>
      </c>
      <c r="U8278" s="11">
        <v>0.2726227885984229</v>
      </c>
      <c r="V8278" s="11">
        <v>0.022260438282383034</v>
      </c>
      <c r="W8278" s="11">
        <v>0.16722470065910383</v>
      </c>
      <c r="X8278" s="11">
        <v>0.2638560127271117</v>
      </c>
      <c r="Y8278" s="11">
        <v>0.0026420982932448297</v>
      </c>
      <c r="Z8278" s="11">
        <v>0.27139396143973366</v>
      </c>
    </row>
    <row r="8279" ht="22.5" customHeight="1">
      <c r="Q8279" s="9" t="s">
        <v>8317</v>
      </c>
      <c r="R8279" s="10">
        <v>0.5709024715329009</v>
      </c>
      <c r="S8279" s="10">
        <v>0.029725173452030292</v>
      </c>
      <c r="T8279" s="10">
        <v>17.860365807104788</v>
      </c>
      <c r="U8279" s="11">
        <v>0.12766287975357687</v>
      </c>
      <c r="V8279" s="11">
        <v>0.2807830104947868</v>
      </c>
      <c r="W8279" s="11">
        <v>0.02914692585300026</v>
      </c>
      <c r="X8279" s="11">
        <v>0.22869786088778873</v>
      </c>
      <c r="Y8279" s="11">
        <v>0.11438760789015194</v>
      </c>
      <c r="Z8279" s="11">
        <v>0.21932171512069534</v>
      </c>
    </row>
    <row r="8280" ht="22.5" customHeight="1">
      <c r="Q8280" s="9" t="s">
        <v>8318</v>
      </c>
      <c r="R8280" s="10">
        <v>0.4570048539412692</v>
      </c>
      <c r="S8280" s="10">
        <v>0.023348392954200395</v>
      </c>
      <c r="T8280" s="10">
        <v>17.86010946274783</v>
      </c>
      <c r="U8280" s="11">
        <v>0.22716306639690018</v>
      </c>
      <c r="V8280" s="11">
        <v>0.21379715819772202</v>
      </c>
      <c r="W8280" s="11">
        <v>0.01728112711449532</v>
      </c>
      <c r="X8280" s="11">
        <v>0.12232479987317378</v>
      </c>
      <c r="Y8280" s="11">
        <v>0.2115611768649387</v>
      </c>
      <c r="Z8280" s="11">
        <v>0.20787267155277003</v>
      </c>
    </row>
    <row r="8281" ht="22.5" customHeight="1">
      <c r="Q8281" s="9" t="s">
        <v>8319</v>
      </c>
      <c r="R8281" s="10">
        <v>0.23401694336654053</v>
      </c>
      <c r="S8281" s="10">
        <v>0.010863601550817378</v>
      </c>
      <c r="T8281" s="10">
        <v>17.85935745700676</v>
      </c>
      <c r="U8281" s="11">
        <v>0.20130120590440792</v>
      </c>
      <c r="V8281" s="11">
        <v>0.011778006517424756</v>
      </c>
      <c r="W8281" s="11">
        <v>0.02828017499126616</v>
      </c>
      <c r="X8281" s="11">
        <v>0.3303896537430574</v>
      </c>
      <c r="Y8281" s="11">
        <v>0.3540402462379768</v>
      </c>
      <c r="Z8281" s="11">
        <v>0.07421071260586694</v>
      </c>
    </row>
    <row r="8282" ht="22.5" customHeight="1">
      <c r="Q8282" s="9" t="s">
        <v>8320</v>
      </c>
      <c r="R8282" s="10">
        <v>0.206631663615618</v>
      </c>
      <c r="S8282" s="10">
        <v>0.009330280089634525</v>
      </c>
      <c r="T8282" s="10">
        <v>17.859234879855048</v>
      </c>
      <c r="U8282" s="11">
        <v>0.1860900297234651</v>
      </c>
      <c r="V8282" s="11">
        <v>0.031160334684274087</v>
      </c>
      <c r="W8282" s="11">
        <v>0.0010453916285167242</v>
      </c>
      <c r="X8282" s="11">
        <v>0.3344474977825945</v>
      </c>
      <c r="Y8282" s="11">
        <v>0.1765801148092226</v>
      </c>
      <c r="Z8282" s="11">
        <v>0.270676631371927</v>
      </c>
    </row>
    <row r="8283" ht="22.5" customHeight="1">
      <c r="Q8283" s="9" t="s">
        <v>8321</v>
      </c>
      <c r="R8283" s="10">
        <v>0.7139869337903852</v>
      </c>
      <c r="S8283" s="10">
        <v>0.03773971212267057</v>
      </c>
      <c r="T8283" s="10">
        <v>17.858825515139937</v>
      </c>
      <c r="U8283" s="11">
        <v>0.10707696518243813</v>
      </c>
      <c r="V8283" s="11">
        <v>0.3549140933973068</v>
      </c>
      <c r="W8283" s="11">
        <v>0.05767158820333159</v>
      </c>
      <c r="X8283" s="11">
        <v>0.14377859167023344</v>
      </c>
      <c r="Y8283" s="11">
        <v>0.2715068147845198</v>
      </c>
      <c r="Z8283" s="11">
        <v>0.06505194676217016</v>
      </c>
    </row>
    <row r="8284" ht="22.5" customHeight="1">
      <c r="Q8284" s="9" t="s">
        <v>8322</v>
      </c>
      <c r="R8284" s="10">
        <v>0.4219026237455323</v>
      </c>
      <c r="S8284" s="10">
        <v>0.021385637377047476</v>
      </c>
      <c r="T8284" s="10">
        <v>17.857902339418523</v>
      </c>
      <c r="U8284" s="11">
        <v>0.3784322283995052</v>
      </c>
      <c r="V8284" s="11">
        <v>0.0339967913302437</v>
      </c>
      <c r="W8284" s="11">
        <v>0.1790814305668614</v>
      </c>
      <c r="X8284" s="11">
        <v>0.1374836923397477</v>
      </c>
      <c r="Y8284" s="11">
        <v>0.0863549662292204</v>
      </c>
      <c r="Z8284" s="11">
        <v>0.18465089113442162</v>
      </c>
    </row>
    <row r="8285" ht="22.5" customHeight="1">
      <c r="Q8285" s="9" t="s">
        <v>8323</v>
      </c>
      <c r="R8285" s="10">
        <v>0.5491013955358388</v>
      </c>
      <c r="S8285" s="10">
        <v>0.02851780059137964</v>
      </c>
      <c r="T8285" s="10">
        <v>17.852056784832484</v>
      </c>
      <c r="U8285" s="11">
        <v>0.25088291746417524</v>
      </c>
      <c r="V8285" s="11">
        <v>0.05506445120338175</v>
      </c>
      <c r="W8285" s="11">
        <v>0.24948020156733827</v>
      </c>
      <c r="X8285" s="11">
        <v>0.22640303342332427</v>
      </c>
      <c r="Y8285" s="11">
        <v>0.03451129198601724</v>
      </c>
      <c r="Z8285" s="11">
        <v>0.18365810435576316</v>
      </c>
    </row>
    <row r="8286" ht="22.5" customHeight="1">
      <c r="Q8286" s="9" t="s">
        <v>8324</v>
      </c>
      <c r="R8286" s="10">
        <v>0.6946024525374115</v>
      </c>
      <c r="S8286" s="10">
        <v>0.036671339139838506</v>
      </c>
      <c r="T8286" s="10">
        <v>17.85051944902316</v>
      </c>
      <c r="U8286" s="11">
        <v>0.06010955652283588</v>
      </c>
      <c r="V8286" s="11">
        <v>0.3445169391965438</v>
      </c>
      <c r="W8286" s="11">
        <v>0.04655005172916257</v>
      </c>
      <c r="X8286" s="11">
        <v>0.213566302627592</v>
      </c>
      <c r="Y8286" s="11">
        <v>0.28493428467170934</v>
      </c>
      <c r="Z8286" s="11">
        <v>0.05032286525215642</v>
      </c>
    </row>
    <row r="8287" ht="22.5" customHeight="1">
      <c r="Q8287" s="9" t="s">
        <v>8325</v>
      </c>
      <c r="R8287" s="10">
        <v>0.6805289427081243</v>
      </c>
      <c r="S8287" s="10">
        <v>0.0358838652471875</v>
      </c>
      <c r="T8287" s="10">
        <v>17.850054287513732</v>
      </c>
      <c r="U8287" s="11">
        <v>0.13802890146393684</v>
      </c>
      <c r="V8287" s="11">
        <v>0.34078959716335216</v>
      </c>
      <c r="W8287" s="11">
        <v>0.05017548610000481</v>
      </c>
      <c r="X8287" s="11">
        <v>0.21623784533097415</v>
      </c>
      <c r="Y8287" s="11">
        <v>0.08458517597465895</v>
      </c>
      <c r="Z8287" s="11">
        <v>0.1701829939670732</v>
      </c>
    </row>
    <row r="8288" ht="22.5" customHeight="1">
      <c r="Q8288" s="9" t="s">
        <v>8326</v>
      </c>
      <c r="R8288" s="10">
        <v>0.4622419669673067</v>
      </c>
      <c r="S8288" s="10">
        <v>0.023656868869792774</v>
      </c>
      <c r="T8288" s="10">
        <v>17.848599038669203</v>
      </c>
      <c r="U8288" s="11">
        <v>0.058742212890502604</v>
      </c>
      <c r="V8288" s="11">
        <v>0.03274020919806851</v>
      </c>
      <c r="W8288" s="11">
        <v>0.2040229743767808</v>
      </c>
      <c r="X8288" s="11">
        <v>0.3078406850066274</v>
      </c>
      <c r="Y8288" s="11">
        <v>0.09571209603168497</v>
      </c>
      <c r="Z8288" s="11">
        <v>0.3009418224963358</v>
      </c>
    </row>
    <row r="8289" ht="22.5" customHeight="1">
      <c r="Q8289" s="9" t="s">
        <v>8327</v>
      </c>
      <c r="R8289" s="10">
        <v>0.6183405120702598</v>
      </c>
      <c r="S8289" s="10">
        <v>0.03240750867165407</v>
      </c>
      <c r="T8289" s="10">
        <v>17.845880037551847</v>
      </c>
      <c r="U8289" s="11">
        <v>0.03216201307881019</v>
      </c>
      <c r="V8289" s="11">
        <v>0.08630843899585748</v>
      </c>
      <c r="W8289" s="11">
        <v>0.27978153852015564</v>
      </c>
      <c r="X8289" s="11">
        <v>0.10393598769435568</v>
      </c>
      <c r="Y8289" s="11">
        <v>0.255103169303274</v>
      </c>
      <c r="Z8289" s="11">
        <v>0.24270885240754703</v>
      </c>
    </row>
    <row r="8290" ht="22.5" customHeight="1">
      <c r="Q8290" s="9" t="s">
        <v>8328</v>
      </c>
      <c r="R8290" s="10">
        <v>0.4720235953709031</v>
      </c>
      <c r="S8290" s="10">
        <v>0.024208873446096214</v>
      </c>
      <c r="T8290" s="10">
        <v>17.845671188824724</v>
      </c>
      <c r="U8290" s="11">
        <v>0.22184630257041188</v>
      </c>
      <c r="V8290" s="11">
        <v>0.22321061778031628</v>
      </c>
      <c r="W8290" s="11">
        <v>0.021028208850279402</v>
      </c>
      <c r="X8290" s="11">
        <v>0.11217342609327643</v>
      </c>
      <c r="Y8290" s="11">
        <v>0.19896922268098557</v>
      </c>
      <c r="Z8290" s="11">
        <v>0.2227722220247303</v>
      </c>
    </row>
    <row r="8291" ht="22.5" customHeight="1">
      <c r="Q8291" s="9" t="s">
        <v>8329</v>
      </c>
      <c r="R8291" s="10">
        <v>0.7390390272298332</v>
      </c>
      <c r="S8291" s="10">
        <v>0.039171703325752906</v>
      </c>
      <c r="T8291" s="10">
        <v>17.845510097342625</v>
      </c>
      <c r="U8291" s="11">
        <v>0.12791380299784955</v>
      </c>
      <c r="V8291" s="11">
        <v>0.13205779613729376</v>
      </c>
      <c r="W8291" s="11">
        <v>0.3376358146310086</v>
      </c>
      <c r="X8291" s="11">
        <v>0.04085885322678902</v>
      </c>
      <c r="Y8291" s="11">
        <v>0.06713268351486018</v>
      </c>
      <c r="Z8291" s="11">
        <v>0.29440104949219903</v>
      </c>
    </row>
    <row r="8292" ht="22.5" customHeight="1">
      <c r="Q8292" s="9" t="s">
        <v>8330</v>
      </c>
      <c r="R8292" s="10">
        <v>0.4157760523705594</v>
      </c>
      <c r="S8292" s="10">
        <v>0.02105833999073277</v>
      </c>
      <c r="T8292" s="10">
        <v>17.84452395278682</v>
      </c>
      <c r="U8292" s="11">
        <v>0.24566623934486662</v>
      </c>
      <c r="V8292" s="11">
        <v>0.0325360891563683</v>
      </c>
      <c r="W8292" s="11">
        <v>0.17700621586635637</v>
      </c>
      <c r="X8292" s="11">
        <v>0.13360288731545802</v>
      </c>
      <c r="Y8292" s="11">
        <v>0.17965612747617005</v>
      </c>
      <c r="Z8292" s="11">
        <v>0.23153244084078065</v>
      </c>
    </row>
    <row r="8293" ht="22.5" customHeight="1">
      <c r="Q8293" s="9" t="s">
        <v>8331</v>
      </c>
      <c r="R8293" s="10">
        <v>0.5225866414267448</v>
      </c>
      <c r="S8293" s="10">
        <v>0.027045145945060866</v>
      </c>
      <c r="T8293" s="10">
        <v>17.843743287873714</v>
      </c>
      <c r="U8293" s="11">
        <v>0.16562493536315637</v>
      </c>
      <c r="V8293" s="11">
        <v>0.07030119200358577</v>
      </c>
      <c r="W8293" s="11">
        <v>0.22429877258001446</v>
      </c>
      <c r="X8293" s="11">
        <v>0.006966333406753059</v>
      </c>
      <c r="Y8293" s="11">
        <v>0.3572592472144898</v>
      </c>
      <c r="Z8293" s="11">
        <v>0.1755495194320005</v>
      </c>
    </row>
    <row r="8294" ht="22.5" customHeight="1">
      <c r="Q8294" s="9" t="s">
        <v>8332</v>
      </c>
      <c r="R8294" s="10">
        <v>0.5620856702780868</v>
      </c>
      <c r="S8294" s="10">
        <v>0.029260655959586792</v>
      </c>
      <c r="T8294" s="10">
        <v>17.842582579117938</v>
      </c>
      <c r="U8294" s="11">
        <v>0.19858705019566517</v>
      </c>
      <c r="V8294" s="11">
        <v>0.270676563910531</v>
      </c>
      <c r="W8294" s="11">
        <v>0.022272524262336574</v>
      </c>
      <c r="X8294" s="11">
        <v>0.1988671438719094</v>
      </c>
      <c r="Y8294" s="11">
        <v>0.2663080162688008</v>
      </c>
      <c r="Z8294" s="11">
        <v>0.043288701490757</v>
      </c>
    </row>
    <row r="8295" ht="22.5" customHeight="1">
      <c r="Q8295" s="9" t="s">
        <v>8333</v>
      </c>
      <c r="R8295" s="10">
        <v>0.6476119387583456</v>
      </c>
      <c r="S8295" s="10">
        <v>0.03405421350307751</v>
      </c>
      <c r="T8295" s="10">
        <v>17.84248926211246</v>
      </c>
      <c r="U8295" s="11">
        <v>0.07000633709271885</v>
      </c>
      <c r="V8295" s="11">
        <v>0.320607363121832</v>
      </c>
      <c r="W8295" s="11">
        <v>0.04091565715337117</v>
      </c>
      <c r="X8295" s="11">
        <v>0.1984274728709213</v>
      </c>
      <c r="Y8295" s="11">
        <v>0.2523279765786329</v>
      </c>
      <c r="Z8295" s="11">
        <v>0.11771519318252392</v>
      </c>
    </row>
    <row r="8296" ht="22.5" customHeight="1">
      <c r="Q8296" s="9" t="s">
        <v>8334</v>
      </c>
      <c r="R8296" s="10">
        <v>0.4791694105210529</v>
      </c>
      <c r="S8296" s="10">
        <v>0.024615103309342704</v>
      </c>
      <c r="T8296" s="10">
        <v>17.841461195670277</v>
      </c>
      <c r="U8296" s="11">
        <v>0.04320070810103207</v>
      </c>
      <c r="V8296" s="11">
        <v>0.22837803533403098</v>
      </c>
      <c r="W8296" s="11">
        <v>0.00962853649922559</v>
      </c>
      <c r="X8296" s="11">
        <v>0.33662423007555553</v>
      </c>
      <c r="Y8296" s="11">
        <v>0.07525119233230411</v>
      </c>
      <c r="Z8296" s="11">
        <v>0.3069172976578518</v>
      </c>
    </row>
    <row r="8297" ht="22.5" customHeight="1">
      <c r="Q8297" s="9" t="s">
        <v>8335</v>
      </c>
      <c r="R8297" s="10">
        <v>0.7178049820328255</v>
      </c>
      <c r="S8297" s="10">
        <v>0.037991980869224236</v>
      </c>
      <c r="T8297" s="10">
        <v>17.840738138028698</v>
      </c>
      <c r="U8297" s="11">
        <v>0.23363917816759647</v>
      </c>
      <c r="V8297" s="11">
        <v>0.09026169228377827</v>
      </c>
      <c r="W8297" s="11">
        <v>0.3346292786636303</v>
      </c>
      <c r="X8297" s="11">
        <v>0.2662247582434556</v>
      </c>
      <c r="Y8297" s="11">
        <v>0.0038632693705443534</v>
      </c>
      <c r="Z8297" s="11">
        <v>0.07138182327099503</v>
      </c>
    </row>
    <row r="8298" ht="22.5" customHeight="1">
      <c r="Q8298" s="9" t="s">
        <v>8336</v>
      </c>
      <c r="R8298" s="10">
        <v>0.7305649352069568</v>
      </c>
      <c r="S8298" s="10">
        <v>0.03870795368474391</v>
      </c>
      <c r="T8298" s="10">
        <v>17.840388588641183</v>
      </c>
      <c r="U8298" s="11">
        <v>0.2280431373715923</v>
      </c>
      <c r="V8298" s="11">
        <v>0.1271969137745647</v>
      </c>
      <c r="W8298" s="11">
        <v>0.33264675104101854</v>
      </c>
      <c r="X8298" s="11">
        <v>0.00408705593235575</v>
      </c>
      <c r="Y8298" s="11">
        <v>0.11254198356031225</v>
      </c>
      <c r="Z8298" s="11">
        <v>0.19548415832015645</v>
      </c>
    </row>
    <row r="8299" ht="22.5" customHeight="1">
      <c r="Q8299" s="9" t="s">
        <v>8337</v>
      </c>
      <c r="R8299" s="10">
        <v>0.6503065209077981</v>
      </c>
      <c r="S8299" s="10">
        <v>0.034210172212350495</v>
      </c>
      <c r="T8299" s="10">
        <v>17.83991372856832</v>
      </c>
      <c r="U8299" s="11">
        <v>0.04499192685266432</v>
      </c>
      <c r="V8299" s="11">
        <v>0.11413826881894044</v>
      </c>
      <c r="W8299" s="11">
        <v>0.2917685129274976</v>
      </c>
      <c r="X8299" s="11">
        <v>7.586647412682775E-4</v>
      </c>
      <c r="Y8299" s="11">
        <v>0.1927842254030439</v>
      </c>
      <c r="Z8299" s="11">
        <v>0.3555584012565855</v>
      </c>
    </row>
    <row r="8300" ht="22.5" customHeight="1">
      <c r="Q8300" s="9" t="s">
        <v>8338</v>
      </c>
      <c r="R8300" s="10">
        <v>0.7587071149053329</v>
      </c>
      <c r="S8300" s="10">
        <v>0.04028909705898487</v>
      </c>
      <c r="T8300" s="10">
        <v>17.83874962134586</v>
      </c>
      <c r="U8300" s="11">
        <v>0.2570435472297413</v>
      </c>
      <c r="V8300" s="11">
        <v>0.3809041119388159</v>
      </c>
      <c r="W8300" s="11">
        <v>0.06609475835394847</v>
      </c>
      <c r="X8300" s="11">
        <v>0.16433844451523785</v>
      </c>
      <c r="Y8300" s="11">
        <v>0.08479816421382372</v>
      </c>
      <c r="Z8300" s="11">
        <v>0.04682097374843264</v>
      </c>
    </row>
    <row r="8301" ht="22.5" customHeight="1">
      <c r="Q8301" s="9" t="s">
        <v>8339</v>
      </c>
      <c r="R8301" s="10">
        <v>0.6238009802771995</v>
      </c>
      <c r="S8301" s="10">
        <v>0.03272907179128951</v>
      </c>
      <c r="T8301" s="10">
        <v>17.83738274033704</v>
      </c>
      <c r="U8301" s="11">
        <v>0.30026642071762966</v>
      </c>
      <c r="V8301" s="11">
        <v>0.06843323265669153</v>
      </c>
      <c r="W8301" s="11">
        <v>0.2867111348590907</v>
      </c>
      <c r="X8301" s="11">
        <v>0.2053646751243818</v>
      </c>
      <c r="Y8301" s="11">
        <v>0.08743846335911037</v>
      </c>
      <c r="Z8301" s="11">
        <v>0.05178607328309596</v>
      </c>
    </row>
    <row r="8302" ht="22.5" customHeight="1">
      <c r="Q8302" s="9" t="s">
        <v>8340</v>
      </c>
      <c r="R8302" s="10">
        <v>0.5500990172720522</v>
      </c>
      <c r="S8302" s="10">
        <v>0.028598179583313777</v>
      </c>
      <c r="T8302" s="10">
        <v>17.83676530130192</v>
      </c>
      <c r="U8302" s="11">
        <v>0.2865647563851688</v>
      </c>
      <c r="V8302" s="11">
        <v>0.054374924261013764</v>
      </c>
      <c r="W8302" s="11">
        <v>0.24695509202755883</v>
      </c>
      <c r="X8302" s="11">
        <v>0.15152558031155577</v>
      </c>
      <c r="Y8302" s="11">
        <v>0.1991474270087344</v>
      </c>
      <c r="Z8302" s="11">
        <v>0.06143222000596838</v>
      </c>
    </row>
    <row r="8303" ht="22.5" customHeight="1">
      <c r="Q8303" s="9" t="s">
        <v>8341</v>
      </c>
      <c r="R8303" s="10">
        <v>0.4680745471102488</v>
      </c>
      <c r="S8303" s="10">
        <v>0.024000781045301692</v>
      </c>
      <c r="T8303" s="10">
        <v>17.835859020681628</v>
      </c>
      <c r="U8303" s="11">
        <v>0.2514720918421201</v>
      </c>
      <c r="V8303" s="11">
        <v>0.22219274711804143</v>
      </c>
      <c r="W8303" s="11">
        <v>0.013227735622805076</v>
      </c>
      <c r="X8303" s="11">
        <v>0.22263637042854023</v>
      </c>
      <c r="Y8303" s="11">
        <v>0.0567006050282151</v>
      </c>
      <c r="Z8303" s="11">
        <v>0.23377044996027818</v>
      </c>
    </row>
    <row r="8304" ht="22.5" customHeight="1">
      <c r="Q8304" s="9" t="s">
        <v>8342</v>
      </c>
      <c r="R8304" s="10">
        <v>0.5476369431397694</v>
      </c>
      <c r="S8304" s="10">
        <v>0.028462531249497113</v>
      </c>
      <c r="T8304" s="10">
        <v>17.83527047155156</v>
      </c>
      <c r="U8304" s="11">
        <v>0.19711017140695877</v>
      </c>
      <c r="V8304" s="11">
        <v>0.2684119230472107</v>
      </c>
      <c r="W8304" s="11">
        <v>0.042074175050013984</v>
      </c>
      <c r="X8304" s="11">
        <v>0.10699993095880828</v>
      </c>
      <c r="Y8304" s="11">
        <v>0.05182987535522818</v>
      </c>
      <c r="Z8304" s="11">
        <v>0.33357392418178017</v>
      </c>
    </row>
    <row r="8305" ht="22.5" customHeight="1">
      <c r="Q8305" s="9" t="s">
        <v>8343</v>
      </c>
      <c r="R8305" s="10">
        <v>0.7060966529566572</v>
      </c>
      <c r="S8305" s="10">
        <v>0.03734811818162132</v>
      </c>
      <c r="T8305" s="10">
        <v>17.83481164211474</v>
      </c>
      <c r="U8305" s="11">
        <v>0.1951850192885912</v>
      </c>
      <c r="V8305" s="11">
        <v>0.1177160538437741</v>
      </c>
      <c r="W8305" s="11">
        <v>0.32183395693020433</v>
      </c>
      <c r="X8305" s="11">
        <v>0.02124647700144502</v>
      </c>
      <c r="Y8305" s="11">
        <v>0.14310138924327895</v>
      </c>
      <c r="Z8305" s="11">
        <v>0.2009171036927063</v>
      </c>
    </row>
    <row r="8306" ht="22.5" customHeight="1">
      <c r="Q8306" s="9" t="s">
        <v>8344</v>
      </c>
      <c r="R8306" s="10">
        <v>0.522331348251574</v>
      </c>
      <c r="S8306" s="10">
        <v>0.03455126201797245</v>
      </c>
      <c r="T8306" s="10">
        <v>17.833387581088793</v>
      </c>
      <c r="U8306" s="11">
        <v>0.2837483030163322</v>
      </c>
      <c r="V8306" s="11">
        <v>0.08485740298956337</v>
      </c>
      <c r="W8306" s="11">
        <v>0.3012173077447119</v>
      </c>
      <c r="X8306" s="11">
        <v>0.12670351228382593</v>
      </c>
      <c r="Y8306" s="11">
        <v>0.1352642454223608</v>
      </c>
      <c r="Z8306" s="11">
        <v>0.06820922854320574</v>
      </c>
    </row>
    <row r="8307" ht="22.5" customHeight="1">
      <c r="Q8307" s="9" t="s">
        <v>8345</v>
      </c>
      <c r="R8307" s="10">
        <v>0.5346508846009232</v>
      </c>
      <c r="S8307" s="10">
        <v>0.027741468835371298</v>
      </c>
      <c r="T8307" s="10">
        <v>17.83073879528062</v>
      </c>
      <c r="U8307" s="11">
        <v>0.055684394393957</v>
      </c>
      <c r="V8307" s="11">
        <v>0.26172456935809746</v>
      </c>
      <c r="W8307" s="11">
        <v>0.024495586513207976</v>
      </c>
      <c r="X8307" s="11">
        <v>0.22851279128213955</v>
      </c>
      <c r="Y8307" s="11">
        <v>0.14029226096990502</v>
      </c>
      <c r="Z8307" s="11">
        <v>0.28929039748269303</v>
      </c>
    </row>
    <row r="8308" ht="22.5" customHeight="1">
      <c r="Q8308" s="9" t="s">
        <v>8346</v>
      </c>
      <c r="R8308" s="10">
        <v>0.3203035299860985</v>
      </c>
      <c r="S8308" s="10">
        <v>0.01572125598043686</v>
      </c>
      <c r="T8308" s="10">
        <v>17.829588827692984</v>
      </c>
      <c r="U8308" s="11">
        <v>0.18668083808732064</v>
      </c>
      <c r="V8308" s="11">
        <v>0.03004732276537096</v>
      </c>
      <c r="W8308" s="11">
        <v>0.11570727029204075</v>
      </c>
      <c r="X8308" s="11">
        <v>0.04524135473007043</v>
      </c>
      <c r="Y8308" s="11">
        <v>0.29741040955424936</v>
      </c>
      <c r="Z8308" s="11">
        <v>0.32491280457094784</v>
      </c>
    </row>
    <row r="8309" ht="22.5" customHeight="1">
      <c r="Q8309" s="9" t="s">
        <v>8347</v>
      </c>
      <c r="R8309" s="10">
        <v>0.27435140672641245</v>
      </c>
      <c r="S8309" s="10">
        <v>0.013144296541060398</v>
      </c>
      <c r="T8309" s="10">
        <v>17.829132657981443</v>
      </c>
      <c r="U8309" s="11">
        <v>0.061830788996962135</v>
      </c>
      <c r="V8309" s="11">
        <v>0.07792100045978895</v>
      </c>
      <c r="W8309" s="11">
        <v>0.02630486799754602</v>
      </c>
      <c r="X8309" s="11">
        <v>0.05580550001760398</v>
      </c>
      <c r="Y8309" s="11">
        <v>0.44333231612762164</v>
      </c>
      <c r="Z8309" s="11">
        <v>0.3348055264004773</v>
      </c>
    </row>
    <row r="8310" ht="22.5" customHeight="1">
      <c r="Q8310" s="9" t="s">
        <v>8348</v>
      </c>
      <c r="R8310" s="10">
        <v>0.7836120933789176</v>
      </c>
      <c r="S8310" s="10">
        <v>0.04170865424934929</v>
      </c>
      <c r="T8310" s="10">
        <v>17.828724200338325</v>
      </c>
      <c r="U8310" s="11">
        <v>0.25990669198160954</v>
      </c>
      <c r="V8310" s="11">
        <v>0.1291424413071351</v>
      </c>
      <c r="W8310" s="11">
        <v>0.3594724621829029</v>
      </c>
      <c r="X8310" s="11">
        <v>0.027539321905885445</v>
      </c>
      <c r="Y8310" s="11">
        <v>0.18534258546420987</v>
      </c>
      <c r="Z8310" s="11">
        <v>0.038596497158257144</v>
      </c>
    </row>
    <row r="8311" ht="22.5" customHeight="1">
      <c r="Q8311" s="9" t="s">
        <v>8349</v>
      </c>
      <c r="R8311" s="10">
        <v>0.5475424639786839</v>
      </c>
      <c r="S8311" s="10">
        <v>0.028468644390495346</v>
      </c>
      <c r="T8311" s="10">
        <v>17.828121951185494</v>
      </c>
      <c r="U8311" s="11">
        <v>0.16540164240918492</v>
      </c>
      <c r="V8311" s="11">
        <v>0.26893643917929877</v>
      </c>
      <c r="W8311" s="11">
        <v>0.031462041787148336</v>
      </c>
      <c r="X8311" s="11">
        <v>0.17449876514530918</v>
      </c>
      <c r="Y8311" s="11">
        <v>0.08859483746079497</v>
      </c>
      <c r="Z8311" s="11">
        <v>0.2711062740182638</v>
      </c>
    </row>
    <row r="8312" ht="22.5" customHeight="1">
      <c r="Q8312" s="9" t="s">
        <v>8350</v>
      </c>
      <c r="R8312" s="10">
        <v>0.8042899659800847</v>
      </c>
      <c r="S8312" s="10">
        <v>0.04287188620000648</v>
      </c>
      <c r="T8312" s="10">
        <v>17.82729974637713</v>
      </c>
      <c r="U8312" s="11">
        <v>0.026607341057477696</v>
      </c>
      <c r="V8312" s="11">
        <v>0.12262725832803256</v>
      </c>
      <c r="W8312" s="11">
        <v>0.37540136885037667</v>
      </c>
      <c r="X8312" s="11">
        <v>0.20967737095597946</v>
      </c>
      <c r="Y8312" s="11">
        <v>0.10978941859740103</v>
      </c>
      <c r="Z8312" s="11">
        <v>0.1558972422107326</v>
      </c>
    </row>
    <row r="8313" ht="22.5" customHeight="1">
      <c r="Q8313" s="9" t="s">
        <v>8351</v>
      </c>
      <c r="R8313" s="10">
        <v>0.467986984940253</v>
      </c>
      <c r="S8313" s="10">
        <v>0.02400759417839679</v>
      </c>
      <c r="T8313" s="10">
        <v>17.82715009925387</v>
      </c>
      <c r="U8313" s="11">
        <v>0.22946401153058793</v>
      </c>
      <c r="V8313" s="11">
        <v>0.03285852025574344</v>
      </c>
      <c r="W8313" s="11">
        <v>0.2037772145358128</v>
      </c>
      <c r="X8313" s="11">
        <v>0.18863649822663914</v>
      </c>
      <c r="Y8313" s="11">
        <v>0.24607886554104424</v>
      </c>
      <c r="Z8313" s="11">
        <v>0.09918488991017248</v>
      </c>
    </row>
    <row r="8314" ht="22.5" customHeight="1">
      <c r="Q8314" s="9" t="s">
        <v>8352</v>
      </c>
      <c r="R8314" s="10">
        <v>0.5928725214193054</v>
      </c>
      <c r="S8314" s="10">
        <v>0.031013058877237897</v>
      </c>
      <c r="T8314" s="10">
        <v>17.827087731261727</v>
      </c>
      <c r="U8314" s="11">
        <v>0.06982677093005862</v>
      </c>
      <c r="V8314" s="11">
        <v>0.06977060022684389</v>
      </c>
      <c r="W8314" s="11">
        <v>0.2691468313045513</v>
      </c>
      <c r="X8314" s="11">
        <v>0.160352618384828</v>
      </c>
      <c r="Y8314" s="11">
        <v>0.25031972574952244</v>
      </c>
      <c r="Z8314" s="11">
        <v>0.18058345340419574</v>
      </c>
    </row>
    <row r="8315" ht="22.5" customHeight="1">
      <c r="Q8315" s="9" t="s">
        <v>8353</v>
      </c>
      <c r="R8315" s="10">
        <v>0.615635853738879</v>
      </c>
      <c r="S8315" s="10">
        <v>0.03229047049770399</v>
      </c>
      <c r="T8315" s="10">
        <v>17.826802919449854</v>
      </c>
      <c r="U8315" s="11">
        <v>0.2345730974387661</v>
      </c>
      <c r="V8315" s="11">
        <v>0.09277682834764596</v>
      </c>
      <c r="W8315" s="11">
        <v>0.2780117674163604</v>
      </c>
      <c r="X8315" s="11">
        <v>0.02935023148836864</v>
      </c>
      <c r="Y8315" s="11">
        <v>0.14527060882826184</v>
      </c>
      <c r="Z8315" s="11">
        <v>0.2200174664805969</v>
      </c>
    </row>
    <row r="8316" ht="22.5" customHeight="1">
      <c r="Q8316" s="9" t="s">
        <v>8354</v>
      </c>
      <c r="R8316" s="10">
        <v>0.9683857848196649</v>
      </c>
      <c r="S8316" s="10">
        <v>0.05208098058330962</v>
      </c>
      <c r="T8316" s="10">
        <v>17.825812310400014</v>
      </c>
      <c r="U8316" s="11">
        <v>0.1787862936082318</v>
      </c>
      <c r="V8316" s="11">
        <v>0.19175298155135095</v>
      </c>
      <c r="W8316" s="11">
        <v>0.446192390440185</v>
      </c>
      <c r="X8316" s="11">
        <v>0.01654343111704492</v>
      </c>
      <c r="Y8316" s="11">
        <v>0.042067002196757936</v>
      </c>
      <c r="Z8316" s="11">
        <v>0.12465790108642945</v>
      </c>
    </row>
    <row r="8317" ht="22.5" customHeight="1">
      <c r="Q8317" s="9" t="s">
        <v>8355</v>
      </c>
      <c r="R8317" s="10">
        <v>0.422730402034624</v>
      </c>
      <c r="S8317" s="10">
        <v>0.021471954925942185</v>
      </c>
      <c r="T8317" s="10">
        <v>17.824664934081678</v>
      </c>
      <c r="U8317" s="11">
        <v>0.1577478782741977</v>
      </c>
      <c r="V8317" s="11">
        <v>0.19603493928909085</v>
      </c>
      <c r="W8317" s="11">
        <v>0.02905727265921877</v>
      </c>
      <c r="X8317" s="11">
        <v>0.0300261609101243</v>
      </c>
      <c r="Y8317" s="11">
        <v>0.18068515066065</v>
      </c>
      <c r="Z8317" s="11">
        <v>0.4064485982067184</v>
      </c>
    </row>
    <row r="8318" ht="22.5" customHeight="1">
      <c r="Q8318" s="9" t="s">
        <v>8356</v>
      </c>
      <c r="R8318" s="10">
        <v>0.38617069649635355</v>
      </c>
      <c r="S8318" s="10">
        <v>0.019422033827322955</v>
      </c>
      <c r="T8318" s="10">
        <v>17.82360691851746</v>
      </c>
      <c r="U8318" s="11">
        <v>0.2655052289631046</v>
      </c>
      <c r="V8318" s="11">
        <v>0.00885423360629888</v>
      </c>
      <c r="W8318" s="11">
        <v>0.15653320982966404</v>
      </c>
      <c r="X8318" s="11">
        <v>0.26523726998077624</v>
      </c>
      <c r="Y8318" s="11">
        <v>0.2459454045232956</v>
      </c>
      <c r="Z8318" s="11">
        <v>0.05792465309686065</v>
      </c>
    </row>
    <row r="8319" ht="22.5" customHeight="1">
      <c r="Q8319" s="9" t="s">
        <v>8357</v>
      </c>
      <c r="R8319" s="10">
        <v>0.38755066054791637</v>
      </c>
      <c r="S8319" s="10">
        <v>0.019499559320702426</v>
      </c>
      <c r="T8319" s="10">
        <v>17.82351358981361</v>
      </c>
      <c r="U8319" s="11">
        <v>0.2347698548825081</v>
      </c>
      <c r="V8319" s="11">
        <v>0.171845007340109</v>
      </c>
      <c r="W8319" s="11">
        <v>0.008408755282755084</v>
      </c>
      <c r="X8319" s="11">
        <v>0.11258317743136907</v>
      </c>
      <c r="Y8319" s="11">
        <v>0.2477492437523596</v>
      </c>
      <c r="Z8319" s="11">
        <v>0.22464396131089914</v>
      </c>
    </row>
    <row r="8320" ht="22.5" customHeight="1">
      <c r="Q8320" s="9" t="s">
        <v>8358</v>
      </c>
      <c r="R8320" s="10">
        <v>0.5324427638194353</v>
      </c>
      <c r="S8320" s="10">
        <v>0.027630208265396878</v>
      </c>
      <c r="T8320" s="10">
        <v>17.82262222164115</v>
      </c>
      <c r="U8320" s="11">
        <v>0.1964211050988204</v>
      </c>
      <c r="V8320" s="11">
        <v>0.25644567312246735</v>
      </c>
      <c r="W8320" s="11">
        <v>0.018236493809469734</v>
      </c>
      <c r="X8320" s="11">
        <v>0.20493989745452376</v>
      </c>
      <c r="Y8320" s="11">
        <v>0.2178217948442748</v>
      </c>
      <c r="Z8320" s="11">
        <v>0.10613503567044391</v>
      </c>
    </row>
    <row r="8321" ht="22.5" customHeight="1">
      <c r="Q8321" s="9" t="s">
        <v>8359</v>
      </c>
      <c r="R8321" s="10">
        <v>0.5528630167222416</v>
      </c>
      <c r="S8321" s="10">
        <v>0.028778703276286687</v>
      </c>
      <c r="T8321" s="10">
        <v>17.82092166553017</v>
      </c>
      <c r="U8321" s="11">
        <v>0.1937095939434415</v>
      </c>
      <c r="V8321" s="11">
        <v>0.270592711820357</v>
      </c>
      <c r="W8321" s="11">
        <v>0.04474451454069232</v>
      </c>
      <c r="X8321" s="11">
        <v>0.06277609217508998</v>
      </c>
      <c r="Y8321" s="11">
        <v>0.1199283389303789</v>
      </c>
      <c r="Z8321" s="11">
        <v>0.3082487485900403</v>
      </c>
    </row>
    <row r="8322" ht="22.5" customHeight="1">
      <c r="Q8322" s="9" t="s">
        <v>8360</v>
      </c>
      <c r="R8322" s="10">
        <v>0.522331348251574</v>
      </c>
      <c r="S8322" s="10">
        <v>0.024485128014256237</v>
      </c>
      <c r="T8322" s="10">
        <v>17.820601444802815</v>
      </c>
      <c r="U8322" s="11">
        <v>0.10179337749282492</v>
      </c>
      <c r="V8322" s="11">
        <v>0.22685737688945917</v>
      </c>
      <c r="W8322" s="11">
        <v>0.011546936301923261</v>
      </c>
      <c r="X8322" s="11">
        <v>0.22314550935713526</v>
      </c>
      <c r="Y8322" s="11">
        <v>0.2060913680332736</v>
      </c>
      <c r="Z8322" s="11">
        <v>0.2305654319253838</v>
      </c>
    </row>
    <row r="8323" ht="22.5" customHeight="1">
      <c r="Q8323" s="9" t="s">
        <v>8361</v>
      </c>
      <c r="R8323" s="10">
        <v>0.4643151217047947</v>
      </c>
      <c r="S8323" s="10">
        <v>0.023810840205709373</v>
      </c>
      <c r="T8323" s="10">
        <v>17.820249854226155</v>
      </c>
      <c r="U8323" s="11">
        <v>0.28882836544395085</v>
      </c>
      <c r="V8323" s="11">
        <v>0.037075011291326614</v>
      </c>
      <c r="W8323" s="11">
        <v>0.20488914629906307</v>
      </c>
      <c r="X8323" s="11">
        <v>0.1877760538751314</v>
      </c>
      <c r="Y8323" s="11">
        <v>0.09101583732750991</v>
      </c>
      <c r="Z8323" s="11">
        <v>0.19041558576301815</v>
      </c>
    </row>
    <row r="8324" ht="22.5" customHeight="1">
      <c r="Q8324" s="9" t="s">
        <v>8362</v>
      </c>
      <c r="R8324" s="10">
        <v>0.6737724444683655</v>
      </c>
      <c r="S8324" s="10">
        <v>0.03556608615515611</v>
      </c>
      <c r="T8324" s="10">
        <v>17.819572322452068</v>
      </c>
      <c r="U8324" s="11">
        <v>0.022304855051660046</v>
      </c>
      <c r="V8324" s="11">
        <v>0.11260956407820832</v>
      </c>
      <c r="W8324" s="11">
        <v>0.30583319863616953</v>
      </c>
      <c r="X8324" s="11">
        <v>0.04162224603823727</v>
      </c>
      <c r="Y8324" s="11">
        <v>0.2008558598030748</v>
      </c>
      <c r="Z8324" s="11">
        <v>0.31677427639265</v>
      </c>
    </row>
    <row r="8325" ht="22.5" customHeight="1">
      <c r="Q8325" s="9" t="s">
        <v>8363</v>
      </c>
      <c r="R8325" s="10">
        <v>0.5810502775213043</v>
      </c>
      <c r="S8325" s="10">
        <v>0.03036442575818127</v>
      </c>
      <c r="T8325" s="10">
        <v>17.818557868677157</v>
      </c>
      <c r="U8325" s="11">
        <v>0.2843186340366432</v>
      </c>
      <c r="V8325" s="11">
        <v>0.06484662458687279</v>
      </c>
      <c r="W8325" s="11">
        <v>0.264792521617027</v>
      </c>
      <c r="X8325" s="11">
        <v>0.15364252546969806</v>
      </c>
      <c r="Y8325" s="11">
        <v>0.1145085473971677</v>
      </c>
      <c r="Z8325" s="11">
        <v>0.11789114689259134</v>
      </c>
    </row>
    <row r="8326" ht="22.5" customHeight="1">
      <c r="Q8326" s="9" t="s">
        <v>8364</v>
      </c>
      <c r="R8326" s="10">
        <v>0.5023325108519352</v>
      </c>
      <c r="S8326" s="10">
        <v>0.025949595668263006</v>
      </c>
      <c r="T8326" s="10">
        <v>17.81655933149584</v>
      </c>
      <c r="U8326" s="11">
        <v>0.30765730193692625</v>
      </c>
      <c r="V8326" s="11">
        <v>0.2400455873842099</v>
      </c>
      <c r="W8326" s="11">
        <v>0.03944004457234575</v>
      </c>
      <c r="X8326" s="11">
        <v>0.03448343895051476</v>
      </c>
      <c r="Y8326" s="11">
        <v>0.08914896767320413</v>
      </c>
      <c r="Z8326" s="11">
        <v>0.28922465948279913</v>
      </c>
    </row>
    <row r="8327" ht="22.5" customHeight="1">
      <c r="Q8327" s="9" t="s">
        <v>8365</v>
      </c>
      <c r="R8327" s="10">
        <v>0.8197988920993193</v>
      </c>
      <c r="S8327" s="10">
        <v>0.04377131621220384</v>
      </c>
      <c r="T8327" s="10">
        <v>17.815294571423106</v>
      </c>
      <c r="U8327" s="11">
        <v>0.12165731514063949</v>
      </c>
      <c r="V8327" s="11">
        <v>0.14059595523155952</v>
      </c>
      <c r="W8327" s="11">
        <v>0.37689574745364823</v>
      </c>
      <c r="X8327" s="11">
        <v>0.03485685736320279</v>
      </c>
      <c r="Y8327" s="11">
        <v>0.23640349574199618</v>
      </c>
      <c r="Z8327" s="11">
        <v>0.08959062906895371</v>
      </c>
    </row>
    <row r="8328" ht="22.5" customHeight="1">
      <c r="Q8328" s="9" t="s">
        <v>8366</v>
      </c>
      <c r="R8328" s="10">
        <v>0.6796822079606789</v>
      </c>
      <c r="S8328" s="10">
        <v>0.03590752806150708</v>
      </c>
      <c r="T8328" s="10">
        <v>17.814710243070703</v>
      </c>
      <c r="U8328" s="11">
        <v>0.024365366586669147</v>
      </c>
      <c r="V8328" s="11">
        <v>0.07598526273117685</v>
      </c>
      <c r="W8328" s="11">
        <v>0.3125680251773893</v>
      </c>
      <c r="X8328" s="11">
        <v>0.2618541189567421</v>
      </c>
      <c r="Y8328" s="11">
        <v>0.2897320880405365</v>
      </c>
      <c r="Z8328" s="11">
        <v>0.035495138507486125</v>
      </c>
    </row>
    <row r="8329" ht="22.5" customHeight="1">
      <c r="Q8329" s="9" t="s">
        <v>8367</v>
      </c>
      <c r="R8329" s="10">
        <v>0.42190175363407645</v>
      </c>
      <c r="S8329" s="10">
        <v>0.02143827528006792</v>
      </c>
      <c r="T8329" s="10">
        <v>17.814014823717972</v>
      </c>
      <c r="U8329" s="11">
        <v>0.09682465468090307</v>
      </c>
      <c r="V8329" s="11">
        <v>0.1939630770638972</v>
      </c>
      <c r="W8329" s="11">
        <v>0.002001466208469199</v>
      </c>
      <c r="X8329" s="11">
        <v>0.24035372462050167</v>
      </c>
      <c r="Y8329" s="11">
        <v>0.2327781203702814</v>
      </c>
      <c r="Z8329" s="11">
        <v>0.23407895705594736</v>
      </c>
    </row>
    <row r="8330" ht="22.5" customHeight="1">
      <c r="Q8330" s="9" t="s">
        <v>8368</v>
      </c>
      <c r="R8330" s="10">
        <v>0.5412431586455525</v>
      </c>
      <c r="S8330" s="10">
        <v>0.028137698768720274</v>
      </c>
      <c r="T8330" s="10">
        <v>17.813935772273158</v>
      </c>
      <c r="U8330" s="11">
        <v>0.22836057437971077</v>
      </c>
      <c r="V8330" s="11">
        <v>0.26040759095965044</v>
      </c>
      <c r="W8330" s="11">
        <v>0.03011808229214318</v>
      </c>
      <c r="X8330" s="11">
        <v>0.09977367071480747</v>
      </c>
      <c r="Y8330" s="11">
        <v>0.2555675920093908</v>
      </c>
      <c r="Z8330" s="11">
        <v>0.1257724896442973</v>
      </c>
    </row>
    <row r="8331" ht="22.5" customHeight="1">
      <c r="Q8331" s="9" t="s">
        <v>8369</v>
      </c>
      <c r="R8331" s="10">
        <v>0.5402327209054223</v>
      </c>
      <c r="S8331" s="10">
        <v>0.02808196180640309</v>
      </c>
      <c r="T8331" s="10">
        <v>17.813311062596846</v>
      </c>
      <c r="U8331" s="11">
        <v>0.20552672797331442</v>
      </c>
      <c r="V8331" s="11">
        <v>0.07671234580430898</v>
      </c>
      <c r="W8331" s="11">
        <v>0.24208790210848086</v>
      </c>
      <c r="X8331" s="11">
        <v>0.06980790180092172</v>
      </c>
      <c r="Y8331" s="11">
        <v>0.055508714666860894</v>
      </c>
      <c r="Z8331" s="11">
        <v>0.35035640764611314</v>
      </c>
    </row>
    <row r="8332" ht="22.5" customHeight="1">
      <c r="Q8332" s="9" t="s">
        <v>8370</v>
      </c>
      <c r="R8332" s="10">
        <v>0.571192820497706</v>
      </c>
      <c r="S8332" s="10">
        <v>0.02982098619791431</v>
      </c>
      <c r="T8332" s="10">
        <v>17.812718096320296</v>
      </c>
      <c r="U8332" s="11">
        <v>0.22893287005145252</v>
      </c>
      <c r="V8332" s="11">
        <v>0.08067690965950083</v>
      </c>
      <c r="W8332" s="11">
        <v>0.2533016657975303</v>
      </c>
      <c r="X8332" s="11">
        <v>0.007446623650964718</v>
      </c>
      <c r="Y8332" s="11">
        <v>0.2533999608683445</v>
      </c>
      <c r="Z8332" s="11">
        <v>0.1762419699722072</v>
      </c>
    </row>
    <row r="8333" ht="22.5" customHeight="1">
      <c r="Q8333" s="9" t="s">
        <v>8371</v>
      </c>
      <c r="R8333" s="10">
        <v>0.662594473388893</v>
      </c>
      <c r="S8333" s="10">
        <v>0.0349523272170537</v>
      </c>
      <c r="T8333" s="10">
        <v>17.812675806179822</v>
      </c>
      <c r="U8333" s="11">
        <v>0.18577665077169178</v>
      </c>
      <c r="V8333" s="11">
        <v>0.3319312305386568</v>
      </c>
      <c r="W8333" s="11">
        <v>0.04980637214311945</v>
      </c>
      <c r="X8333" s="11">
        <v>0.21645169562449296</v>
      </c>
      <c r="Y8333" s="11">
        <v>4.041372865827083E-4</v>
      </c>
      <c r="Z8333" s="11">
        <v>0.2156299136354562</v>
      </c>
    </row>
    <row r="8334" ht="22.5" customHeight="1">
      <c r="Q8334" s="9" t="s">
        <v>8372</v>
      </c>
      <c r="R8334" s="10">
        <v>0.4875185303570276</v>
      </c>
      <c r="S8334" s="10">
        <v>0.02512594349782233</v>
      </c>
      <c r="T8334" s="10">
        <v>17.811013958373906</v>
      </c>
      <c r="U8334" s="11">
        <v>0.05717163608951219</v>
      </c>
      <c r="V8334" s="11">
        <v>0.23577258275751034</v>
      </c>
      <c r="W8334" s="11">
        <v>0.041061775257633756</v>
      </c>
      <c r="X8334" s="11">
        <v>0.07535328069451354</v>
      </c>
      <c r="Y8334" s="11">
        <v>0.09057224161502085</v>
      </c>
      <c r="Z8334" s="11">
        <v>0.5000684835858095</v>
      </c>
    </row>
    <row r="8335" ht="22.5" customHeight="1">
      <c r="Q8335" s="9" t="s">
        <v>8373</v>
      </c>
      <c r="R8335" s="10">
        <v>0.6469832007571167</v>
      </c>
      <c r="S8335" s="10">
        <v>0.03407973891580482</v>
      </c>
      <c r="T8335" s="10">
        <v>17.810676374507732</v>
      </c>
      <c r="U8335" s="11">
        <v>0.22692212725269048</v>
      </c>
      <c r="V8335" s="11">
        <v>0.31487439985692556</v>
      </c>
      <c r="W8335" s="11">
        <v>0.05862769015985626</v>
      </c>
      <c r="X8335" s="11">
        <v>0.006019783385125476</v>
      </c>
      <c r="Y8335" s="11">
        <v>0.3211126721871686</v>
      </c>
      <c r="Z8335" s="11">
        <v>0.07244332715823362</v>
      </c>
    </row>
    <row r="8336" ht="22.5" customHeight="1">
      <c r="Q8336" s="9" t="s">
        <v>8374</v>
      </c>
      <c r="R8336" s="10">
        <v>0.9015250080843629</v>
      </c>
      <c r="S8336" s="10">
        <v>0.04837454637114686</v>
      </c>
      <c r="T8336" s="10">
        <v>17.80946949816199</v>
      </c>
      <c r="U8336" s="11">
        <v>0.10116241395406275</v>
      </c>
      <c r="V8336" s="11">
        <v>0.4523300440018208</v>
      </c>
      <c r="W8336" s="11">
        <v>0.10769091791279956</v>
      </c>
      <c r="X8336" s="11">
        <v>0.02004827176540086</v>
      </c>
      <c r="Y8336" s="11">
        <v>0.30831990698089135</v>
      </c>
      <c r="Z8336" s="11">
        <v>0.010448445385024614</v>
      </c>
    </row>
    <row r="8337" ht="22.5" customHeight="1">
      <c r="Q8337" s="9" t="s">
        <v>8375</v>
      </c>
      <c r="R8337" s="10">
        <v>0.546179768036683</v>
      </c>
      <c r="S8337" s="10">
        <v>0.028422640915526282</v>
      </c>
      <c r="T8337" s="10">
        <v>17.80903363417489</v>
      </c>
      <c r="U8337" s="11">
        <v>0.1820554739439252</v>
      </c>
      <c r="V8337" s="11">
        <v>0.06771121704863653</v>
      </c>
      <c r="W8337" s="11">
        <v>0.24555178373727288</v>
      </c>
      <c r="X8337" s="11">
        <v>0.08724807366657522</v>
      </c>
      <c r="Y8337" s="11">
        <v>0.18263799356664054</v>
      </c>
      <c r="Z8337" s="11">
        <v>0.23479545803694962</v>
      </c>
    </row>
    <row r="8338" ht="22.5" customHeight="1">
      <c r="Q8338" s="9" t="s">
        <v>8376</v>
      </c>
      <c r="R8338" s="10">
        <v>0.4875746891612234</v>
      </c>
      <c r="S8338" s="10">
        <v>0.025134668250237042</v>
      </c>
      <c r="T8338" s="10">
        <v>17.807065711201595</v>
      </c>
      <c r="U8338" s="11">
        <v>0.17646928171079698</v>
      </c>
      <c r="V8338" s="11">
        <v>0.03876988664699809</v>
      </c>
      <c r="W8338" s="11">
        <v>0.21820376374175202</v>
      </c>
      <c r="X8338" s="11">
        <v>0.22638202459663523</v>
      </c>
      <c r="Y8338" s="11">
        <v>0.13172746802878973</v>
      </c>
      <c r="Z8338" s="11">
        <v>0.20844757527502783</v>
      </c>
    </row>
    <row r="8339" ht="22.5" customHeight="1">
      <c r="Q8339" s="9" t="s">
        <v>8377</v>
      </c>
      <c r="R8339" s="10">
        <v>0.5891634264092678</v>
      </c>
      <c r="S8339" s="10">
        <v>0.030840494104929516</v>
      </c>
      <c r="T8339" s="10">
        <v>17.806570301397667</v>
      </c>
      <c r="U8339" s="11">
        <v>0.2604714894758498</v>
      </c>
      <c r="V8339" s="11">
        <v>0.2885001432742851</v>
      </c>
      <c r="W8339" s="11">
        <v>0.059547111632108414</v>
      </c>
      <c r="X8339" s="11">
        <v>0.006208465924478787</v>
      </c>
      <c r="Y8339" s="11">
        <v>0.07986446323984694</v>
      </c>
      <c r="Z8339" s="11">
        <v>0.305408326453431</v>
      </c>
    </row>
    <row r="8340" ht="22.5" customHeight="1">
      <c r="Q8340" s="9" t="s">
        <v>8378</v>
      </c>
      <c r="R8340" s="10">
        <v>0.7268854551562486</v>
      </c>
      <c r="S8340" s="10">
        <v>0.038576254775703665</v>
      </c>
      <c r="T8340" s="10">
        <v>17.805913486160065</v>
      </c>
      <c r="U8340" s="11">
        <v>0.22273727745544986</v>
      </c>
      <c r="V8340" s="11">
        <v>0.3633869932601289</v>
      </c>
      <c r="W8340" s="11">
        <v>0.0836369516138696</v>
      </c>
      <c r="X8340" s="11">
        <v>0.01833561108246335</v>
      </c>
      <c r="Y8340" s="11">
        <v>0.06832049462909874</v>
      </c>
      <c r="Z8340" s="11">
        <v>0.24358267195898964</v>
      </c>
    </row>
    <row r="8341" ht="22.5" customHeight="1">
      <c r="Q8341" s="9" t="s">
        <v>8379</v>
      </c>
      <c r="R8341" s="10">
        <v>0.44600648886874755</v>
      </c>
      <c r="S8341" s="10">
        <v>0.02281063316666809</v>
      </c>
      <c r="T8341" s="10">
        <v>17.79900127726495</v>
      </c>
      <c r="U8341" s="11">
        <v>0.26467612619303665</v>
      </c>
      <c r="V8341" s="11">
        <v>0.04647992231028146</v>
      </c>
      <c r="W8341" s="11">
        <v>0.19079006513604274</v>
      </c>
      <c r="X8341" s="11">
        <v>0.05678301987216911</v>
      </c>
      <c r="Y8341" s="11">
        <v>0.22170191381531504</v>
      </c>
      <c r="Z8341" s="11">
        <v>0.21956895267315493</v>
      </c>
    </row>
    <row r="8342" ht="22.5" customHeight="1">
      <c r="Q8342" s="9" t="s">
        <v>8380</v>
      </c>
      <c r="R8342" s="10">
        <v>0.49488388470579525</v>
      </c>
      <c r="S8342" s="10">
        <v>0.025556918961510237</v>
      </c>
      <c r="T8342" s="10">
        <v>17.798854603360795</v>
      </c>
      <c r="U8342" s="11">
        <v>0.14417064407609986</v>
      </c>
      <c r="V8342" s="11">
        <v>0.058641830245408574</v>
      </c>
      <c r="W8342" s="11">
        <v>0.2201412962807718</v>
      </c>
      <c r="X8342" s="11">
        <v>0.09813911328740499</v>
      </c>
      <c r="Y8342" s="11">
        <v>0.15201689374982183</v>
      </c>
      <c r="Z8342" s="11">
        <v>0.3268902223604929</v>
      </c>
    </row>
    <row r="8343" ht="22.5" customHeight="1">
      <c r="Q8343" s="9" t="s">
        <v>8381</v>
      </c>
      <c r="R8343" s="10">
        <v>0.5844672669550258</v>
      </c>
      <c r="S8343" s="10">
        <v>0.030590474594355762</v>
      </c>
      <c r="T8343" s="10">
        <v>17.798588422537428</v>
      </c>
      <c r="U8343" s="11">
        <v>0.1987311382897401</v>
      </c>
      <c r="V8343" s="11">
        <v>0.28730661722991224</v>
      </c>
      <c r="W8343" s="11">
        <v>0.02462517895537725</v>
      </c>
      <c r="X8343" s="11">
        <v>0.24218990165884743</v>
      </c>
      <c r="Y8343" s="11">
        <v>0.1416676214282146</v>
      </c>
      <c r="Z8343" s="11">
        <v>0.10547954243790836</v>
      </c>
    </row>
    <row r="8344" ht="22.5" customHeight="1">
      <c r="Q8344" s="9" t="s">
        <v>8382</v>
      </c>
      <c r="R8344" s="10">
        <v>0.6355698683535665</v>
      </c>
      <c r="S8344" s="10">
        <v>0.03346400514831795</v>
      </c>
      <c r="T8344" s="10">
        <v>17.797327776932356</v>
      </c>
      <c r="U8344" s="11">
        <v>0.24267016608951145</v>
      </c>
      <c r="V8344" s="11">
        <v>0.0899778758776643</v>
      </c>
      <c r="W8344" s="11">
        <v>0.2894684950455983</v>
      </c>
      <c r="X8344" s="11">
        <v>0.05551057118685516</v>
      </c>
      <c r="Y8344" s="11">
        <v>0.17564332540563837</v>
      </c>
      <c r="Z8344" s="11">
        <v>0.1467295663947326</v>
      </c>
    </row>
    <row r="8345" ht="22.5" customHeight="1">
      <c r="Q8345" s="9" t="s">
        <v>8383</v>
      </c>
      <c r="R8345" s="10">
        <v>0.522331348251574</v>
      </c>
      <c r="S8345" s="10">
        <v>0.02235723810446988</v>
      </c>
      <c r="T8345" s="10">
        <v>17.79324978165413</v>
      </c>
      <c r="U8345" s="11">
        <v>0.1717215675686435</v>
      </c>
      <c r="V8345" s="11">
        <v>0.02287246553499918</v>
      </c>
      <c r="W8345" s="11">
        <v>0.19002234966022055</v>
      </c>
      <c r="X8345" s="11">
        <v>0.252757622288589</v>
      </c>
      <c r="Y8345" s="11">
        <v>0.19935087083724493</v>
      </c>
      <c r="Z8345" s="11">
        <v>0.1632751241103029</v>
      </c>
    </row>
    <row r="8346" ht="22.5" customHeight="1">
      <c r="Q8346" s="9" t="s">
        <v>8384</v>
      </c>
      <c r="R8346" s="10">
        <v>0.4965256709456551</v>
      </c>
      <c r="S8346" s="10">
        <v>0.025657647398638777</v>
      </c>
      <c r="T8346" s="10">
        <v>17.792966901941107</v>
      </c>
      <c r="U8346" s="11">
        <v>0.13518274165143437</v>
      </c>
      <c r="V8346" s="11">
        <v>0.23856769648301815</v>
      </c>
      <c r="W8346" s="11">
        <v>0.022661060556703236</v>
      </c>
      <c r="X8346" s="11">
        <v>0.1301409593415808</v>
      </c>
      <c r="Y8346" s="11">
        <v>0.2344699694542322</v>
      </c>
      <c r="Z8346" s="11">
        <v>0.2389775725130312</v>
      </c>
    </row>
    <row r="8347" ht="22.5" customHeight="1">
      <c r="Q8347" s="9" t="s">
        <v>8385</v>
      </c>
      <c r="R8347" s="10">
        <v>0.33176079183935697</v>
      </c>
      <c r="S8347" s="10">
        <v>0.016399191870280945</v>
      </c>
      <c r="T8347" s="10">
        <v>17.791168866564316</v>
      </c>
      <c r="U8347" s="11">
        <v>0.5269676203251219</v>
      </c>
      <c r="V8347" s="11">
        <v>0.12566192726990352</v>
      </c>
      <c r="W8347" s="11">
        <v>0.0017138167461416378</v>
      </c>
      <c r="X8347" s="11">
        <v>0.16371157638354256</v>
      </c>
      <c r="Y8347" s="11">
        <v>0.12989895507350713</v>
      </c>
      <c r="Z8347" s="11">
        <v>0.05204610420178317</v>
      </c>
    </row>
    <row r="8348" ht="22.5" customHeight="1">
      <c r="Q8348" s="9" t="s">
        <v>8386</v>
      </c>
      <c r="R8348" s="10">
        <v>0.5434603508583679</v>
      </c>
      <c r="S8348" s="10">
        <v>0.028298901743875164</v>
      </c>
      <c r="T8348" s="10">
        <v>17.790808824138683</v>
      </c>
      <c r="U8348" s="11">
        <v>0.10528573436677159</v>
      </c>
      <c r="V8348" s="11">
        <v>0.07651672396942628</v>
      </c>
      <c r="W8348" s="11">
        <v>0.24524831173553863</v>
      </c>
      <c r="X8348" s="11">
        <v>0.12853973700365734</v>
      </c>
      <c r="Y8348" s="11">
        <v>0.014785129550066578</v>
      </c>
      <c r="Z8348" s="11">
        <v>0.4296243633745396</v>
      </c>
    </row>
    <row r="8349" ht="22.5" customHeight="1">
      <c r="Q8349" s="9" t="s">
        <v>8387</v>
      </c>
      <c r="R8349" s="10">
        <v>0.5209720953899447</v>
      </c>
      <c r="S8349" s="10">
        <v>0.027037503659041492</v>
      </c>
      <c r="T8349" s="10">
        <v>17.78907185571864</v>
      </c>
      <c r="U8349" s="11">
        <v>0.027821712946993246</v>
      </c>
      <c r="V8349" s="11">
        <v>0.24933458813436887</v>
      </c>
      <c r="W8349" s="11">
        <v>0.020145392622414098</v>
      </c>
      <c r="X8349" s="11">
        <v>0.19040399753741472</v>
      </c>
      <c r="Y8349" s="11">
        <v>0.33001660054616355</v>
      </c>
      <c r="Z8349" s="11">
        <v>0.18227770821264563</v>
      </c>
    </row>
    <row r="8350" ht="22.5" customHeight="1">
      <c r="Q8350" s="9" t="s">
        <v>8388</v>
      </c>
      <c r="R8350" s="10">
        <v>0.49243110700644366</v>
      </c>
      <c r="S8350" s="10">
        <v>0.025433666768192472</v>
      </c>
      <c r="T8350" s="10">
        <v>17.7886700777356</v>
      </c>
      <c r="U8350" s="11">
        <v>0.27888166381630486</v>
      </c>
      <c r="V8350" s="11">
        <v>0.054270882164051015</v>
      </c>
      <c r="W8350" s="11">
        <v>0.21040984381567113</v>
      </c>
      <c r="X8350" s="11">
        <v>0.03880781638929835</v>
      </c>
      <c r="Y8350" s="11">
        <v>0.33125699901296196</v>
      </c>
      <c r="Z8350" s="11">
        <v>0.08637279480171273</v>
      </c>
    </row>
    <row r="8351" ht="22.5" customHeight="1">
      <c r="Q8351" s="9" t="s">
        <v>8389</v>
      </c>
      <c r="R8351" s="10">
        <v>0.5700466507408765</v>
      </c>
      <c r="S8351" s="10">
        <v>0.029797730042527608</v>
      </c>
      <c r="T8351" s="10">
        <v>17.788155338825767</v>
      </c>
      <c r="U8351" s="11">
        <v>0.3287795896349622</v>
      </c>
      <c r="V8351" s="11">
        <v>0.07466445865169655</v>
      </c>
      <c r="W8351" s="11">
        <v>0.2573307313362656</v>
      </c>
      <c r="X8351" s="11">
        <v>0.07017074806539467</v>
      </c>
      <c r="Y8351" s="11">
        <v>0.08439822770533176</v>
      </c>
      <c r="Z8351" s="11">
        <v>0.18465624460634936</v>
      </c>
    </row>
    <row r="8352" ht="22.5" customHeight="1">
      <c r="Q8352" s="9" t="s">
        <v>8390</v>
      </c>
      <c r="R8352" s="10">
        <v>0.6140253558449057</v>
      </c>
      <c r="S8352" s="10">
        <v>0.032270774338640486</v>
      </c>
      <c r="T8352" s="10">
        <v>17.7877775668239</v>
      </c>
      <c r="U8352" s="11">
        <v>0.18701306445758262</v>
      </c>
      <c r="V8352" s="11">
        <v>0.05870329661937389</v>
      </c>
      <c r="W8352" s="11">
        <v>0.2839870065141673</v>
      </c>
      <c r="X8352" s="11">
        <v>0.2874982648379753</v>
      </c>
      <c r="Y8352" s="11">
        <v>0.09991719806468038</v>
      </c>
      <c r="Z8352" s="11">
        <v>0.08288116950622045</v>
      </c>
    </row>
    <row r="8353" ht="22.5" customHeight="1">
      <c r="Q8353" s="9" t="s">
        <v>8391</v>
      </c>
      <c r="R8353" s="10">
        <v>0.4763937109561626</v>
      </c>
      <c r="S8353" s="10">
        <v>0.024533860025796012</v>
      </c>
      <c r="T8353" s="10">
        <v>17.78740526347336</v>
      </c>
      <c r="U8353" s="11">
        <v>0.13724648307806717</v>
      </c>
      <c r="V8353" s="11">
        <v>0.22349662223148573</v>
      </c>
      <c r="W8353" s="11">
        <v>0.018281575538185886</v>
      </c>
      <c r="X8353" s="11">
        <v>0.12359624668144183</v>
      </c>
      <c r="Y8353" s="11">
        <v>0.3182794429047741</v>
      </c>
      <c r="Z8353" s="11">
        <v>0.17909962956604525</v>
      </c>
    </row>
    <row r="8354" ht="22.5" customHeight="1">
      <c r="Q8354" s="9" t="s">
        <v>8392</v>
      </c>
      <c r="R8354" s="10">
        <v>0.5459946938069767</v>
      </c>
      <c r="S8354" s="10">
        <v>0.028448287425224764</v>
      </c>
      <c r="T8354" s="10">
        <v>17.78647291640892</v>
      </c>
      <c r="U8354" s="11">
        <v>0.057331290507091515</v>
      </c>
      <c r="V8354" s="11">
        <v>0.2594389825182819</v>
      </c>
      <c r="W8354" s="11">
        <v>0.010682207970322617</v>
      </c>
      <c r="X8354" s="11">
        <v>0.30601893226038374</v>
      </c>
      <c r="Y8354" s="11">
        <v>0.33308195646905286</v>
      </c>
      <c r="Z8354" s="11">
        <v>0.03344663027486733</v>
      </c>
    </row>
    <row r="8355" ht="22.5" customHeight="1">
      <c r="Q8355" s="9" t="s">
        <v>8393</v>
      </c>
      <c r="R8355" s="10">
        <v>0.44116642597551964</v>
      </c>
      <c r="S8355" s="10">
        <v>0.02255536206438334</v>
      </c>
      <c r="T8355" s="10">
        <v>17.78585618933568</v>
      </c>
      <c r="U8355" s="11">
        <v>0.2355666673076279</v>
      </c>
      <c r="V8355" s="11">
        <v>0.20642806343977493</v>
      </c>
      <c r="W8355" s="11">
        <v>0.015082857983165773</v>
      </c>
      <c r="X8355" s="11">
        <v>0.11937943790997622</v>
      </c>
      <c r="Y8355" s="11">
        <v>0.18706750513119014</v>
      </c>
      <c r="Z8355" s="11">
        <v>0.236475468228265</v>
      </c>
    </row>
    <row r="8356" ht="22.5" customHeight="1">
      <c r="Q8356" s="9" t="s">
        <v>8394</v>
      </c>
      <c r="R8356" s="10">
        <v>0.9083508952236968</v>
      </c>
      <c r="S8356" s="10">
        <v>0.04882870184673485</v>
      </c>
      <c r="T8356" s="10">
        <v>17.78361624171999</v>
      </c>
      <c r="U8356" s="11">
        <v>0.033974227235639365</v>
      </c>
      <c r="V8356" s="11">
        <v>0.4627735107439138</v>
      </c>
      <c r="W8356" s="11">
        <v>0.10808153401275347</v>
      </c>
      <c r="X8356" s="11">
        <v>0.1182799871399458</v>
      </c>
      <c r="Y8356" s="11">
        <v>0.09243529388135449</v>
      </c>
      <c r="Z8356" s="11">
        <v>0.184455446986393</v>
      </c>
    </row>
    <row r="8357" ht="22.5" customHeight="1">
      <c r="Q8357" s="9" t="s">
        <v>8395</v>
      </c>
      <c r="R8357" s="10">
        <v>0.8822618961992863</v>
      </c>
      <c r="S8357" s="10">
        <v>0.04737108954932412</v>
      </c>
      <c r="T8357" s="10">
        <v>17.780082835593202</v>
      </c>
      <c r="U8357" s="11">
        <v>0.02869200381898713</v>
      </c>
      <c r="V8357" s="11">
        <v>0.16178256467083593</v>
      </c>
      <c r="W8357" s="11">
        <v>0.4101790779215689</v>
      </c>
      <c r="X8357" s="11">
        <v>0.09938190414032833</v>
      </c>
      <c r="Y8357" s="11">
        <v>0.05753063314492587</v>
      </c>
      <c r="Z8357" s="11">
        <v>0.24243381630335376</v>
      </c>
    </row>
    <row r="8358" ht="22.5" customHeight="1">
      <c r="Q8358" s="9" t="s">
        <v>8396</v>
      </c>
      <c r="R8358" s="10">
        <v>0.4220794981131622</v>
      </c>
      <c r="S8358" s="10">
        <v>0.021489712885414593</v>
      </c>
      <c r="T8358" s="10">
        <v>17.779646482503058</v>
      </c>
      <c r="U8358" s="11">
        <v>0.28626879150266293</v>
      </c>
      <c r="V8358" s="11">
        <v>0.03468469836015555</v>
      </c>
      <c r="W8358" s="11">
        <v>0.18254471484192716</v>
      </c>
      <c r="X8358" s="11">
        <v>0.15089608331116652</v>
      </c>
      <c r="Y8358" s="11">
        <v>0.07489414968249838</v>
      </c>
      <c r="Z8358" s="11">
        <v>0.2707115623015894</v>
      </c>
    </row>
    <row r="8359" ht="22.5" customHeight="1">
      <c r="Q8359" s="9" t="s">
        <v>8397</v>
      </c>
      <c r="R8359" s="10">
        <v>0.4335378537603047</v>
      </c>
      <c r="S8359" s="10">
        <v>0.022134264739455636</v>
      </c>
      <c r="T8359" s="10">
        <v>17.779576525024577</v>
      </c>
      <c r="U8359" s="11">
        <v>0.19743102757874045</v>
      </c>
      <c r="V8359" s="11">
        <v>0.031218773519318125</v>
      </c>
      <c r="W8359" s="11">
        <v>0.18845196502076816</v>
      </c>
      <c r="X8359" s="11">
        <v>0.17271398431191826</v>
      </c>
      <c r="Y8359" s="11">
        <v>0.1852584821064704</v>
      </c>
      <c r="Z8359" s="11">
        <v>0.2249257674627846</v>
      </c>
    </row>
    <row r="8360" ht="22.5" customHeight="1">
      <c r="Q8360" s="9" t="s">
        <v>8398</v>
      </c>
      <c r="R8360" s="10">
        <v>0.6229403275454708</v>
      </c>
      <c r="S8360" s="10">
        <v>0.032788619938938335</v>
      </c>
      <c r="T8360" s="10">
        <v>17.778739350148623</v>
      </c>
      <c r="U8360" s="11">
        <v>0.26119219006996275</v>
      </c>
      <c r="V8360" s="11">
        <v>0.306888988909767</v>
      </c>
      <c r="W8360" s="11">
        <v>0.04792338836494733</v>
      </c>
      <c r="X8360" s="11">
        <v>0.06749076901324069</v>
      </c>
      <c r="Y8360" s="11">
        <v>0.2022939878204683</v>
      </c>
      <c r="Z8360" s="11">
        <v>0.11421067582161386</v>
      </c>
    </row>
    <row r="8361" ht="22.5" customHeight="1">
      <c r="Q8361" s="9" t="s">
        <v>8399</v>
      </c>
      <c r="R8361" s="10">
        <v>0.5125124698197491</v>
      </c>
      <c r="S8361" s="10">
        <v>0.026578083310493876</v>
      </c>
      <c r="T8361" s="10">
        <v>17.77827484020212</v>
      </c>
      <c r="U8361" s="11">
        <v>0.1001809977192343</v>
      </c>
      <c r="V8361" s="11">
        <v>0.24633275928572376</v>
      </c>
      <c r="W8361" s="11">
        <v>0.04284882185919263</v>
      </c>
      <c r="X8361" s="11">
        <v>0.009214796197607188</v>
      </c>
      <c r="Y8361" s="11">
        <v>0.2549935815120624</v>
      </c>
      <c r="Z8361" s="11">
        <v>0.3464290434261798</v>
      </c>
    </row>
    <row r="8362" ht="22.5" customHeight="1">
      <c r="Q8362" s="9" t="s">
        <v>8400</v>
      </c>
      <c r="R8362" s="10">
        <v>0.22725531368010496</v>
      </c>
      <c r="S8362" s="10">
        <v>0.010532838421704339</v>
      </c>
      <c r="T8362" s="10">
        <v>17.778238513014692</v>
      </c>
      <c r="U8362" s="11">
        <v>0.33229335918646</v>
      </c>
      <c r="V8362" s="11">
        <v>0.031393780600958064</v>
      </c>
      <c r="W8362" s="11">
        <v>0.011742010081425195</v>
      </c>
      <c r="X8362" s="11">
        <v>0.23780517256403136</v>
      </c>
      <c r="Y8362" s="11">
        <v>0.3025005719498555</v>
      </c>
      <c r="Z8362" s="11">
        <v>0.08426510561726996</v>
      </c>
    </row>
    <row r="8363" ht="22.5" customHeight="1">
      <c r="Q8363" s="9" t="s">
        <v>8401</v>
      </c>
      <c r="R8363" s="10">
        <v>0.32177648131545616</v>
      </c>
      <c r="S8363" s="10">
        <v>0.01584999963036714</v>
      </c>
      <c r="T8363" s="10">
        <v>17.77769639663577</v>
      </c>
      <c r="U8363" s="11">
        <v>0.1900580498102023</v>
      </c>
      <c r="V8363" s="11">
        <v>0.008895157766487836</v>
      </c>
      <c r="W8363" s="11">
        <v>0.12042505144832594</v>
      </c>
      <c r="X8363" s="11">
        <v>0.19312238663401662</v>
      </c>
      <c r="Y8363" s="11">
        <v>0.27851971838247813</v>
      </c>
      <c r="Z8363" s="11">
        <v>0.2089796359584891</v>
      </c>
    </row>
    <row r="8364" ht="22.5" customHeight="1">
      <c r="Q8364" s="9" t="s">
        <v>8402</v>
      </c>
      <c r="R8364" s="10">
        <v>0.5914961625798659</v>
      </c>
      <c r="S8364" s="10">
        <v>0.03102240599883229</v>
      </c>
      <c r="T8364" s="10">
        <v>17.777349783915042</v>
      </c>
      <c r="U8364" s="11">
        <v>0.27783020613097104</v>
      </c>
      <c r="V8364" s="11">
        <v>0.08221725539843756</v>
      </c>
      <c r="W8364" s="11">
        <v>0.2664247637824975</v>
      </c>
      <c r="X8364" s="11">
        <v>0.028392557618185647</v>
      </c>
      <c r="Y8364" s="11">
        <v>0.18175284908268716</v>
      </c>
      <c r="Z8364" s="11">
        <v>0.16338236798722114</v>
      </c>
    </row>
    <row r="8365" ht="22.5" customHeight="1">
      <c r="Q8365" s="9" t="s">
        <v>8403</v>
      </c>
      <c r="R8365" s="10">
        <v>0.4023313754360084</v>
      </c>
      <c r="S8365" s="10">
        <v>0.02038165466889332</v>
      </c>
      <c r="T8365" s="10">
        <v>17.777328745982633</v>
      </c>
      <c r="U8365" s="11">
        <v>0.20650658776546355</v>
      </c>
      <c r="V8365" s="11">
        <v>0.18442566330004542</v>
      </c>
      <c r="W8365" s="11">
        <v>0.001894884517718817</v>
      </c>
      <c r="X8365" s="11">
        <v>0.21571317627921338</v>
      </c>
      <c r="Y8365" s="11">
        <v>0.13769918770169418</v>
      </c>
      <c r="Z8365" s="11">
        <v>0.25376050043586473</v>
      </c>
    </row>
    <row r="8366" ht="22.5" customHeight="1">
      <c r="Q8366" s="9" t="s">
        <v>8404</v>
      </c>
      <c r="R8366" s="10">
        <v>0.5697928686868052</v>
      </c>
      <c r="S8366" s="10">
        <v>0.029802397959146572</v>
      </c>
      <c r="T8366" s="10">
        <v>17.77685370865293</v>
      </c>
      <c r="U8366" s="11">
        <v>0.17361791829477874</v>
      </c>
      <c r="V8366" s="11">
        <v>0.2816735223612065</v>
      </c>
      <c r="W8366" s="11">
        <v>0.03133345629951347</v>
      </c>
      <c r="X8366" s="11">
        <v>0.18093836622897663</v>
      </c>
      <c r="Y8366" s="11">
        <v>0.11368619268212891</v>
      </c>
      <c r="Z8366" s="11">
        <v>0.2187505441333957</v>
      </c>
    </row>
    <row r="8367" ht="22.5" customHeight="1">
      <c r="Q8367" s="9" t="s">
        <v>8405</v>
      </c>
      <c r="R8367" s="10">
        <v>0.49585096994215955</v>
      </c>
      <c r="S8367" s="10">
        <v>0.02564540472328737</v>
      </c>
      <c r="T8367" s="10">
        <v>17.77515211246493</v>
      </c>
      <c r="U8367" s="11">
        <v>0.22730350669681648</v>
      </c>
      <c r="V8367" s="11">
        <v>0.029191048114660268</v>
      </c>
      <c r="W8367" s="11">
        <v>0.22079390390642498</v>
      </c>
      <c r="X8367" s="11">
        <v>0.27693356138803377</v>
      </c>
      <c r="Y8367" s="11">
        <v>0.18688665359574302</v>
      </c>
      <c r="Z8367" s="11">
        <v>0.05889132629832151</v>
      </c>
    </row>
    <row r="8368" ht="22.5" customHeight="1">
      <c r="Q8368" s="9" t="s">
        <v>8406</v>
      </c>
      <c r="R8368" s="10">
        <v>0.560906484842816</v>
      </c>
      <c r="S8368" s="10">
        <v>0.029310863753241163</v>
      </c>
      <c r="T8368" s="10">
        <v>17.77178895948485</v>
      </c>
      <c r="U8368" s="11">
        <v>0.16275400456872396</v>
      </c>
      <c r="V8368" s="11">
        <v>0.27511959472694303</v>
      </c>
      <c r="W8368" s="11">
        <v>0.045085526916344786</v>
      </c>
      <c r="X8368" s="11">
        <v>0.04492109355575045</v>
      </c>
      <c r="Y8368" s="11">
        <v>0.18685218746561155</v>
      </c>
      <c r="Z8368" s="11">
        <v>0.28526759276662605</v>
      </c>
    </row>
    <row r="8369" ht="22.5" customHeight="1">
      <c r="Q8369" s="9" t="s">
        <v>8407</v>
      </c>
      <c r="R8369" s="10">
        <v>0.22144914464025947</v>
      </c>
      <c r="S8369" s="10">
        <v>0.010209980252853522</v>
      </c>
      <c r="T8369" s="10">
        <v>17.771742956069616</v>
      </c>
      <c r="U8369" s="11">
        <v>0.1459635094010832</v>
      </c>
      <c r="V8369" s="11">
        <v>0.0024077630121178907</v>
      </c>
      <c r="W8369" s="11">
        <v>0.04989696669549925</v>
      </c>
      <c r="X8369" s="11">
        <v>0.2613610882510168</v>
      </c>
      <c r="Y8369" s="11">
        <v>0.2338389968144351</v>
      </c>
      <c r="Z8369" s="11">
        <v>0.3065316758258477</v>
      </c>
    </row>
    <row r="8370" ht="22.5" customHeight="1">
      <c r="Q8370" s="9" t="s">
        <v>8408</v>
      </c>
      <c r="R8370" s="10">
        <v>0.5052087910094014</v>
      </c>
      <c r="S8370" s="10">
        <v>0.02618175204304958</v>
      </c>
      <c r="T8370" s="10">
        <v>17.768436208718107</v>
      </c>
      <c r="U8370" s="11">
        <v>0.3009719972217203</v>
      </c>
      <c r="V8370" s="11">
        <v>0.241399086672213</v>
      </c>
      <c r="W8370" s="11">
        <v>0.021435058993078716</v>
      </c>
      <c r="X8370" s="11">
        <v>0.12473800021768817</v>
      </c>
      <c r="Y8370" s="11">
        <v>0.18475766757932782</v>
      </c>
      <c r="Z8370" s="11">
        <v>0.12669818931597185</v>
      </c>
    </row>
    <row r="8371" ht="22.5" customHeight="1">
      <c r="Q8371" s="9" t="s">
        <v>8409</v>
      </c>
      <c r="R8371" s="10">
        <v>0.522331348251574</v>
      </c>
      <c r="S8371" s="10">
        <v>0.00925421278376232</v>
      </c>
      <c r="T8371" s="10">
        <v>17.76819667611459</v>
      </c>
      <c r="U8371" s="11">
        <v>0.2818365291146866</v>
      </c>
      <c r="V8371" s="11">
        <v>0.038482681435964367</v>
      </c>
      <c r="W8371" s="11">
        <v>0.010490156624691598</v>
      </c>
      <c r="X8371" s="11">
        <v>0.19507841974801496</v>
      </c>
      <c r="Y8371" s="11">
        <v>0.10386453099075336</v>
      </c>
      <c r="Z8371" s="11">
        <v>0.370247682085889</v>
      </c>
    </row>
    <row r="8372" ht="22.5" customHeight="1">
      <c r="Q8372" s="9" t="s">
        <v>8410</v>
      </c>
      <c r="R8372" s="10">
        <v>0.48854337710221</v>
      </c>
      <c r="S8372" s="10">
        <v>0.02524435040138935</v>
      </c>
      <c r="T8372" s="10">
        <v>17.768069685703775</v>
      </c>
      <c r="U8372" s="11">
        <v>0.16322901504412193</v>
      </c>
      <c r="V8372" s="11">
        <v>0.23478882481022864</v>
      </c>
      <c r="W8372" s="11">
        <v>0.018480054080867878</v>
      </c>
      <c r="X8372" s="11">
        <v>0.15278016622171425</v>
      </c>
      <c r="Y8372" s="11">
        <v>0.20330864910068464</v>
      </c>
      <c r="Z8372" s="11">
        <v>0.22741329074238262</v>
      </c>
    </row>
    <row r="8373" ht="22.5" customHeight="1">
      <c r="Q8373" s="9" t="s">
        <v>8411</v>
      </c>
      <c r="R8373" s="10">
        <v>0.6168076662828801</v>
      </c>
      <c r="S8373" s="10">
        <v>0.03246396960052282</v>
      </c>
      <c r="T8373" s="10">
        <v>17.767625875105267</v>
      </c>
      <c r="U8373" s="11">
        <v>0.020013607069515656</v>
      </c>
      <c r="V8373" s="11">
        <v>0.06605332374170995</v>
      </c>
      <c r="W8373" s="11">
        <v>0.28467042320943486</v>
      </c>
      <c r="X8373" s="11">
        <v>0.2622984437927477</v>
      </c>
      <c r="Y8373" s="11">
        <v>0.1831697231288505</v>
      </c>
      <c r="Z8373" s="11">
        <v>0.18379447905774143</v>
      </c>
    </row>
    <row r="8374" ht="22.5" customHeight="1">
      <c r="Q8374" s="9" t="s">
        <v>8412</v>
      </c>
      <c r="R8374" s="10">
        <v>0.5339402744730125</v>
      </c>
      <c r="S8374" s="10">
        <v>0.027800685751148253</v>
      </c>
      <c r="T8374" s="10">
        <v>17.76719750348645</v>
      </c>
      <c r="U8374" s="11">
        <v>0.26275145690632473</v>
      </c>
      <c r="V8374" s="11">
        <v>0.25370756769545927</v>
      </c>
      <c r="W8374" s="11">
        <v>0.018929869486205186</v>
      </c>
      <c r="X8374" s="11">
        <v>0.16007892421939723</v>
      </c>
      <c r="Y8374" s="11">
        <v>0.2953408397031627</v>
      </c>
      <c r="Z8374" s="11">
        <v>0.009191341989450985</v>
      </c>
    </row>
    <row r="8375" ht="22.5" customHeight="1">
      <c r="Q8375" s="9" t="s">
        <v>8413</v>
      </c>
      <c r="R8375" s="10">
        <v>0.522331348251574</v>
      </c>
      <c r="S8375" s="10">
        <v>0.027060551932527727</v>
      </c>
      <c r="T8375" s="10">
        <v>17.76694956995557</v>
      </c>
      <c r="U8375" s="11">
        <v>0.17669072849003387</v>
      </c>
      <c r="V8375" s="11">
        <v>0.2519577432702161</v>
      </c>
      <c r="W8375" s="11">
        <v>0.028952012399286006</v>
      </c>
      <c r="X8375" s="11">
        <v>0.09561915365746834</v>
      </c>
      <c r="Y8375" s="11">
        <v>0.23278953521256576</v>
      </c>
      <c r="Z8375" s="11">
        <v>0.21399082697043004</v>
      </c>
    </row>
    <row r="8376" ht="22.5" customHeight="1">
      <c r="Q8376" s="9" t="s">
        <v>8414</v>
      </c>
      <c r="R8376" s="10">
        <v>0.522331348251574</v>
      </c>
      <c r="S8376" s="10">
        <v>0.025777638395003293</v>
      </c>
      <c r="T8376" s="10">
        <v>17.76636021344317</v>
      </c>
      <c r="U8376" s="11">
        <v>0.3356898183564466</v>
      </c>
      <c r="V8376" s="11">
        <v>0.23818072441227311</v>
      </c>
      <c r="W8376" s="11">
        <v>0.03611685938193016</v>
      </c>
      <c r="X8376" s="11">
        <v>0.047241676265535784</v>
      </c>
      <c r="Y8376" s="11">
        <v>0.07333928120002904</v>
      </c>
      <c r="Z8376" s="11">
        <v>0.26943164038378525</v>
      </c>
    </row>
    <row r="8377" ht="22.5" customHeight="1">
      <c r="Q8377" s="9" t="s">
        <v>8415</v>
      </c>
      <c r="R8377" s="10">
        <v>0.522331348251574</v>
      </c>
      <c r="S8377" s="10">
        <v>0.05019410777052297</v>
      </c>
      <c r="T8377" s="10">
        <v>17.76507454341162</v>
      </c>
      <c r="U8377" s="11">
        <v>0.003121389896229713</v>
      </c>
      <c r="V8377" s="11">
        <v>0.16285649488763565</v>
      </c>
      <c r="W8377" s="11">
        <v>0.43160460407277534</v>
      </c>
      <c r="X8377" s="11">
        <v>0.07062849252340056</v>
      </c>
      <c r="Y8377" s="11">
        <v>0.3182566986313114</v>
      </c>
      <c r="Z8377" s="11">
        <v>0.013532319988647323</v>
      </c>
    </row>
    <row r="8378" ht="22.5" customHeight="1">
      <c r="Q8378" s="9" t="s">
        <v>8416</v>
      </c>
      <c r="R8378" s="10">
        <v>0.6692792928976948</v>
      </c>
      <c r="S8378" s="10">
        <v>0.035423319744965764</v>
      </c>
      <c r="T8378" s="10">
        <v>17.764548817791866</v>
      </c>
      <c r="U8378" s="11">
        <v>0.07753453025766902</v>
      </c>
      <c r="V8378" s="11">
        <v>0.09295300072627617</v>
      </c>
      <c r="W8378" s="11">
        <v>0.30625705944843257</v>
      </c>
      <c r="X8378" s="11">
        <v>0.0956680455439075</v>
      </c>
      <c r="Y8378" s="11">
        <v>0.2920020274964754</v>
      </c>
      <c r="Z8378" s="11">
        <v>0.13558533652723934</v>
      </c>
    </row>
    <row r="8379" ht="22.5" customHeight="1">
      <c r="Q8379" s="9" t="s">
        <v>8417</v>
      </c>
      <c r="R8379" s="10">
        <v>0.34771024067956013</v>
      </c>
      <c r="S8379" s="10">
        <v>0.017322282401633346</v>
      </c>
      <c r="T8379" s="10">
        <v>17.763839287745686</v>
      </c>
      <c r="U8379" s="11">
        <v>0.14801319603391178</v>
      </c>
      <c r="V8379" s="11">
        <v>0.007912286519927723</v>
      </c>
      <c r="W8379" s="11">
        <v>0.13799078310362903</v>
      </c>
      <c r="X8379" s="11">
        <v>0.24917985858288816</v>
      </c>
      <c r="Y8379" s="11">
        <v>0.2423978055321534</v>
      </c>
      <c r="Z8379" s="11">
        <v>0.2145060702274899</v>
      </c>
    </row>
    <row r="8380" ht="22.5" customHeight="1">
      <c r="Q8380" s="9" t="s">
        <v>8418</v>
      </c>
      <c r="R8380" s="10">
        <v>0.2605069784350064</v>
      </c>
      <c r="S8380" s="10">
        <v>0.012413251877094245</v>
      </c>
      <c r="T8380" s="10">
        <v>17.76383663348526</v>
      </c>
      <c r="U8380" s="11">
        <v>0.06657744618890178</v>
      </c>
      <c r="V8380" s="11">
        <v>0.01737852735652449</v>
      </c>
      <c r="W8380" s="11">
        <v>0.07991746472341454</v>
      </c>
      <c r="X8380" s="11">
        <v>0.1316195326916104</v>
      </c>
      <c r="Y8380" s="11">
        <v>0.29785494441003335</v>
      </c>
      <c r="Z8380" s="11">
        <v>0.40665208462951546</v>
      </c>
    </row>
    <row r="8381" ht="22.5" customHeight="1">
      <c r="Q8381" s="9" t="s">
        <v>8419</v>
      </c>
      <c r="R8381" s="10">
        <v>0.4631658671058901</v>
      </c>
      <c r="S8381" s="10">
        <v>0.023823742597955402</v>
      </c>
      <c r="T8381" s="10">
        <v>17.762358931052546</v>
      </c>
      <c r="U8381" s="11">
        <v>0.26793096712028885</v>
      </c>
      <c r="V8381" s="11">
        <v>0.216748281980347</v>
      </c>
      <c r="W8381" s="11">
        <v>0.008125866530424202</v>
      </c>
      <c r="X8381" s="11">
        <v>0.18774758736712008</v>
      </c>
      <c r="Y8381" s="11">
        <v>0.20654869134527185</v>
      </c>
      <c r="Z8381" s="11">
        <v>0.11289860565654793</v>
      </c>
    </row>
    <row r="8382" ht="22.5" customHeight="1">
      <c r="Q8382" s="9" t="s">
        <v>8420</v>
      </c>
      <c r="R8382" s="10">
        <v>0.5816557697394737</v>
      </c>
      <c r="S8382" s="10">
        <v>0.030494884325541722</v>
      </c>
      <c r="T8382" s="10">
        <v>17.762184763750586</v>
      </c>
      <c r="U8382" s="11">
        <v>0.2852734008219561</v>
      </c>
      <c r="V8382" s="11">
        <v>0.2820678922034154</v>
      </c>
      <c r="W8382" s="11">
        <v>0.04212510280299134</v>
      </c>
      <c r="X8382" s="11">
        <v>0.040672293869680305</v>
      </c>
      <c r="Y8382" s="11">
        <v>0.25318107340778095</v>
      </c>
      <c r="Z8382" s="11">
        <v>0.09668023689417601</v>
      </c>
    </row>
    <row r="8383" ht="22.5" customHeight="1">
      <c r="Q8383" s="9" t="s">
        <v>8421</v>
      </c>
      <c r="R8383" s="10">
        <v>0.47473336145284034</v>
      </c>
      <c r="S8383" s="10">
        <v>0.024475253664944196</v>
      </c>
      <c r="T8383" s="10">
        <v>17.762159583886444</v>
      </c>
      <c r="U8383" s="11">
        <v>0.05150816304602734</v>
      </c>
      <c r="V8383" s="11">
        <v>0.04706693815248987</v>
      </c>
      <c r="W8383" s="11">
        <v>0.20902553603726648</v>
      </c>
      <c r="X8383" s="11">
        <v>0.1419647138212264</v>
      </c>
      <c r="Y8383" s="11">
        <v>0.25586760035484724</v>
      </c>
      <c r="Z8383" s="11">
        <v>0.29456704858814264</v>
      </c>
    </row>
    <row r="8384" ht="22.5" customHeight="1">
      <c r="Q8384" s="9" t="s">
        <v>8422</v>
      </c>
      <c r="R8384" s="10">
        <v>0.7003751199791818</v>
      </c>
      <c r="S8384" s="10">
        <v>0.037178910279376365</v>
      </c>
      <c r="T8384" s="10">
        <v>17.76208917950725</v>
      </c>
      <c r="U8384" s="11">
        <v>0.09829826590189662</v>
      </c>
      <c r="V8384" s="11">
        <v>0.11244461078356484</v>
      </c>
      <c r="W8384" s="11">
        <v>0.32204884279107776</v>
      </c>
      <c r="X8384" s="11">
        <v>0.05147934804149691</v>
      </c>
      <c r="Y8384" s="11">
        <v>0.17491075982644116</v>
      </c>
      <c r="Z8384" s="11">
        <v>0.24081817265552266</v>
      </c>
    </row>
    <row r="8385" ht="22.5" customHeight="1">
      <c r="Q8385" s="9" t="s">
        <v>8423</v>
      </c>
      <c r="R8385" s="10">
        <v>0.5068507901073275</v>
      </c>
      <c r="S8385" s="10">
        <v>0.026284033493623914</v>
      </c>
      <c r="T8385" s="10">
        <v>17.761763628119635</v>
      </c>
      <c r="U8385" s="11">
        <v>0.2694893279909122</v>
      </c>
      <c r="V8385" s="11">
        <v>0.24024246783883302</v>
      </c>
      <c r="W8385" s="11">
        <v>0.027002678431386137</v>
      </c>
      <c r="X8385" s="11">
        <v>0.06764386349569386</v>
      </c>
      <c r="Y8385" s="11">
        <v>0.2694272654965877</v>
      </c>
      <c r="Z8385" s="11">
        <v>0.12619439674658714</v>
      </c>
    </row>
    <row r="8386" ht="22.5" customHeight="1">
      <c r="Q8386" s="9" t="s">
        <v>8424</v>
      </c>
      <c r="R8386" s="10">
        <v>0.6140484761680675</v>
      </c>
      <c r="S8386" s="10">
        <v>0.03231943946474126</v>
      </c>
      <c r="T8386" s="10">
        <v>17.761708918074614</v>
      </c>
      <c r="U8386" s="11">
        <v>0.20168818263796326</v>
      </c>
      <c r="V8386" s="11">
        <v>0.062371391824043186</v>
      </c>
      <c r="W8386" s="11">
        <v>0.2848098677300923</v>
      </c>
      <c r="X8386" s="11">
        <v>0.2654335683541664</v>
      </c>
      <c r="Y8386" s="11">
        <v>0.06571737951122707</v>
      </c>
      <c r="Z8386" s="11">
        <v>0.11997960994250764</v>
      </c>
    </row>
    <row r="8387" ht="22.5" customHeight="1">
      <c r="Q8387" s="9" t="s">
        <v>8425</v>
      </c>
      <c r="R8387" s="10">
        <v>0.5352628578366101</v>
      </c>
      <c r="S8387" s="10">
        <v>0.027888683762099006</v>
      </c>
      <c r="T8387" s="10">
        <v>17.75855978221809</v>
      </c>
      <c r="U8387" s="11">
        <v>0.27396161377490713</v>
      </c>
      <c r="V8387" s="11">
        <v>0.25514518950899945</v>
      </c>
      <c r="W8387" s="11">
        <v>0.01834590885963603</v>
      </c>
      <c r="X8387" s="11">
        <v>0.1671238415768221</v>
      </c>
      <c r="Y8387" s="11">
        <v>0.2748245803669641</v>
      </c>
      <c r="Z8387" s="11">
        <v>0.01059886591267119</v>
      </c>
    </row>
    <row r="8388" ht="22.5" customHeight="1">
      <c r="Q8388" s="9" t="s">
        <v>8426</v>
      </c>
      <c r="R8388" s="10">
        <v>0.6436104935346018</v>
      </c>
      <c r="S8388" s="10">
        <v>0.03399080793678612</v>
      </c>
      <c r="T8388" s="10">
        <v>17.758050784116605</v>
      </c>
      <c r="U8388" s="11">
        <v>0.16107386429724477</v>
      </c>
      <c r="V8388" s="11">
        <v>0.07425372814550063</v>
      </c>
      <c r="W8388" s="11">
        <v>0.29991548997016043</v>
      </c>
      <c r="X8388" s="11">
        <v>0.2711100237558105</v>
      </c>
      <c r="Y8388" s="11">
        <v>0.006174622772271701</v>
      </c>
      <c r="Z8388" s="11">
        <v>0.187472271059012</v>
      </c>
    </row>
    <row r="8389" ht="22.5" customHeight="1">
      <c r="Q8389" s="9" t="s">
        <v>8427</v>
      </c>
      <c r="R8389" s="10">
        <v>0.8257574640332641</v>
      </c>
      <c r="S8389" s="10">
        <v>0.044249371897906495</v>
      </c>
      <c r="T8389" s="10">
        <v>17.757482882382778</v>
      </c>
      <c r="U8389" s="11">
        <v>0.04525121462416945</v>
      </c>
      <c r="V8389" s="11">
        <v>0.11613193438647093</v>
      </c>
      <c r="W8389" s="11">
        <v>0.3898681854334841</v>
      </c>
      <c r="X8389" s="11">
        <v>0.30469026349287687</v>
      </c>
      <c r="Y8389" s="11">
        <v>0.03392319239437685</v>
      </c>
      <c r="Z8389" s="11">
        <v>0.11013520966862168</v>
      </c>
    </row>
    <row r="8390" ht="22.5" customHeight="1">
      <c r="Q8390" s="9" t="s">
        <v>8428</v>
      </c>
      <c r="R8390" s="10">
        <v>0.5275658887788364</v>
      </c>
      <c r="S8390" s="10">
        <v>0.027457034757694815</v>
      </c>
      <c r="T8390" s="10">
        <v>17.757412374699214</v>
      </c>
      <c r="U8390" s="11">
        <v>0.10836279524784627</v>
      </c>
      <c r="V8390" s="11">
        <v>0.25704606169998245</v>
      </c>
      <c r="W8390" s="11">
        <v>0.05649238651587519</v>
      </c>
      <c r="X8390" s="11">
        <v>0.02606974508165563</v>
      </c>
      <c r="Y8390" s="11">
        <v>0.029619419317588744</v>
      </c>
      <c r="Z8390" s="11">
        <v>0.5224095921370517</v>
      </c>
    </row>
    <row r="8391" ht="22.5" customHeight="1">
      <c r="Q8391" s="9" t="s">
        <v>8429</v>
      </c>
      <c r="R8391" s="10">
        <v>0.6222307399938359</v>
      </c>
      <c r="S8391" s="10">
        <v>0.03278854697564179</v>
      </c>
      <c r="T8391" s="10">
        <v>17.757137589121225</v>
      </c>
      <c r="U8391" s="11">
        <v>0.24246949517848412</v>
      </c>
      <c r="V8391" s="11">
        <v>0.3092628566412353</v>
      </c>
      <c r="W8391" s="11">
        <v>0.0545772867230053</v>
      </c>
      <c r="X8391" s="11">
        <v>0.060302784376503826</v>
      </c>
      <c r="Y8391" s="11">
        <v>0.09726721413155681</v>
      </c>
      <c r="Z8391" s="11">
        <v>0.2361203629492147</v>
      </c>
    </row>
    <row r="8392" ht="22.5" customHeight="1">
      <c r="Q8392" s="9" t="s">
        <v>8430</v>
      </c>
      <c r="R8392" s="10">
        <v>0.5475531144612104</v>
      </c>
      <c r="S8392" s="10">
        <v>0.02858352719223132</v>
      </c>
      <c r="T8392" s="10">
        <v>17.756839841625897</v>
      </c>
      <c r="U8392" s="11">
        <v>0.021997015358512624</v>
      </c>
      <c r="V8392" s="11">
        <v>0.057530370748847925</v>
      </c>
      <c r="W8392" s="11">
        <v>0.24687213252966658</v>
      </c>
      <c r="X8392" s="11">
        <v>0.17852539566108558</v>
      </c>
      <c r="Y8392" s="11">
        <v>0.27652690321164414</v>
      </c>
      <c r="Z8392" s="11">
        <v>0.2185481824902432</v>
      </c>
    </row>
    <row r="8393" ht="22.5" customHeight="1">
      <c r="Q8393" s="9" t="s">
        <v>8431</v>
      </c>
      <c r="R8393" s="10">
        <v>0.4878354958452426</v>
      </c>
      <c r="S8393" s="10">
        <v>0.025220498236088754</v>
      </c>
      <c r="T8393" s="10">
        <v>17.756806057242027</v>
      </c>
      <c r="U8393" s="11">
        <v>0.1002861658184105</v>
      </c>
      <c r="V8393" s="11">
        <v>0.23575338014794192</v>
      </c>
      <c r="W8393" s="11">
        <v>0.012689693750609344</v>
      </c>
      <c r="X8393" s="11">
        <v>0.24514356048973623</v>
      </c>
      <c r="Y8393" s="11">
        <v>0.13952572702348393</v>
      </c>
      <c r="Z8393" s="11">
        <v>0.26660147276981805</v>
      </c>
    </row>
    <row r="8394" ht="22.5" customHeight="1">
      <c r="Q8394" s="9" t="s">
        <v>8432</v>
      </c>
      <c r="R8394" s="10">
        <v>0.5152952885462644</v>
      </c>
      <c r="S8394" s="10">
        <v>0.02676776677150493</v>
      </c>
      <c r="T8394" s="10">
        <v>17.756254849479266</v>
      </c>
      <c r="U8394" s="11">
        <v>0.15888876845002928</v>
      </c>
      <c r="V8394" s="11">
        <v>0.049422067955179325</v>
      </c>
      <c r="W8394" s="11">
        <v>0.23394035333056312</v>
      </c>
      <c r="X8394" s="11">
        <v>0.20403880131166668</v>
      </c>
      <c r="Y8394" s="11">
        <v>0.09674371081112065</v>
      </c>
      <c r="Z8394" s="11">
        <v>0.25696629814144106</v>
      </c>
    </row>
    <row r="8395" ht="22.5" customHeight="1">
      <c r="Q8395" s="9" t="s">
        <v>8433</v>
      </c>
      <c r="R8395" s="10">
        <v>0.5534061656586868</v>
      </c>
      <c r="S8395" s="10">
        <v>0.028915279108103556</v>
      </c>
      <c r="T8395" s="10">
        <v>17.75553207490236</v>
      </c>
      <c r="U8395" s="11">
        <v>0.2730012381597725</v>
      </c>
      <c r="V8395" s="11">
        <v>0.03664373675400795</v>
      </c>
      <c r="W8395" s="11">
        <v>0.25195644557102204</v>
      </c>
      <c r="X8395" s="11">
        <v>0.3286634391378295</v>
      </c>
      <c r="Y8395" s="11">
        <v>0.10494405319816785</v>
      </c>
      <c r="Z8395" s="11">
        <v>0.004791087179200281</v>
      </c>
    </row>
    <row r="8396" ht="22.5" customHeight="1">
      <c r="Q8396" s="9" t="s">
        <v>8434</v>
      </c>
      <c r="R8396" s="10">
        <v>0.41203961554783725</v>
      </c>
      <c r="S8396" s="10">
        <v>0.020954073093175384</v>
      </c>
      <c r="T8396" s="10">
        <v>17.75500228015375</v>
      </c>
      <c r="U8396" s="11">
        <v>0.1669567455679175</v>
      </c>
      <c r="V8396" s="11">
        <v>0.021051059455327755</v>
      </c>
      <c r="W8396" s="11">
        <v>0.1719440082369221</v>
      </c>
      <c r="X8396" s="11">
        <v>0.19961352357822462</v>
      </c>
      <c r="Y8396" s="11">
        <v>0.31376884022053736</v>
      </c>
      <c r="Z8396" s="11">
        <v>0.1266658229410707</v>
      </c>
    </row>
    <row r="8397" ht="22.5" customHeight="1">
      <c r="Q8397" s="9" t="s">
        <v>8435</v>
      </c>
      <c r="R8397" s="10">
        <v>0.42199111093023606</v>
      </c>
      <c r="S8397" s="10">
        <v>0.021515049127329815</v>
      </c>
      <c r="T8397" s="10">
        <v>17.75460091536608</v>
      </c>
      <c r="U8397" s="11">
        <v>0.4209524081845132</v>
      </c>
      <c r="V8397" s="11">
        <v>0.1923306983038166</v>
      </c>
      <c r="W8397" s="11">
        <v>0.015195051232916588</v>
      </c>
      <c r="X8397" s="11">
        <v>0.1345077282926592</v>
      </c>
      <c r="Y8397" s="11">
        <v>0.029540337347940756</v>
      </c>
      <c r="Z8397" s="11">
        <v>0.20747377663815378</v>
      </c>
    </row>
    <row r="8398" ht="22.5" customHeight="1">
      <c r="Q8398" s="9" t="s">
        <v>8436</v>
      </c>
      <c r="R8398" s="10">
        <v>0.793254890880112</v>
      </c>
      <c r="S8398" s="10">
        <v>0.04242889777889468</v>
      </c>
      <c r="T8398" s="10">
        <v>17.753345722188477</v>
      </c>
      <c r="U8398" s="11">
        <v>0.1143701280091024</v>
      </c>
      <c r="V8398" s="11">
        <v>0.4017149364098446</v>
      </c>
      <c r="W8398" s="11">
        <v>0.051758926055131445</v>
      </c>
      <c r="X8398" s="11">
        <v>0.3979144996965501</v>
      </c>
      <c r="Y8398" s="11">
        <v>0.009158979056717947</v>
      </c>
      <c r="Z8398" s="11">
        <v>0.025082530772653495</v>
      </c>
    </row>
    <row r="8399" ht="22.5" customHeight="1">
      <c r="Q8399" s="9" t="s">
        <v>8437</v>
      </c>
      <c r="R8399" s="10">
        <v>0.5985531557035221</v>
      </c>
      <c r="S8399" s="10">
        <v>0.031466970255635</v>
      </c>
      <c r="T8399" s="10">
        <v>17.75045869258729</v>
      </c>
      <c r="U8399" s="11">
        <v>0.22016111355249263</v>
      </c>
      <c r="V8399" s="11">
        <v>0.07621814731587391</v>
      </c>
      <c r="W8399" s="11">
        <v>0.27569937202211886</v>
      </c>
      <c r="X8399" s="11">
        <v>0.15274760658947137</v>
      </c>
      <c r="Y8399" s="11">
        <v>0.027818930645061947</v>
      </c>
      <c r="Z8399" s="11">
        <v>0.2473548298749812</v>
      </c>
    </row>
    <row r="8400" ht="22.5" customHeight="1">
      <c r="Q8400" s="9" t="s">
        <v>8438</v>
      </c>
      <c r="R8400" s="10">
        <v>0.853876248012724</v>
      </c>
      <c r="S8400" s="10">
        <v>0.045851014694301445</v>
      </c>
      <c r="T8400" s="10">
        <v>17.750452273281443</v>
      </c>
      <c r="U8400" s="11">
        <v>0.14243084714086374</v>
      </c>
      <c r="V8400" s="11">
        <v>0.4298126957598673</v>
      </c>
      <c r="W8400" s="11">
        <v>0.09507478480474267</v>
      </c>
      <c r="X8400" s="11">
        <v>0.022893231623940996</v>
      </c>
      <c r="Y8400" s="11">
        <v>0.28836711984578994</v>
      </c>
      <c r="Z8400" s="11">
        <v>0.02142132082479538</v>
      </c>
    </row>
    <row r="8401" ht="22.5" customHeight="1">
      <c r="Q8401" s="9" t="s">
        <v>8439</v>
      </c>
      <c r="R8401" s="10">
        <v>0.4237432759385656</v>
      </c>
      <c r="S8401" s="10">
        <v>0.021619980124647685</v>
      </c>
      <c r="T8401" s="10">
        <v>17.749474038650117</v>
      </c>
      <c r="U8401" s="11">
        <v>0.1520510438605905</v>
      </c>
      <c r="V8401" s="11">
        <v>0.011957888988360716</v>
      </c>
      <c r="W8401" s="11">
        <v>0.18178566236815388</v>
      </c>
      <c r="X8401" s="11">
        <v>0.3515336402296722</v>
      </c>
      <c r="Y8401" s="11">
        <v>0.16111128001151526</v>
      </c>
      <c r="Z8401" s="11">
        <v>0.14156048454170742</v>
      </c>
    </row>
    <row r="8402" ht="22.5" customHeight="1">
      <c r="Q8402" s="9" t="s">
        <v>8440</v>
      </c>
      <c r="R8402" s="10">
        <v>0.6015401936125129</v>
      </c>
      <c r="S8402" s="10">
        <v>0.03163981777265402</v>
      </c>
      <c r="T8402" s="10">
        <v>17.7478959470445</v>
      </c>
      <c r="U8402" s="11">
        <v>0.02855806843887928</v>
      </c>
      <c r="V8402" s="11">
        <v>0.04799961338590801</v>
      </c>
      <c r="W8402" s="11">
        <v>0.27541538998964554</v>
      </c>
      <c r="X8402" s="11">
        <v>0.36017955517206385</v>
      </c>
      <c r="Y8402" s="11">
        <v>0.22978008965168548</v>
      </c>
      <c r="Z8402" s="11">
        <v>0.05806728336181785</v>
      </c>
    </row>
    <row r="8403" ht="22.5" customHeight="1">
      <c r="Q8403" s="9" t="s">
        <v>8441</v>
      </c>
      <c r="R8403" s="10">
        <v>0.6160555291397523</v>
      </c>
      <c r="S8403" s="10">
        <v>0.03246348668726145</v>
      </c>
      <c r="T8403" s="10">
        <v>17.74472146782047</v>
      </c>
      <c r="U8403" s="11">
        <v>0.21042365901962481</v>
      </c>
      <c r="V8403" s="11">
        <v>0.3038301422025507</v>
      </c>
      <c r="W8403" s="11">
        <v>0.02799717364333564</v>
      </c>
      <c r="X8403" s="11">
        <v>0.21594735770066653</v>
      </c>
      <c r="Y8403" s="11">
        <v>0.21567714200819973</v>
      </c>
      <c r="Z8403" s="11">
        <v>0.026124525425622675</v>
      </c>
    </row>
    <row r="8404" ht="22.5" customHeight="1">
      <c r="Q8404" s="9" t="s">
        <v>8442</v>
      </c>
      <c r="R8404" s="10">
        <v>0.7231401596168093</v>
      </c>
      <c r="S8404" s="10">
        <v>0.038498666552411236</v>
      </c>
      <c r="T8404" s="10">
        <v>17.74451483109934</v>
      </c>
      <c r="U8404" s="11">
        <v>0.017447060620664534</v>
      </c>
      <c r="V8404" s="11">
        <v>0.12131419730680212</v>
      </c>
      <c r="W8404" s="11">
        <v>0.3348211060184363</v>
      </c>
      <c r="X8404" s="11">
        <v>0.11163564724134269</v>
      </c>
      <c r="Y8404" s="11">
        <v>0.0524602754713558</v>
      </c>
      <c r="Z8404" s="11">
        <v>0.3623217133413985</v>
      </c>
    </row>
    <row r="8405" ht="22.5" customHeight="1">
      <c r="Q8405" s="9" t="s">
        <v>8443</v>
      </c>
      <c r="R8405" s="10">
        <v>0.5764320958263901</v>
      </c>
      <c r="S8405" s="10">
        <v>0.03023295148838679</v>
      </c>
      <c r="T8405" s="10">
        <v>17.74329231575179</v>
      </c>
      <c r="U8405" s="11">
        <v>0.21351179500699446</v>
      </c>
      <c r="V8405" s="11">
        <v>0.2860980705380772</v>
      </c>
      <c r="W8405" s="11">
        <v>0.04062291917584526</v>
      </c>
      <c r="X8405" s="11">
        <v>0.13062368758960782</v>
      </c>
      <c r="Y8405" s="11">
        <v>0.05241019501658142</v>
      </c>
      <c r="Z8405" s="11">
        <v>0.2767333326728938</v>
      </c>
    </row>
    <row r="8406" ht="22.5" customHeight="1">
      <c r="Q8406" s="9" t="s">
        <v>8444</v>
      </c>
      <c r="R8406" s="10">
        <v>0.3998441698649737</v>
      </c>
      <c r="S8406" s="10">
        <v>0.020285008461378994</v>
      </c>
      <c r="T8406" s="10">
        <v>17.73941433399388</v>
      </c>
      <c r="U8406" s="11">
        <v>0.13697843600330686</v>
      </c>
      <c r="V8406" s="11">
        <v>0.03190025706347169</v>
      </c>
      <c r="W8406" s="11">
        <v>0.1668535533839694</v>
      </c>
      <c r="X8406" s="11">
        <v>0.11174865545338845</v>
      </c>
      <c r="Y8406" s="11">
        <v>0.28777479340139867</v>
      </c>
      <c r="Z8406" s="11">
        <v>0.2647443046944651</v>
      </c>
    </row>
    <row r="8407" ht="22.5" customHeight="1">
      <c r="Q8407" s="9" t="s">
        <v>8445</v>
      </c>
      <c r="R8407" s="10">
        <v>0.544490215492449</v>
      </c>
      <c r="S8407" s="10">
        <v>0.028441530178928483</v>
      </c>
      <c r="T8407" s="10">
        <v>17.737801458594213</v>
      </c>
      <c r="U8407" s="11">
        <v>0.1568685347967667</v>
      </c>
      <c r="V8407" s="11">
        <v>0.2686298097828362</v>
      </c>
      <c r="W8407" s="11">
        <v>0.02508893830932431</v>
      </c>
      <c r="X8407" s="11">
        <v>0.20566936707633623</v>
      </c>
      <c r="Y8407" s="11">
        <v>0.09875622398121618</v>
      </c>
      <c r="Z8407" s="11">
        <v>0.24498712605352044</v>
      </c>
    </row>
    <row r="8408" ht="22.5" customHeight="1">
      <c r="Q8408" s="9" t="s">
        <v>8446</v>
      </c>
      <c r="R8408" s="10">
        <v>0.6512378803726917</v>
      </c>
      <c r="S8408" s="10">
        <v>0.03446543430671052</v>
      </c>
      <c r="T8408" s="10">
        <v>17.734808589186468</v>
      </c>
      <c r="U8408" s="11">
        <v>0.01462642309223269</v>
      </c>
      <c r="V8408" s="11">
        <v>0.07619505610332744</v>
      </c>
      <c r="W8408" s="11">
        <v>0.30252716311068345</v>
      </c>
      <c r="X8408" s="11">
        <v>0.2374908980135501</v>
      </c>
      <c r="Y8408" s="11">
        <v>0.1894809728780813</v>
      </c>
      <c r="Z8408" s="11">
        <v>0.17967948680212506</v>
      </c>
    </row>
    <row r="8409" ht="22.5" customHeight="1">
      <c r="Q8409" s="9" t="s">
        <v>8447</v>
      </c>
      <c r="R8409" s="10">
        <v>0.28809798399611825</v>
      </c>
      <c r="S8409" s="10">
        <v>0.013991129079739888</v>
      </c>
      <c r="T8409" s="10">
        <v>17.73252055514098</v>
      </c>
      <c r="U8409" s="11">
        <v>0.32490299004091977</v>
      </c>
      <c r="V8409" s="11">
        <v>0.01579412857147915</v>
      </c>
      <c r="W8409" s="11">
        <v>0.09503639189937603</v>
      </c>
      <c r="X8409" s="11">
        <v>0.09664107852479353</v>
      </c>
      <c r="Y8409" s="11">
        <v>0.26369723167631504</v>
      </c>
      <c r="Z8409" s="11">
        <v>0.2039281792871165</v>
      </c>
    </row>
    <row r="8410" ht="22.5" customHeight="1">
      <c r="Q8410" s="9" t="s">
        <v>8448</v>
      </c>
      <c r="R8410" s="10">
        <v>0.42670654926094403</v>
      </c>
      <c r="S8410" s="10">
        <v>0.021810288937136036</v>
      </c>
      <c r="T8410" s="10">
        <v>17.73046429488171</v>
      </c>
      <c r="U8410" s="11">
        <v>0.3768815165780483</v>
      </c>
      <c r="V8410" s="11">
        <v>0.19596774973423026</v>
      </c>
      <c r="W8410" s="11">
        <v>0.021656179806067898</v>
      </c>
      <c r="X8410" s="11">
        <v>0.05920749265406015</v>
      </c>
      <c r="Y8410" s="11">
        <v>0.10678113484260662</v>
      </c>
      <c r="Z8410" s="11">
        <v>0.23950592638498672</v>
      </c>
    </row>
    <row r="8411" ht="22.5" customHeight="1">
      <c r="Q8411" s="9" t="s">
        <v>8449</v>
      </c>
      <c r="R8411" s="10">
        <v>0.48087208702675877</v>
      </c>
      <c r="S8411" s="10">
        <v>0.024865428651257484</v>
      </c>
      <c r="T8411" s="10">
        <v>17.730323221452416</v>
      </c>
      <c r="U8411" s="11">
        <v>0.19878152756765302</v>
      </c>
      <c r="V8411" s="11">
        <v>0.23106012744865792</v>
      </c>
      <c r="W8411" s="11">
        <v>0.009263352327065589</v>
      </c>
      <c r="X8411" s="11">
        <v>0.2629752316682343</v>
      </c>
      <c r="Y8411" s="11">
        <v>0.07789759209397412</v>
      </c>
      <c r="Z8411" s="11">
        <v>0.22002216889441487</v>
      </c>
    </row>
    <row r="8412" ht="22.5" customHeight="1">
      <c r="Q8412" s="9" t="s">
        <v>8450</v>
      </c>
      <c r="R8412" s="10">
        <v>0.7206155221918681</v>
      </c>
      <c r="S8412" s="10">
        <v>0.03838735454656644</v>
      </c>
      <c r="T8412" s="10">
        <v>17.730201266311166</v>
      </c>
      <c r="U8412" s="11">
        <v>0.01824953260069212</v>
      </c>
      <c r="V8412" s="11">
        <v>0.35750180432205514</v>
      </c>
      <c r="W8412" s="11">
        <v>0.06805466360425048</v>
      </c>
      <c r="X8412" s="11">
        <v>0.048412166156807844</v>
      </c>
      <c r="Y8412" s="11">
        <v>0.3993286652791559</v>
      </c>
      <c r="Z8412" s="11">
        <v>0.10845316803703856</v>
      </c>
    </row>
    <row r="8413" ht="22.5" customHeight="1">
      <c r="Q8413" s="9" t="s">
        <v>8451</v>
      </c>
      <c r="R8413" s="10">
        <v>0.4579138754756312</v>
      </c>
      <c r="S8413" s="10">
        <v>0.023574408834075408</v>
      </c>
      <c r="T8413" s="10">
        <v>17.727438190159898</v>
      </c>
      <c r="U8413" s="11">
        <v>0.30516525651575294</v>
      </c>
      <c r="V8413" s="11">
        <v>0.03165254270485933</v>
      </c>
      <c r="W8413" s="11">
        <v>0.20301920944956725</v>
      </c>
      <c r="X8413" s="11">
        <v>0.24691087228281808</v>
      </c>
      <c r="Y8413" s="11">
        <v>0.009811628685054672</v>
      </c>
      <c r="Z8413" s="11">
        <v>0.20344049036194786</v>
      </c>
    </row>
    <row r="8414" ht="22.5" customHeight="1">
      <c r="Q8414" s="9" t="s">
        <v>8452</v>
      </c>
      <c r="R8414" s="10">
        <v>0.3006101282985176</v>
      </c>
      <c r="S8414" s="10">
        <v>0.014702008517016594</v>
      </c>
      <c r="T8414" s="10">
        <v>17.726158163823587</v>
      </c>
      <c r="U8414" s="11">
        <v>0.2708741594297195</v>
      </c>
      <c r="V8414" s="11">
        <v>0.0276125079884517</v>
      </c>
      <c r="W8414" s="11">
        <v>0.10328406940514064</v>
      </c>
      <c r="X8414" s="11">
        <v>0.031929745878054784</v>
      </c>
      <c r="Y8414" s="11">
        <v>0.2657241925750683</v>
      </c>
      <c r="Z8414" s="11">
        <v>0.30057532472356513</v>
      </c>
    </row>
    <row r="8415" ht="22.5" customHeight="1">
      <c r="Q8415" s="9" t="s">
        <v>8453</v>
      </c>
      <c r="R8415" s="10">
        <v>0.42630981108889976</v>
      </c>
      <c r="S8415" s="10">
        <v>0.021793736498587103</v>
      </c>
      <c r="T8415" s="10">
        <v>17.72572643125902</v>
      </c>
      <c r="U8415" s="11">
        <v>0.24759171547519243</v>
      </c>
      <c r="V8415" s="11">
        <v>0.02480208108868868</v>
      </c>
      <c r="W8415" s="11">
        <v>0.18509593810919128</v>
      </c>
      <c r="X8415" s="11">
        <v>0.19913941480679562</v>
      </c>
      <c r="Y8415" s="11">
        <v>0.16490410525494825</v>
      </c>
      <c r="Z8415" s="11">
        <v>0.17846674526518375</v>
      </c>
    </row>
    <row r="8416" ht="22.5" customHeight="1">
      <c r="Q8416" s="9" t="s">
        <v>8454</v>
      </c>
      <c r="R8416" s="10">
        <v>0.5319395989422986</v>
      </c>
      <c r="S8416" s="10">
        <v>0.027754388685728174</v>
      </c>
      <c r="T8416" s="10">
        <v>17.724749930999675</v>
      </c>
      <c r="U8416" s="11">
        <v>0.23684842613532248</v>
      </c>
      <c r="V8416" s="11">
        <v>0.051751352489834396</v>
      </c>
      <c r="W8416" s="11">
        <v>0.24057095270218593</v>
      </c>
      <c r="X8416" s="11">
        <v>0.14422679975232766</v>
      </c>
      <c r="Y8416" s="11">
        <v>0.19153722018857772</v>
      </c>
      <c r="Z8416" s="11">
        <v>0.13506524873175185</v>
      </c>
    </row>
    <row r="8417" ht="22.5" customHeight="1">
      <c r="Q8417" s="9" t="s">
        <v>8455</v>
      </c>
      <c r="R8417" s="10">
        <v>0.5174756523887813</v>
      </c>
      <c r="S8417" s="10">
        <v>0.02693921586851361</v>
      </c>
      <c r="T8417" s="10">
        <v>17.724185244265108</v>
      </c>
      <c r="U8417" s="11">
        <v>0.24233909643267187</v>
      </c>
      <c r="V8417" s="11">
        <v>0.045546145840713814</v>
      </c>
      <c r="W8417" s="11">
        <v>0.23557872463877297</v>
      </c>
      <c r="X8417" s="11">
        <v>0.24298103685672326</v>
      </c>
      <c r="Y8417" s="11">
        <v>0.018815751013003017</v>
      </c>
      <c r="Z8417" s="11">
        <v>0.21473924521811508</v>
      </c>
    </row>
    <row r="8418" ht="22.5" customHeight="1">
      <c r="Q8418" s="9" t="s">
        <v>8456</v>
      </c>
      <c r="R8418" s="10">
        <v>0.6262974488205024</v>
      </c>
      <c r="S8418" s="10">
        <v>0.03308051163080638</v>
      </c>
      <c r="T8418" s="10">
        <v>17.723348881778183</v>
      </c>
      <c r="U8418" s="11">
        <v>0.28726419388718005</v>
      </c>
      <c r="V8418" s="11">
        <v>0.3123125723190102</v>
      </c>
      <c r="W8418" s="11">
        <v>0.04372142638269778</v>
      </c>
      <c r="X8418" s="11">
        <v>0.1369363255729853</v>
      </c>
      <c r="Y8418" s="11">
        <v>0.06954517181808186</v>
      </c>
      <c r="Z8418" s="11">
        <v>0.15022031002004488</v>
      </c>
    </row>
    <row r="8419" ht="22.5" customHeight="1">
      <c r="Q8419" s="9" t="s">
        <v>8457</v>
      </c>
      <c r="R8419" s="10">
        <v>0.2135001812253166</v>
      </c>
      <c r="S8419" s="10">
        <v>0.009790503068071459</v>
      </c>
      <c r="T8419" s="10">
        <v>17.721273362461936</v>
      </c>
      <c r="U8419" s="11">
        <v>0.1280595522807431</v>
      </c>
      <c r="V8419" s="11">
        <v>0.0014563075703181289</v>
      </c>
      <c r="W8419" s="11">
        <v>0.039816887756611026</v>
      </c>
      <c r="X8419" s="11">
        <v>0.32017354416920835</v>
      </c>
      <c r="Y8419" s="11">
        <v>0.21110936212223605</v>
      </c>
      <c r="Z8419" s="11">
        <v>0.2993843461008834</v>
      </c>
    </row>
    <row r="8420" ht="22.5" customHeight="1">
      <c r="Q8420" s="9" t="s">
        <v>8458</v>
      </c>
      <c r="R8420" s="10">
        <v>0.5802793256380512</v>
      </c>
      <c r="S8420" s="10">
        <v>0.030488004759972827</v>
      </c>
      <c r="T8420" s="10">
        <v>17.72104569949997</v>
      </c>
      <c r="U8420" s="11">
        <v>0.23857422125994115</v>
      </c>
      <c r="V8420" s="11">
        <v>0.06173920768853377</v>
      </c>
      <c r="W8420" s="11">
        <v>0.2603319478489484</v>
      </c>
      <c r="X8420" s="11">
        <v>0.10872437837694171</v>
      </c>
      <c r="Y8420" s="11">
        <v>0.32819612366296097</v>
      </c>
      <c r="Z8420" s="11">
        <v>0.0024341211626740687</v>
      </c>
    </row>
    <row r="8421" ht="22.5" customHeight="1">
      <c r="Q8421" s="9" t="s">
        <v>8459</v>
      </c>
      <c r="R8421" s="10">
        <v>0.22402464463232108</v>
      </c>
      <c r="S8421" s="10">
        <v>0.010384595010100752</v>
      </c>
      <c r="T8421" s="10">
        <v>17.720926473620434</v>
      </c>
      <c r="U8421" s="11">
        <v>0.2933351849011855</v>
      </c>
      <c r="V8421" s="11">
        <v>0.026090810600494785</v>
      </c>
      <c r="W8421" s="11">
        <v>0.03854761478552142</v>
      </c>
      <c r="X8421" s="11">
        <v>0.09752420215053464</v>
      </c>
      <c r="Y8421" s="11">
        <v>0.2649717054675519</v>
      </c>
      <c r="Z8421" s="11">
        <v>0.2795304820947119</v>
      </c>
    </row>
    <row r="8422" ht="22.5" customHeight="1">
      <c r="Q8422" s="9" t="s">
        <v>8460</v>
      </c>
      <c r="R8422" s="10">
        <v>0.4652651456929954</v>
      </c>
      <c r="S8422" s="10">
        <v>0.02399817887070507</v>
      </c>
      <c r="T8422" s="10">
        <v>17.720725726072608</v>
      </c>
      <c r="U8422" s="11">
        <v>0.12206296500074425</v>
      </c>
      <c r="V8422" s="11">
        <v>0.012692848909214134</v>
      </c>
      <c r="W8422" s="11">
        <v>0.20194332978441487</v>
      </c>
      <c r="X8422" s="11">
        <v>0.41657820815967894</v>
      </c>
      <c r="Y8422" s="11">
        <v>0.19638834164176613</v>
      </c>
      <c r="Z8422" s="11">
        <v>0.0503343065041818</v>
      </c>
    </row>
    <row r="8423" ht="22.5" customHeight="1">
      <c r="Q8423" s="9" t="s">
        <v>8461</v>
      </c>
      <c r="R8423" s="10">
        <v>0.522331348251574</v>
      </c>
      <c r="S8423" s="10">
        <v>0.031156416646420847</v>
      </c>
      <c r="T8423" s="10">
        <v>17.72040128580127</v>
      </c>
      <c r="U8423" s="11">
        <v>0.2622330026845283</v>
      </c>
      <c r="V8423" s="11">
        <v>0.29370206151067857</v>
      </c>
      <c r="W8423" s="11">
        <v>0.03495167871195711</v>
      </c>
      <c r="X8423" s="11">
        <v>0.15270824049094534</v>
      </c>
      <c r="Y8423" s="11">
        <v>0.10199622033720128</v>
      </c>
      <c r="Z8423" s="11">
        <v>0.1544087962646894</v>
      </c>
    </row>
    <row r="8424" ht="22.5" customHeight="1">
      <c r="Q8424" s="9" t="s">
        <v>8462</v>
      </c>
      <c r="R8424" s="10">
        <v>0.7033450816202637</v>
      </c>
      <c r="S8424" s="10">
        <v>0.03743586653742023</v>
      </c>
      <c r="T8424" s="10">
        <v>17.719506531448808</v>
      </c>
      <c r="U8424" s="11">
        <v>0.2947582980420564</v>
      </c>
      <c r="V8424" s="11">
        <v>0.10288803111097122</v>
      </c>
      <c r="W8424" s="11">
        <v>0.326247570684491</v>
      </c>
      <c r="X8424" s="11">
        <v>0.07535894198268511</v>
      </c>
      <c r="Y8424" s="11">
        <v>0.09501046180679541</v>
      </c>
      <c r="Z8424" s="11">
        <v>0.1057366963730008</v>
      </c>
    </row>
    <row r="8425" ht="22.5" customHeight="1">
      <c r="Q8425" s="9" t="s">
        <v>8463</v>
      </c>
      <c r="R8425" s="10">
        <v>0.5180839437004834</v>
      </c>
      <c r="S8425" s="10">
        <v>0.02698556211856193</v>
      </c>
      <c r="T8425" s="10">
        <v>17.716286271896294</v>
      </c>
      <c r="U8425" s="11">
        <v>0.16174673095292513</v>
      </c>
      <c r="V8425" s="11">
        <v>0.2515604850689669</v>
      </c>
      <c r="W8425" s="11">
        <v>0.018780713412309108</v>
      </c>
      <c r="X8425" s="11">
        <v>0.17297996860817158</v>
      </c>
      <c r="Y8425" s="11">
        <v>0.22009602375711737</v>
      </c>
      <c r="Z8425" s="11">
        <v>0.17483607820051003</v>
      </c>
    </row>
    <row r="8426" ht="22.5" customHeight="1">
      <c r="Q8426" s="9" t="s">
        <v>8464</v>
      </c>
      <c r="R8426" s="10">
        <v>0.589362409601254</v>
      </c>
      <c r="S8426" s="10">
        <v>0.03101151206732056</v>
      </c>
      <c r="T8426" s="10">
        <v>17.714789540370827</v>
      </c>
      <c r="U8426" s="11">
        <v>0.3130866555996101</v>
      </c>
      <c r="V8426" s="11">
        <v>0.2917761181475795</v>
      </c>
      <c r="W8426" s="11">
        <v>0.03585787666032904</v>
      </c>
      <c r="X8426" s="11">
        <v>0.1542666721087753</v>
      </c>
      <c r="Y8426" s="11">
        <v>0.04905916430710062</v>
      </c>
      <c r="Z8426" s="11">
        <v>0.15595351317660552</v>
      </c>
    </row>
    <row r="8427" ht="22.5" customHeight="1">
      <c r="Q8427" s="9" t="s">
        <v>8465</v>
      </c>
      <c r="R8427" s="10">
        <v>0.3430173408883817</v>
      </c>
      <c r="S8427" s="10">
        <v>0.017107530605053517</v>
      </c>
      <c r="T8427" s="10">
        <v>17.71251198573751</v>
      </c>
      <c r="U8427" s="11">
        <v>0.17006298700594077</v>
      </c>
      <c r="V8427" s="11">
        <v>0.019469481958480476</v>
      </c>
      <c r="W8427" s="11">
        <v>0.1396092850129118</v>
      </c>
      <c r="X8427" s="11">
        <v>0.16452263823558316</v>
      </c>
      <c r="Y8427" s="11">
        <v>0.14560641737155489</v>
      </c>
      <c r="Z8427" s="11">
        <v>0.3607291904155288</v>
      </c>
    </row>
    <row r="8428" ht="22.5" customHeight="1">
      <c r="Q8428" s="9" t="s">
        <v>8466</v>
      </c>
      <c r="R8428" s="10">
        <v>0.5927813193552793</v>
      </c>
      <c r="S8428" s="10">
        <v>0.031209211123764652</v>
      </c>
      <c r="T8428" s="10">
        <v>17.712120859548317</v>
      </c>
      <c r="U8428" s="11">
        <v>0.23072015557954528</v>
      </c>
      <c r="V8428" s="11">
        <v>0.29279975319164336</v>
      </c>
      <c r="W8428" s="11">
        <v>0.02051204072442375</v>
      </c>
      <c r="X8428" s="11">
        <v>0.32861583668172195</v>
      </c>
      <c r="Y8428" s="11">
        <v>0.021169703736476028</v>
      </c>
      <c r="Z8428" s="11">
        <v>0.10618251008618959</v>
      </c>
    </row>
    <row r="8429" ht="22.5" customHeight="1">
      <c r="Q8429" s="9" t="s">
        <v>8467</v>
      </c>
      <c r="R8429" s="10">
        <v>0.5074014420242224</v>
      </c>
      <c r="S8429" s="10">
        <v>0.026389022767790583</v>
      </c>
      <c r="T8429" s="10">
        <v>17.71196478691566</v>
      </c>
      <c r="U8429" s="11">
        <v>0.23082881825568946</v>
      </c>
      <c r="V8429" s="11">
        <v>0.04252318900771733</v>
      </c>
      <c r="W8429" s="11">
        <v>0.22676063595664386</v>
      </c>
      <c r="X8429" s="11">
        <v>0.16047901127173916</v>
      </c>
      <c r="Y8429" s="11">
        <v>0.24044547716439502</v>
      </c>
      <c r="Z8429" s="11">
        <v>0.09896286834381515</v>
      </c>
    </row>
    <row r="8430" ht="22.5" customHeight="1">
      <c r="Q8430" s="9" t="s">
        <v>8468</v>
      </c>
      <c r="R8430" s="10">
        <v>0.5672426138951724</v>
      </c>
      <c r="S8430" s="10">
        <v>0.029769380057435044</v>
      </c>
      <c r="T8430" s="10">
        <v>17.7109033805187</v>
      </c>
      <c r="U8430" s="11">
        <v>0.13008583031505905</v>
      </c>
      <c r="V8430" s="11">
        <v>0.28003447917334445</v>
      </c>
      <c r="W8430" s="11">
        <v>0.036575192828096466</v>
      </c>
      <c r="X8430" s="11">
        <v>0.09810745141910356</v>
      </c>
      <c r="Y8430" s="11">
        <v>0.22349290807218994</v>
      </c>
      <c r="Z8430" s="11">
        <v>0.23170413819220645</v>
      </c>
    </row>
    <row r="8431" ht="22.5" customHeight="1">
      <c r="Q8431" s="9" t="s">
        <v>8469</v>
      </c>
      <c r="R8431" s="10">
        <v>0.3300222034246572</v>
      </c>
      <c r="S8431" s="10">
        <v>0.016375732428652836</v>
      </c>
      <c r="T8431" s="10">
        <v>17.71048743549336</v>
      </c>
      <c r="U8431" s="11">
        <v>0.1712590542013764</v>
      </c>
      <c r="V8431" s="11">
        <v>0.1377389124285298</v>
      </c>
      <c r="W8431" s="11">
        <v>0.001015177086950466</v>
      </c>
      <c r="X8431" s="11">
        <v>0.13014215650308233</v>
      </c>
      <c r="Y8431" s="11">
        <v>0.274149111662498</v>
      </c>
      <c r="Z8431" s="11">
        <v>0.285695588117563</v>
      </c>
    </row>
    <row r="8432" ht="22.5" customHeight="1">
      <c r="Q8432" s="9" t="s">
        <v>8470</v>
      </c>
      <c r="R8432" s="10">
        <v>0.48200430869243216</v>
      </c>
      <c r="S8432" s="10">
        <v>0.024958390833763368</v>
      </c>
      <c r="T8432" s="10">
        <v>17.709647694694116</v>
      </c>
      <c r="U8432" s="11">
        <v>0.12795915117989823</v>
      </c>
      <c r="V8432" s="11">
        <v>0.23289108384734933</v>
      </c>
      <c r="W8432" s="11">
        <v>0.03010401193612205</v>
      </c>
      <c r="X8432" s="11">
        <v>0.06487817327992641</v>
      </c>
      <c r="Y8432" s="11">
        <v>0.19266196434223837</v>
      </c>
      <c r="Z8432" s="11">
        <v>0.35150561541446557</v>
      </c>
    </row>
    <row r="8433" ht="22.5" customHeight="1">
      <c r="Q8433" s="9" t="s">
        <v>8471</v>
      </c>
      <c r="R8433" s="10">
        <v>0.5465787421667486</v>
      </c>
      <c r="S8433" s="10">
        <v>0.028605666620933806</v>
      </c>
      <c r="T8433" s="10">
        <v>17.709034677626814</v>
      </c>
      <c r="U8433" s="11">
        <v>0.25646530901437214</v>
      </c>
      <c r="V8433" s="11">
        <v>0.26893635749675643</v>
      </c>
      <c r="W8433" s="11">
        <v>0.036291374309834104</v>
      </c>
      <c r="X8433" s="11">
        <v>0.0938016861702271</v>
      </c>
      <c r="Y8433" s="11">
        <v>0.0926882526747081</v>
      </c>
      <c r="Z8433" s="11">
        <v>0.25181702033410197</v>
      </c>
    </row>
    <row r="8434" ht="22.5" customHeight="1">
      <c r="Q8434" s="9" t="s">
        <v>8472</v>
      </c>
      <c r="R8434" s="10">
        <v>0.8073038692452654</v>
      </c>
      <c r="S8434" s="10">
        <v>0.04332940298677437</v>
      </c>
      <c r="T8434" s="10">
        <v>17.708618544305192</v>
      </c>
      <c r="U8434" s="11">
        <v>0.18164636114763116</v>
      </c>
      <c r="V8434" s="11">
        <v>0.13094168948436444</v>
      </c>
      <c r="W8434" s="11">
        <v>0.3735888509620105</v>
      </c>
      <c r="X8434" s="11">
        <v>0.02260031675893865</v>
      </c>
      <c r="Y8434" s="11">
        <v>0.27214971947558764</v>
      </c>
      <c r="Z8434" s="11">
        <v>0.019073062171467516</v>
      </c>
    </row>
    <row r="8435" ht="22.5" customHeight="1">
      <c r="Q8435" s="9" t="s">
        <v>8473</v>
      </c>
      <c r="R8435" s="10">
        <v>0.4487517185116541</v>
      </c>
      <c r="S8435" s="10">
        <v>0.023082504373432053</v>
      </c>
      <c r="T8435" s="10">
        <v>17.708291609039055</v>
      </c>
      <c r="U8435" s="11">
        <v>0.10186544951092041</v>
      </c>
      <c r="V8435" s="11">
        <v>0.21404051063444443</v>
      </c>
      <c r="W8435" s="11">
        <v>0.006373897180345272</v>
      </c>
      <c r="X8435" s="11">
        <v>0.26456603243446536</v>
      </c>
      <c r="Y8435" s="11">
        <v>0.10732972077116502</v>
      </c>
      <c r="Z8435" s="11">
        <v>0.3058243894686596</v>
      </c>
    </row>
    <row r="8436" ht="22.5" customHeight="1">
      <c r="Q8436" s="9" t="s">
        <v>8474</v>
      </c>
      <c r="R8436" s="10">
        <v>0.599810175719605</v>
      </c>
      <c r="S8436" s="10">
        <v>0.031615685553311554</v>
      </c>
      <c r="T8436" s="10">
        <v>17.70672265751227</v>
      </c>
      <c r="U8436" s="11">
        <v>0.07409611994196133</v>
      </c>
      <c r="V8436" s="11">
        <v>0.05902547411811093</v>
      </c>
      <c r="W8436" s="11">
        <v>0.27621695304644456</v>
      </c>
      <c r="X8436" s="11">
        <v>0.23429443346708678</v>
      </c>
      <c r="Y8436" s="11">
        <v>0.23940551906289687</v>
      </c>
      <c r="Z8436" s="11">
        <v>0.11696150036349963</v>
      </c>
    </row>
    <row r="8437" ht="22.5" customHeight="1">
      <c r="Q8437" s="9" t="s">
        <v>8475</v>
      </c>
      <c r="R8437" s="10">
        <v>0.48959750635478794</v>
      </c>
      <c r="S8437" s="10">
        <v>0.025394704802820862</v>
      </c>
      <c r="T8437" s="10">
        <v>17.7043800999351</v>
      </c>
      <c r="U8437" s="11">
        <v>0.0998674228421139</v>
      </c>
      <c r="V8437" s="11">
        <v>0.04909196569993212</v>
      </c>
      <c r="W8437" s="11">
        <v>0.21778673504551327</v>
      </c>
      <c r="X8437" s="11">
        <v>0.12502245465011402</v>
      </c>
      <c r="Y8437" s="11">
        <v>0.2517167748878662</v>
      </c>
      <c r="Z8437" s="11">
        <v>0.25651464687446046</v>
      </c>
    </row>
    <row r="8438" ht="22.5" customHeight="1">
      <c r="Q8438" s="9" t="s">
        <v>8476</v>
      </c>
      <c r="R8438" s="10">
        <v>0.44776199923381926</v>
      </c>
      <c r="S8438" s="10">
        <v>0.023032939804933296</v>
      </c>
      <c r="T8438" s="10">
        <v>17.70342833729297</v>
      </c>
      <c r="U8438" s="11">
        <v>0.20542648075948736</v>
      </c>
      <c r="V8438" s="11">
        <v>0.0327451402557822</v>
      </c>
      <c r="W8438" s="11">
        <v>0.1987120590612359</v>
      </c>
      <c r="X8438" s="11">
        <v>0.20153457924430973</v>
      </c>
      <c r="Y8438" s="11">
        <v>0.10775333968511312</v>
      </c>
      <c r="Z8438" s="11">
        <v>0.25382840099407167</v>
      </c>
    </row>
    <row r="8439" ht="22.5" customHeight="1">
      <c r="Q8439" s="9" t="s">
        <v>8477</v>
      </c>
      <c r="R8439" s="10">
        <v>0.6049499685510741</v>
      </c>
      <c r="S8439" s="10">
        <v>0.03191573698145503</v>
      </c>
      <c r="T8439" s="10">
        <v>17.701297917054028</v>
      </c>
      <c r="U8439" s="11">
        <v>0.21213967686679203</v>
      </c>
      <c r="V8439" s="11">
        <v>0.2945095383325552</v>
      </c>
      <c r="W8439" s="11">
        <v>0.03784772440478021</v>
      </c>
      <c r="X8439" s="11">
        <v>0.08352381925016786</v>
      </c>
      <c r="Y8439" s="11">
        <v>0.3435740194008033</v>
      </c>
      <c r="Z8439" s="11">
        <v>0.02840522174490147</v>
      </c>
    </row>
    <row r="8440" ht="22.5" customHeight="1">
      <c r="Q8440" s="9" t="s">
        <v>8478</v>
      </c>
      <c r="R8440" s="10">
        <v>0.677586210535294</v>
      </c>
      <c r="S8440" s="10">
        <v>0.036023087707618764</v>
      </c>
      <c r="T8440" s="10">
        <v>17.69937701371575</v>
      </c>
      <c r="U8440" s="11">
        <v>0.21784409313103711</v>
      </c>
      <c r="V8440" s="11">
        <v>0.06867625053357658</v>
      </c>
      <c r="W8440" s="11">
        <v>0.3180920774244231</v>
      </c>
      <c r="X8440" s="11">
        <v>0.29781374066008703</v>
      </c>
      <c r="Y8440" s="11">
        <v>0.08871141642626662</v>
      </c>
      <c r="Z8440" s="11">
        <v>0.00886242182460944</v>
      </c>
    </row>
    <row r="8441" ht="22.5" customHeight="1">
      <c r="Q8441" s="9" t="s">
        <v>8479</v>
      </c>
      <c r="R8441" s="10">
        <v>0.5224839926747101</v>
      </c>
      <c r="S8441" s="10">
        <v>0.027260088015386187</v>
      </c>
      <c r="T8441" s="10">
        <v>17.699282276799167</v>
      </c>
      <c r="U8441" s="11">
        <v>0.19613184741202305</v>
      </c>
      <c r="V8441" s="11">
        <v>0.051382857462480974</v>
      </c>
      <c r="W8441" s="11">
        <v>0.2329884480246837</v>
      </c>
      <c r="X8441" s="11">
        <v>0.11394986034507908</v>
      </c>
      <c r="Y8441" s="11">
        <v>0.29078229192509586</v>
      </c>
      <c r="Z8441" s="11">
        <v>0.11476469483063738</v>
      </c>
    </row>
    <row r="8442" ht="22.5" customHeight="1">
      <c r="Q8442" s="9" t="s">
        <v>8480</v>
      </c>
      <c r="R8442" s="10">
        <v>0.35142430163748417</v>
      </c>
      <c r="S8442" s="10">
        <v>0.01759842574429042</v>
      </c>
      <c r="T8442" s="10">
        <v>17.696145448607627</v>
      </c>
      <c r="U8442" s="11">
        <v>0.3053988981808302</v>
      </c>
      <c r="V8442" s="11">
        <v>0.00915420966050238</v>
      </c>
      <c r="W8442" s="11">
        <v>0.13629840825258713</v>
      </c>
      <c r="X8442" s="11">
        <v>0.1919698678810013</v>
      </c>
      <c r="Y8442" s="11">
        <v>0.2726934570676091</v>
      </c>
      <c r="Z8442" s="11">
        <v>0.08448515895747001</v>
      </c>
    </row>
    <row r="8443" ht="22.5" customHeight="1">
      <c r="Q8443" s="9" t="s">
        <v>8481</v>
      </c>
      <c r="R8443" s="10">
        <v>0.4662065909221853</v>
      </c>
      <c r="S8443" s="10">
        <v>0.02408697799902211</v>
      </c>
      <c r="T8443" s="10">
        <v>17.69448167966478</v>
      </c>
      <c r="U8443" s="11">
        <v>0.10772673352806354</v>
      </c>
      <c r="V8443" s="11">
        <v>0.22224881638427355</v>
      </c>
      <c r="W8443" s="11">
        <v>0.010529761755007956</v>
      </c>
      <c r="X8443" s="11">
        <v>0.18813730979454066</v>
      </c>
      <c r="Y8443" s="11">
        <v>0.24365022423484273</v>
      </c>
      <c r="Z8443" s="11">
        <v>0.22770715430327151</v>
      </c>
    </row>
    <row r="8444" ht="22.5" customHeight="1">
      <c r="Q8444" s="9" t="s">
        <v>8482</v>
      </c>
      <c r="R8444" s="10">
        <v>0.5667218365908635</v>
      </c>
      <c r="S8444" s="10">
        <v>0.029769273853524347</v>
      </c>
      <c r="T8444" s="10">
        <v>17.693472779434476</v>
      </c>
      <c r="U8444" s="11">
        <v>0.15405259891070028</v>
      </c>
      <c r="V8444" s="11">
        <v>0.2816184674279781</v>
      </c>
      <c r="W8444" s="11">
        <v>0.03943811606710689</v>
      </c>
      <c r="X8444" s="11">
        <v>0.09756369092777456</v>
      </c>
      <c r="Y8444" s="11">
        <v>0.13964664235089874</v>
      </c>
      <c r="Z8444" s="11">
        <v>0.2876804843155413</v>
      </c>
    </row>
    <row r="8445" ht="22.5" customHeight="1">
      <c r="Q8445" s="9" t="s">
        <v>8483</v>
      </c>
      <c r="R8445" s="10">
        <v>0.8204764287839224</v>
      </c>
      <c r="S8445" s="10">
        <v>0.04411664388453285</v>
      </c>
      <c r="T8445" s="10">
        <v>17.69120132589131</v>
      </c>
      <c r="U8445" s="11">
        <v>0.016178636806069627</v>
      </c>
      <c r="V8445" s="11">
        <v>0.13917729688100053</v>
      </c>
      <c r="W8445" s="11">
        <v>0.38208328661179725</v>
      </c>
      <c r="X8445" s="11">
        <v>0.06047541666409565</v>
      </c>
      <c r="Y8445" s="11">
        <v>0.22422625722884232</v>
      </c>
      <c r="Z8445" s="11">
        <v>0.17785910580819475</v>
      </c>
    </row>
    <row r="8446" ht="22.5" customHeight="1">
      <c r="Q8446" s="9" t="s">
        <v>8484</v>
      </c>
      <c r="R8446" s="10">
        <v>0.8352325507114796</v>
      </c>
      <c r="S8446" s="10">
        <v>0.04495596456880065</v>
      </c>
      <c r="T8446" s="10">
        <v>17.689144440321257</v>
      </c>
      <c r="U8446" s="11">
        <v>0.02176419725358753</v>
      </c>
      <c r="V8446" s="11">
        <v>0.422804196956672</v>
      </c>
      <c r="W8446" s="11">
        <v>0.08955067653640482</v>
      </c>
      <c r="X8446" s="11">
        <v>0.04668679983741591</v>
      </c>
      <c r="Y8446" s="11">
        <v>0.32290011362318755</v>
      </c>
      <c r="Z8446" s="11">
        <v>0.09629401579273224</v>
      </c>
    </row>
    <row r="8447" ht="22.5" customHeight="1">
      <c r="Q8447" s="9" t="s">
        <v>8485</v>
      </c>
      <c r="R8447" s="10">
        <v>0.47416738245353585</v>
      </c>
      <c r="S8447" s="10">
        <v>0.024545821503895036</v>
      </c>
      <c r="T8447" s="10">
        <v>17.688036327675583</v>
      </c>
      <c r="U8447" s="11">
        <v>0.21158738073925276</v>
      </c>
      <c r="V8447" s="11">
        <v>0.03862596119669155</v>
      </c>
      <c r="W8447" s="11">
        <v>0.20952834309719395</v>
      </c>
      <c r="X8447" s="11">
        <v>0.14266584127566348</v>
      </c>
      <c r="Y8447" s="11">
        <v>0.24421383016894826</v>
      </c>
      <c r="Z8447" s="11">
        <v>0.15337864352224995</v>
      </c>
    </row>
    <row r="8448" ht="22.5" customHeight="1">
      <c r="Q8448" s="9" t="s">
        <v>8486</v>
      </c>
      <c r="R8448" s="10">
        <v>0.48006145701931874</v>
      </c>
      <c r="S8448" s="10">
        <v>0.024879363995927734</v>
      </c>
      <c r="T8448" s="10">
        <v>17.68780974832589</v>
      </c>
      <c r="U8448" s="11">
        <v>0.2326852507485469</v>
      </c>
      <c r="V8448" s="11">
        <v>0.2273831327335001</v>
      </c>
      <c r="W8448" s="11">
        <v>0.011164570089399762</v>
      </c>
      <c r="X8448" s="11">
        <v>0.1649620792224882</v>
      </c>
      <c r="Y8448" s="11">
        <v>0.25028322828938254</v>
      </c>
      <c r="Z8448" s="11">
        <v>0.11352173891668256</v>
      </c>
    </row>
    <row r="8449" ht="22.5" customHeight="1">
      <c r="Q8449" s="9" t="s">
        <v>8487</v>
      </c>
      <c r="R8449" s="10">
        <v>0.5743520210232738</v>
      </c>
      <c r="S8449" s="10">
        <v>0.03021306840983577</v>
      </c>
      <c r="T8449" s="10">
        <v>17.686122236075736</v>
      </c>
      <c r="U8449" s="11">
        <v>0.2355366166077045</v>
      </c>
      <c r="V8449" s="11">
        <v>0.06586124679842754</v>
      </c>
      <c r="W8449" s="11">
        <v>0.2587655748716981</v>
      </c>
      <c r="X8449" s="11">
        <v>0.07489681121486988</v>
      </c>
      <c r="Y8449" s="11">
        <v>0.29489633072752075</v>
      </c>
      <c r="Z8449" s="11">
        <v>0.07004341977977895</v>
      </c>
    </row>
    <row r="8450" ht="22.5" customHeight="1">
      <c r="Q8450" s="9" t="s">
        <v>8488</v>
      </c>
      <c r="R8450" s="10">
        <v>0.8288735963070918</v>
      </c>
      <c r="S8450" s="10">
        <v>0.044604132070125764</v>
      </c>
      <c r="T8450" s="10">
        <v>17.686110225546813</v>
      </c>
      <c r="U8450" s="11">
        <v>0.030902509138035245</v>
      </c>
      <c r="V8450" s="11">
        <v>0.14550832552340395</v>
      </c>
      <c r="W8450" s="11">
        <v>0.3831217438201197</v>
      </c>
      <c r="X8450" s="11">
        <v>0.007572866412612145</v>
      </c>
      <c r="Y8450" s="11">
        <v>0.2894008045166228</v>
      </c>
      <c r="Z8450" s="11">
        <v>0.143493750589206</v>
      </c>
    </row>
    <row r="8451" ht="22.5" customHeight="1">
      <c r="Q8451" s="9" t="s">
        <v>8489</v>
      </c>
      <c r="R8451" s="10">
        <v>0.5369672563914122</v>
      </c>
      <c r="S8451" s="10">
        <v>0.028106074562133244</v>
      </c>
      <c r="T8451" s="10">
        <v>17.681845086291997</v>
      </c>
      <c r="U8451" s="11">
        <v>0.09497998136208187</v>
      </c>
      <c r="V8451" s="11">
        <v>0.2649238790347275</v>
      </c>
      <c r="W8451" s="11">
        <v>0.018669710315004175</v>
      </c>
      <c r="X8451" s="11">
        <v>0.24386515824953928</v>
      </c>
      <c r="Y8451" s="11">
        <v>0.1400934703854993</v>
      </c>
      <c r="Z8451" s="11">
        <v>0.23746780065314788</v>
      </c>
    </row>
    <row r="8452" ht="22.5" customHeight="1">
      <c r="Q8452" s="9" t="s">
        <v>8490</v>
      </c>
      <c r="R8452" s="10">
        <v>0.570651756008018</v>
      </c>
      <c r="S8452" s="10">
        <v>0.03001280854973183</v>
      </c>
      <c r="T8452" s="10">
        <v>17.680843001704332</v>
      </c>
      <c r="U8452" s="11">
        <v>0.2151195723298257</v>
      </c>
      <c r="V8452" s="11">
        <v>0.0686073628702614</v>
      </c>
      <c r="W8452" s="11">
        <v>0.26307652111681584</v>
      </c>
      <c r="X8452" s="11">
        <v>0.1531411153258173</v>
      </c>
      <c r="Y8452" s="11">
        <v>0.03172334368355633</v>
      </c>
      <c r="Z8452" s="11">
        <v>0.26833208467372344</v>
      </c>
    </row>
    <row r="8453" ht="22.5" customHeight="1">
      <c r="Q8453" s="9" t="s">
        <v>8491</v>
      </c>
      <c r="R8453" s="10">
        <v>0.6958541850853139</v>
      </c>
      <c r="S8453" s="10">
        <v>0.03709484006813884</v>
      </c>
      <c r="T8453" s="10">
        <v>17.680469409777405</v>
      </c>
      <c r="U8453" s="11">
        <v>3.880216770223869E-4</v>
      </c>
      <c r="V8453" s="11">
        <v>0.35187968499207933</v>
      </c>
      <c r="W8453" s="11">
        <v>0.03780772175298754</v>
      </c>
      <c r="X8453" s="11">
        <v>0.3821654694894138</v>
      </c>
      <c r="Y8453" s="11">
        <v>0.047865694284036996</v>
      </c>
      <c r="Z8453" s="11">
        <v>0.17989340780445984</v>
      </c>
    </row>
    <row r="8454" ht="22.5" customHeight="1">
      <c r="Q8454" s="9" t="s">
        <v>8492</v>
      </c>
      <c r="R8454" s="10">
        <v>0.4818841035202957</v>
      </c>
      <c r="S8454" s="10">
        <v>0.024993248098563785</v>
      </c>
      <c r="T8454" s="10">
        <v>17.680139123081332</v>
      </c>
      <c r="U8454" s="11">
        <v>0.27606081872458305</v>
      </c>
      <c r="V8454" s="11">
        <v>0.0506144657320334</v>
      </c>
      <c r="W8454" s="11">
        <v>0.21031990912775383</v>
      </c>
      <c r="X8454" s="11">
        <v>0.04950961594819422</v>
      </c>
      <c r="Y8454" s="11">
        <v>0.2613768312550845</v>
      </c>
      <c r="Z8454" s="11">
        <v>0.152118359212351</v>
      </c>
    </row>
    <row r="8455" ht="22.5" customHeight="1">
      <c r="Q8455" s="9" t="s">
        <v>8493</v>
      </c>
      <c r="R8455" s="10">
        <v>0.39652849662475825</v>
      </c>
      <c r="S8455" s="10">
        <v>0.020166836619369487</v>
      </c>
      <c r="T8455" s="10">
        <v>17.67895001848362</v>
      </c>
      <c r="U8455" s="11">
        <v>0.2661343345543117</v>
      </c>
      <c r="V8455" s="11">
        <v>0.17832495580735888</v>
      </c>
      <c r="W8455" s="11">
        <v>0.005931006406521873</v>
      </c>
      <c r="X8455" s="11">
        <v>0.1211939368714521</v>
      </c>
      <c r="Y8455" s="11">
        <v>0.23998694762921702</v>
      </c>
      <c r="Z8455" s="11">
        <v>0.1884288187311384</v>
      </c>
    </row>
    <row r="8456" ht="22.5" customHeight="1">
      <c r="Q8456" s="9" t="s">
        <v>8494</v>
      </c>
      <c r="R8456" s="10">
        <v>0.7797869999132889</v>
      </c>
      <c r="S8456" s="10">
        <v>0.04185638990967858</v>
      </c>
      <c r="T8456" s="10">
        <v>17.674410084330415</v>
      </c>
      <c r="U8456" s="11">
        <v>0.051291990323434775</v>
      </c>
      <c r="V8456" s="11">
        <v>0.3911458862864356</v>
      </c>
      <c r="W8456" s="11">
        <v>0.08145860579411598</v>
      </c>
      <c r="X8456" s="11">
        <v>0.011378355459697294</v>
      </c>
      <c r="Y8456" s="11">
        <v>0.3721632043205815</v>
      </c>
      <c r="Z8456" s="11">
        <v>0.09256195781573484</v>
      </c>
    </row>
    <row r="8457" ht="22.5" customHeight="1">
      <c r="Q8457" s="9" t="s">
        <v>8495</v>
      </c>
      <c r="R8457" s="10">
        <v>0.45497776360319553</v>
      </c>
      <c r="S8457" s="10">
        <v>0.023479860550974663</v>
      </c>
      <c r="T8457" s="10">
        <v>17.67377462495064</v>
      </c>
      <c r="U8457" s="11">
        <v>0.2734430724576915</v>
      </c>
      <c r="V8457" s="11">
        <v>0.03967014136128245</v>
      </c>
      <c r="W8457" s="11">
        <v>0.1936605132061403</v>
      </c>
      <c r="X8457" s="11">
        <v>0.07816919917086919</v>
      </c>
      <c r="Y8457" s="11">
        <v>0.3248028617149846</v>
      </c>
      <c r="Z8457" s="11">
        <v>0.09025421208903181</v>
      </c>
    </row>
    <row r="8458" ht="22.5" customHeight="1">
      <c r="Q8458" s="9" t="s">
        <v>8496</v>
      </c>
      <c r="R8458" s="10">
        <v>0.602807594563602</v>
      </c>
      <c r="S8458" s="10">
        <v>0.03184499589262164</v>
      </c>
      <c r="T8458" s="10">
        <v>17.673344862763894</v>
      </c>
      <c r="U8458" s="11">
        <v>0.07201134282787669</v>
      </c>
      <c r="V8458" s="11">
        <v>0.05821930862879256</v>
      </c>
      <c r="W8458" s="11">
        <v>0.27513250046938204</v>
      </c>
      <c r="X8458" s="11">
        <v>0.21348592207430095</v>
      </c>
      <c r="Y8458" s="11">
        <v>0.3354635465747462</v>
      </c>
      <c r="Z8458" s="11">
        <v>0.04568737942490144</v>
      </c>
    </row>
    <row r="8459" ht="22.5" customHeight="1">
      <c r="Q8459" s="9" t="s">
        <v>8497</v>
      </c>
      <c r="R8459" s="10">
        <v>0.6426367320616244</v>
      </c>
      <c r="S8459" s="10">
        <v>0.03409889756607974</v>
      </c>
      <c r="T8459" s="10">
        <v>17.673202803515384</v>
      </c>
      <c r="U8459" s="11">
        <v>0.09119029508357321</v>
      </c>
      <c r="V8459" s="11">
        <v>0.06119121376731078</v>
      </c>
      <c r="W8459" s="11">
        <v>0.29863309613184524</v>
      </c>
      <c r="X8459" s="11">
        <v>0.2767404608796167</v>
      </c>
      <c r="Y8459" s="11">
        <v>0.24275912703448002</v>
      </c>
      <c r="Z8459" s="11">
        <v>0.02948580710317408</v>
      </c>
    </row>
    <row r="8460" ht="22.5" customHeight="1">
      <c r="Q8460" s="9" t="s">
        <v>8498</v>
      </c>
      <c r="R8460" s="10">
        <v>0.5333121395733071</v>
      </c>
      <c r="S8460" s="10">
        <v>0.027915720018203593</v>
      </c>
      <c r="T8460" s="10">
        <v>17.671481847920194</v>
      </c>
      <c r="U8460" s="11">
        <v>0.04430559998671891</v>
      </c>
      <c r="V8460" s="11">
        <v>0.0671225224135593</v>
      </c>
      <c r="W8460" s="11">
        <v>0.24023419835270127</v>
      </c>
      <c r="X8460" s="11">
        <v>0.08349363627304723</v>
      </c>
      <c r="Y8460" s="11">
        <v>0.24338894612718504</v>
      </c>
      <c r="Z8460" s="11">
        <v>0.32145509684678814</v>
      </c>
    </row>
    <row r="8461" ht="22.5" customHeight="1">
      <c r="Q8461" s="9" t="s">
        <v>8499</v>
      </c>
      <c r="R8461" s="10">
        <v>0.6472717052259332</v>
      </c>
      <c r="S8461" s="10">
        <v>0.03436618813469341</v>
      </c>
      <c r="T8461" s="10">
        <v>17.670615747251855</v>
      </c>
      <c r="U8461" s="11">
        <v>0.15630346748091112</v>
      </c>
      <c r="V8461" s="11">
        <v>0.09551584749508335</v>
      </c>
      <c r="W8461" s="11">
        <v>0.29668015828797595</v>
      </c>
      <c r="X8461" s="11">
        <v>0.02563558242908219</v>
      </c>
      <c r="Y8461" s="11">
        <v>0.23410684278143645</v>
      </c>
      <c r="Z8461" s="11">
        <v>0.19175810152551107</v>
      </c>
    </row>
    <row r="8462" ht="22.5" customHeight="1">
      <c r="Q8462" s="9" t="s">
        <v>8500</v>
      </c>
      <c r="R8462" s="10">
        <v>0.6067086108021953</v>
      </c>
      <c r="S8462" s="10">
        <v>0.0320770181395105</v>
      </c>
      <c r="T8462" s="10">
        <v>17.667122559130846</v>
      </c>
      <c r="U8462" s="11">
        <v>0.25734126677484653</v>
      </c>
      <c r="V8462" s="11">
        <v>0.30194236937962954</v>
      </c>
      <c r="W8462" s="11">
        <v>0.026274303679756417</v>
      </c>
      <c r="X8462" s="11">
        <v>0.23604795995761332</v>
      </c>
      <c r="Y8462" s="11">
        <v>0.10073245479988992</v>
      </c>
      <c r="Z8462" s="11">
        <v>0.07766164540826434</v>
      </c>
    </row>
    <row r="8463" ht="22.5" customHeight="1">
      <c r="Q8463" s="9" t="s">
        <v>8501</v>
      </c>
      <c r="R8463" s="10">
        <v>0.5469061392209221</v>
      </c>
      <c r="S8463" s="10">
        <v>0.028692606937265608</v>
      </c>
      <c r="T8463" s="10">
        <v>17.666785744817023</v>
      </c>
      <c r="U8463" s="11">
        <v>0.09800374475632473</v>
      </c>
      <c r="V8463" s="11">
        <v>0.03715726833629555</v>
      </c>
      <c r="W8463" s="11">
        <v>0.24703797239773234</v>
      </c>
      <c r="X8463" s="11">
        <v>0.29297297305019626</v>
      </c>
      <c r="Y8463" s="11">
        <v>0.2944471118436766</v>
      </c>
      <c r="Z8463" s="11">
        <v>0.030380929615774536</v>
      </c>
    </row>
    <row r="8464" ht="22.5" customHeight="1">
      <c r="Q8464" s="9" t="s">
        <v>8502</v>
      </c>
      <c r="R8464" s="10">
        <v>0.522331348251574</v>
      </c>
      <c r="S8464" s="10">
        <v>0.019439682373534533</v>
      </c>
      <c r="T8464" s="10">
        <v>17.666198739836698</v>
      </c>
      <c r="U8464" s="11">
        <v>0.47780526311024707</v>
      </c>
      <c r="V8464" s="11">
        <v>0.16697778400581276</v>
      </c>
      <c r="W8464" s="11">
        <v>0.012620230720093684</v>
      </c>
      <c r="X8464" s="11">
        <v>0.10047998913866907</v>
      </c>
      <c r="Y8464" s="11">
        <v>0.060207524080517015</v>
      </c>
      <c r="Z8464" s="11">
        <v>0.18190920894466026</v>
      </c>
    </row>
    <row r="8465" ht="22.5" customHeight="1">
      <c r="Q8465" s="9" t="s">
        <v>8503</v>
      </c>
      <c r="R8465" s="10">
        <v>0.6486301741527944</v>
      </c>
      <c r="S8465" s="10">
        <v>0.03445168103143476</v>
      </c>
      <c r="T8465" s="10">
        <v>17.666196711779076</v>
      </c>
      <c r="U8465" s="11">
        <v>0.15981109221270304</v>
      </c>
      <c r="V8465" s="11">
        <v>0.07645012642407847</v>
      </c>
      <c r="W8465" s="11">
        <v>0.29723817519249657</v>
      </c>
      <c r="X8465" s="11">
        <v>0.12010438934339583</v>
      </c>
      <c r="Y8465" s="11">
        <v>0.3383928467274504</v>
      </c>
      <c r="Z8465" s="11">
        <v>0.008003370099875735</v>
      </c>
    </row>
    <row r="8466" ht="22.5" customHeight="1">
      <c r="Q8466" s="9" t="s">
        <v>8504</v>
      </c>
      <c r="R8466" s="10">
        <v>0.6259625757111976</v>
      </c>
      <c r="S8466" s="10">
        <v>0.033175750981104105</v>
      </c>
      <c r="T8466" s="10">
        <v>17.662375632278646</v>
      </c>
      <c r="U8466" s="11">
        <v>0.11863922137708924</v>
      </c>
      <c r="V8466" s="11">
        <v>0.3141443439087977</v>
      </c>
      <c r="W8466" s="11">
        <v>0.03278561234606523</v>
      </c>
      <c r="X8466" s="11">
        <v>0.2115769726234205</v>
      </c>
      <c r="Y8466" s="11">
        <v>0.1781649478959183</v>
      </c>
      <c r="Z8466" s="11">
        <v>0.1446889018487091</v>
      </c>
    </row>
    <row r="8467" ht="22.5" customHeight="1">
      <c r="Q8467" s="9" t="s">
        <v>8505</v>
      </c>
      <c r="R8467" s="10">
        <v>0.44508629136440914</v>
      </c>
      <c r="S8467" s="10">
        <v>0.022935130093122324</v>
      </c>
      <c r="T8467" s="10">
        <v>17.662262639002186</v>
      </c>
      <c r="U8467" s="11">
        <v>0.05953182993598873</v>
      </c>
      <c r="V8467" s="11">
        <v>0.019836746537198944</v>
      </c>
      <c r="W8467" s="11">
        <v>0.1958618382151367</v>
      </c>
      <c r="X8467" s="11">
        <v>0.34356581242925677</v>
      </c>
      <c r="Y8467" s="11">
        <v>0.15379852084192686</v>
      </c>
      <c r="Z8467" s="11">
        <v>0.2274052520404921</v>
      </c>
    </row>
    <row r="8468" ht="22.5" customHeight="1">
      <c r="Q8468" s="9" t="s">
        <v>8506</v>
      </c>
      <c r="R8468" s="10">
        <v>0.6514948298621366</v>
      </c>
      <c r="S8468" s="10">
        <v>0.034622131623739595</v>
      </c>
      <c r="T8468" s="10">
        <v>17.661963639548084</v>
      </c>
      <c r="U8468" s="11">
        <v>0.12787550397179878</v>
      </c>
      <c r="V8468" s="11">
        <v>0.10000214255773043</v>
      </c>
      <c r="W8468" s="11">
        <v>0.2970921471265029</v>
      </c>
      <c r="X8468" s="11">
        <v>0.0011333966274394123</v>
      </c>
      <c r="Y8468" s="11">
        <v>0.2724784902191867</v>
      </c>
      <c r="Z8468" s="11">
        <v>0.20141831949734165</v>
      </c>
    </row>
    <row r="8469" ht="22.5" customHeight="1">
      <c r="Q8469" s="9" t="s">
        <v>8507</v>
      </c>
      <c r="R8469" s="10">
        <v>0.5269967226853268</v>
      </c>
      <c r="S8469" s="10">
        <v>0.027575798476367566</v>
      </c>
      <c r="T8469" s="10">
        <v>17.660294518858</v>
      </c>
      <c r="U8469" s="11">
        <v>0.11593723698684073</v>
      </c>
      <c r="V8469" s="11">
        <v>0.2571107052535553</v>
      </c>
      <c r="W8469" s="11">
        <v>0.021263861683516183</v>
      </c>
      <c r="X8469" s="11">
        <v>0.15453128585763468</v>
      </c>
      <c r="Y8469" s="11">
        <v>0.2639451849194515</v>
      </c>
      <c r="Z8469" s="11">
        <v>0.18721172529900165</v>
      </c>
    </row>
    <row r="8470" ht="22.5" customHeight="1">
      <c r="Q8470" s="9" t="s">
        <v>8508</v>
      </c>
      <c r="R8470" s="10">
        <v>0.590652670770911</v>
      </c>
      <c r="S8470" s="10">
        <v>0.031182232612324577</v>
      </c>
      <c r="T8470" s="10">
        <v>17.659180393429207</v>
      </c>
      <c r="U8470" s="11">
        <v>0.21916215048296492</v>
      </c>
      <c r="V8470" s="11">
        <v>0.05207751383379625</v>
      </c>
      <c r="W8470" s="11">
        <v>0.274471562042618</v>
      </c>
      <c r="X8470" s="11">
        <v>0.2631793540245863</v>
      </c>
      <c r="Y8470" s="11">
        <v>0.11032394409039849</v>
      </c>
      <c r="Z8470" s="11">
        <v>0.080785475525636</v>
      </c>
    </row>
    <row r="8471" ht="22.5" customHeight="1">
      <c r="Q8471" s="9" t="s">
        <v>8509</v>
      </c>
      <c r="R8471" s="10">
        <v>0.7322714725569155</v>
      </c>
      <c r="S8471" s="10">
        <v>0.03920192873318519</v>
      </c>
      <c r="T8471" s="10">
        <v>17.65911767425092</v>
      </c>
      <c r="U8471" s="11">
        <v>0.12227712757137281</v>
      </c>
      <c r="V8471" s="11">
        <v>0.12979397759195366</v>
      </c>
      <c r="W8471" s="11">
        <v>0.33918855903228096</v>
      </c>
      <c r="X8471" s="11">
        <v>0.02828982701038652</v>
      </c>
      <c r="Y8471" s="11">
        <v>0.03744516615164809</v>
      </c>
      <c r="Z8471" s="11">
        <v>0.34300534264235794</v>
      </c>
    </row>
    <row r="8472" ht="22.5" customHeight="1">
      <c r="Q8472" s="9" t="s">
        <v>8510</v>
      </c>
      <c r="R8472" s="10">
        <v>0.7169163463067886</v>
      </c>
      <c r="S8472" s="10">
        <v>0.038333000262284145</v>
      </c>
      <c r="T8472" s="10">
        <v>17.658840729271244</v>
      </c>
      <c r="U8472" s="11">
        <v>0.01559027313389688</v>
      </c>
      <c r="V8472" s="11">
        <v>0.36639639725113016</v>
      </c>
      <c r="W8472" s="11">
        <v>0.06476084189028929</v>
      </c>
      <c r="X8472" s="11">
        <v>0.18143845120667487</v>
      </c>
      <c r="Y8472" s="11">
        <v>0.038680124132123815</v>
      </c>
      <c r="Z8472" s="11">
        <v>0.3331339123858851</v>
      </c>
    </row>
    <row r="8473" ht="22.5" customHeight="1">
      <c r="Q8473" s="9" t="s">
        <v>8511</v>
      </c>
      <c r="R8473" s="10">
        <v>0.6508965331916858</v>
      </c>
      <c r="S8473" s="10">
        <v>0.03459922063362472</v>
      </c>
      <c r="T8473" s="10">
        <v>17.656366877755488</v>
      </c>
      <c r="U8473" s="11">
        <v>0.22655002147555603</v>
      </c>
      <c r="V8473" s="11">
        <v>0.09192007310618043</v>
      </c>
      <c r="W8473" s="11">
        <v>0.29810006589060456</v>
      </c>
      <c r="X8473" s="11">
        <v>0.02319293300702323</v>
      </c>
      <c r="Y8473" s="11">
        <v>0.2550387877522946</v>
      </c>
      <c r="Z8473" s="11">
        <v>0.10519811876834134</v>
      </c>
    </row>
    <row r="8474" ht="22.5" customHeight="1">
      <c r="Q8474" s="9" t="s">
        <v>8512</v>
      </c>
      <c r="R8474" s="10">
        <v>0.4979820870238015</v>
      </c>
      <c r="S8474" s="10">
        <v>0.025939567626667593</v>
      </c>
      <c r="T8474" s="10">
        <v>17.655733264920176</v>
      </c>
      <c r="U8474" s="11">
        <v>0.19678746288037002</v>
      </c>
      <c r="V8474" s="11">
        <v>0.23553831585155796</v>
      </c>
      <c r="W8474" s="11">
        <v>0.03189324242042409</v>
      </c>
      <c r="X8474" s="11">
        <v>0.013429635724746527</v>
      </c>
      <c r="Y8474" s="11">
        <v>0.3338244678242235</v>
      </c>
      <c r="Z8474" s="11">
        <v>0.18852687529867782</v>
      </c>
    </row>
    <row r="8475" ht="22.5" customHeight="1">
      <c r="Q8475" s="9" t="s">
        <v>8513</v>
      </c>
      <c r="R8475" s="10">
        <v>0.5890814687800288</v>
      </c>
      <c r="S8475" s="10">
        <v>0.031102641896085484</v>
      </c>
      <c r="T8475" s="10">
        <v>17.653853026843198</v>
      </c>
      <c r="U8475" s="11">
        <v>0.2085841616804354</v>
      </c>
      <c r="V8475" s="11">
        <v>0.07553813986461039</v>
      </c>
      <c r="W8475" s="11">
        <v>0.27229843720362995</v>
      </c>
      <c r="X8475" s="11">
        <v>0.11653180485085604</v>
      </c>
      <c r="Y8475" s="11">
        <v>0.0634694201571377</v>
      </c>
      <c r="Z8475" s="11">
        <v>0.26357803624333054</v>
      </c>
    </row>
    <row r="8476" ht="22.5" customHeight="1">
      <c r="Q8476" s="9" t="s">
        <v>8514</v>
      </c>
      <c r="R8476" s="10">
        <v>0.5947511429253359</v>
      </c>
      <c r="S8476" s="10">
        <v>0.03142488198287205</v>
      </c>
      <c r="T8476" s="10">
        <v>17.653245069550294</v>
      </c>
      <c r="U8476" s="11">
        <v>0.2180775010456403</v>
      </c>
      <c r="V8476" s="11">
        <v>0.059273982977709</v>
      </c>
      <c r="W8476" s="11">
        <v>0.2761286707028644</v>
      </c>
      <c r="X8476" s="11">
        <v>0.20010339892798726</v>
      </c>
      <c r="Y8476" s="11">
        <v>0.14171494804219284</v>
      </c>
      <c r="Z8476" s="11">
        <v>0.10470149830360617</v>
      </c>
    </row>
    <row r="8477" ht="22.5" customHeight="1">
      <c r="Q8477" s="9" t="s">
        <v>8515</v>
      </c>
      <c r="R8477" s="10">
        <v>0.522331348251574</v>
      </c>
      <c r="S8477" s="10">
        <v>0.01920168285099914</v>
      </c>
      <c r="T8477" s="10">
        <v>17.65320741525425</v>
      </c>
      <c r="U8477" s="11">
        <v>0.23108938491168332</v>
      </c>
      <c r="V8477" s="11">
        <v>0.17268652158585818</v>
      </c>
      <c r="W8477" s="11">
        <v>0.002227797320828151</v>
      </c>
      <c r="X8477" s="11">
        <v>0.22540672254910535</v>
      </c>
      <c r="Y8477" s="11">
        <v>0.030545469189881713</v>
      </c>
      <c r="Z8477" s="11">
        <v>0.33804410444264327</v>
      </c>
    </row>
    <row r="8478" ht="22.5" customHeight="1">
      <c r="Q8478" s="9" t="s">
        <v>8516</v>
      </c>
      <c r="R8478" s="10">
        <v>0.403255454575074</v>
      </c>
      <c r="S8478" s="10">
        <v>0.020579583690163657</v>
      </c>
      <c r="T8478" s="10">
        <v>17.651253788418362</v>
      </c>
      <c r="U8478" s="11">
        <v>0.2830912991110052</v>
      </c>
      <c r="V8478" s="11">
        <v>0.027307753515174883</v>
      </c>
      <c r="W8478" s="11">
        <v>0.16744173896421133</v>
      </c>
      <c r="X8478" s="11">
        <v>0.10443636719525087</v>
      </c>
      <c r="Y8478" s="11">
        <v>0.2847837564336582</v>
      </c>
      <c r="Z8478" s="11">
        <v>0.13293908478069957</v>
      </c>
    </row>
    <row r="8479" ht="22.5" customHeight="1">
      <c r="Q8479" s="9" t="s">
        <v>8517</v>
      </c>
      <c r="R8479" s="10">
        <v>0.5598342640496415</v>
      </c>
      <c r="S8479" s="10">
        <v>0.029452180055973446</v>
      </c>
      <c r="T8479" s="10">
        <v>17.65011157278354</v>
      </c>
      <c r="U8479" s="11">
        <v>0.13173323038944226</v>
      </c>
      <c r="V8479" s="11">
        <v>0.2710107987462417</v>
      </c>
      <c r="W8479" s="11">
        <v>0.0073845495625661055</v>
      </c>
      <c r="X8479" s="11">
        <v>0.32748660556514525</v>
      </c>
      <c r="Y8479" s="11">
        <v>0.2569969536108209</v>
      </c>
      <c r="Z8479" s="11">
        <v>0.005387862125783653</v>
      </c>
    </row>
    <row r="8480" ht="22.5" customHeight="1">
      <c r="Q8480" s="9" t="s">
        <v>8518</v>
      </c>
      <c r="R8480" s="10">
        <v>0.7320989262327103</v>
      </c>
      <c r="S8480" s="10">
        <v>0.03921485510835014</v>
      </c>
      <c r="T8480" s="10">
        <v>17.6488966826589</v>
      </c>
      <c r="U8480" s="11">
        <v>0.17979559365546785</v>
      </c>
      <c r="V8480" s="11">
        <v>0.3692570854731953</v>
      </c>
      <c r="W8480" s="11">
        <v>0.0675329811470143</v>
      </c>
      <c r="X8480" s="11">
        <v>0.039838828298864606</v>
      </c>
      <c r="Y8480" s="11">
        <v>0.249164058619315</v>
      </c>
      <c r="Z8480" s="11">
        <v>0.09441145280614274</v>
      </c>
    </row>
    <row r="8481" ht="22.5" customHeight="1">
      <c r="Q8481" s="9" t="s">
        <v>8519</v>
      </c>
      <c r="R8481" s="10">
        <v>0.3296838195237091</v>
      </c>
      <c r="S8481" s="10">
        <v>0.016415007988888168</v>
      </c>
      <c r="T8481" s="10">
        <v>17.647497931149662</v>
      </c>
      <c r="U8481" s="11">
        <v>0.22001948056006385</v>
      </c>
      <c r="V8481" s="11">
        <v>0.12615445607528786</v>
      </c>
      <c r="W8481" s="11">
        <v>0.012764417507118849</v>
      </c>
      <c r="X8481" s="11">
        <v>0.04372510001917634</v>
      </c>
      <c r="Y8481" s="11">
        <v>0.397943795517458</v>
      </c>
      <c r="Z8481" s="11">
        <v>0.19939275032089515</v>
      </c>
    </row>
    <row r="8482" ht="22.5" customHeight="1">
      <c r="Q8482" s="9" t="s">
        <v>8520</v>
      </c>
      <c r="R8482" s="10">
        <v>0.44429242072226566</v>
      </c>
      <c r="S8482" s="10">
        <v>0.02290957843068486</v>
      </c>
      <c r="T8482" s="10">
        <v>17.64730948434915</v>
      </c>
      <c r="U8482" s="11">
        <v>0.21076232064437053</v>
      </c>
      <c r="V8482" s="11">
        <v>0.20893861856667248</v>
      </c>
      <c r="W8482" s="11">
        <v>0.008226350723622652</v>
      </c>
      <c r="X8482" s="11">
        <v>0.15468167622932552</v>
      </c>
      <c r="Y8482" s="11">
        <v>0.2301184292365048</v>
      </c>
      <c r="Z8482" s="11">
        <v>0.18727260459950393</v>
      </c>
    </row>
    <row r="8483" ht="22.5" customHeight="1">
      <c r="Q8483" s="9" t="s">
        <v>8521</v>
      </c>
      <c r="R8483" s="10">
        <v>0.5084507713388061</v>
      </c>
      <c r="S8483" s="10">
        <v>0.026546537722602948</v>
      </c>
      <c r="T8483" s="10">
        <v>17.646398043837767</v>
      </c>
      <c r="U8483" s="11">
        <v>0.2543921020329354</v>
      </c>
      <c r="V8483" s="11">
        <v>0.053144373851153844</v>
      </c>
      <c r="W8483" s="11">
        <v>0.23130564850431137</v>
      </c>
      <c r="X8483" s="11">
        <v>0.15316584957671675</v>
      </c>
      <c r="Y8483" s="11">
        <v>0.032515991019969034</v>
      </c>
      <c r="Z8483" s="11">
        <v>0.27547603501491363</v>
      </c>
    </row>
    <row r="8484" ht="22.5" customHeight="1">
      <c r="Q8484" s="9" t="s">
        <v>8522</v>
      </c>
      <c r="R8484" s="10">
        <v>0.6554891186051138</v>
      </c>
      <c r="S8484" s="10">
        <v>0.03488322521401994</v>
      </c>
      <c r="T8484" s="10">
        <v>17.644272134496962</v>
      </c>
      <c r="U8484" s="11">
        <v>0.19204742301202313</v>
      </c>
      <c r="V8484" s="11">
        <v>0.32939099483709633</v>
      </c>
      <c r="W8484" s="11">
        <v>0.039595321728879966</v>
      </c>
      <c r="X8484" s="11">
        <v>0.1618055302082435</v>
      </c>
      <c r="Y8484" s="11">
        <v>0.19993976595259075</v>
      </c>
      <c r="Z8484" s="11">
        <v>0.07722096426116629</v>
      </c>
    </row>
    <row r="8485" ht="22.5" customHeight="1">
      <c r="Q8485" s="9" t="s">
        <v>8523</v>
      </c>
      <c r="R8485" s="10">
        <v>0.4501909402022284</v>
      </c>
      <c r="S8485" s="10">
        <v>0.02324835641529338</v>
      </c>
      <c r="T8485" s="10">
        <v>17.64386836105085</v>
      </c>
      <c r="U8485" s="11">
        <v>0.15651682921491986</v>
      </c>
      <c r="V8485" s="11">
        <v>0.21497730422917422</v>
      </c>
      <c r="W8485" s="11">
        <v>0.0062041816620071475</v>
      </c>
      <c r="X8485" s="11">
        <v>0.29491084358603925</v>
      </c>
      <c r="Y8485" s="11">
        <v>0.014720279474395965</v>
      </c>
      <c r="Z8485" s="11">
        <v>0.3126705618334636</v>
      </c>
    </row>
    <row r="8486" ht="22.5" customHeight="1">
      <c r="Q8486" s="9" t="s">
        <v>8524</v>
      </c>
      <c r="R8486" s="10">
        <v>0.4732437596484458</v>
      </c>
      <c r="S8486" s="10">
        <v>0.024559246658393315</v>
      </c>
      <c r="T8486" s="10">
        <v>17.640759330880424</v>
      </c>
      <c r="U8486" s="11">
        <v>0.12187425067855787</v>
      </c>
      <c r="V8486" s="11">
        <v>0.027627134242321758</v>
      </c>
      <c r="W8486" s="11">
        <v>0.21178502633417173</v>
      </c>
      <c r="X8486" s="11">
        <v>0.26866963011130335</v>
      </c>
      <c r="Y8486" s="11">
        <v>0.19831529657341604</v>
      </c>
      <c r="Z8486" s="11">
        <v>0.1717286620602293</v>
      </c>
    </row>
    <row r="8487" ht="22.5" customHeight="1">
      <c r="Q8487" s="9" t="s">
        <v>8525</v>
      </c>
      <c r="R8487" s="10">
        <v>0.5082233559620947</v>
      </c>
      <c r="S8487" s="10">
        <v>0.02654282836916349</v>
      </c>
      <c r="T8487" s="10">
        <v>17.64029625818098</v>
      </c>
      <c r="U8487" s="11">
        <v>0.2077990358140886</v>
      </c>
      <c r="V8487" s="11">
        <v>0.24797017629388302</v>
      </c>
      <c r="W8487" s="11">
        <v>0.017708818684859566</v>
      </c>
      <c r="X8487" s="11">
        <v>0.1636005620957351</v>
      </c>
      <c r="Y8487" s="11">
        <v>0.16997054474063636</v>
      </c>
      <c r="Z8487" s="11">
        <v>0.19295086237079737</v>
      </c>
    </row>
    <row r="8488" ht="22.5" customHeight="1">
      <c r="Q8488" s="9" t="s">
        <v>8526</v>
      </c>
      <c r="R8488" s="10">
        <v>0.39547984042496465</v>
      </c>
      <c r="S8488" s="10">
        <v>0.020151739373352635</v>
      </c>
      <c r="T8488" s="10">
        <v>17.640156705035018</v>
      </c>
      <c r="U8488" s="11">
        <v>0.18870586960165472</v>
      </c>
      <c r="V8488" s="11">
        <v>0.013755091812956003</v>
      </c>
      <c r="W8488" s="11">
        <v>0.16857275318003612</v>
      </c>
      <c r="X8488" s="11">
        <v>0.24798425821698022</v>
      </c>
      <c r="Y8488" s="11">
        <v>0.1933900008285814</v>
      </c>
      <c r="Z8488" s="11">
        <v>0.18759202635979155</v>
      </c>
    </row>
    <row r="8489" ht="22.5" customHeight="1">
      <c r="Q8489" s="9" t="s">
        <v>8527</v>
      </c>
      <c r="R8489" s="10">
        <v>0.5223775372987802</v>
      </c>
      <c r="S8489" s="10">
        <v>0.02734644237588052</v>
      </c>
      <c r="T8489" s="10">
        <v>17.639498793606723</v>
      </c>
      <c r="U8489" s="11">
        <v>0.172648074744008</v>
      </c>
      <c r="V8489" s="11">
        <v>0.04515596144782221</v>
      </c>
      <c r="W8489" s="11">
        <v>0.2400474212919004</v>
      </c>
      <c r="X8489" s="11">
        <v>0.24569954469188368</v>
      </c>
      <c r="Y8489" s="11">
        <v>0.059447553554287505</v>
      </c>
      <c r="Z8489" s="11">
        <v>0.23700144427009814</v>
      </c>
    </row>
    <row r="8490" ht="22.5" customHeight="1">
      <c r="Q8490" s="9" t="s">
        <v>8528</v>
      </c>
      <c r="R8490" s="10">
        <v>0.7147414649944708</v>
      </c>
      <c r="S8490" s="10">
        <v>0.038252271930795875</v>
      </c>
      <c r="T8490" s="10">
        <v>17.639252021819246</v>
      </c>
      <c r="U8490" s="11">
        <v>0.17313336218254646</v>
      </c>
      <c r="V8490" s="11">
        <v>0.10529810590646384</v>
      </c>
      <c r="W8490" s="11">
        <v>0.332093402991251</v>
      </c>
      <c r="X8490" s="11">
        <v>0.04797198080008003</v>
      </c>
      <c r="Y8490" s="11">
        <v>0.23552846425016388</v>
      </c>
      <c r="Z8490" s="11">
        <v>0.10597468386949488</v>
      </c>
    </row>
    <row r="8491" ht="22.5" customHeight="1">
      <c r="Q8491" s="9" t="s">
        <v>8529</v>
      </c>
      <c r="R8491" s="10">
        <v>0.681209362296017</v>
      </c>
      <c r="S8491" s="10">
        <v>0.036356918213360824</v>
      </c>
      <c r="T8491" s="10">
        <v>17.63651579413512</v>
      </c>
      <c r="U8491" s="11">
        <v>0.05650570399039823</v>
      </c>
      <c r="V8491" s="11">
        <v>0.3407439457008995</v>
      </c>
      <c r="W8491" s="11">
        <v>0.04206031696484578</v>
      </c>
      <c r="X8491" s="11">
        <v>0.1721964192848316</v>
      </c>
      <c r="Y8491" s="11">
        <v>0.34384839077733537</v>
      </c>
      <c r="Z8491" s="11">
        <v>0.044645223281689475</v>
      </c>
    </row>
    <row r="8492" ht="22.5" customHeight="1">
      <c r="Q8492" s="9" t="s">
        <v>8530</v>
      </c>
      <c r="R8492" s="10">
        <v>0.38598493353784924</v>
      </c>
      <c r="S8492" s="10">
        <v>0.01962175254686351</v>
      </c>
      <c r="T8492" s="10">
        <v>17.632723311106794</v>
      </c>
      <c r="U8492" s="11">
        <v>0.19755460810429018</v>
      </c>
      <c r="V8492" s="11">
        <v>0.025978570365537454</v>
      </c>
      <c r="W8492" s="11">
        <v>0.1580063182841291</v>
      </c>
      <c r="X8492" s="11">
        <v>0.10734070403159689</v>
      </c>
      <c r="Y8492" s="11">
        <v>0.31719176451653747</v>
      </c>
      <c r="Z8492" s="11">
        <v>0.19392803469790884</v>
      </c>
    </row>
    <row r="8493" ht="22.5" customHeight="1">
      <c r="Q8493" s="9" t="s">
        <v>8531</v>
      </c>
      <c r="R8493" s="10">
        <v>0.7473234267311947</v>
      </c>
      <c r="S8493" s="10">
        <v>0.0401145105952597</v>
      </c>
      <c r="T8493" s="10">
        <v>17.63260765830653</v>
      </c>
      <c r="U8493" s="11">
        <v>0.10260930035970181</v>
      </c>
      <c r="V8493" s="11">
        <v>0.38308308717885253</v>
      </c>
      <c r="W8493" s="11">
        <v>0.06733162759027356</v>
      </c>
      <c r="X8493" s="11">
        <v>0.15922699499773157</v>
      </c>
      <c r="Y8493" s="11">
        <v>0.046137911923073836</v>
      </c>
      <c r="Z8493" s="11">
        <v>0.24161107795036665</v>
      </c>
    </row>
    <row r="8494" ht="22.5" customHeight="1">
      <c r="Q8494" s="9" t="s">
        <v>8532</v>
      </c>
      <c r="R8494" s="10">
        <v>0.6810709206192053</v>
      </c>
      <c r="S8494" s="10">
        <v>0.03635874385089615</v>
      </c>
      <c r="T8494" s="10">
        <v>17.631822574734095</v>
      </c>
      <c r="U8494" s="11">
        <v>0.31314005245458165</v>
      </c>
      <c r="V8494" s="11">
        <v>0.3425465888611393</v>
      </c>
      <c r="W8494" s="11">
        <v>0.04897776432492848</v>
      </c>
      <c r="X8494" s="11">
        <v>0.11243092192117475</v>
      </c>
      <c r="Y8494" s="11">
        <v>0.14075723410587843</v>
      </c>
      <c r="Z8494" s="11">
        <v>0.0421474383322973</v>
      </c>
    </row>
    <row r="8495" ht="22.5" customHeight="1">
      <c r="Q8495" s="9" t="s">
        <v>8533</v>
      </c>
      <c r="R8495" s="10">
        <v>0.585057625244685</v>
      </c>
      <c r="S8495" s="10">
        <v>0.03091466410241935</v>
      </c>
      <c r="T8495" s="10">
        <v>17.631038248998127</v>
      </c>
      <c r="U8495" s="11">
        <v>0.1777756267989657</v>
      </c>
      <c r="V8495" s="11">
        <v>0.05305792021747032</v>
      </c>
      <c r="W8495" s="11">
        <v>0.27272943534752986</v>
      </c>
      <c r="X8495" s="11">
        <v>0.2698093859022637</v>
      </c>
      <c r="Y8495" s="11">
        <v>0.08240292305346847</v>
      </c>
      <c r="Z8495" s="11">
        <v>0.1442247086803019</v>
      </c>
    </row>
    <row r="8496" ht="22.5" customHeight="1">
      <c r="Q8496" s="9" t="s">
        <v>8534</v>
      </c>
      <c r="R8496" s="10">
        <v>0.8122485177927254</v>
      </c>
      <c r="S8496" s="10">
        <v>0.0438008613574554</v>
      </c>
      <c r="T8496" s="10">
        <v>17.63089797459611</v>
      </c>
      <c r="U8496" s="11">
        <v>0.19131117646834322</v>
      </c>
      <c r="V8496" s="11">
        <v>0.11668121414933286</v>
      </c>
      <c r="W8496" s="11">
        <v>0.3843461663977625</v>
      </c>
      <c r="X8496" s="11">
        <v>0.13716014675270521</v>
      </c>
      <c r="Y8496" s="11">
        <v>0.16305982433505192</v>
      </c>
      <c r="Z8496" s="11">
        <v>0.007441471896804313</v>
      </c>
    </row>
    <row r="8497" ht="22.5" customHeight="1">
      <c r="Q8497" s="9" t="s">
        <v>8535</v>
      </c>
      <c r="R8497" s="10">
        <v>0.6072366390321098</v>
      </c>
      <c r="S8497" s="10">
        <v>0.032177810792364814</v>
      </c>
      <c r="T8497" s="10">
        <v>17.62819238053026</v>
      </c>
      <c r="U8497" s="11">
        <v>0.1215060043474955</v>
      </c>
      <c r="V8497" s="11">
        <v>0.30358683876494275</v>
      </c>
      <c r="W8497" s="11">
        <v>0.023573722474475395</v>
      </c>
      <c r="X8497" s="11">
        <v>0.26150384357271056</v>
      </c>
      <c r="Y8497" s="11">
        <v>0.17370402787086356</v>
      </c>
      <c r="Z8497" s="11">
        <v>0.11612556296951222</v>
      </c>
    </row>
    <row r="8498" ht="22.5" customHeight="1">
      <c r="Q8498" s="9" t="s">
        <v>8536</v>
      </c>
      <c r="R8498" s="10">
        <v>0.5302801163523729</v>
      </c>
      <c r="S8498" s="10">
        <v>0.02781724660878931</v>
      </c>
      <c r="T8498" s="10">
        <v>17.625041156929637</v>
      </c>
      <c r="U8498" s="11">
        <v>0.10075077080560355</v>
      </c>
      <c r="V8498" s="11">
        <v>0.059482443358943274</v>
      </c>
      <c r="W8498" s="11">
        <v>0.24117657540116322</v>
      </c>
      <c r="X8498" s="11">
        <v>0.1112602103094601</v>
      </c>
      <c r="Y8498" s="11">
        <v>0.21695594514338803</v>
      </c>
      <c r="Z8498" s="11">
        <v>0.27037405498144185</v>
      </c>
    </row>
    <row r="8499" ht="22.5" customHeight="1">
      <c r="Q8499" s="9" t="s">
        <v>8537</v>
      </c>
      <c r="R8499" s="10">
        <v>0.4812159074081762</v>
      </c>
      <c r="S8499" s="10">
        <v>0.025034203612735978</v>
      </c>
      <c r="T8499" s="10">
        <v>17.624523401403938</v>
      </c>
      <c r="U8499" s="11">
        <v>0.23972117140351829</v>
      </c>
      <c r="V8499" s="11">
        <v>0.02054624502983037</v>
      </c>
      <c r="W8499" s="11">
        <v>0.21348562158103376</v>
      </c>
      <c r="X8499" s="11">
        <v>0.29458729382132287</v>
      </c>
      <c r="Y8499" s="11">
        <v>0.2219876260709046</v>
      </c>
      <c r="Z8499" s="11">
        <v>0.009672042093390044</v>
      </c>
    </row>
    <row r="8500" ht="22.5" customHeight="1">
      <c r="Q8500" s="9" t="s">
        <v>8538</v>
      </c>
      <c r="R8500" s="10">
        <v>0.6034610483508412</v>
      </c>
      <c r="S8500" s="10">
        <v>0.03197565857124224</v>
      </c>
      <c r="T8500" s="10">
        <v>17.621561948300194</v>
      </c>
      <c r="U8500" s="11">
        <v>0.06343659928725061</v>
      </c>
      <c r="V8500" s="11">
        <v>0.061185235520649764</v>
      </c>
      <c r="W8500" s="11">
        <v>0.279729847078902</v>
      </c>
      <c r="X8500" s="11">
        <v>0.21254030286495373</v>
      </c>
      <c r="Y8500" s="11">
        <v>0.24481626090916872</v>
      </c>
      <c r="Z8500" s="11">
        <v>0.13829175433907512</v>
      </c>
    </row>
    <row r="8501" ht="22.5" customHeight="1">
      <c r="Q8501" s="9" t="s">
        <v>8539</v>
      </c>
      <c r="R8501" s="10">
        <v>0.5703591698144651</v>
      </c>
      <c r="S8501" s="10">
        <v>0.03009743288805396</v>
      </c>
      <c r="T8501" s="10">
        <v>17.62140883533529</v>
      </c>
      <c r="U8501" s="11">
        <v>0.204458614949244</v>
      </c>
      <c r="V8501" s="11">
        <v>0.04834399475285356</v>
      </c>
      <c r="W8501" s="11">
        <v>0.2619294066048964</v>
      </c>
      <c r="X8501" s="11">
        <v>0.20921824286425467</v>
      </c>
      <c r="Y8501" s="11">
        <v>0.24047656246263951</v>
      </c>
      <c r="Z8501" s="11">
        <v>0.03557317836611186</v>
      </c>
    </row>
    <row r="8502" ht="22.5" customHeight="1">
      <c r="Q8502" s="9" t="s">
        <v>8540</v>
      </c>
      <c r="R8502" s="10">
        <v>0.4177969355771227</v>
      </c>
      <c r="S8502" s="10">
        <v>0.021443820640783616</v>
      </c>
      <c r="T8502" s="10">
        <v>17.617986174469188</v>
      </c>
      <c r="U8502" s="11">
        <v>0.25574736347091026</v>
      </c>
      <c r="V8502" s="11">
        <v>0.18905640993637146</v>
      </c>
      <c r="W8502" s="11">
        <v>2.887414018129851E-4</v>
      </c>
      <c r="X8502" s="11">
        <v>0.17948613735360414</v>
      </c>
      <c r="Y8502" s="11">
        <v>0.2783949759586744</v>
      </c>
      <c r="Z8502" s="11">
        <v>0.09702637187862677</v>
      </c>
    </row>
    <row r="8503" ht="22.5" customHeight="1">
      <c r="Q8503" s="9" t="s">
        <v>8541</v>
      </c>
      <c r="R8503" s="10">
        <v>0.43570823318065977</v>
      </c>
      <c r="S8503" s="10">
        <v>0.022461624184481114</v>
      </c>
      <c r="T8503" s="10">
        <v>17.61708013323708</v>
      </c>
      <c r="U8503" s="11">
        <v>0.43042798623806783</v>
      </c>
      <c r="V8503" s="11">
        <v>0.035840289250209545</v>
      </c>
      <c r="W8503" s="11">
        <v>0.18859914785571139</v>
      </c>
      <c r="X8503" s="11">
        <v>0.11386442078696392</v>
      </c>
      <c r="Y8503" s="11">
        <v>0.07331915296698098</v>
      </c>
      <c r="Z8503" s="11">
        <v>0.1579490029020664</v>
      </c>
    </row>
    <row r="8504" ht="22.5" customHeight="1">
      <c r="Q8504" s="9" t="s">
        <v>8542</v>
      </c>
      <c r="R8504" s="10">
        <v>0.48657537918688715</v>
      </c>
      <c r="S8504" s="10">
        <v>0.02535296200284162</v>
      </c>
      <c r="T8504" s="10">
        <v>17.614327633072378</v>
      </c>
      <c r="U8504" s="11">
        <v>0.11471914835054861</v>
      </c>
      <c r="V8504" s="11">
        <v>0.23362488753260877</v>
      </c>
      <c r="W8504" s="11">
        <v>0.008966484742840817</v>
      </c>
      <c r="X8504" s="11">
        <v>0.20610628882585252</v>
      </c>
      <c r="Y8504" s="11">
        <v>0.26878074300168414</v>
      </c>
      <c r="Z8504" s="11">
        <v>0.16780244754646512</v>
      </c>
    </row>
    <row r="8505" ht="22.5" customHeight="1">
      <c r="Q8505" s="9" t="s">
        <v>8543</v>
      </c>
      <c r="R8505" s="10">
        <v>0.522331348251574</v>
      </c>
      <c r="S8505" s="10">
        <v>0.033133168079748365</v>
      </c>
      <c r="T8505" s="10">
        <v>17.614322907822775</v>
      </c>
      <c r="U8505" s="11">
        <v>0.012487811628009056</v>
      </c>
      <c r="V8505" s="11">
        <v>0.07062706112659362</v>
      </c>
      <c r="W8505" s="11">
        <v>0.2916768502134888</v>
      </c>
      <c r="X8505" s="11">
        <v>0.2267042814527174</v>
      </c>
      <c r="Y8505" s="11">
        <v>0.16098298551911028</v>
      </c>
      <c r="Z8505" s="11">
        <v>0.23752101006008083</v>
      </c>
    </row>
    <row r="8506" ht="22.5" customHeight="1">
      <c r="Q8506" s="9" t="s">
        <v>8544</v>
      </c>
      <c r="R8506" s="10">
        <v>0.5725155222895674</v>
      </c>
      <c r="S8506" s="10">
        <v>0.03023397354249755</v>
      </c>
      <c r="T8506" s="10">
        <v>17.613150370097785</v>
      </c>
      <c r="U8506" s="11">
        <v>0.00955707787000254</v>
      </c>
      <c r="V8506" s="11">
        <v>0.06815952350995325</v>
      </c>
      <c r="W8506" s="11">
        <v>0.26527457556700734</v>
      </c>
      <c r="X8506" s="11">
        <v>0.18851556574376388</v>
      </c>
      <c r="Y8506" s="11">
        <v>0.11486906340419395</v>
      </c>
      <c r="Z8506" s="11">
        <v>0.353624193905079</v>
      </c>
    </row>
    <row r="8507" ht="22.5" customHeight="1">
      <c r="Q8507" s="9" t="s">
        <v>8545</v>
      </c>
      <c r="R8507" s="10">
        <v>0.5477646777863138</v>
      </c>
      <c r="S8507" s="10">
        <v>0.02882942804783577</v>
      </c>
      <c r="T8507" s="10">
        <v>17.61272117309423</v>
      </c>
      <c r="U8507" s="11">
        <v>0.13032825852011667</v>
      </c>
      <c r="V8507" s="11">
        <v>0.2698692246816226</v>
      </c>
      <c r="W8507" s="11">
        <v>0.030337662028149658</v>
      </c>
      <c r="X8507" s="11">
        <v>0.09609954235150087</v>
      </c>
      <c r="Y8507" s="11">
        <v>0.2619944261582809</v>
      </c>
      <c r="Z8507" s="11">
        <v>0.21137088626032915</v>
      </c>
    </row>
    <row r="8508" ht="22.5" customHeight="1">
      <c r="Q8508" s="9" t="s">
        <v>8546</v>
      </c>
      <c r="R8508" s="10">
        <v>0.5767463495156694</v>
      </c>
      <c r="S8508" s="10">
        <v>0.030475958395511815</v>
      </c>
      <c r="T8508" s="10">
        <v>17.612123712398684</v>
      </c>
      <c r="U8508" s="11">
        <v>0.2418361574287822</v>
      </c>
      <c r="V8508" s="11">
        <v>0.055070724323325625</v>
      </c>
      <c r="W8508" s="11">
        <v>0.268537871473576</v>
      </c>
      <c r="X8508" s="11">
        <v>0.22635092818436822</v>
      </c>
      <c r="Y8508" s="11">
        <v>0.05899639475498107</v>
      </c>
      <c r="Z8508" s="11">
        <v>0.14920792383496687</v>
      </c>
    </row>
    <row r="8509" ht="22.5" customHeight="1">
      <c r="Q8509" s="9" t="s">
        <v>8547</v>
      </c>
      <c r="R8509" s="10">
        <v>0.500024095677228</v>
      </c>
      <c r="S8509" s="10">
        <v>0.02611989627567181</v>
      </c>
      <c r="T8509" s="10">
        <v>17.612018471363402</v>
      </c>
      <c r="U8509" s="11">
        <v>0.14729004758746422</v>
      </c>
      <c r="V8509" s="11">
        <v>0.05773886920733766</v>
      </c>
      <c r="W8509" s="11">
        <v>0.2173985245841842</v>
      </c>
      <c r="X8509" s="11">
        <v>0.0314427792736974</v>
      </c>
      <c r="Y8509" s="11">
        <v>0.37358570449386913</v>
      </c>
      <c r="Z8509" s="11">
        <v>0.17254407485344733</v>
      </c>
    </row>
    <row r="8510" ht="22.5" customHeight="1">
      <c r="Q8510" s="9" t="s">
        <v>8548</v>
      </c>
      <c r="R8510" s="10">
        <v>0.6843492002844164</v>
      </c>
      <c r="S8510" s="10">
        <v>0.03658618094217446</v>
      </c>
      <c r="T8510" s="10">
        <v>17.611819099206592</v>
      </c>
      <c r="U8510" s="11">
        <v>0.1269400265152412</v>
      </c>
      <c r="V8510" s="11">
        <v>0.11365018508748738</v>
      </c>
      <c r="W8510" s="11">
        <v>0.31696797713004166</v>
      </c>
      <c r="X8510" s="11">
        <v>0.01409303422896495</v>
      </c>
      <c r="Y8510" s="11">
        <v>0.11283330325987564</v>
      </c>
      <c r="Z8510" s="11">
        <v>0.3155154737783893</v>
      </c>
    </row>
    <row r="8511" ht="22.5" customHeight="1">
      <c r="Q8511" s="9" t="s">
        <v>8549</v>
      </c>
      <c r="R8511" s="10">
        <v>0.537949330259644</v>
      </c>
      <c r="S8511" s="10">
        <v>0.028273819635715357</v>
      </c>
      <c r="T8511" s="10">
        <v>17.611675276821696</v>
      </c>
      <c r="U8511" s="11">
        <v>0.1004873113912038</v>
      </c>
      <c r="V8511" s="11">
        <v>0.061798104607054954</v>
      </c>
      <c r="W8511" s="11">
        <v>0.2469779710875091</v>
      </c>
      <c r="X8511" s="11">
        <v>0.13301050509679152</v>
      </c>
      <c r="Y8511" s="11">
        <v>0.1421422065794834</v>
      </c>
      <c r="Z8511" s="11">
        <v>0.3155839012379572</v>
      </c>
    </row>
    <row r="8512" ht="22.5" customHeight="1">
      <c r="Q8512" s="9" t="s">
        <v>8550</v>
      </c>
      <c r="R8512" s="10">
        <v>0.4800240779207281</v>
      </c>
      <c r="S8512" s="10">
        <v>0.024986513423041957</v>
      </c>
      <c r="T8512" s="10">
        <v>17.61046331157786</v>
      </c>
      <c r="U8512" s="11">
        <v>0.25746503639842216</v>
      </c>
      <c r="V8512" s="11">
        <v>0.23287871256392162</v>
      </c>
      <c r="W8512" s="11">
        <v>0.023457064270928335</v>
      </c>
      <c r="X8512" s="11">
        <v>0.0965589939564911</v>
      </c>
      <c r="Y8512" s="11">
        <v>0.10972935503701672</v>
      </c>
      <c r="Z8512" s="11">
        <v>0.27991083777322007</v>
      </c>
    </row>
    <row r="8513" ht="22.5" customHeight="1">
      <c r="Q8513" s="9" t="s">
        <v>8551</v>
      </c>
      <c r="R8513" s="10">
        <v>0.6687550197599393</v>
      </c>
      <c r="S8513" s="10">
        <v>0.03570419159872056</v>
      </c>
      <c r="T8513" s="10">
        <v>17.610117793073638</v>
      </c>
      <c r="U8513" s="11">
        <v>0.3258963974355055</v>
      </c>
      <c r="V8513" s="11">
        <v>0.33566473280015896</v>
      </c>
      <c r="W8513" s="11">
        <v>0.05414366648320639</v>
      </c>
      <c r="X8513" s="11">
        <v>0.053772871699720226</v>
      </c>
      <c r="Y8513" s="11">
        <v>0.14262031390445504</v>
      </c>
      <c r="Z8513" s="11">
        <v>0.08790201767695366</v>
      </c>
    </row>
    <row r="8514" ht="22.5" customHeight="1">
      <c r="Q8514" s="9" t="s">
        <v>8552</v>
      </c>
      <c r="R8514" s="10">
        <v>0.5893421527358573</v>
      </c>
      <c r="S8514" s="10">
        <v>0.03119510179026848</v>
      </c>
      <c r="T8514" s="10">
        <v>17.60988492453736</v>
      </c>
      <c r="U8514" s="11">
        <v>0.06255282890917169</v>
      </c>
      <c r="V8514" s="11">
        <v>0.2911682117536622</v>
      </c>
      <c r="W8514" s="11">
        <v>0.01818809589348169</v>
      </c>
      <c r="X8514" s="11">
        <v>0.2675224880834183</v>
      </c>
      <c r="Y8514" s="11">
        <v>0.2780875017663189</v>
      </c>
      <c r="Z8514" s="11">
        <v>0.08248087359394728</v>
      </c>
    </row>
    <row r="8515" ht="22.5" customHeight="1">
      <c r="Q8515" s="9" t="s">
        <v>8553</v>
      </c>
      <c r="R8515" s="10">
        <v>0.6657663673990941</v>
      </c>
      <c r="S8515" s="10">
        <v>0.03553681479430168</v>
      </c>
      <c r="T8515" s="10">
        <v>17.608960482846527</v>
      </c>
      <c r="U8515" s="11">
        <v>0.13778554886278174</v>
      </c>
      <c r="V8515" s="11">
        <v>0.3353230811025414</v>
      </c>
      <c r="W8515" s="11">
        <v>0.04677623997999557</v>
      </c>
      <c r="X8515" s="11">
        <v>0.1086097670911878</v>
      </c>
      <c r="Y8515" s="11">
        <v>0.2575933415008965</v>
      </c>
      <c r="Z8515" s="11">
        <v>0.11391202146259695</v>
      </c>
    </row>
    <row r="8516" ht="22.5" customHeight="1">
      <c r="Q8516" s="9" t="s">
        <v>8554</v>
      </c>
      <c r="R8516" s="10">
        <v>0.838501462252963</v>
      </c>
      <c r="S8516" s="10">
        <v>0.04534873488132792</v>
      </c>
      <c r="T8516" s="10">
        <v>17.60802069434888</v>
      </c>
      <c r="U8516" s="11">
        <v>0.030282751033573738</v>
      </c>
      <c r="V8516" s="11">
        <v>0.43203867493759057</v>
      </c>
      <c r="W8516" s="11">
        <v>0.06155472703830973</v>
      </c>
      <c r="X8516" s="11">
        <v>0.34136550874324884</v>
      </c>
      <c r="Y8516" s="11">
        <v>0.06139526670378654</v>
      </c>
      <c r="Z8516" s="11">
        <v>0.0733630715434905</v>
      </c>
    </row>
    <row r="8517" ht="22.5" customHeight="1">
      <c r="Q8517" s="9" t="s">
        <v>8555</v>
      </c>
      <c r="R8517" s="10">
        <v>0.4892468191884095</v>
      </c>
      <c r="S8517" s="10">
        <v>0.02551443604586314</v>
      </c>
      <c r="T8517" s="10">
        <v>17.60755434221128</v>
      </c>
      <c r="U8517" s="11">
        <v>0.22282411894474413</v>
      </c>
      <c r="V8517" s="11">
        <v>0.035042315582602034</v>
      </c>
      <c r="W8517" s="11">
        <v>0.2207717550486185</v>
      </c>
      <c r="X8517" s="11">
        <v>0.19628045104570221</v>
      </c>
      <c r="Y8517" s="11">
        <v>0.18746400722425866</v>
      </c>
      <c r="Z8517" s="11">
        <v>0.13761735215407447</v>
      </c>
    </row>
    <row r="8518" ht="22.5" customHeight="1">
      <c r="Q8518" s="9" t="s">
        <v>8556</v>
      </c>
      <c r="R8518" s="10">
        <v>0.4241619353666702</v>
      </c>
      <c r="S8518" s="10">
        <v>0.021818133950963547</v>
      </c>
      <c r="T8518" s="10">
        <v>17.607460666896518</v>
      </c>
      <c r="U8518" s="11">
        <v>0.26661615630649016</v>
      </c>
      <c r="V8518" s="11">
        <v>0.19640399290305163</v>
      </c>
      <c r="W8518" s="11">
        <v>0.006016983875362984</v>
      </c>
      <c r="X8518" s="11">
        <v>0.14023718006130628</v>
      </c>
      <c r="Y8518" s="11">
        <v>0.2224351265229975</v>
      </c>
      <c r="Z8518" s="11">
        <v>0.16829056033079168</v>
      </c>
    </row>
    <row r="8519" ht="22.5" customHeight="1">
      <c r="Q8519" s="9" t="s">
        <v>8557</v>
      </c>
      <c r="R8519" s="10">
        <v>0.4499363378552753</v>
      </c>
      <c r="S8519" s="10">
        <v>0.02328695028256129</v>
      </c>
      <c r="T8519" s="10">
        <v>17.603693608701565</v>
      </c>
      <c r="U8519" s="11">
        <v>0.286648358118094</v>
      </c>
      <c r="V8519" s="11">
        <v>0.036082679746438986</v>
      </c>
      <c r="W8519" s="11">
        <v>0.1971095420676175</v>
      </c>
      <c r="X8519" s="11">
        <v>0.10756684862957148</v>
      </c>
      <c r="Y8519" s="11">
        <v>0.2149422097035629</v>
      </c>
      <c r="Z8519" s="11">
        <v>0.1576503617347151</v>
      </c>
    </row>
    <row r="8520" ht="22.5" customHeight="1">
      <c r="Q8520" s="9" t="s">
        <v>8558</v>
      </c>
      <c r="R8520" s="10">
        <v>0.6015289419025545</v>
      </c>
      <c r="S8520" s="10">
        <v>0.03189836540118329</v>
      </c>
      <c r="T8520" s="10">
        <v>17.6036901841285</v>
      </c>
      <c r="U8520" s="11">
        <v>0.13555052738440587</v>
      </c>
      <c r="V8520" s="11">
        <v>0.05979997138476362</v>
      </c>
      <c r="W8520" s="11">
        <v>0.28205129177910643</v>
      </c>
      <c r="X8520" s="11">
        <v>0.2780853037969494</v>
      </c>
      <c r="Y8520" s="11">
        <v>0.0403305881069856</v>
      </c>
      <c r="Z8520" s="11">
        <v>0.20418231754778896</v>
      </c>
    </row>
    <row r="8521" ht="22.5" customHeight="1">
      <c r="Q8521" s="9" t="s">
        <v>8559</v>
      </c>
      <c r="R8521" s="10">
        <v>0.4727757479132368</v>
      </c>
      <c r="S8521" s="10">
        <v>0.024584431439748675</v>
      </c>
      <c r="T8521" s="10">
        <v>17.603650870425053</v>
      </c>
      <c r="U8521" s="11">
        <v>0.2471351360754741</v>
      </c>
      <c r="V8521" s="11">
        <v>0.22771877757766373</v>
      </c>
      <c r="W8521" s="11">
        <v>0.010713431307160324</v>
      </c>
      <c r="X8521" s="11">
        <v>0.17821693068082028</v>
      </c>
      <c r="Y8521" s="11">
        <v>0.14342530596668168</v>
      </c>
      <c r="Z8521" s="11">
        <v>0.19279041839219999</v>
      </c>
    </row>
    <row r="8522" ht="22.5" customHeight="1">
      <c r="Q8522" s="9" t="s">
        <v>8560</v>
      </c>
      <c r="R8522" s="10">
        <v>0.4559386651840592</v>
      </c>
      <c r="S8522" s="10">
        <v>0.02362832554991452</v>
      </c>
      <c r="T8522" s="10">
        <v>17.603391501670078</v>
      </c>
      <c r="U8522" s="11">
        <v>0.2763237440403015</v>
      </c>
      <c r="V8522" s="11">
        <v>0.03385146665858193</v>
      </c>
      <c r="W8522" s="11">
        <v>0.20326528197272906</v>
      </c>
      <c r="X8522" s="11">
        <v>0.16181292530527275</v>
      </c>
      <c r="Y8522" s="11">
        <v>0.13184484895936724</v>
      </c>
      <c r="Z8522" s="11">
        <v>0.19290173306374742</v>
      </c>
    </row>
    <row r="8523" ht="22.5" customHeight="1">
      <c r="Q8523" s="9" t="s">
        <v>8561</v>
      </c>
      <c r="R8523" s="10">
        <v>0.7632343389031779</v>
      </c>
      <c r="S8523" s="10">
        <v>0.041085180210458275</v>
      </c>
      <c r="T8523" s="10">
        <v>17.603289925915377</v>
      </c>
      <c r="U8523" s="11">
        <v>0.16732759236436345</v>
      </c>
      <c r="V8523" s="11">
        <v>0.39154623192600857</v>
      </c>
      <c r="W8523" s="11">
        <v>0.05450623636386418</v>
      </c>
      <c r="X8523" s="11">
        <v>0.2712567394955235</v>
      </c>
      <c r="Y8523" s="11">
        <v>0.00741871034272697</v>
      </c>
      <c r="Z8523" s="11">
        <v>0.10794448950751342</v>
      </c>
    </row>
    <row r="8524" ht="22.5" customHeight="1">
      <c r="Q8524" s="9" t="s">
        <v>8562</v>
      </c>
      <c r="R8524" s="10">
        <v>0.6821311731419175</v>
      </c>
      <c r="S8524" s="10">
        <v>0.03648826515378349</v>
      </c>
      <c r="T8524" s="10">
        <v>17.598292778118953</v>
      </c>
      <c r="U8524" s="11">
        <v>0.22302610297133857</v>
      </c>
      <c r="V8524" s="11">
        <v>0.3459433420901586</v>
      </c>
      <c r="W8524" s="11">
        <v>0.03566895436600939</v>
      </c>
      <c r="X8524" s="11">
        <v>0.2842094474620737</v>
      </c>
      <c r="Y8524" s="11">
        <v>0.037745104909095425</v>
      </c>
      <c r="Z8524" s="11">
        <v>0.07340704820132445</v>
      </c>
    </row>
    <row r="8525" ht="22.5" customHeight="1">
      <c r="Q8525" s="9" t="s">
        <v>8563</v>
      </c>
      <c r="R8525" s="10">
        <v>0.5599790875377133</v>
      </c>
      <c r="S8525" s="10">
        <v>0.02955008505532764</v>
      </c>
      <c r="T8525" s="10">
        <v>17.596534377621538</v>
      </c>
      <c r="U8525" s="11">
        <v>0.33330274434180296</v>
      </c>
      <c r="V8525" s="11">
        <v>0.27742315799440864</v>
      </c>
      <c r="W8525" s="11">
        <v>0.03861860544280389</v>
      </c>
      <c r="X8525" s="11">
        <v>0.09509102765412011</v>
      </c>
      <c r="Y8525" s="11">
        <v>0.014623514759413266</v>
      </c>
      <c r="Z8525" s="11">
        <v>0.24094094980745123</v>
      </c>
    </row>
    <row r="8526" ht="22.5" customHeight="1">
      <c r="Q8526" s="9" t="s">
        <v>8564</v>
      </c>
      <c r="R8526" s="10">
        <v>0.35378832658349735</v>
      </c>
      <c r="S8526" s="10">
        <v>0.017834909267359925</v>
      </c>
      <c r="T8526" s="10">
        <v>17.594052309409197</v>
      </c>
      <c r="U8526" s="11">
        <v>0.2117115239583279</v>
      </c>
      <c r="V8526" s="11">
        <v>0.15878377245844227</v>
      </c>
      <c r="W8526" s="11">
        <v>0.017404907968061854</v>
      </c>
      <c r="X8526" s="11">
        <v>0.09545416453711464</v>
      </c>
      <c r="Y8526" s="11">
        <v>0.020938628438953277</v>
      </c>
      <c r="Z8526" s="11">
        <v>0.4957070026391</v>
      </c>
    </row>
    <row r="8527" ht="22.5" customHeight="1">
      <c r="Q8527" s="9" t="s">
        <v>8565</v>
      </c>
      <c r="R8527" s="10">
        <v>0.5607683305788933</v>
      </c>
      <c r="S8527" s="10">
        <v>0.02959996743002964</v>
      </c>
      <c r="T8527" s="10">
        <v>17.593544040543957</v>
      </c>
      <c r="U8527" s="11">
        <v>0.3295996234780518</v>
      </c>
      <c r="V8527" s="11">
        <v>0.2757506416854233</v>
      </c>
      <c r="W8527" s="11">
        <v>0.04087177401715389</v>
      </c>
      <c r="X8527" s="11">
        <v>0.025736965628374332</v>
      </c>
      <c r="Y8527" s="11">
        <v>0.14514505401478847</v>
      </c>
      <c r="Z8527" s="11">
        <v>0.18289594117620817</v>
      </c>
    </row>
    <row r="8528" ht="22.5" customHeight="1">
      <c r="Q8528" s="9" t="s">
        <v>8566</v>
      </c>
      <c r="R8528" s="10">
        <v>0.8079089645485954</v>
      </c>
      <c r="S8528" s="10">
        <v>0.043648177973196714</v>
      </c>
      <c r="T8528" s="10">
        <v>17.593150509516104</v>
      </c>
      <c r="U8528" s="11">
        <v>0.3298808767222588</v>
      </c>
      <c r="V8528" s="11">
        <v>0.4122904317335181</v>
      </c>
      <c r="W8528" s="11">
        <v>0.08785529160870267</v>
      </c>
      <c r="X8528" s="11">
        <v>0.03604489489485552</v>
      </c>
      <c r="Y8528" s="11">
        <v>0.012678597445027974</v>
      </c>
      <c r="Z8528" s="11">
        <v>0.12124990759563685</v>
      </c>
    </row>
    <row r="8529" ht="22.5" customHeight="1">
      <c r="Q8529" s="9" t="s">
        <v>8567</v>
      </c>
      <c r="R8529" s="10">
        <v>0.493184389765092</v>
      </c>
      <c r="S8529" s="10">
        <v>0.025762776685174994</v>
      </c>
      <c r="T8529" s="10">
        <v>17.590665606548292</v>
      </c>
      <c r="U8529" s="11">
        <v>0.15740738668821858</v>
      </c>
      <c r="V8529" s="11">
        <v>0.047518682558546244</v>
      </c>
      <c r="W8529" s="11">
        <v>0.21686074950205123</v>
      </c>
      <c r="X8529" s="11">
        <v>0.08804456065644879</v>
      </c>
      <c r="Y8529" s="11">
        <v>0.3478005022853017</v>
      </c>
      <c r="Z8529" s="11">
        <v>0.14236811830943344</v>
      </c>
    </row>
    <row r="8530" ht="22.5" customHeight="1">
      <c r="Q8530" s="9" t="s">
        <v>8568</v>
      </c>
      <c r="R8530" s="10">
        <v>0.29274039943637736</v>
      </c>
      <c r="S8530" s="10">
        <v>0.014368776272447741</v>
      </c>
      <c r="T8530" s="10">
        <v>17.58955631601067</v>
      </c>
      <c r="U8530" s="11">
        <v>0.39878804671448437</v>
      </c>
      <c r="V8530" s="11">
        <v>0.07902506000234534</v>
      </c>
      <c r="W8530" s="11">
        <v>0.026023423312626744</v>
      </c>
      <c r="X8530" s="11">
        <v>0.029552600784242627</v>
      </c>
      <c r="Y8530" s="11">
        <v>0.4141160346533999</v>
      </c>
      <c r="Z8530" s="11">
        <v>0.05249483453290102</v>
      </c>
    </row>
    <row r="8531" ht="22.5" customHeight="1">
      <c r="Q8531" s="9" t="s">
        <v>8569</v>
      </c>
      <c r="R8531" s="10">
        <v>0.3990437055096558</v>
      </c>
      <c r="S8531" s="10">
        <v>0.02041289108140059</v>
      </c>
      <c r="T8531" s="10">
        <v>17.589066834183136</v>
      </c>
      <c r="U8531" s="11">
        <v>0.14673536427942913</v>
      </c>
      <c r="V8531" s="11">
        <v>0.017533823203433316</v>
      </c>
      <c r="W8531" s="11">
        <v>0.17270752602528766</v>
      </c>
      <c r="X8531" s="11">
        <v>0.23985779204022098</v>
      </c>
      <c r="Y8531" s="11">
        <v>0.16458180528499916</v>
      </c>
      <c r="Z8531" s="11">
        <v>0.2585836891666298</v>
      </c>
    </row>
    <row r="8532" ht="22.5" customHeight="1">
      <c r="Q8532" s="9" t="s">
        <v>8570</v>
      </c>
      <c r="R8532" s="10">
        <v>0.35651841357443964</v>
      </c>
      <c r="S8532" s="10">
        <v>0.017995305528711515</v>
      </c>
      <c r="T8532" s="10">
        <v>17.58894357583618</v>
      </c>
      <c r="U8532" s="11">
        <v>0.2969516320838831</v>
      </c>
      <c r="V8532" s="11">
        <v>0.03049849818720056</v>
      </c>
      <c r="W8532" s="11">
        <v>0.1452113016009262</v>
      </c>
      <c r="X8532" s="11">
        <v>0.06345403082088727</v>
      </c>
      <c r="Y8532" s="11">
        <v>0.1371191673476784</v>
      </c>
      <c r="Z8532" s="11">
        <v>0.32676536995942446</v>
      </c>
    </row>
    <row r="8533" ht="22.5" customHeight="1">
      <c r="Q8533" s="9" t="s">
        <v>8571</v>
      </c>
      <c r="R8533" s="10">
        <v>0.6438330856719157</v>
      </c>
      <c r="S8533" s="10">
        <v>0.03434209206171171</v>
      </c>
      <c r="T8533" s="10">
        <v>17.582885882049517</v>
      </c>
      <c r="U8533" s="11">
        <v>0.1555466870248221</v>
      </c>
      <c r="V8533" s="11">
        <v>0.3239897356571155</v>
      </c>
      <c r="W8533" s="11">
        <v>0.02559959995235237</v>
      </c>
      <c r="X8533" s="11">
        <v>0.2761696345815586</v>
      </c>
      <c r="Y8533" s="11">
        <v>0.16957349369429742</v>
      </c>
      <c r="Z8533" s="11">
        <v>0.04912084908985414</v>
      </c>
    </row>
    <row r="8534" ht="22.5" customHeight="1">
      <c r="Q8534" s="9" t="s">
        <v>8572</v>
      </c>
      <c r="R8534" s="10">
        <v>0.4453873173194105</v>
      </c>
      <c r="S8534" s="10">
        <v>0.023056566794682393</v>
      </c>
      <c r="T8534" s="10">
        <v>17.582293189153653</v>
      </c>
      <c r="U8534" s="11">
        <v>0.12588439166246934</v>
      </c>
      <c r="V8534" s="11">
        <v>0.027866574980742752</v>
      </c>
      <c r="W8534" s="11">
        <v>0.19925044609329595</v>
      </c>
      <c r="X8534" s="11">
        <v>0.29956570910629593</v>
      </c>
      <c r="Y8534" s="11">
        <v>0.026509993498369775</v>
      </c>
      <c r="Z8534" s="11">
        <v>0.3209228846588261</v>
      </c>
    </row>
    <row r="8535" ht="22.5" customHeight="1">
      <c r="Q8535" s="9" t="s">
        <v>8573</v>
      </c>
      <c r="R8535" s="10">
        <v>0.5888835495984847</v>
      </c>
      <c r="S8535" s="10">
        <v>0.031219043122812026</v>
      </c>
      <c r="T8535" s="10">
        <v>17.581690362489383</v>
      </c>
      <c r="U8535" s="11">
        <v>0.14475058047375594</v>
      </c>
      <c r="V8535" s="11">
        <v>0.07182170793011029</v>
      </c>
      <c r="W8535" s="11">
        <v>0.26742562676141635</v>
      </c>
      <c r="X8535" s="11">
        <v>0.05790324811684861</v>
      </c>
      <c r="Y8535" s="11">
        <v>0.33574281621621654</v>
      </c>
      <c r="Z8535" s="11">
        <v>0.12235602050165233</v>
      </c>
    </row>
    <row r="8536" ht="22.5" customHeight="1">
      <c r="Q8536" s="9" t="s">
        <v>8574</v>
      </c>
      <c r="R8536" s="10">
        <v>0.5370375518718806</v>
      </c>
      <c r="S8536" s="10">
        <v>0.02827163118325961</v>
      </c>
      <c r="T8536" s="10">
        <v>17.580787915986605</v>
      </c>
      <c r="U8536" s="11">
        <v>0.18694900207079873</v>
      </c>
      <c r="V8536" s="11">
        <v>0.2662003352569854</v>
      </c>
      <c r="W8536" s="11">
        <v>0.02115408722122837</v>
      </c>
      <c r="X8536" s="11">
        <v>0.17238622934606201</v>
      </c>
      <c r="Y8536" s="11">
        <v>0.15081052815685658</v>
      </c>
      <c r="Z8536" s="11">
        <v>0.20249981794806868</v>
      </c>
    </row>
    <row r="8537" ht="22.5" customHeight="1">
      <c r="Q8537" s="9" t="s">
        <v>8575</v>
      </c>
      <c r="R8537" s="10">
        <v>0.6534392191748873</v>
      </c>
      <c r="S8537" s="10">
        <v>0.03489410281329306</v>
      </c>
      <c r="T8537" s="10">
        <v>17.580025554954087</v>
      </c>
      <c r="U8537" s="11">
        <v>0.06165923051572009</v>
      </c>
      <c r="V8537" s="11">
        <v>0.328290715987479</v>
      </c>
      <c r="W8537" s="11">
        <v>0.051774474584515714</v>
      </c>
      <c r="X8537" s="11">
        <v>0.06019937375968055</v>
      </c>
      <c r="Y8537" s="11">
        <v>0.3110579614064988</v>
      </c>
      <c r="Z8537" s="11">
        <v>0.18701824374610604</v>
      </c>
    </row>
    <row r="8538" ht="22.5" customHeight="1">
      <c r="Q8538" s="9" t="s">
        <v>8576</v>
      </c>
      <c r="R8538" s="10">
        <v>0.696481609463146</v>
      </c>
      <c r="S8538" s="10">
        <v>0.03734425070865224</v>
      </c>
      <c r="T8538" s="10">
        <v>17.579188148258833</v>
      </c>
      <c r="U8538" s="11">
        <v>0.10932461504299702</v>
      </c>
      <c r="V8538" s="11">
        <v>0.07994053423655398</v>
      </c>
      <c r="W8538" s="11">
        <v>0.32719304539703126</v>
      </c>
      <c r="X8538" s="11">
        <v>0.1896180303673913</v>
      </c>
      <c r="Y8538" s="11">
        <v>0.2710755482067199</v>
      </c>
      <c r="Z8538" s="11">
        <v>0.02284822674930658</v>
      </c>
    </row>
    <row r="8539" ht="22.5" customHeight="1">
      <c r="Q8539" s="9" t="s">
        <v>8577</v>
      </c>
      <c r="R8539" s="10">
        <v>0.2372759251292544</v>
      </c>
      <c r="S8539" s="10">
        <v>0.01122449729366678</v>
      </c>
      <c r="T8539" s="10">
        <v>17.575479771424934</v>
      </c>
      <c r="U8539" s="11">
        <v>0.23584978088230885</v>
      </c>
      <c r="V8539" s="11">
        <v>0.020498007886899105</v>
      </c>
      <c r="W8539" s="11">
        <v>0.02936923598828485</v>
      </c>
      <c r="X8539" s="11">
        <v>0.230572353752401</v>
      </c>
      <c r="Y8539" s="11">
        <v>0.403537831341793</v>
      </c>
      <c r="Z8539" s="11">
        <v>0.08017279014831309</v>
      </c>
    </row>
    <row r="8540" ht="22.5" customHeight="1">
      <c r="Q8540" s="9" t="s">
        <v>8578</v>
      </c>
      <c r="R8540" s="10">
        <v>0.32066158087927005</v>
      </c>
      <c r="S8540" s="10">
        <v>0.01596973147291365</v>
      </c>
      <c r="T8540" s="10">
        <v>17.5745961261341</v>
      </c>
      <c r="U8540" s="11">
        <v>0.24273133176253425</v>
      </c>
      <c r="V8540" s="11">
        <v>0.13443414693537833</v>
      </c>
      <c r="W8540" s="11">
        <v>0.0021252383213912814</v>
      </c>
      <c r="X8540" s="11">
        <v>0.10263089939995834</v>
      </c>
      <c r="Y8540" s="11">
        <v>0.2093943180209157</v>
      </c>
      <c r="Z8540" s="11">
        <v>0.30868406555982214</v>
      </c>
    </row>
    <row r="8541" ht="22.5" customHeight="1">
      <c r="Q8541" s="9" t="s">
        <v>8579</v>
      </c>
      <c r="R8541" s="10">
        <v>0.4224948369288204</v>
      </c>
      <c r="S8541" s="10">
        <v>0.02176441878655997</v>
      </c>
      <c r="T8541" s="10">
        <v>17.574318923003805</v>
      </c>
      <c r="U8541" s="11">
        <v>0.2659824896491345</v>
      </c>
      <c r="V8541" s="11">
        <v>0.19683003305558017</v>
      </c>
      <c r="W8541" s="11">
        <v>0.015135231963021249</v>
      </c>
      <c r="X8541" s="11">
        <v>0.0656556691217228</v>
      </c>
      <c r="Y8541" s="11">
        <v>0.2116676303898081</v>
      </c>
      <c r="Z8541" s="11">
        <v>0.24472894582073318</v>
      </c>
    </row>
    <row r="8542" ht="22.5" customHeight="1">
      <c r="Q8542" s="9" t="s">
        <v>8580</v>
      </c>
      <c r="R8542" s="10">
        <v>0.6249566889678809</v>
      </c>
      <c r="S8542" s="10">
        <v>0.03328635866662991</v>
      </c>
      <c r="T8542" s="10">
        <v>17.573465900140917</v>
      </c>
      <c r="U8542" s="11">
        <v>0.08381320574759626</v>
      </c>
      <c r="V8542" s="11">
        <v>0.31296362898873986</v>
      </c>
      <c r="W8542" s="11">
        <v>0.018140027268514623</v>
      </c>
      <c r="X8542" s="11">
        <v>0.34744012983798894</v>
      </c>
      <c r="Y8542" s="11">
        <v>0.16278957355401671</v>
      </c>
      <c r="Z8542" s="11">
        <v>0.07485343460314361</v>
      </c>
    </row>
    <row r="8543" ht="22.5" customHeight="1">
      <c r="Q8543" s="9" t="s">
        <v>8581</v>
      </c>
      <c r="R8543" s="10">
        <v>0.5418682446298975</v>
      </c>
      <c r="S8543" s="10">
        <v>0.028559421032746612</v>
      </c>
      <c r="T8543" s="10">
        <v>17.572773763671492</v>
      </c>
      <c r="U8543" s="11">
        <v>0.32674819386565</v>
      </c>
      <c r="V8543" s="11">
        <v>0.05504268406844334</v>
      </c>
      <c r="W8543" s="11">
        <v>0.24674908550688804</v>
      </c>
      <c r="X8543" s="11">
        <v>0.09519682055662168</v>
      </c>
      <c r="Y8543" s="11">
        <v>0.18262215893760522</v>
      </c>
      <c r="Z8543" s="11">
        <v>0.09364105706479176</v>
      </c>
    </row>
    <row r="8544" ht="22.5" customHeight="1">
      <c r="Q8544" s="9" t="s">
        <v>8582</v>
      </c>
      <c r="R8544" s="10">
        <v>0.6708896548557322</v>
      </c>
      <c r="S8544" s="10">
        <v>0.03590359602927063</v>
      </c>
      <c r="T8544" s="10">
        <v>17.57176786251147</v>
      </c>
      <c r="U8544" s="11">
        <v>0.006091546819733035</v>
      </c>
      <c r="V8544" s="11">
        <v>0.3436472616422827</v>
      </c>
      <c r="W8544" s="11">
        <v>0.04995781168455335</v>
      </c>
      <c r="X8544" s="11">
        <v>0.21615449236297848</v>
      </c>
      <c r="Y8544" s="11">
        <v>0.04772639604718631</v>
      </c>
      <c r="Z8544" s="11">
        <v>0.3364224914432662</v>
      </c>
    </row>
    <row r="8545" ht="22.5" customHeight="1">
      <c r="Q8545" s="9" t="s">
        <v>8583</v>
      </c>
      <c r="R8545" s="10">
        <v>0.626140681246635</v>
      </c>
      <c r="S8545" s="10">
        <v>0.03335774159507361</v>
      </c>
      <c r="T8545" s="10">
        <v>17.571353851281057</v>
      </c>
      <c r="U8545" s="11">
        <v>0.19947748237248228</v>
      </c>
      <c r="V8545" s="11">
        <v>0.06460642774952746</v>
      </c>
      <c r="W8545" s="11">
        <v>0.2937420617850695</v>
      </c>
      <c r="X8545" s="11">
        <v>0.1946132973161081</v>
      </c>
      <c r="Y8545" s="11">
        <v>0.16425150928057092</v>
      </c>
      <c r="Z8545" s="11">
        <v>0.08330922149624169</v>
      </c>
    </row>
    <row r="8546" ht="22.5" customHeight="1">
      <c r="Q8546" s="9" t="s">
        <v>8584</v>
      </c>
      <c r="R8546" s="10">
        <v>0.3094971944141096</v>
      </c>
      <c r="S8546" s="10">
        <v>0.01533836617839259</v>
      </c>
      <c r="T8546" s="10">
        <v>17.57013695459656</v>
      </c>
      <c r="U8546" s="11">
        <v>0.1942656740139145</v>
      </c>
      <c r="V8546" s="11">
        <v>0.0017249359010379484</v>
      </c>
      <c r="W8546" s="11">
        <v>0.11707711898881985</v>
      </c>
      <c r="X8546" s="11">
        <v>0.23618699284791703</v>
      </c>
      <c r="Y8546" s="11">
        <v>0.22178226053107739</v>
      </c>
      <c r="Z8546" s="11">
        <v>0.22896301771723332</v>
      </c>
    </row>
    <row r="8547" ht="22.5" customHeight="1">
      <c r="Q8547" s="9" t="s">
        <v>8585</v>
      </c>
      <c r="R8547" s="10">
        <v>0.2733450708032313</v>
      </c>
      <c r="S8547" s="10">
        <v>0.013282178348183744</v>
      </c>
      <c r="T8547" s="10">
        <v>17.568283205227385</v>
      </c>
      <c r="U8547" s="11">
        <v>0.22042253437448414</v>
      </c>
      <c r="V8547" s="11">
        <v>0.010396605351630629</v>
      </c>
      <c r="W8547" s="11">
        <v>0.08144814612758192</v>
      </c>
      <c r="X8547" s="11">
        <v>0.1463721838194965</v>
      </c>
      <c r="Y8547" s="11">
        <v>0.36503529884735075</v>
      </c>
      <c r="Z8547" s="11">
        <v>0.17632523147945606</v>
      </c>
    </row>
    <row r="8548" ht="22.5" customHeight="1">
      <c r="Q8548" s="9" t="s">
        <v>8586</v>
      </c>
      <c r="R8548" s="10">
        <v>0.33672936792857744</v>
      </c>
      <c r="S8548" s="10">
        <v>0.016890214470382532</v>
      </c>
      <c r="T8548" s="10">
        <v>17.568123154913206</v>
      </c>
      <c r="U8548" s="11">
        <v>0.14301315693132105</v>
      </c>
      <c r="V8548" s="11">
        <v>0.03169420616251103</v>
      </c>
      <c r="W8548" s="11">
        <v>0.12947196958160423</v>
      </c>
      <c r="X8548" s="11">
        <v>0.03694623121221979</v>
      </c>
      <c r="Y8548" s="11">
        <v>0.2985737323979383</v>
      </c>
      <c r="Z8548" s="11">
        <v>0.3603007037144056</v>
      </c>
    </row>
    <row r="8549" ht="22.5" customHeight="1">
      <c r="Q8549" s="9" t="s">
        <v>8587</v>
      </c>
      <c r="R8549" s="10">
        <v>0.5120504388325182</v>
      </c>
      <c r="S8549" s="10">
        <v>0.02687034184710779</v>
      </c>
      <c r="T8549" s="10">
        <v>17.567712443648265</v>
      </c>
      <c r="U8549" s="11">
        <v>0.21541569961701712</v>
      </c>
      <c r="V8549" s="11">
        <v>0.2503565214701905</v>
      </c>
      <c r="W8549" s="11">
        <v>0.007580351426410841</v>
      </c>
      <c r="X8549" s="11">
        <v>0.28624160170984975</v>
      </c>
      <c r="Y8549" s="11">
        <v>0.08300821060128986</v>
      </c>
      <c r="Z8549" s="11">
        <v>0.1573976151752418</v>
      </c>
    </row>
    <row r="8550" ht="22.5" customHeight="1">
      <c r="Q8550" s="9" t="s">
        <v>8588</v>
      </c>
      <c r="R8550" s="10">
        <v>0.5568485188443866</v>
      </c>
      <c r="S8550" s="10">
        <v>0.029424753993654146</v>
      </c>
      <c r="T8550" s="10">
        <v>17.56509226741036</v>
      </c>
      <c r="U8550" s="11">
        <v>0.1170498289734399</v>
      </c>
      <c r="V8550" s="11">
        <v>0.27800224813583174</v>
      </c>
      <c r="W8550" s="11">
        <v>0.01861807250589024</v>
      </c>
      <c r="X8550" s="11">
        <v>0.24427338639860102</v>
      </c>
      <c r="Y8550" s="11">
        <v>0.13614099508107794</v>
      </c>
      <c r="Z8550" s="11">
        <v>0.20591546890515922</v>
      </c>
    </row>
    <row r="8551" ht="22.5" customHeight="1">
      <c r="Q8551" s="9" t="s">
        <v>8589</v>
      </c>
      <c r="R8551" s="10">
        <v>0.5023984390745297</v>
      </c>
      <c r="S8551" s="10">
        <v>0.026325685192170954</v>
      </c>
      <c r="T8551" s="10">
        <v>17.56453576418377</v>
      </c>
      <c r="U8551" s="11">
        <v>0.12500479581380913</v>
      </c>
      <c r="V8551" s="11">
        <v>0.24546367102545438</v>
      </c>
      <c r="W8551" s="11">
        <v>0.01472755579079086</v>
      </c>
      <c r="X8551" s="11">
        <v>0.17144207576998508</v>
      </c>
      <c r="Y8551" s="11">
        <v>0.23517634696009543</v>
      </c>
      <c r="Z8551" s="11">
        <v>0.20818555463986513</v>
      </c>
    </row>
    <row r="8552" ht="22.5" customHeight="1">
      <c r="Q8552" s="9" t="s">
        <v>8590</v>
      </c>
      <c r="R8552" s="10">
        <v>0.637685577220643</v>
      </c>
      <c r="S8552" s="10">
        <v>0.03403062092252328</v>
      </c>
      <c r="T8552" s="10">
        <v>17.56316990458034</v>
      </c>
      <c r="U8552" s="11">
        <v>0.2408250231672255</v>
      </c>
      <c r="V8552" s="11">
        <v>0.0680747374177177</v>
      </c>
      <c r="W8552" s="11">
        <v>0.2987599703334633</v>
      </c>
      <c r="X8552" s="11">
        <v>0.16456859982317895</v>
      </c>
      <c r="Y8552" s="11">
        <v>0.1862778920914288</v>
      </c>
      <c r="Z8552" s="11">
        <v>0.041493777166985636</v>
      </c>
    </row>
    <row r="8553" ht="22.5" customHeight="1">
      <c r="Q8553" s="9" t="s">
        <v>8591</v>
      </c>
      <c r="R8553" s="10">
        <v>0.5272467882861612</v>
      </c>
      <c r="S8553" s="10">
        <v>0.027743018016256955</v>
      </c>
      <c r="T8553" s="10">
        <v>17.562861690124794</v>
      </c>
      <c r="U8553" s="11">
        <v>0.26232326164734004</v>
      </c>
      <c r="V8553" s="11">
        <v>0.06963668893596675</v>
      </c>
      <c r="W8553" s="11">
        <v>0.23945415771447065</v>
      </c>
      <c r="X8553" s="11">
        <v>0.04183024715712091</v>
      </c>
      <c r="Y8553" s="11">
        <v>0.07122971134395002</v>
      </c>
      <c r="Z8553" s="11">
        <v>0.31552593320115174</v>
      </c>
    </row>
    <row r="8554" ht="22.5" customHeight="1">
      <c r="Q8554" s="9" t="s">
        <v>8592</v>
      </c>
      <c r="R8554" s="10">
        <v>0.7756990859451306</v>
      </c>
      <c r="S8554" s="10">
        <v>0.04189257809088292</v>
      </c>
      <c r="T8554" s="10">
        <v>17.56156148588145</v>
      </c>
      <c r="U8554" s="11">
        <v>0.059779682586675986</v>
      </c>
      <c r="V8554" s="11">
        <v>0.09661341411843745</v>
      </c>
      <c r="W8554" s="11">
        <v>0.37087513766568014</v>
      </c>
      <c r="X8554" s="11">
        <v>0.2717380679678077</v>
      </c>
      <c r="Y8554" s="11">
        <v>0.1190474143802679</v>
      </c>
      <c r="Z8554" s="11">
        <v>0.08194628328113075</v>
      </c>
    </row>
    <row r="8555" ht="22.5" customHeight="1">
      <c r="Q8555" s="9" t="s">
        <v>8593</v>
      </c>
      <c r="R8555" s="10">
        <v>0.5176261411331604</v>
      </c>
      <c r="S8555" s="10">
        <v>0.027197615721393942</v>
      </c>
      <c r="T8555" s="10">
        <v>17.56132397875798</v>
      </c>
      <c r="U8555" s="11">
        <v>0.27014798294526476</v>
      </c>
      <c r="V8555" s="11">
        <v>0.05303108894463035</v>
      </c>
      <c r="W8555" s="11">
        <v>0.23033669475354854</v>
      </c>
      <c r="X8555" s="11">
        <v>0.05773917212063303</v>
      </c>
      <c r="Y8555" s="11">
        <v>0.30220005983592635</v>
      </c>
      <c r="Z8555" s="11">
        <v>0.08654500139999692</v>
      </c>
    </row>
    <row r="8556" ht="22.5" customHeight="1">
      <c r="Q8556" s="9" t="s">
        <v>8594</v>
      </c>
      <c r="R8556" s="10">
        <v>0.6137958191627688</v>
      </c>
      <c r="S8556" s="10">
        <v>0.03267813555435025</v>
      </c>
      <c r="T8556" s="10">
        <v>17.559013371752254</v>
      </c>
      <c r="U8556" s="11">
        <v>0.05505133774036421</v>
      </c>
      <c r="V8556" s="11">
        <v>0.30977772297387884</v>
      </c>
      <c r="W8556" s="11">
        <v>0.04562873141109141</v>
      </c>
      <c r="X8556" s="11">
        <v>0.08181163682138885</v>
      </c>
      <c r="Y8556" s="11">
        <v>0.22711503634183589</v>
      </c>
      <c r="Z8556" s="11">
        <v>0.2806155347114409</v>
      </c>
    </row>
    <row r="8557" ht="22.5" customHeight="1">
      <c r="Q8557" s="9" t="s">
        <v>8595</v>
      </c>
      <c r="R8557" s="10">
        <v>0.41901851300583814</v>
      </c>
      <c r="S8557" s="10">
        <v>0.02158665593389833</v>
      </c>
      <c r="T8557" s="10">
        <v>17.558000376086564</v>
      </c>
      <c r="U8557" s="11">
        <v>0.2943304307911829</v>
      </c>
      <c r="V8557" s="11">
        <v>0.029285428374616326</v>
      </c>
      <c r="W8557" s="11">
        <v>0.18344780617652115</v>
      </c>
      <c r="X8557" s="11">
        <v>0.1436255453956786</v>
      </c>
      <c r="Y8557" s="11">
        <v>0.11646904594937935</v>
      </c>
      <c r="Z8557" s="11">
        <v>0.23284174331262175</v>
      </c>
    </row>
    <row r="8558" ht="22.5" customHeight="1">
      <c r="Q8558" s="9" t="s">
        <v>8596</v>
      </c>
      <c r="R8558" s="10">
        <v>0.5464062516312266</v>
      </c>
      <c r="S8558" s="10">
        <v>0.028843245876236184</v>
      </c>
      <c r="T8558" s="10">
        <v>17.557186656597906</v>
      </c>
      <c r="U8558" s="11">
        <v>0.0043698753860902636</v>
      </c>
      <c r="V8558" s="11">
        <v>0.26404959637686726</v>
      </c>
      <c r="W8558" s="11">
        <v>0.0012987524192998848</v>
      </c>
      <c r="X8558" s="11">
        <v>0.5018850049315817</v>
      </c>
      <c r="Y8558" s="11">
        <v>0.08097158040928067</v>
      </c>
      <c r="Z8558" s="11">
        <v>0.14742519047688027</v>
      </c>
    </row>
    <row r="8559" ht="22.5" customHeight="1">
      <c r="Q8559" s="9" t="s">
        <v>8597</v>
      </c>
      <c r="R8559" s="10">
        <v>0.37252312100493234</v>
      </c>
      <c r="S8559" s="10">
        <v>0.018939988111274442</v>
      </c>
      <c r="T8559" s="10">
        <v>17.55666999637612</v>
      </c>
      <c r="U8559" s="11">
        <v>0.2594777012340836</v>
      </c>
      <c r="V8559" s="11">
        <v>0.0266442813136903</v>
      </c>
      <c r="W8559" s="11">
        <v>0.15028118654071695</v>
      </c>
      <c r="X8559" s="11">
        <v>0.07108716258390534</v>
      </c>
      <c r="Y8559" s="11">
        <v>0.2979863462024739</v>
      </c>
      <c r="Z8559" s="11">
        <v>0.19452332212513</v>
      </c>
    </row>
    <row r="8560" ht="22.5" customHeight="1">
      <c r="Q8560" s="9" t="s">
        <v>8598</v>
      </c>
      <c r="R8560" s="10">
        <v>0.4042835432049191</v>
      </c>
      <c r="S8560" s="10">
        <v>0.02074992870741796</v>
      </c>
      <c r="T8560" s="10">
        <v>17.555893725778933</v>
      </c>
      <c r="U8560" s="11">
        <v>0.18705916470309913</v>
      </c>
      <c r="V8560" s="11">
        <v>0.18740023769851824</v>
      </c>
      <c r="W8560" s="11">
        <v>6.241494960960565E-4</v>
      </c>
      <c r="X8560" s="11">
        <v>0.18171602300422932</v>
      </c>
      <c r="Y8560" s="11">
        <v>0.2085549008859537</v>
      </c>
      <c r="Z8560" s="11">
        <v>0.2346455242121037</v>
      </c>
    </row>
    <row r="8561" ht="22.5" customHeight="1">
      <c r="Q8561" s="9" t="s">
        <v>8599</v>
      </c>
      <c r="R8561" s="10">
        <v>0.6268898690252351</v>
      </c>
      <c r="S8561" s="10">
        <v>0.033431813247108935</v>
      </c>
      <c r="T8561" s="10">
        <v>17.554832120150923</v>
      </c>
      <c r="U8561" s="11">
        <v>0.009193424555987912</v>
      </c>
      <c r="V8561" s="11">
        <v>0.07308587580658107</v>
      </c>
      <c r="W8561" s="11">
        <v>0.28744865881822984</v>
      </c>
      <c r="X8561" s="11">
        <v>0.1341518162476295</v>
      </c>
      <c r="Y8561" s="11">
        <v>0.38781928272007593</v>
      </c>
      <c r="Z8561" s="11">
        <v>0.10830094185149568</v>
      </c>
    </row>
    <row r="8562" ht="22.5" customHeight="1">
      <c r="Q8562" s="9" t="s">
        <v>8600</v>
      </c>
      <c r="R8562" s="10">
        <v>0.6635387262746165</v>
      </c>
      <c r="S8562" s="10">
        <v>0.035519729807325845</v>
      </c>
      <c r="T8562" s="10">
        <v>17.554714792509863</v>
      </c>
      <c r="U8562" s="11">
        <v>0.17674752126927257</v>
      </c>
      <c r="V8562" s="11">
        <v>0.3365659475194063</v>
      </c>
      <c r="W8562" s="11">
        <v>0.03154266986552722</v>
      </c>
      <c r="X8562" s="11">
        <v>0.251157702203398</v>
      </c>
      <c r="Y8562" s="11">
        <v>0.13623649009296085</v>
      </c>
      <c r="Z8562" s="11">
        <v>0.06774966904943494</v>
      </c>
    </row>
    <row r="8563" ht="22.5" customHeight="1">
      <c r="Q8563" s="9" t="s">
        <v>8601</v>
      </c>
      <c r="R8563" s="10">
        <v>0.522331348251574</v>
      </c>
      <c r="S8563" s="10">
        <v>0.03857274536430756</v>
      </c>
      <c r="T8563" s="10">
        <v>17.554457477687972</v>
      </c>
      <c r="U8563" s="11">
        <v>0.14330023168295594</v>
      </c>
      <c r="V8563" s="11">
        <v>0.3671884969761102</v>
      </c>
      <c r="W8563" s="11">
        <v>0.07426687212169876</v>
      </c>
      <c r="X8563" s="11">
        <v>0.0488786989342904</v>
      </c>
      <c r="Y8563" s="11">
        <v>0.04681114070492872</v>
      </c>
      <c r="Z8563" s="11">
        <v>0.31955455958001594</v>
      </c>
    </row>
    <row r="8564" ht="22.5" customHeight="1">
      <c r="Q8564" s="9" t="s">
        <v>8602</v>
      </c>
      <c r="R8564" s="10">
        <v>0.49635468792555043</v>
      </c>
      <c r="S8564" s="10">
        <v>0.025996678270429972</v>
      </c>
      <c r="T8564" s="10">
        <v>17.55434610446493</v>
      </c>
      <c r="U8564" s="11">
        <v>0.07196120047706447</v>
      </c>
      <c r="V8564" s="11">
        <v>0.038207948436989485</v>
      </c>
      <c r="W8564" s="11">
        <v>0.22273421312949931</v>
      </c>
      <c r="X8564" s="11">
        <v>0.19313437593495242</v>
      </c>
      <c r="Y8564" s="11">
        <v>0.3044981396885256</v>
      </c>
      <c r="Z8564" s="11">
        <v>0.16946412233296856</v>
      </c>
    </row>
    <row r="8565" ht="22.5" customHeight="1">
      <c r="Q8565" s="9" t="s">
        <v>8603</v>
      </c>
      <c r="R8565" s="10">
        <v>0.59914992630878</v>
      </c>
      <c r="S8565" s="10">
        <v>0.03185329437383422</v>
      </c>
      <c r="T8565" s="10">
        <v>17.553911998756767</v>
      </c>
      <c r="U8565" s="11">
        <v>0.06119088879997747</v>
      </c>
      <c r="V8565" s="11">
        <v>0.06633355238590405</v>
      </c>
      <c r="W8565" s="11">
        <v>0.28108804758975126</v>
      </c>
      <c r="X8565" s="11">
        <v>0.21102530853498289</v>
      </c>
      <c r="Y8565" s="11">
        <v>0.1135292441975612</v>
      </c>
      <c r="Z8565" s="11">
        <v>0.26683295849182304</v>
      </c>
    </row>
    <row r="8566" ht="22.5" customHeight="1">
      <c r="Q8566" s="9" t="s">
        <v>8604</v>
      </c>
      <c r="R8566" s="10">
        <v>0.6430184030982674</v>
      </c>
      <c r="S8566" s="10">
        <v>0.034353239549253754</v>
      </c>
      <c r="T8566" s="10">
        <v>17.55346543762469</v>
      </c>
      <c r="U8566" s="11">
        <v>0.10255264721187085</v>
      </c>
      <c r="V8566" s="11">
        <v>0.32399972540789873</v>
      </c>
      <c r="W8566" s="11">
        <v>0.024253451308462137</v>
      </c>
      <c r="X8566" s="11">
        <v>0.28650572520479445</v>
      </c>
      <c r="Y8566" s="11">
        <v>0.20008717351345978</v>
      </c>
      <c r="Z8566" s="11">
        <v>0.06260127735351399</v>
      </c>
    </row>
    <row r="8567" ht="22.5" customHeight="1">
      <c r="Q8567" s="9" t="s">
        <v>8605</v>
      </c>
      <c r="R8567" s="10">
        <v>0.5044908398812005</v>
      </c>
      <c r="S8567" s="10">
        <v>0.02646167699405668</v>
      </c>
      <c r="T8567" s="10">
        <v>17.553341006525233</v>
      </c>
      <c r="U8567" s="11">
        <v>0.21173997279871784</v>
      </c>
      <c r="V8567" s="11">
        <v>0.24343426006083527</v>
      </c>
      <c r="W8567" s="11">
        <v>0.006873999423706595</v>
      </c>
      <c r="X8567" s="11">
        <v>0.22035378883190362</v>
      </c>
      <c r="Y8567" s="11">
        <v>0.23889107559243963</v>
      </c>
      <c r="Z8567" s="11">
        <v>0.0787069032923971</v>
      </c>
    </row>
    <row r="8568" ht="22.5" customHeight="1">
      <c r="Q8568" s="9" t="s">
        <v>8606</v>
      </c>
      <c r="R8568" s="10">
        <v>0.5016263225025737</v>
      </c>
      <c r="S8568" s="10">
        <v>0.026298676767558614</v>
      </c>
      <c r="T8568" s="10">
        <v>17.55321480934829</v>
      </c>
      <c r="U8568" s="11">
        <v>0.10142539678090756</v>
      </c>
      <c r="V8568" s="11">
        <v>0.2455797941350428</v>
      </c>
      <c r="W8568" s="11">
        <v>0.006399575718498104</v>
      </c>
      <c r="X8568" s="11">
        <v>0.2975716461023376</v>
      </c>
      <c r="Y8568" s="11">
        <v>0.1266980425685337</v>
      </c>
      <c r="Z8568" s="11">
        <v>0.22232554469468024</v>
      </c>
    </row>
    <row r="8569" ht="22.5" customHeight="1">
      <c r="Q8569" s="9" t="s">
        <v>8607</v>
      </c>
      <c r="R8569" s="10">
        <v>0.522331348251574</v>
      </c>
      <c r="S8569" s="10">
        <v>0.026301371241009047</v>
      </c>
      <c r="T8569" s="10">
        <v>17.55248016291058</v>
      </c>
      <c r="U8569" s="11">
        <v>0.10491866217531144</v>
      </c>
      <c r="V8569" s="11">
        <v>0.033625174134450334</v>
      </c>
      <c r="W8569" s="11">
        <v>0.2293794489549891</v>
      </c>
      <c r="X8569" s="11">
        <v>0.27142549940627975</v>
      </c>
      <c r="Y8569" s="11">
        <v>0.1653291323178813</v>
      </c>
      <c r="Z8569" s="11">
        <v>0.19532208301108814</v>
      </c>
    </row>
    <row r="8570" ht="22.5" customHeight="1">
      <c r="Q8570" s="9" t="s">
        <v>8608</v>
      </c>
      <c r="R8570" s="10">
        <v>0.668307260957626</v>
      </c>
      <c r="S8570" s="10">
        <v>0.03579928266084786</v>
      </c>
      <c r="T8570" s="10">
        <v>17.550833822845807</v>
      </c>
      <c r="U8570" s="11">
        <v>0.0987310957970941</v>
      </c>
      <c r="V8570" s="11">
        <v>0.34195042623979954</v>
      </c>
      <c r="W8570" s="11">
        <v>0.04435469173311893</v>
      </c>
      <c r="X8570" s="11">
        <v>0.1911368990469442</v>
      </c>
      <c r="Y8570" s="11">
        <v>0.09951866959864278</v>
      </c>
      <c r="Z8570" s="11">
        <v>0.22430821758440034</v>
      </c>
    </row>
    <row r="8571" ht="22.5" customHeight="1">
      <c r="Q8571" s="9" t="s">
        <v>8609</v>
      </c>
      <c r="R8571" s="10">
        <v>0.8290200432799962</v>
      </c>
      <c r="S8571" s="10">
        <v>0.044959158119348856</v>
      </c>
      <c r="T8571" s="10">
        <v>17.549706806908144</v>
      </c>
      <c r="U8571" s="11">
        <v>0.21747446739525672</v>
      </c>
      <c r="V8571" s="11">
        <v>0.14025498162659666</v>
      </c>
      <c r="W8571" s="11">
        <v>0.3924550268586461</v>
      </c>
      <c r="X8571" s="11">
        <v>0.051736841583324165</v>
      </c>
      <c r="Y8571" s="11">
        <v>0.01958427894446539</v>
      </c>
      <c r="Z8571" s="11">
        <v>0.17849440359171093</v>
      </c>
    </row>
    <row r="8572" ht="22.5" customHeight="1">
      <c r="Q8572" s="9" t="s">
        <v>8610</v>
      </c>
      <c r="R8572" s="10">
        <v>0.4113335541100078</v>
      </c>
      <c r="S8572" s="10">
        <v>0.021161288617249918</v>
      </c>
      <c r="T8572" s="10">
        <v>17.547776074813807</v>
      </c>
      <c r="U8572" s="11">
        <v>0.27354396251351376</v>
      </c>
      <c r="V8572" s="11">
        <v>0.016309945659453415</v>
      </c>
      <c r="W8572" s="11">
        <v>0.1768963590673048</v>
      </c>
      <c r="X8572" s="11">
        <v>0.20652147621623665</v>
      </c>
      <c r="Y8572" s="11">
        <v>0.21526581552009957</v>
      </c>
      <c r="Z8572" s="11">
        <v>0.11146244102339181</v>
      </c>
    </row>
    <row r="8573" ht="22.5" customHeight="1">
      <c r="Q8573" s="9" t="s">
        <v>8611</v>
      </c>
      <c r="R8573" s="10">
        <v>0.2528738338229791</v>
      </c>
      <c r="S8573" s="10">
        <v>0.012133210775814555</v>
      </c>
      <c r="T8573" s="10">
        <v>17.544723961056217</v>
      </c>
      <c r="U8573" s="11">
        <v>0.31995432458703915</v>
      </c>
      <c r="V8573" s="11">
        <v>0.07944308454700919</v>
      </c>
      <c r="W8573" s="11">
        <v>0.006285065271367123</v>
      </c>
      <c r="X8573" s="11">
        <v>0.08163067048083382</v>
      </c>
      <c r="Y8573" s="11">
        <v>0.24016112061440748</v>
      </c>
      <c r="Z8573" s="11">
        <v>0.27252573449934314</v>
      </c>
    </row>
    <row r="8574" ht="22.5" customHeight="1">
      <c r="Q8574" s="9" t="s">
        <v>8612</v>
      </c>
      <c r="R8574" s="10">
        <v>0.24936942896333272</v>
      </c>
      <c r="S8574" s="10">
        <v>0.011933638021925394</v>
      </c>
      <c r="T8574" s="10">
        <v>17.54447625934884</v>
      </c>
      <c r="U8574" s="11">
        <v>0.6205312547855836</v>
      </c>
      <c r="V8574" s="11">
        <v>0.04299290749234859</v>
      </c>
      <c r="W8574" s="11">
        <v>0.022713017855851572</v>
      </c>
      <c r="X8574" s="11">
        <v>0.17986646055634725</v>
      </c>
      <c r="Y8574" s="11">
        <v>0.10062216394282979</v>
      </c>
      <c r="Z8574" s="11">
        <v>0.03327419536703927</v>
      </c>
    </row>
    <row r="8575" ht="22.5" customHeight="1">
      <c r="Q8575" s="9" t="s">
        <v>8613</v>
      </c>
      <c r="R8575" s="10">
        <v>0.5683348602414992</v>
      </c>
      <c r="S8575" s="10">
        <v>0.030114234925844037</v>
      </c>
      <c r="T8575" s="10">
        <v>17.54435606757129</v>
      </c>
      <c r="U8575" s="11">
        <v>0.13820245606612472</v>
      </c>
      <c r="V8575" s="11">
        <v>0.05819618396369349</v>
      </c>
      <c r="W8575" s="11">
        <v>0.2622383936756342</v>
      </c>
      <c r="X8575" s="11">
        <v>0.1396160217776388</v>
      </c>
      <c r="Y8575" s="11">
        <v>0.25091633249548434</v>
      </c>
      <c r="Z8575" s="11">
        <v>0.15083061202142456</v>
      </c>
    </row>
    <row r="8576" ht="22.5" customHeight="1">
      <c r="Q8576" s="9" t="s">
        <v>8614</v>
      </c>
      <c r="R8576" s="10">
        <v>0.6811412817960583</v>
      </c>
      <c r="S8576" s="10">
        <v>0.036547710235783695</v>
      </c>
      <c r="T8576" s="10">
        <v>17.54258413618262</v>
      </c>
      <c r="U8576" s="11">
        <v>0.27210870452508135</v>
      </c>
      <c r="V8576" s="11">
        <v>0.07959142856666189</v>
      </c>
      <c r="W8576" s="11">
        <v>0.32265290403037306</v>
      </c>
      <c r="X8576" s="11">
        <v>0.17412166898387507</v>
      </c>
      <c r="Y8576" s="11">
        <v>0.0912553512284662</v>
      </c>
      <c r="Z8576" s="11">
        <v>0.06026994266554245</v>
      </c>
    </row>
    <row r="8577" ht="22.5" customHeight="1">
      <c r="Q8577" s="9" t="s">
        <v>8615</v>
      </c>
      <c r="R8577" s="10">
        <v>0.5180713380727777</v>
      </c>
      <c r="S8577" s="10">
        <v>0.027252237637521413</v>
      </c>
      <c r="T8577" s="10">
        <v>17.542461812917697</v>
      </c>
      <c r="U8577" s="11">
        <v>0.2292961648170088</v>
      </c>
      <c r="V8577" s="11">
        <v>0.05344371325398474</v>
      </c>
      <c r="W8577" s="11">
        <v>0.23659988151119005</v>
      </c>
      <c r="X8577" s="11">
        <v>0.10075692421531324</v>
      </c>
      <c r="Y8577" s="11">
        <v>0.1669997881595756</v>
      </c>
      <c r="Z8577" s="11">
        <v>0.21290352804292742</v>
      </c>
    </row>
    <row r="8578" ht="22.5" customHeight="1">
      <c r="Q8578" s="9" t="s">
        <v>8616</v>
      </c>
      <c r="R8578" s="10">
        <v>0.5494244090293681</v>
      </c>
      <c r="S8578" s="10">
        <v>0.02904127837735822</v>
      </c>
      <c r="T8578" s="10">
        <v>17.54139065126473</v>
      </c>
      <c r="U8578" s="11">
        <v>0.2028323479456252</v>
      </c>
      <c r="V8578" s="11">
        <v>0.058282579065346916</v>
      </c>
      <c r="W8578" s="11">
        <v>0.25341937752566485</v>
      </c>
      <c r="X8578" s="11">
        <v>0.11520797571276535</v>
      </c>
      <c r="Y8578" s="11">
        <v>0.17651639769019148</v>
      </c>
      <c r="Z8578" s="11">
        <v>0.19374132206040626</v>
      </c>
    </row>
    <row r="8579" ht="22.5" customHeight="1">
      <c r="Q8579" s="9" t="s">
        <v>8617</v>
      </c>
      <c r="R8579" s="10">
        <v>0.5817301743982484</v>
      </c>
      <c r="S8579" s="10">
        <v>0.03088362496791012</v>
      </c>
      <c r="T8579" s="10">
        <v>17.541016475920085</v>
      </c>
      <c r="U8579" s="11">
        <v>0.1341565490557305</v>
      </c>
      <c r="V8579" s="11">
        <v>0.29430220937717005</v>
      </c>
      <c r="W8579" s="11">
        <v>0.04120967653547674</v>
      </c>
      <c r="X8579" s="11">
        <v>0.12585357474183587</v>
      </c>
      <c r="Y8579" s="11">
        <v>0.04768174328901589</v>
      </c>
      <c r="Z8579" s="11">
        <v>0.35679624700077084</v>
      </c>
    </row>
    <row r="8580" ht="22.5" customHeight="1">
      <c r="Q8580" s="9" t="s">
        <v>8618</v>
      </c>
      <c r="R8580" s="10">
        <v>0.6215691321570328</v>
      </c>
      <c r="S8580" s="10">
        <v>0.03315484718154475</v>
      </c>
      <c r="T8580" s="10">
        <v>17.540998725542497</v>
      </c>
      <c r="U8580" s="11">
        <v>0.16179319268540915</v>
      </c>
      <c r="V8580" s="11">
        <v>0.31234202882075707</v>
      </c>
      <c r="W8580" s="11">
        <v>0.023488458848645373</v>
      </c>
      <c r="X8580" s="11">
        <v>0.24287552604449306</v>
      </c>
      <c r="Y8580" s="11">
        <v>0.19761504006750846</v>
      </c>
      <c r="Z8580" s="11">
        <v>0.06188575353318693</v>
      </c>
    </row>
    <row r="8581" ht="22.5" customHeight="1">
      <c r="Q8581" s="9" t="s">
        <v>8619</v>
      </c>
      <c r="R8581" s="10">
        <v>0.5998216612529629</v>
      </c>
      <c r="S8581" s="10">
        <v>0.03191698752267268</v>
      </c>
      <c r="T8581" s="10">
        <v>17.539927941359934</v>
      </c>
      <c r="U8581" s="11">
        <v>0.2975249344745754</v>
      </c>
      <c r="V8581" s="11">
        <v>0.2993377543473761</v>
      </c>
      <c r="W8581" s="11">
        <v>0.023894299892079026</v>
      </c>
      <c r="X8581" s="11">
        <v>0.1960355075301196</v>
      </c>
      <c r="Y8581" s="11">
        <v>0.1445386350658417</v>
      </c>
      <c r="Z8581" s="11">
        <v>0.038668868690008205</v>
      </c>
    </row>
    <row r="8582" ht="22.5" customHeight="1">
      <c r="Q8582" s="9" t="s">
        <v>8620</v>
      </c>
      <c r="R8582" s="10">
        <v>0.5344015143283598</v>
      </c>
      <c r="S8582" s="10">
        <v>0.028189163480267267</v>
      </c>
      <c r="T8582" s="10">
        <v>17.538708258386116</v>
      </c>
      <c r="U8582" s="11">
        <v>0.13788859503340473</v>
      </c>
      <c r="V8582" s="11">
        <v>0.04336000013581608</v>
      </c>
      <c r="W8582" s="11">
        <v>0.24446789220662818</v>
      </c>
      <c r="X8582" s="11">
        <v>0.1944661116995199</v>
      </c>
      <c r="Y8582" s="11">
        <v>0.2651048869253015</v>
      </c>
      <c r="Z8582" s="11">
        <v>0.11471251399932961</v>
      </c>
    </row>
    <row r="8583" ht="22.5" customHeight="1">
      <c r="Q8583" s="9" t="s">
        <v>8621</v>
      </c>
      <c r="R8583" s="10">
        <v>0.49712744888478255</v>
      </c>
      <c r="S8583" s="10">
        <v>0.026066363059804643</v>
      </c>
      <c r="T8583" s="10">
        <v>17.537062912688846</v>
      </c>
      <c r="U8583" s="11">
        <v>0.15424284586319625</v>
      </c>
      <c r="V8583" s="11">
        <v>0.24471603470920444</v>
      </c>
      <c r="W8583" s="11">
        <v>0.011336193677832257</v>
      </c>
      <c r="X8583" s="11">
        <v>0.2618737491503893</v>
      </c>
      <c r="Y8583" s="11">
        <v>0.05237966289167</v>
      </c>
      <c r="Z8583" s="11">
        <v>0.27545151370770765</v>
      </c>
    </row>
    <row r="8584" ht="22.5" customHeight="1">
      <c r="Q8584" s="9" t="s">
        <v>8622</v>
      </c>
      <c r="R8584" s="10">
        <v>0.3733204925594567</v>
      </c>
      <c r="S8584" s="10">
        <v>0.019008516941600512</v>
      </c>
      <c r="T8584" s="10">
        <v>17.535323433359405</v>
      </c>
      <c r="U8584" s="11">
        <v>0.030985224590883653</v>
      </c>
      <c r="V8584" s="11">
        <v>0.012902547646896724</v>
      </c>
      <c r="W8584" s="11">
        <v>0.1562387191814943</v>
      </c>
      <c r="X8584" s="11">
        <v>0.2625480319157206</v>
      </c>
      <c r="Y8584" s="11">
        <v>0.24167568218582383</v>
      </c>
      <c r="Z8584" s="11">
        <v>0.2956497944791809</v>
      </c>
    </row>
    <row r="8585" ht="22.5" customHeight="1">
      <c r="Q8585" s="9" t="s">
        <v>8623</v>
      </c>
      <c r="R8585" s="10">
        <v>0.4553834039265409</v>
      </c>
      <c r="S8585" s="10">
        <v>0.02368848726990162</v>
      </c>
      <c r="T8585" s="10">
        <v>17.535243985559323</v>
      </c>
      <c r="U8585" s="11">
        <v>0.16132918194554433</v>
      </c>
      <c r="V8585" s="11">
        <v>0.2170865241492349</v>
      </c>
      <c r="W8585" s="11">
        <v>0.003857481290619206</v>
      </c>
      <c r="X8585" s="11">
        <v>0.20078373853500822</v>
      </c>
      <c r="Y8585" s="11">
        <v>0.2370491794273578</v>
      </c>
      <c r="Z8585" s="11">
        <v>0.17989389465223563</v>
      </c>
    </row>
    <row r="8586" ht="22.5" customHeight="1">
      <c r="Q8586" s="9" t="s">
        <v>8624</v>
      </c>
      <c r="R8586" s="10">
        <v>0.3804247491145971</v>
      </c>
      <c r="S8586" s="10">
        <v>0.019415081637136844</v>
      </c>
      <c r="T8586" s="10">
        <v>17.534036450479732</v>
      </c>
      <c r="U8586" s="11">
        <v>0.3226042012644227</v>
      </c>
      <c r="V8586" s="11">
        <v>0.00905625071107669</v>
      </c>
      <c r="W8586" s="11">
        <v>0.15988747165364314</v>
      </c>
      <c r="X8586" s="11">
        <v>0.23599957434109597</v>
      </c>
      <c r="Y8586" s="11">
        <v>0.1504427724742797</v>
      </c>
      <c r="Z8586" s="11">
        <v>0.1220097295554816</v>
      </c>
    </row>
    <row r="8587" ht="22.5" customHeight="1">
      <c r="Q8587" s="9" t="s">
        <v>8625</v>
      </c>
      <c r="R8587" s="10">
        <v>0.6274854157545131</v>
      </c>
      <c r="S8587" s="10">
        <v>0.03350671596295723</v>
      </c>
      <c r="T8587" s="10">
        <v>17.533363054857343</v>
      </c>
      <c r="U8587" s="11">
        <v>0.15286436798481554</v>
      </c>
      <c r="V8587" s="11">
        <v>0.31301109488161066</v>
      </c>
      <c r="W8587" s="11">
        <v>0.012934285855700226</v>
      </c>
      <c r="X8587" s="11">
        <v>0.43725100534985306</v>
      </c>
      <c r="Y8587" s="11">
        <v>0.04340498979909567</v>
      </c>
      <c r="Z8587" s="11">
        <v>0.040534256128924875</v>
      </c>
    </row>
    <row r="8588" ht="22.5" customHeight="1">
      <c r="Q8588" s="9" t="s">
        <v>8626</v>
      </c>
      <c r="R8588" s="10">
        <v>0.5484227568598107</v>
      </c>
      <c r="S8588" s="10">
        <v>0.02899922595817455</v>
      </c>
      <c r="T8588" s="10">
        <v>17.53228715804713</v>
      </c>
      <c r="U8588" s="11">
        <v>0.060851061568572166</v>
      </c>
      <c r="V8588" s="11">
        <v>0.04926459539589479</v>
      </c>
      <c r="W8588" s="11">
        <v>0.254918058537985</v>
      </c>
      <c r="X8588" s="11">
        <v>0.23931441438153334</v>
      </c>
      <c r="Y8588" s="11">
        <v>0.15405063690450962</v>
      </c>
      <c r="Z8588" s="11">
        <v>0.24160123321150506</v>
      </c>
    </row>
    <row r="8589" ht="22.5" customHeight="1">
      <c r="Q8589" s="9" t="s">
        <v>8627</v>
      </c>
      <c r="R8589" s="10">
        <v>0.8945181890606817</v>
      </c>
      <c r="S8589" s="10">
        <v>0.04874169817497748</v>
      </c>
      <c r="T8589" s="10">
        <v>17.531563754571145</v>
      </c>
      <c r="U8589" s="11">
        <v>0.27391233774013257</v>
      </c>
      <c r="V8589" s="11">
        <v>0.14825377312380847</v>
      </c>
      <c r="W8589" s="11">
        <v>0.4247103004333114</v>
      </c>
      <c r="X8589" s="11">
        <v>0.028916233984342024</v>
      </c>
      <c r="Y8589" s="11">
        <v>0.12292451889292952</v>
      </c>
      <c r="Z8589" s="11">
        <v>0.0012828358254756333</v>
      </c>
    </row>
    <row r="8590" ht="22.5" customHeight="1">
      <c r="Q8590" s="9" t="s">
        <v>8628</v>
      </c>
      <c r="R8590" s="10">
        <v>0.4336041412429121</v>
      </c>
      <c r="S8590" s="10">
        <v>0.02245258580318845</v>
      </c>
      <c r="T8590" s="10">
        <v>17.530459283982207</v>
      </c>
      <c r="U8590" s="11">
        <v>0.2910042979847076</v>
      </c>
      <c r="V8590" s="11">
        <v>0.0427024723925188</v>
      </c>
      <c r="W8590" s="11">
        <v>0.19159617807956245</v>
      </c>
      <c r="X8590" s="11">
        <v>0.11524813337026471</v>
      </c>
      <c r="Y8590" s="11">
        <v>0.013811368289912902</v>
      </c>
      <c r="Z8590" s="11">
        <v>0.3456375498830335</v>
      </c>
    </row>
    <row r="8591" ht="22.5" customHeight="1">
      <c r="Q8591" s="9" t="s">
        <v>8629</v>
      </c>
      <c r="R8591" s="10">
        <v>0.3874428704710874</v>
      </c>
      <c r="S8591" s="10">
        <v>0.01981961355533796</v>
      </c>
      <c r="T8591" s="10">
        <v>17.530254538061445</v>
      </c>
      <c r="U8591" s="11">
        <v>0.10417988717067275</v>
      </c>
      <c r="V8591" s="11">
        <v>0.01840102992542247</v>
      </c>
      <c r="W8591" s="11">
        <v>0.16784480611876035</v>
      </c>
      <c r="X8591" s="11">
        <v>0.2569526392765024</v>
      </c>
      <c r="Y8591" s="11">
        <v>0.10225870095050649</v>
      </c>
      <c r="Z8591" s="11">
        <v>0.3503629365581355</v>
      </c>
    </row>
    <row r="8592" ht="22.5" customHeight="1">
      <c r="Q8592" s="9" t="s">
        <v>8630</v>
      </c>
      <c r="R8592" s="10">
        <v>0.22632825206066784</v>
      </c>
      <c r="S8592" s="10">
        <v>0.010628961976194376</v>
      </c>
      <c r="T8592" s="10">
        <v>17.530239780515362</v>
      </c>
      <c r="U8592" s="11">
        <v>0.17282782702640773</v>
      </c>
      <c r="V8592" s="11">
        <v>0.001365726962548061</v>
      </c>
      <c r="W8592" s="11">
        <v>0.03367460835819182</v>
      </c>
      <c r="X8592" s="11">
        <v>0.3680978081685595</v>
      </c>
      <c r="Y8592" s="11">
        <v>0.30459053205722225</v>
      </c>
      <c r="Z8592" s="11">
        <v>0.1194434974270706</v>
      </c>
    </row>
    <row r="8593" ht="22.5" customHeight="1">
      <c r="Q8593" s="9" t="s">
        <v>8631</v>
      </c>
      <c r="R8593" s="10">
        <v>0.5147446886521456</v>
      </c>
      <c r="S8593" s="10">
        <v>0.027086815194789546</v>
      </c>
      <c r="T8593" s="10">
        <v>17.526781396709502</v>
      </c>
      <c r="U8593" s="11">
        <v>0.2552550867297216</v>
      </c>
      <c r="V8593" s="11">
        <v>0.2526704855362133</v>
      </c>
      <c r="W8593" s="11">
        <v>0.01495945689073638</v>
      </c>
      <c r="X8593" s="11">
        <v>0.17125777677814216</v>
      </c>
      <c r="Y8593" s="11">
        <v>0.15652017465757764</v>
      </c>
      <c r="Z8593" s="11">
        <v>0.149337019407609</v>
      </c>
    </row>
    <row r="8594" ht="22.5" customHeight="1">
      <c r="Q8594" s="9" t="s">
        <v>8632</v>
      </c>
      <c r="R8594" s="10">
        <v>0.606448426347861</v>
      </c>
      <c r="S8594" s="10">
        <v>0.032319694325424246</v>
      </c>
      <c r="T8594" s="10">
        <v>17.526416575736764</v>
      </c>
      <c r="U8594" s="11">
        <v>0.1660530480349233</v>
      </c>
      <c r="V8594" s="11">
        <v>0.05192703433919371</v>
      </c>
      <c r="W8594" s="11">
        <v>0.284313406676986</v>
      </c>
      <c r="X8594" s="11">
        <v>0.25426452826184365</v>
      </c>
      <c r="Y8594" s="11">
        <v>0.1926358519762794</v>
      </c>
      <c r="Z8594" s="11">
        <v>0.050806130710773896</v>
      </c>
    </row>
    <row r="8595" ht="22.5" customHeight="1">
      <c r="Q8595" s="9" t="s">
        <v>8633</v>
      </c>
      <c r="R8595" s="10">
        <v>0.5891634966738565</v>
      </c>
      <c r="S8595" s="10">
        <v>0.03133529864578217</v>
      </c>
      <c r="T8595" s="10">
        <v>17.52539533392242</v>
      </c>
      <c r="U8595" s="11">
        <v>0.0751152851070946</v>
      </c>
      <c r="V8595" s="11">
        <v>0.2970335850728402</v>
      </c>
      <c r="W8595" s="11">
        <v>0.023264399332852678</v>
      </c>
      <c r="X8595" s="11">
        <v>0.2394474837864984</v>
      </c>
      <c r="Y8595" s="11">
        <v>0.16480573321398226</v>
      </c>
      <c r="Z8595" s="11">
        <v>0.20033351348673198</v>
      </c>
    </row>
    <row r="8596" ht="22.5" customHeight="1">
      <c r="Q8596" s="9" t="s">
        <v>8634</v>
      </c>
      <c r="R8596" s="10">
        <v>0.6263131567961063</v>
      </c>
      <c r="S8596" s="10">
        <v>0.03345575890069581</v>
      </c>
      <c r="T8596" s="10">
        <v>17.525029354031847</v>
      </c>
      <c r="U8596" s="11">
        <v>0.11794395236155619</v>
      </c>
      <c r="V8596" s="11">
        <v>0.06381369321138801</v>
      </c>
      <c r="W8596" s="11">
        <v>0.29556685177226344</v>
      </c>
      <c r="X8596" s="11">
        <v>0.22658403117679543</v>
      </c>
      <c r="Y8596" s="11">
        <v>0.1545766914317347</v>
      </c>
      <c r="Z8596" s="11">
        <v>0.14151478004626214</v>
      </c>
    </row>
    <row r="8597" ht="22.5" customHeight="1">
      <c r="Q8597" s="9" t="s">
        <v>8635</v>
      </c>
      <c r="R8597" s="10">
        <v>0.4744854351660063</v>
      </c>
      <c r="S8597" s="10">
        <v>0.024793710268259758</v>
      </c>
      <c r="T8597" s="10">
        <v>17.524018408903604</v>
      </c>
      <c r="U8597" s="11">
        <v>0.13143535044242516</v>
      </c>
      <c r="V8597" s="11">
        <v>0.02828699246908807</v>
      </c>
      <c r="W8597" s="11">
        <v>0.21423495050348934</v>
      </c>
      <c r="X8597" s="11">
        <v>0.24214611463240918</v>
      </c>
      <c r="Y8597" s="11">
        <v>0.20921390511065632</v>
      </c>
      <c r="Z8597" s="11">
        <v>0.17468268684193183</v>
      </c>
    </row>
    <row r="8598" ht="22.5" customHeight="1">
      <c r="Q8598" s="9" t="s">
        <v>8636</v>
      </c>
      <c r="R8598" s="10">
        <v>0.21572058341844214</v>
      </c>
      <c r="S8598" s="10">
        <v>0.010028073016771347</v>
      </c>
      <c r="T8598" s="10">
        <v>17.522866369696356</v>
      </c>
      <c r="U8598" s="11">
        <v>0.2809688682121369</v>
      </c>
      <c r="V8598" s="11">
        <v>0.005453859403290832</v>
      </c>
      <c r="W8598" s="11">
        <v>0.030583483120038994</v>
      </c>
      <c r="X8598" s="11">
        <v>0.27955770031282456</v>
      </c>
      <c r="Y8598" s="11">
        <v>0.26289575310914537</v>
      </c>
      <c r="Z8598" s="11">
        <v>0.14054033584256337</v>
      </c>
    </row>
    <row r="8599" ht="22.5" customHeight="1">
      <c r="Q8599" s="9" t="s">
        <v>8637</v>
      </c>
      <c r="R8599" s="10">
        <v>0.522331348251574</v>
      </c>
      <c r="S8599" s="10">
        <v>0.03284221458352278</v>
      </c>
      <c r="T8599" s="10">
        <v>17.5224148622515</v>
      </c>
      <c r="U8599" s="11">
        <v>0.11226486501515373</v>
      </c>
      <c r="V8599" s="11">
        <v>0.06281782985692817</v>
      </c>
      <c r="W8599" s="11">
        <v>0.2842943981627265</v>
      </c>
      <c r="X8599" s="11">
        <v>0.158113667744797</v>
      </c>
      <c r="Y8599" s="11">
        <v>0.34303395235540063</v>
      </c>
      <c r="Z8599" s="11">
        <v>0.039475286864993964</v>
      </c>
    </row>
    <row r="8600" ht="22.5" customHeight="1">
      <c r="Q8600" s="9" t="s">
        <v>8638</v>
      </c>
      <c r="R8600" s="10">
        <v>0.7029536513314072</v>
      </c>
      <c r="S8600" s="10">
        <v>0.03783528457015199</v>
      </c>
      <c r="T8600" s="10">
        <v>17.522100305660366</v>
      </c>
      <c r="U8600" s="11">
        <v>0.193113306304278</v>
      </c>
      <c r="V8600" s="11">
        <v>0.10146816899977461</v>
      </c>
      <c r="W8600" s="11">
        <v>0.33200242051677853</v>
      </c>
      <c r="X8600" s="11">
        <v>0.07675437754885121</v>
      </c>
      <c r="Y8600" s="11">
        <v>0.1057325606239666</v>
      </c>
      <c r="Z8600" s="11">
        <v>0.19092916600635118</v>
      </c>
    </row>
    <row r="8601" ht="22.5" customHeight="1">
      <c r="Q8601" s="9" t="s">
        <v>8639</v>
      </c>
      <c r="R8601" s="10">
        <v>0.5525110462868</v>
      </c>
      <c r="S8601" s="10">
        <v>0.02925021153924103</v>
      </c>
      <c r="T8601" s="10">
        <v>17.52161845391216</v>
      </c>
      <c r="U8601" s="11">
        <v>0.094557987075415</v>
      </c>
      <c r="V8601" s="11">
        <v>0.272076817341514</v>
      </c>
      <c r="W8601" s="11">
        <v>0.010223509097392445</v>
      </c>
      <c r="X8601" s="11">
        <v>0.2729886620981763</v>
      </c>
      <c r="Y8601" s="11">
        <v>0.25638269687570286</v>
      </c>
      <c r="Z8601" s="11">
        <v>0.09377032751179935</v>
      </c>
    </row>
    <row r="8602" ht="22.5" customHeight="1">
      <c r="Q8602" s="9" t="s">
        <v>8640</v>
      </c>
      <c r="R8602" s="10">
        <v>0.6819180113626329</v>
      </c>
      <c r="S8602" s="10">
        <v>0.036638498302157055</v>
      </c>
      <c r="T8602" s="10">
        <v>17.52031445363143</v>
      </c>
      <c r="U8602" s="11">
        <v>0.10160322301432254</v>
      </c>
      <c r="V8602" s="11">
        <v>0.3494156936063881</v>
      </c>
      <c r="W8602" s="11">
        <v>0.03716942399496113</v>
      </c>
      <c r="X8602" s="11">
        <v>0.2936350778415547</v>
      </c>
      <c r="Y8602" s="11">
        <v>0.038249062052894536</v>
      </c>
      <c r="Z8602" s="11">
        <v>0.1799275194898789</v>
      </c>
    </row>
    <row r="8603" ht="22.5" customHeight="1">
      <c r="Q8603" s="9" t="s">
        <v>8641</v>
      </c>
      <c r="R8603" s="10">
        <v>0.5798558923297072</v>
      </c>
      <c r="S8603" s="10">
        <v>0.030813482022843723</v>
      </c>
      <c r="T8603" s="10">
        <v>17.520119664810437</v>
      </c>
      <c r="U8603" s="11">
        <v>0.26339180786597494</v>
      </c>
      <c r="V8603" s="11">
        <v>0.2914772755683155</v>
      </c>
      <c r="W8603" s="11">
        <v>0.027490122330732444</v>
      </c>
      <c r="X8603" s="11">
        <v>0.20230523181401858</v>
      </c>
      <c r="Y8603" s="11">
        <v>0.021190441590896437</v>
      </c>
      <c r="Z8603" s="11">
        <v>0.1941451208300622</v>
      </c>
    </row>
    <row r="8604" ht="22.5" customHeight="1">
      <c r="Q8604" s="9" t="s">
        <v>8642</v>
      </c>
      <c r="R8604" s="10">
        <v>0.6016817518321903</v>
      </c>
      <c r="S8604" s="10">
        <v>0.032059456993892406</v>
      </c>
      <c r="T8604" s="10">
        <v>17.520002036815388</v>
      </c>
      <c r="U8604" s="11">
        <v>0.16288108952244879</v>
      </c>
      <c r="V8604" s="11">
        <v>0.2994419015336791</v>
      </c>
      <c r="W8604" s="11">
        <v>0.04553823180158446</v>
      </c>
      <c r="X8604" s="11">
        <v>0.014028589411789881</v>
      </c>
      <c r="Y8604" s="11">
        <v>0.29840552272176063</v>
      </c>
      <c r="Z8604" s="11">
        <v>0.17970466500873727</v>
      </c>
    </row>
    <row r="8605" ht="22.5" customHeight="1">
      <c r="Q8605" s="9" t="s">
        <v>8643</v>
      </c>
      <c r="R8605" s="10">
        <v>0.5718937036216878</v>
      </c>
      <c r="S8605" s="10">
        <v>0.030359449859281375</v>
      </c>
      <c r="T8605" s="10">
        <v>17.519872925466707</v>
      </c>
      <c r="U8605" s="11">
        <v>0.22505420455095393</v>
      </c>
      <c r="V8605" s="11">
        <v>0.057451352130733185</v>
      </c>
      <c r="W8605" s="11">
        <v>0.26273556149503885</v>
      </c>
      <c r="X8605" s="11">
        <v>0.11333629133780129</v>
      </c>
      <c r="Y8605" s="11">
        <v>0.27411213316933386</v>
      </c>
      <c r="Z8605" s="11">
        <v>0.06731045731613874</v>
      </c>
    </row>
    <row r="8606" ht="22.5" customHeight="1">
      <c r="Q8606" s="9" t="s">
        <v>8644</v>
      </c>
      <c r="R8606" s="10">
        <v>0.8225743583545856</v>
      </c>
      <c r="S8606" s="10">
        <v>0.044670803215993725</v>
      </c>
      <c r="T8606" s="10">
        <v>17.518699061009862</v>
      </c>
      <c r="U8606" s="11">
        <v>0.02023583839734556</v>
      </c>
      <c r="V8606" s="11">
        <v>0.11744221607170137</v>
      </c>
      <c r="W8606" s="11">
        <v>0.3939611781381905</v>
      </c>
      <c r="X8606" s="11">
        <v>0.19274528820339057</v>
      </c>
      <c r="Y8606" s="11">
        <v>0.15018458525930306</v>
      </c>
      <c r="Z8606" s="11">
        <v>0.12543089393006887</v>
      </c>
    </row>
    <row r="8607" ht="22.5" customHeight="1">
      <c r="Q8607" s="9" t="s">
        <v>8645</v>
      </c>
      <c r="R8607" s="10">
        <v>0.3895784562014945</v>
      </c>
      <c r="S8607" s="10">
        <v>0.019955442365286045</v>
      </c>
      <c r="T8607" s="10">
        <v>17.517950732558646</v>
      </c>
      <c r="U8607" s="11">
        <v>0.14259707760004076</v>
      </c>
      <c r="V8607" s="11">
        <v>0.01764378571288906</v>
      </c>
      <c r="W8607" s="11">
        <v>0.16176599838809283</v>
      </c>
      <c r="X8607" s="11">
        <v>0.1783745152152245</v>
      </c>
      <c r="Y8607" s="11">
        <v>0.332574265906901</v>
      </c>
      <c r="Z8607" s="11">
        <v>0.1670443571768519</v>
      </c>
    </row>
    <row r="8608" ht="22.5" customHeight="1">
      <c r="Q8608" s="9" t="s">
        <v>8646</v>
      </c>
      <c r="R8608" s="10">
        <v>0.6127830284801816</v>
      </c>
      <c r="S8608" s="10">
        <v>0.0326981138826089</v>
      </c>
      <c r="T8608" s="10">
        <v>17.517310953670236</v>
      </c>
      <c r="U8608" s="11">
        <v>0.051564480216932516</v>
      </c>
      <c r="V8608" s="11">
        <v>0.048675325013294996</v>
      </c>
      <c r="W8608" s="11">
        <v>0.2883810791089418</v>
      </c>
      <c r="X8608" s="11">
        <v>0.3973360587563807</v>
      </c>
      <c r="Y8608" s="11">
        <v>0.07116823758685821</v>
      </c>
      <c r="Z8608" s="11">
        <v>0.14287481931759183</v>
      </c>
    </row>
    <row r="8609" ht="22.5" customHeight="1">
      <c r="Q8609" s="9" t="s">
        <v>8647</v>
      </c>
      <c r="R8609" s="10">
        <v>0.4738363496412072</v>
      </c>
      <c r="S8609" s="10">
        <v>0.024766405272491996</v>
      </c>
      <c r="T8609" s="10">
        <v>17.517130357350183</v>
      </c>
      <c r="U8609" s="11">
        <v>0.02247393060211576</v>
      </c>
      <c r="V8609" s="11">
        <v>0.22713351342077598</v>
      </c>
      <c r="W8609" s="11">
        <v>0.0010266683638543953</v>
      </c>
      <c r="X8609" s="11">
        <v>0.29046099219170735</v>
      </c>
      <c r="Y8609" s="11">
        <v>0.25661023868516003</v>
      </c>
      <c r="Z8609" s="11">
        <v>0.20229465673638644</v>
      </c>
    </row>
    <row r="8610" ht="22.5" customHeight="1">
      <c r="Q8610" s="9" t="s">
        <v>8648</v>
      </c>
      <c r="R8610" s="10">
        <v>0.7639233302158717</v>
      </c>
      <c r="S8610" s="10">
        <v>0.04132790642912246</v>
      </c>
      <c r="T8610" s="10">
        <v>17.516573975442075</v>
      </c>
      <c r="U8610" s="11">
        <v>0.006823199461591741</v>
      </c>
      <c r="V8610" s="11">
        <v>0.38890853572208106</v>
      </c>
      <c r="W8610" s="11">
        <v>0.07191933399307837</v>
      </c>
      <c r="X8610" s="11">
        <v>0.03746217241311405</v>
      </c>
      <c r="Y8610" s="11">
        <v>0.36035258529400394</v>
      </c>
      <c r="Z8610" s="11">
        <v>0.1345341731161309</v>
      </c>
    </row>
    <row r="8611" ht="22.5" customHeight="1">
      <c r="Q8611" s="9" t="s">
        <v>8649</v>
      </c>
      <c r="R8611" s="10">
        <v>0.47907509316715524</v>
      </c>
      <c r="S8611" s="10">
        <v>0.02506703009198336</v>
      </c>
      <c r="T8611" s="10">
        <v>17.51603965671127</v>
      </c>
      <c r="U8611" s="11">
        <v>0.09950741637009963</v>
      </c>
      <c r="V8611" s="11">
        <v>0.2305634503597693</v>
      </c>
      <c r="W8611" s="11">
        <v>0.006076822690290873</v>
      </c>
      <c r="X8611" s="11">
        <v>0.2116572735666972</v>
      </c>
      <c r="Y8611" s="11">
        <v>0.27785588549560414</v>
      </c>
      <c r="Z8611" s="11">
        <v>0.174339151517539</v>
      </c>
    </row>
    <row r="8612" ht="22.5" customHeight="1">
      <c r="Q8612" s="9" t="s">
        <v>8650</v>
      </c>
      <c r="R8612" s="10">
        <v>0.4733036247538503</v>
      </c>
      <c r="S8612" s="10">
        <v>0.024737581244477575</v>
      </c>
      <c r="T8612" s="10">
        <v>17.516006131382838</v>
      </c>
      <c r="U8612" s="11">
        <v>0.27310438102251766</v>
      </c>
      <c r="V8612" s="11">
        <v>0.038848505893868936</v>
      </c>
      <c r="W8612" s="11">
        <v>0.2094308942821902</v>
      </c>
      <c r="X8612" s="11">
        <v>0.09848687426495815</v>
      </c>
      <c r="Y8612" s="11">
        <v>0.2686668411081896</v>
      </c>
      <c r="Z8612" s="11">
        <v>0.1114625034282754</v>
      </c>
    </row>
    <row r="8613" ht="22.5" customHeight="1">
      <c r="Q8613" s="9" t="s">
        <v>8651</v>
      </c>
      <c r="R8613" s="10">
        <v>0.6281833620015687</v>
      </c>
      <c r="S8613" s="10">
        <v>0.03358065029824852</v>
      </c>
      <c r="T8613" s="10">
        <v>17.5155441237017</v>
      </c>
      <c r="U8613" s="11">
        <v>0.2223822243838757</v>
      </c>
      <c r="V8613" s="11">
        <v>0.3171257848186948</v>
      </c>
      <c r="W8613" s="11">
        <v>0.023080489639263388</v>
      </c>
      <c r="X8613" s="11">
        <v>0.27774829913433186</v>
      </c>
      <c r="Y8613" s="11">
        <v>0.092483669426609</v>
      </c>
      <c r="Z8613" s="11">
        <v>0.06717953259722519</v>
      </c>
    </row>
    <row r="8614" ht="22.5" customHeight="1">
      <c r="Q8614" s="9" t="s">
        <v>8652</v>
      </c>
      <c r="R8614" s="10">
        <v>0.7401450689099023</v>
      </c>
      <c r="S8614" s="10">
        <v>0.0399728788219743</v>
      </c>
      <c r="T8614" s="10">
        <v>17.515502749454498</v>
      </c>
      <c r="U8614" s="11">
        <v>0.23929166809099164</v>
      </c>
      <c r="V8614" s="11">
        <v>0.37956753738300014</v>
      </c>
      <c r="W8614" s="11">
        <v>0.04532018408173096</v>
      </c>
      <c r="X8614" s="11">
        <v>0.22601985669209632</v>
      </c>
      <c r="Y8614" s="11">
        <v>0.10155719916595544</v>
      </c>
      <c r="Z8614" s="11">
        <v>0.00824355458622526</v>
      </c>
    </row>
    <row r="8615" ht="22.5" customHeight="1">
      <c r="Q8615" s="9" t="s">
        <v>8653</v>
      </c>
      <c r="R8615" s="10">
        <v>0.6717744919948891</v>
      </c>
      <c r="S8615" s="10">
        <v>0.03606992091745478</v>
      </c>
      <c r="T8615" s="10">
        <v>17.515272446554324</v>
      </c>
      <c r="U8615" s="11">
        <v>0.009359725393549055</v>
      </c>
      <c r="V8615" s="11">
        <v>0.06365390125928397</v>
      </c>
      <c r="W8615" s="11">
        <v>0.3172290497240749</v>
      </c>
      <c r="X8615" s="11">
        <v>0.3143087201681772</v>
      </c>
      <c r="Y8615" s="11">
        <v>0.23868708247415688</v>
      </c>
      <c r="Z8615" s="11">
        <v>0.056761520980758054</v>
      </c>
    </row>
    <row r="8616" ht="22.5" customHeight="1">
      <c r="Q8616" s="9" t="s">
        <v>8654</v>
      </c>
      <c r="R8616" s="10">
        <v>0.6454748950861671</v>
      </c>
      <c r="S8616" s="10">
        <v>0.034570724448295016</v>
      </c>
      <c r="T8616" s="10">
        <v>17.51409334773221</v>
      </c>
      <c r="U8616" s="11">
        <v>0.19471684295001143</v>
      </c>
      <c r="V8616" s="11">
        <v>0.32795150866636424</v>
      </c>
      <c r="W8616" s="11">
        <v>0.031020256101237705</v>
      </c>
      <c r="X8616" s="11">
        <v>0.22340994264709665</v>
      </c>
      <c r="Y8616" s="11">
        <v>0.12250940876668585</v>
      </c>
      <c r="Z8616" s="11">
        <v>0.10039204086860419</v>
      </c>
    </row>
    <row r="8617" ht="22.5" customHeight="1">
      <c r="Q8617" s="9" t="s">
        <v>8655</v>
      </c>
      <c r="R8617" s="10">
        <v>0.6154549955613241</v>
      </c>
      <c r="S8617" s="10">
        <v>0.0328568862475429</v>
      </c>
      <c r="T8617" s="10">
        <v>17.513984472717883</v>
      </c>
      <c r="U8617" s="11">
        <v>0.06684508184573804</v>
      </c>
      <c r="V8617" s="11">
        <v>0.3109102454829043</v>
      </c>
      <c r="W8617" s="11">
        <v>0.020506157319351064</v>
      </c>
      <c r="X8617" s="11">
        <v>0.3181750003245625</v>
      </c>
      <c r="Y8617" s="11">
        <v>0.13037181179393664</v>
      </c>
      <c r="Z8617" s="11">
        <v>0.1531917032335074</v>
      </c>
    </row>
    <row r="8618" ht="22.5" customHeight="1">
      <c r="Q8618" s="9" t="s">
        <v>8656</v>
      </c>
      <c r="R8618" s="10">
        <v>0.522331348251574</v>
      </c>
      <c r="S8618" s="10">
        <v>0.029138450076154232</v>
      </c>
      <c r="T8618" s="10">
        <v>17.50852934427678</v>
      </c>
      <c r="U8618" s="11">
        <v>0.3569405991969489</v>
      </c>
      <c r="V8618" s="11">
        <v>0.26651289201584544</v>
      </c>
      <c r="W8618" s="11">
        <v>0.03497233665933538</v>
      </c>
      <c r="X8618" s="11">
        <v>0.006828950054039048</v>
      </c>
      <c r="Y8618" s="11">
        <v>0.2657993990961462</v>
      </c>
      <c r="Z8618" s="11">
        <v>0.06894582297768512</v>
      </c>
    </row>
    <row r="8619" ht="22.5" customHeight="1">
      <c r="Q8619" s="9" t="s">
        <v>8657</v>
      </c>
      <c r="R8619" s="10">
        <v>0.5949994078043793</v>
      </c>
      <c r="S8619" s="10">
        <v>0.03170131425314579</v>
      </c>
      <c r="T8619" s="10">
        <v>17.50714192391268</v>
      </c>
      <c r="U8619" s="11">
        <v>0.1720410618208986</v>
      </c>
      <c r="V8619" s="11">
        <v>0.30036537754776516</v>
      </c>
      <c r="W8619" s="11">
        <v>0.03594629829682613</v>
      </c>
      <c r="X8619" s="11">
        <v>0.10666462063298414</v>
      </c>
      <c r="Y8619" s="11">
        <v>0.1730222629498532</v>
      </c>
      <c r="Z8619" s="11">
        <v>0.21196037875167278</v>
      </c>
    </row>
    <row r="8620" ht="22.5" customHeight="1">
      <c r="Q8620" s="9" t="s">
        <v>8658</v>
      </c>
      <c r="R8620" s="10">
        <v>0.5572583942839522</v>
      </c>
      <c r="S8620" s="10">
        <v>0.029548168674657038</v>
      </c>
      <c r="T8620" s="10">
        <v>17.505599077197495</v>
      </c>
      <c r="U8620" s="11">
        <v>0.2452331652545402</v>
      </c>
      <c r="V8620" s="11">
        <v>0.03922432348056799</v>
      </c>
      <c r="W8620" s="11">
        <v>0.2586064426987088</v>
      </c>
      <c r="X8620" s="11">
        <v>0.25484314066910485</v>
      </c>
      <c r="Y8620" s="11">
        <v>0.1712652353857278</v>
      </c>
      <c r="Z8620" s="11">
        <v>0.030827692511350355</v>
      </c>
    </row>
    <row r="8621" ht="22.5" customHeight="1">
      <c r="Q8621" s="9" t="s">
        <v>8659</v>
      </c>
      <c r="R8621" s="10">
        <v>0.48452804766195146</v>
      </c>
      <c r="S8621" s="10">
        <v>0.025394877098079086</v>
      </c>
      <c r="T8621" s="10">
        <v>17.504634731844256</v>
      </c>
      <c r="U8621" s="11">
        <v>0.19553582448124812</v>
      </c>
      <c r="V8621" s="11">
        <v>0.23479108540012616</v>
      </c>
      <c r="W8621" s="11">
        <v>0.017882735538782942</v>
      </c>
      <c r="X8621" s="11">
        <v>0.09591642185924802</v>
      </c>
      <c r="Y8621" s="11">
        <v>0.25089157821164954</v>
      </c>
      <c r="Z8621" s="11">
        <v>0.20498235450894525</v>
      </c>
    </row>
    <row r="8622" ht="22.5" customHeight="1">
      <c r="Q8622" s="9" t="s">
        <v>8660</v>
      </c>
      <c r="R8622" s="10">
        <v>0.2760384877368606</v>
      </c>
      <c r="S8622" s="10">
        <v>0.013484675447326195</v>
      </c>
      <c r="T8622" s="10">
        <v>17.504202356139274</v>
      </c>
      <c r="U8622" s="11">
        <v>0.27222639124551057</v>
      </c>
      <c r="V8622" s="11">
        <v>0.10291038057786275</v>
      </c>
      <c r="W8622" s="11">
        <v>0.01900609067180692</v>
      </c>
      <c r="X8622" s="11">
        <v>0.014356570652756761</v>
      </c>
      <c r="Y8622" s="11">
        <v>0.12123307870846044</v>
      </c>
      <c r="Z8622" s="11">
        <v>0.47026748814360253</v>
      </c>
    </row>
    <row r="8623" ht="22.5" customHeight="1">
      <c r="Q8623" s="9" t="s">
        <v>8661</v>
      </c>
      <c r="R8623" s="10">
        <v>0.7334519070212371</v>
      </c>
      <c r="S8623" s="10">
        <v>0.039620864143866244</v>
      </c>
      <c r="T8623" s="10">
        <v>17.50219037382079</v>
      </c>
      <c r="U8623" s="11">
        <v>0.12712961136647552</v>
      </c>
      <c r="V8623" s="11">
        <v>0.08254216126794214</v>
      </c>
      <c r="W8623" s="11">
        <v>0.34984021628346945</v>
      </c>
      <c r="X8623" s="11">
        <v>0.2310418444760512</v>
      </c>
      <c r="Y8623" s="11">
        <v>0.207460915133467</v>
      </c>
      <c r="Z8623" s="11">
        <v>0.0019852514725947354</v>
      </c>
    </row>
    <row r="8624" ht="22.5" customHeight="1">
      <c r="Q8624" s="9" t="s">
        <v>8662</v>
      </c>
      <c r="R8624" s="10">
        <v>0.44915491078814496</v>
      </c>
      <c r="S8624" s="10">
        <v>0.023377641933274334</v>
      </c>
      <c r="T8624" s="10">
        <v>17.50197526149027</v>
      </c>
      <c r="U8624" s="11">
        <v>0.17891552968169383</v>
      </c>
      <c r="V8624" s="11">
        <v>0.013032844483769065</v>
      </c>
      <c r="W8624" s="11">
        <v>0.19810553360184188</v>
      </c>
      <c r="X8624" s="11">
        <v>0.3173078709774511</v>
      </c>
      <c r="Y8624" s="11">
        <v>0.22094457767026707</v>
      </c>
      <c r="Z8624" s="11">
        <v>0.07169364358497697</v>
      </c>
    </row>
    <row r="8625" ht="22.5" customHeight="1">
      <c r="Q8625" s="9" t="s">
        <v>8663</v>
      </c>
      <c r="R8625" s="10">
        <v>0.5983083071178478</v>
      </c>
      <c r="S8625" s="10">
        <v>0.03190064823025022</v>
      </c>
      <c r="T8625" s="10">
        <v>17.501472167215223</v>
      </c>
      <c r="U8625" s="11">
        <v>0.12629334761648134</v>
      </c>
      <c r="V8625" s="11">
        <v>0.05813045140320604</v>
      </c>
      <c r="W8625" s="11">
        <v>0.28248048451119645</v>
      </c>
      <c r="X8625" s="11">
        <v>0.29227216460208333</v>
      </c>
      <c r="Y8625" s="11">
        <v>0.006978721509957189</v>
      </c>
      <c r="Z8625" s="11">
        <v>0.23384483035707565</v>
      </c>
    </row>
    <row r="8626" ht="22.5" customHeight="1">
      <c r="Q8626" s="9" t="s">
        <v>8664</v>
      </c>
      <c r="R8626" s="10">
        <v>0.6412669732392469</v>
      </c>
      <c r="S8626" s="10">
        <v>0.034356823062835135</v>
      </c>
      <c r="T8626" s="10">
        <v>17.500656918702603</v>
      </c>
      <c r="U8626" s="11">
        <v>0.17504834957948467</v>
      </c>
      <c r="V8626" s="11">
        <v>0.32576368558997637</v>
      </c>
      <c r="W8626" s="11">
        <v>0.029764712608942305</v>
      </c>
      <c r="X8626" s="11">
        <v>0.22038331420514032</v>
      </c>
      <c r="Y8626" s="11">
        <v>0.14882575632860615</v>
      </c>
      <c r="Z8626" s="11">
        <v>0.10021418168784998</v>
      </c>
    </row>
    <row r="8627" ht="22.5" customHeight="1">
      <c r="Q8627" s="9" t="s">
        <v>8665</v>
      </c>
      <c r="R8627" s="10">
        <v>0.7657843230476927</v>
      </c>
      <c r="S8627" s="10">
        <v>0.041473067785153764</v>
      </c>
      <c r="T8627" s="10">
        <v>17.500135914891345</v>
      </c>
      <c r="U8627" s="11">
        <v>0.2874737736890936</v>
      </c>
      <c r="V8627" s="11">
        <v>0.12403427813445267</v>
      </c>
      <c r="W8627" s="11">
        <v>0.36198634717532785</v>
      </c>
      <c r="X8627" s="11">
        <v>0.03317691263490178</v>
      </c>
      <c r="Y8627" s="11">
        <v>0.014171415512039619</v>
      </c>
      <c r="Z8627" s="11">
        <v>0.1791572728541845</v>
      </c>
    </row>
    <row r="8628" ht="22.5" customHeight="1">
      <c r="Q8628" s="9" t="s">
        <v>8666</v>
      </c>
      <c r="R8628" s="10">
        <v>0.8203090233575339</v>
      </c>
      <c r="S8628" s="10">
        <v>0.04459421173960939</v>
      </c>
      <c r="T8628" s="10">
        <v>17.497988929905205</v>
      </c>
      <c r="U8628" s="11">
        <v>0.14492251181131507</v>
      </c>
      <c r="V8628" s="11">
        <v>0.1255057614247426</v>
      </c>
      <c r="W8628" s="11">
        <v>0.3885853317336104</v>
      </c>
      <c r="X8628" s="11">
        <v>0.04715776564655967</v>
      </c>
      <c r="Y8628" s="11">
        <v>0.25848753710679523</v>
      </c>
      <c r="Z8628" s="11">
        <v>0.03534109227697709</v>
      </c>
    </row>
    <row r="8629" ht="22.5" customHeight="1">
      <c r="Q8629" s="9" t="s">
        <v>8667</v>
      </c>
      <c r="R8629" s="10">
        <v>0.5338015656846538</v>
      </c>
      <c r="S8629" s="10">
        <v>0.028226803761932626</v>
      </c>
      <c r="T8629" s="10">
        <v>17.49406591867149</v>
      </c>
      <c r="U8629" s="11">
        <v>0.20394597763844882</v>
      </c>
      <c r="V8629" s="11">
        <v>0.2662279230685047</v>
      </c>
      <c r="W8629" s="11">
        <v>0.023015041135281883</v>
      </c>
      <c r="X8629" s="11">
        <v>0.1409346404751438</v>
      </c>
      <c r="Y8629" s="11">
        <v>0.1372595085890845</v>
      </c>
      <c r="Z8629" s="11">
        <v>0.22861690909353616</v>
      </c>
    </row>
    <row r="8630" ht="22.5" customHeight="1">
      <c r="Q8630" s="9" t="s">
        <v>8668</v>
      </c>
      <c r="R8630" s="10">
        <v>0.6622848189406669</v>
      </c>
      <c r="S8630" s="10">
        <v>0.03557223886549903</v>
      </c>
      <c r="T8630" s="10">
        <v>17.493552241498396</v>
      </c>
      <c r="U8630" s="11">
        <v>0.3079184868308906</v>
      </c>
      <c r="V8630" s="11">
        <v>0.08149406718480545</v>
      </c>
      <c r="W8630" s="11">
        <v>0.3090173446411957</v>
      </c>
      <c r="X8630" s="11">
        <v>0.06197413731529484</v>
      </c>
      <c r="Y8630" s="11">
        <v>0.23873715766571751</v>
      </c>
      <c r="Z8630" s="11">
        <v>8.588063620959424E-4</v>
      </c>
    </row>
    <row r="8631" ht="22.5" customHeight="1">
      <c r="Q8631" s="9" t="s">
        <v>8669</v>
      </c>
      <c r="R8631" s="10">
        <v>0.48304043186676965</v>
      </c>
      <c r="S8631" s="10">
        <v>0.025328825269909244</v>
      </c>
      <c r="T8631" s="10">
        <v>17.491550719215695</v>
      </c>
      <c r="U8631" s="11">
        <v>0.11976930125327634</v>
      </c>
      <c r="V8631" s="11">
        <v>0.06541325115725682</v>
      </c>
      <c r="W8631" s="11">
        <v>0.21626282263792607</v>
      </c>
      <c r="X8631" s="11">
        <v>0.01835074765712471</v>
      </c>
      <c r="Y8631" s="11">
        <v>0.1525842949114186</v>
      </c>
      <c r="Z8631" s="11">
        <v>0.4276195823829974</v>
      </c>
    </row>
    <row r="8632" ht="22.5" customHeight="1">
      <c r="Q8632" s="9" t="s">
        <v>8670</v>
      </c>
      <c r="R8632" s="10">
        <v>0.26657510323128786</v>
      </c>
      <c r="S8632" s="10">
        <v>0.012953674544383231</v>
      </c>
      <c r="T8632" s="10">
        <v>17.491183868714053</v>
      </c>
      <c r="U8632" s="11">
        <v>0.4346148672416439</v>
      </c>
      <c r="V8632" s="11">
        <v>0.08450896256659736</v>
      </c>
      <c r="W8632" s="11">
        <v>0.011961398838048986</v>
      </c>
      <c r="X8632" s="11">
        <v>0.05210191710324876</v>
      </c>
      <c r="Y8632" s="11">
        <v>0.19661795979813634</v>
      </c>
      <c r="Z8632" s="11">
        <v>0.2201948944523247</v>
      </c>
    </row>
    <row r="8633" ht="22.5" customHeight="1">
      <c r="Q8633" s="9" t="s">
        <v>8671</v>
      </c>
      <c r="R8633" s="10">
        <v>0.5369559507602514</v>
      </c>
      <c r="S8633" s="10">
        <v>0.02841196892265791</v>
      </c>
      <c r="T8633" s="10">
        <v>17.491077514305605</v>
      </c>
      <c r="U8633" s="11">
        <v>0.2324678686276796</v>
      </c>
      <c r="V8633" s="11">
        <v>0.04285396744852595</v>
      </c>
      <c r="W8633" s="11">
        <v>0.24978363746284243</v>
      </c>
      <c r="X8633" s="11">
        <v>0.2243548848436749</v>
      </c>
      <c r="Y8633" s="11">
        <v>0.10067092814513966</v>
      </c>
      <c r="Z8633" s="11">
        <v>0.14986871347213737</v>
      </c>
    </row>
    <row r="8634" ht="22.5" customHeight="1">
      <c r="Q8634" s="9" t="s">
        <v>8672</v>
      </c>
      <c r="R8634" s="10">
        <v>0.36740163369620765</v>
      </c>
      <c r="S8634" s="10">
        <v>0.01871878060614986</v>
      </c>
      <c r="T8634" s="10">
        <v>17.490542818192083</v>
      </c>
      <c r="U8634" s="11">
        <v>0.1313041036667886</v>
      </c>
      <c r="V8634" s="11">
        <v>0.16888746171826183</v>
      </c>
      <c r="W8634" s="11">
        <v>0.0013064576141679194</v>
      </c>
      <c r="X8634" s="11">
        <v>0.1666863974899475</v>
      </c>
      <c r="Y8634" s="11">
        <v>0.16251115520043308</v>
      </c>
      <c r="Z8634" s="11">
        <v>0.369304424310401</v>
      </c>
    </row>
    <row r="8635" ht="22.5" customHeight="1">
      <c r="Q8635" s="9" t="s">
        <v>8673</v>
      </c>
      <c r="R8635" s="10">
        <v>0.5409558201143798</v>
      </c>
      <c r="S8635" s="10">
        <v>0.028642442222663544</v>
      </c>
      <c r="T8635" s="10">
        <v>17.48998274029841</v>
      </c>
      <c r="U8635" s="11">
        <v>0.10123059636749504</v>
      </c>
      <c r="V8635" s="11">
        <v>0.2698733526060075</v>
      </c>
      <c r="W8635" s="11">
        <v>0.0154471738301114</v>
      </c>
      <c r="X8635" s="11">
        <v>0.22499918246975395</v>
      </c>
      <c r="Y8635" s="11">
        <v>0.18307316808542157</v>
      </c>
      <c r="Z8635" s="11">
        <v>0.2053765266412106</v>
      </c>
    </row>
    <row r="8636" ht="22.5" customHeight="1">
      <c r="Q8636" s="9" t="s">
        <v>8674</v>
      </c>
      <c r="R8636" s="10">
        <v>0.545097206040218</v>
      </c>
      <c r="S8636" s="10">
        <v>0.028880053268005714</v>
      </c>
      <c r="T8636" s="10">
        <v>17.489483185953176</v>
      </c>
      <c r="U8636" s="11">
        <v>0.020813395495746012</v>
      </c>
      <c r="V8636" s="11">
        <v>0.05025005775076037</v>
      </c>
      <c r="W8636" s="11">
        <v>0.25426873063473393</v>
      </c>
      <c r="X8636" s="11">
        <v>0.2653351835611822</v>
      </c>
      <c r="Y8636" s="11">
        <v>0.09755245150822542</v>
      </c>
      <c r="Z8636" s="11">
        <v>0.31178018104935207</v>
      </c>
    </row>
    <row r="8637" ht="22.5" customHeight="1">
      <c r="Q8637" s="9" t="s">
        <v>8675</v>
      </c>
      <c r="R8637" s="10">
        <v>0.6426108152904793</v>
      </c>
      <c r="S8637" s="10">
        <v>0.03446472538802158</v>
      </c>
      <c r="T8637" s="10">
        <v>17.484857590071503</v>
      </c>
      <c r="U8637" s="11">
        <v>0.22924564376102155</v>
      </c>
      <c r="V8637" s="11">
        <v>0.32247081202603006</v>
      </c>
      <c r="W8637" s="11">
        <v>0.038469360556040194</v>
      </c>
      <c r="X8637" s="11">
        <v>0.09001308419639936</v>
      </c>
      <c r="Y8637" s="11">
        <v>0.28846829475807584</v>
      </c>
      <c r="Z8637" s="11">
        <v>0.03133280470243306</v>
      </c>
    </row>
    <row r="8638" ht="22.5" customHeight="1">
      <c r="Q8638" s="9" t="s">
        <v>8676</v>
      </c>
      <c r="R8638" s="10">
        <v>0.535428685260988</v>
      </c>
      <c r="S8638" s="10">
        <v>0.02833595357539037</v>
      </c>
      <c r="T8638" s="10">
        <v>17.484101388818807</v>
      </c>
      <c r="U8638" s="11">
        <v>0.2288225152607242</v>
      </c>
      <c r="V8638" s="11">
        <v>0.04074881916840999</v>
      </c>
      <c r="W8638" s="11">
        <v>0.24414029262725156</v>
      </c>
      <c r="X8638" s="11">
        <v>0.17482923425625652</v>
      </c>
      <c r="Y8638" s="11">
        <v>0.28569932640222623</v>
      </c>
      <c r="Z8638" s="11">
        <v>0.02575981228513143</v>
      </c>
    </row>
    <row r="8639" ht="22.5" customHeight="1">
      <c r="Q8639" s="9" t="s">
        <v>8677</v>
      </c>
      <c r="R8639" s="10">
        <v>0.425280879021</v>
      </c>
      <c r="S8639" s="10">
        <v>0.022036458468653517</v>
      </c>
      <c r="T8639" s="10">
        <v>17.483793031854706</v>
      </c>
      <c r="U8639" s="11">
        <v>0.1976936684108697</v>
      </c>
      <c r="V8639" s="11">
        <v>0.01700208335582289</v>
      </c>
      <c r="W8639" s="11">
        <v>0.18486696399004937</v>
      </c>
      <c r="X8639" s="11">
        <v>0.2216344639796839</v>
      </c>
      <c r="Y8639" s="11">
        <v>0.26547293941431416</v>
      </c>
      <c r="Z8639" s="11">
        <v>0.11332988084925995</v>
      </c>
    </row>
    <row r="8640" ht="22.5" customHeight="1">
      <c r="Q8640" s="9" t="s">
        <v>8678</v>
      </c>
      <c r="R8640" s="10">
        <v>0.3179812129790828</v>
      </c>
      <c r="S8640" s="10">
        <v>0.01589993135187932</v>
      </c>
      <c r="T8640" s="10">
        <v>17.483170639364197</v>
      </c>
      <c r="U8640" s="11">
        <v>0.4008230144211526</v>
      </c>
      <c r="V8640" s="11">
        <v>0.11391574680127642</v>
      </c>
      <c r="W8640" s="11">
        <v>7.189668813536174E-4</v>
      </c>
      <c r="X8640" s="11">
        <v>0.12123201376747464</v>
      </c>
      <c r="Y8640" s="11">
        <v>0.34448750684218127</v>
      </c>
      <c r="Z8640" s="11">
        <v>0.018822751286561558</v>
      </c>
    </row>
    <row r="8641" ht="22.5" customHeight="1">
      <c r="Q8641" s="9" t="s">
        <v>8679</v>
      </c>
      <c r="R8641" s="10">
        <v>0.6556675781814689</v>
      </c>
      <c r="S8641" s="10">
        <v>0.03522355800966987</v>
      </c>
      <c r="T8641" s="10">
        <v>17.4788582690156</v>
      </c>
      <c r="U8641" s="11">
        <v>0.2617518942190044</v>
      </c>
      <c r="V8641" s="11">
        <v>0.33317837210084905</v>
      </c>
      <c r="W8641" s="11">
        <v>0.033711799003152576</v>
      </c>
      <c r="X8641" s="11">
        <v>0.18233741953948393</v>
      </c>
      <c r="Y8641" s="11">
        <v>0.13856472311753532</v>
      </c>
      <c r="Z8641" s="11">
        <v>0.05045579201997484</v>
      </c>
    </row>
    <row r="8642" ht="22.5" customHeight="1">
      <c r="Q8642" s="9" t="s">
        <v>8680</v>
      </c>
      <c r="R8642" s="10">
        <v>0.5271475898904645</v>
      </c>
      <c r="S8642" s="10">
        <v>0.027871852154687474</v>
      </c>
      <c r="T8642" s="10">
        <v>17.478120477491707</v>
      </c>
      <c r="U8642" s="11">
        <v>0.26771788763971865</v>
      </c>
      <c r="V8642" s="11">
        <v>0.0539921387956973</v>
      </c>
      <c r="W8642" s="11">
        <v>0.23187486170001048</v>
      </c>
      <c r="X8642" s="11">
        <v>0.04076291358578333</v>
      </c>
      <c r="Y8642" s="11">
        <v>0.39598104199070383</v>
      </c>
      <c r="Z8642" s="11">
        <v>0.009671156288086426</v>
      </c>
    </row>
    <row r="8643" ht="22.5" customHeight="1">
      <c r="Q8643" s="9" t="s">
        <v>8681</v>
      </c>
      <c r="R8643" s="10">
        <v>0.44069743761792873</v>
      </c>
      <c r="S8643" s="10">
        <v>0.022926082572244193</v>
      </c>
      <c r="T8643" s="10">
        <v>17.477797890470793</v>
      </c>
      <c r="U8643" s="11">
        <v>0.29115613900282716</v>
      </c>
      <c r="V8643" s="11">
        <v>0.20220638174948058</v>
      </c>
      <c r="W8643" s="11">
        <v>0.0040937113646588265</v>
      </c>
      <c r="X8643" s="11">
        <v>0.1394210269801733</v>
      </c>
      <c r="Y8643" s="11">
        <v>0.3151069660904501</v>
      </c>
      <c r="Z8643" s="11">
        <v>0.04801577481240991</v>
      </c>
    </row>
    <row r="8644" ht="22.5" customHeight="1">
      <c r="Q8644" s="9" t="s">
        <v>8682</v>
      </c>
      <c r="R8644" s="10">
        <v>0.4243897326945591</v>
      </c>
      <c r="S8644" s="10">
        <v>0.02199343424279463</v>
      </c>
      <c r="T8644" s="10">
        <v>17.477476616481155</v>
      </c>
      <c r="U8644" s="11">
        <v>0.2674226528583127</v>
      </c>
      <c r="V8644" s="11">
        <v>0.0091475556026871</v>
      </c>
      <c r="W8644" s="11">
        <v>0.18270001823297397</v>
      </c>
      <c r="X8644" s="11">
        <v>0.2783816019591451</v>
      </c>
      <c r="Y8644" s="11">
        <v>0.2433397364349864</v>
      </c>
      <c r="Z8644" s="11">
        <v>0.019008434911894617</v>
      </c>
    </row>
    <row r="8645" ht="22.5" customHeight="1">
      <c r="Q8645" s="9" t="s">
        <v>8683</v>
      </c>
      <c r="R8645" s="10">
        <v>0.6716010190164032</v>
      </c>
      <c r="S8645" s="10">
        <v>0.03614280572152616</v>
      </c>
      <c r="T8645" s="10">
        <v>17.47515187068696</v>
      </c>
      <c r="U8645" s="11">
        <v>0.2926090922927734</v>
      </c>
      <c r="V8645" s="11">
        <v>0.09379518144888047</v>
      </c>
      <c r="W8645" s="11">
        <v>0.3153483071982683</v>
      </c>
      <c r="X8645" s="11">
        <v>0.03280420671637183</v>
      </c>
      <c r="Y8645" s="11">
        <v>0.1342421096868709</v>
      </c>
      <c r="Z8645" s="11">
        <v>0.131201102656835</v>
      </c>
    </row>
    <row r="8646" ht="22.5" customHeight="1">
      <c r="Q8646" s="9" t="s">
        <v>8684</v>
      </c>
      <c r="R8646" s="10">
        <v>0.44495368165158766</v>
      </c>
      <c r="S8646" s="10">
        <v>0.02317358226440207</v>
      </c>
      <c r="T8646" s="10">
        <v>17.47479854565491</v>
      </c>
      <c r="U8646" s="11">
        <v>0.11428298453959279</v>
      </c>
      <c r="V8646" s="11">
        <v>0.20944477433511066</v>
      </c>
      <c r="W8646" s="11">
        <v>0.009693519828121179</v>
      </c>
      <c r="X8646" s="11">
        <v>0.12365625360067195</v>
      </c>
      <c r="Y8646" s="11">
        <v>0.3377388983104499</v>
      </c>
      <c r="Z8646" s="11">
        <v>0.20518356938605356</v>
      </c>
    </row>
    <row r="8647" ht="22.5" customHeight="1">
      <c r="Q8647" s="9" t="s">
        <v>8685</v>
      </c>
      <c r="R8647" s="10">
        <v>0.4722891282760019</v>
      </c>
      <c r="S8647" s="10">
        <v>0.02473860431183231</v>
      </c>
      <c r="T8647" s="10">
        <v>17.474273116905017</v>
      </c>
      <c r="U8647" s="11">
        <v>0.019604896905058646</v>
      </c>
      <c r="V8647" s="11">
        <v>0.025766604852648853</v>
      </c>
      <c r="W8647" s="11">
        <v>0.209867905299203</v>
      </c>
      <c r="X8647" s="11">
        <v>0.2696232367455298</v>
      </c>
      <c r="Y8647" s="11">
        <v>0.31574435852294935</v>
      </c>
      <c r="Z8647" s="11">
        <v>0.15939299767461032</v>
      </c>
    </row>
    <row r="8648" ht="22.5" customHeight="1">
      <c r="Q8648" s="9" t="s">
        <v>8686</v>
      </c>
      <c r="R8648" s="10">
        <v>0.19680434863990154</v>
      </c>
      <c r="S8648" s="10">
        <v>0.008973461297905749</v>
      </c>
      <c r="T8648" s="10">
        <v>17.47423245437042</v>
      </c>
      <c r="U8648" s="11">
        <v>0.28717061909859837</v>
      </c>
      <c r="V8648" s="11">
        <v>0.019380267143684567</v>
      </c>
      <c r="W8648" s="11">
        <v>0.017811781669462606</v>
      </c>
      <c r="X8648" s="11">
        <v>0.21678316310041873</v>
      </c>
      <c r="Y8648" s="11">
        <v>0.15743035695051893</v>
      </c>
      <c r="Z8648" s="11">
        <v>0.30142381203731683</v>
      </c>
    </row>
    <row r="8649" ht="22.5" customHeight="1">
      <c r="Q8649" s="9" t="s">
        <v>8687</v>
      </c>
      <c r="R8649" s="10">
        <v>0.4987373791238718</v>
      </c>
      <c r="S8649" s="10">
        <v>0.026252425537476722</v>
      </c>
      <c r="T8649" s="10">
        <v>17.474095049579322</v>
      </c>
      <c r="U8649" s="11">
        <v>0.28121968131474806</v>
      </c>
      <c r="V8649" s="11">
        <v>0.03779733566815057</v>
      </c>
      <c r="W8649" s="11">
        <v>0.22960706201506675</v>
      </c>
      <c r="X8649" s="11">
        <v>0.22121902868592042</v>
      </c>
      <c r="Y8649" s="11">
        <v>0.03386947954217486</v>
      </c>
      <c r="Z8649" s="11">
        <v>0.19628741277393927</v>
      </c>
    </row>
    <row r="8650" ht="22.5" customHeight="1">
      <c r="Q8650" s="9" t="s">
        <v>8688</v>
      </c>
      <c r="R8650" s="10">
        <v>0.39227099262089576</v>
      </c>
      <c r="S8650" s="10">
        <v>0.020160337837443417</v>
      </c>
      <c r="T8650" s="10">
        <v>17.473466737577656</v>
      </c>
      <c r="U8650" s="11">
        <v>0.23326965747076348</v>
      </c>
      <c r="V8650" s="11">
        <v>0.18258080646794253</v>
      </c>
      <c r="W8650" s="11">
        <v>0.0021035237461222663</v>
      </c>
      <c r="X8650" s="11">
        <v>0.15966791093310584</v>
      </c>
      <c r="Y8650" s="11">
        <v>0.1425745671075044</v>
      </c>
      <c r="Z8650" s="11">
        <v>0.2798035342745615</v>
      </c>
    </row>
    <row r="8651" ht="22.5" customHeight="1">
      <c r="Q8651" s="9" t="s">
        <v>8689</v>
      </c>
      <c r="R8651" s="10">
        <v>0.7642447853235418</v>
      </c>
      <c r="S8651" s="10">
        <v>0.04145441929345526</v>
      </c>
      <c r="T8651" s="10">
        <v>17.470870359963868</v>
      </c>
      <c r="U8651" s="11">
        <v>0.04480449161695561</v>
      </c>
      <c r="V8651" s="11">
        <v>0.39439505912113626</v>
      </c>
      <c r="W8651" s="11">
        <v>0.05548390759991873</v>
      </c>
      <c r="X8651" s="11">
        <v>0.1680365084342543</v>
      </c>
      <c r="Y8651" s="11">
        <v>0.24280089172879565</v>
      </c>
      <c r="Z8651" s="11">
        <v>0.09447914149893923</v>
      </c>
    </row>
    <row r="8652" ht="22.5" customHeight="1">
      <c r="Q8652" s="9" t="s">
        <v>8690</v>
      </c>
      <c r="R8652" s="10">
        <v>0.4474027530613944</v>
      </c>
      <c r="S8652" s="10">
        <v>0.023319681977204524</v>
      </c>
      <c r="T8652" s="10">
        <v>17.47033915212219</v>
      </c>
      <c r="U8652" s="11">
        <v>0.19224258944034073</v>
      </c>
      <c r="V8652" s="11">
        <v>0.2166166719141376</v>
      </c>
      <c r="W8652" s="11">
        <v>0.005885738727744342</v>
      </c>
      <c r="X8652" s="11">
        <v>0.20642687411868027</v>
      </c>
      <c r="Y8652" s="11">
        <v>0.10256279499008192</v>
      </c>
      <c r="Z8652" s="11">
        <v>0.27626533080901516</v>
      </c>
    </row>
    <row r="8653" ht="22.5" customHeight="1">
      <c r="Q8653" s="9" t="s">
        <v>8691</v>
      </c>
      <c r="R8653" s="10">
        <v>0.5458476077688118</v>
      </c>
      <c r="S8653" s="10">
        <v>0.02895850773519335</v>
      </c>
      <c r="T8653" s="10">
        <v>17.468013628135054</v>
      </c>
      <c r="U8653" s="11">
        <v>0.10625017483649758</v>
      </c>
      <c r="V8653" s="11">
        <v>0.26960712907082146</v>
      </c>
      <c r="W8653" s="11">
        <v>0.03752811789214843</v>
      </c>
      <c r="X8653" s="11">
        <v>0.017061226003310434</v>
      </c>
      <c r="Y8653" s="11">
        <v>0.31044818745221187</v>
      </c>
      <c r="Z8653" s="11">
        <v>0.2591051647450102</v>
      </c>
    </row>
    <row r="8654" ht="22.5" customHeight="1">
      <c r="Q8654" s="9" t="s">
        <v>8692</v>
      </c>
      <c r="R8654" s="10">
        <v>0.27404502554454224</v>
      </c>
      <c r="S8654" s="10">
        <v>0.013399863688813686</v>
      </c>
      <c r="T8654" s="10">
        <v>17.466224357186924</v>
      </c>
      <c r="U8654" s="11">
        <v>0.12266707861849974</v>
      </c>
      <c r="V8654" s="11">
        <v>0.09936258069443102</v>
      </c>
      <c r="W8654" s="11">
        <v>0.005205677053248727</v>
      </c>
      <c r="X8654" s="11">
        <v>0.08373139541640762</v>
      </c>
      <c r="Y8654" s="11">
        <v>0.3248813011311491</v>
      </c>
      <c r="Z8654" s="11">
        <v>0.36415196708626385</v>
      </c>
    </row>
    <row r="8655" ht="22.5" customHeight="1">
      <c r="Q8655" s="9" t="s">
        <v>8693</v>
      </c>
      <c r="R8655" s="10">
        <v>0.8616345887264552</v>
      </c>
      <c r="S8655" s="10">
        <v>0.04704518749338653</v>
      </c>
      <c r="T8655" s="10">
        <v>17.464795710336112</v>
      </c>
      <c r="U8655" s="11">
        <v>0.07986518589802659</v>
      </c>
      <c r="V8655" s="11">
        <v>0.15240408762100038</v>
      </c>
      <c r="W8655" s="11">
        <v>0.41077657759903546</v>
      </c>
      <c r="X8655" s="11">
        <v>0.06238156475071817</v>
      </c>
      <c r="Y8655" s="11">
        <v>0.00592435430630257</v>
      </c>
      <c r="Z8655" s="11">
        <v>0.2886482298249166</v>
      </c>
    </row>
    <row r="8656" ht="22.5" customHeight="1">
      <c r="Q8656" s="9" t="s">
        <v>8694</v>
      </c>
      <c r="R8656" s="10">
        <v>0.6365663344616103</v>
      </c>
      <c r="S8656" s="10">
        <v>0.03415927430790021</v>
      </c>
      <c r="T8656" s="10">
        <v>17.464256678416582</v>
      </c>
      <c r="U8656" s="11">
        <v>0.09872767614917448</v>
      </c>
      <c r="V8656" s="11">
        <v>0.09288527133813843</v>
      </c>
      <c r="W8656" s="11">
        <v>0.2968739700364103</v>
      </c>
      <c r="X8656" s="11">
        <v>0.024180880080399987</v>
      </c>
      <c r="Y8656" s="11">
        <v>0.20689215171946698</v>
      </c>
      <c r="Z8656" s="11">
        <v>0.2804400506764098</v>
      </c>
    </row>
    <row r="8657" ht="22.5" customHeight="1">
      <c r="Q8657" s="9" t="s">
        <v>8695</v>
      </c>
      <c r="R8657" s="10">
        <v>0.6378477907134412</v>
      </c>
      <c r="S8657" s="10">
        <v>0.034233087683692716</v>
      </c>
      <c r="T8657" s="10">
        <v>17.4640335174391</v>
      </c>
      <c r="U8657" s="11">
        <v>0.22885768407312307</v>
      </c>
      <c r="V8657" s="11">
        <v>0.3214612765027574</v>
      </c>
      <c r="W8657" s="11">
        <v>0.040002439103813625</v>
      </c>
      <c r="X8657" s="11">
        <v>0.07647140345748936</v>
      </c>
      <c r="Y8657" s="11">
        <v>0.2591089443239477</v>
      </c>
      <c r="Z8657" s="11">
        <v>0.07409825253886887</v>
      </c>
    </row>
    <row r="8658" ht="22.5" customHeight="1">
      <c r="Q8658" s="9" t="s">
        <v>8696</v>
      </c>
      <c r="R8658" s="10">
        <v>0.6129874218934455</v>
      </c>
      <c r="S8658" s="10">
        <v>0.032813464113469644</v>
      </c>
      <c r="T8658" s="10">
        <v>17.461960733924432</v>
      </c>
      <c r="U8658" s="11">
        <v>0.1497102620133124</v>
      </c>
      <c r="V8658" s="11">
        <v>0.06249605006533708</v>
      </c>
      <c r="W8658" s="11">
        <v>0.28714786505624484</v>
      </c>
      <c r="X8658" s="11">
        <v>0.1563743969234432</v>
      </c>
      <c r="Y8658" s="11">
        <v>0.25903506094172596</v>
      </c>
      <c r="Z8658" s="11">
        <v>0.08523636499993646</v>
      </c>
    </row>
    <row r="8659" ht="22.5" customHeight="1">
      <c r="Q8659" s="9" t="s">
        <v>8697</v>
      </c>
      <c r="R8659" s="10">
        <v>0.7208391472722471</v>
      </c>
      <c r="S8659" s="10">
        <v>0.03898994513681977</v>
      </c>
      <c r="T8659" s="10">
        <v>17.461916011502755</v>
      </c>
      <c r="U8659" s="11">
        <v>0.07009018327892987</v>
      </c>
      <c r="V8659" s="11">
        <v>0.37191960718324446</v>
      </c>
      <c r="W8659" s="11">
        <v>0.038952123142450314</v>
      </c>
      <c r="X8659" s="11">
        <v>0.33725284211524087</v>
      </c>
      <c r="Y8659" s="11">
        <v>0.026499160262436993</v>
      </c>
      <c r="Z8659" s="11">
        <v>0.1552860840176973</v>
      </c>
    </row>
    <row r="8660" ht="22.5" customHeight="1">
      <c r="Q8660" s="9" t="s">
        <v>8698</v>
      </c>
      <c r="R8660" s="10">
        <v>0.7340220665798621</v>
      </c>
      <c r="S8660" s="10">
        <v>0.03974684861595162</v>
      </c>
      <c r="T8660" s="10">
        <v>17.461058945471464</v>
      </c>
      <c r="U8660" s="11">
        <v>0.2815182027156593</v>
      </c>
      <c r="V8660" s="11">
        <v>0.09263276576025029</v>
      </c>
      <c r="W8660" s="11">
        <v>0.35184548810081245</v>
      </c>
      <c r="X8660" s="11">
        <v>0.17291344027200775</v>
      </c>
      <c r="Y8660" s="11">
        <v>0.03267590688732977</v>
      </c>
      <c r="Z8660" s="11">
        <v>0.06841419626394044</v>
      </c>
    </row>
    <row r="8661" ht="22.5" customHeight="1">
      <c r="Q8661" s="9" t="s">
        <v>8699</v>
      </c>
      <c r="R8661" s="10">
        <v>0.6340686662061211</v>
      </c>
      <c r="S8661" s="10">
        <v>0.034023260211630345</v>
      </c>
      <c r="T8661" s="10">
        <v>17.460662573513385</v>
      </c>
      <c r="U8661" s="11">
        <v>0.055203750529107073</v>
      </c>
      <c r="V8661" s="11">
        <v>0.07486634671854991</v>
      </c>
      <c r="W8661" s="11">
        <v>0.301319732762248</v>
      </c>
      <c r="X8661" s="11">
        <v>0.2180533901958717</v>
      </c>
      <c r="Y8661" s="11">
        <v>0.05770158274311026</v>
      </c>
      <c r="Z8661" s="11">
        <v>0.2928551970511132</v>
      </c>
    </row>
    <row r="8662" ht="22.5" customHeight="1">
      <c r="Q8662" s="9" t="s">
        <v>8700</v>
      </c>
      <c r="R8662" s="10">
        <v>0.7259037343824356</v>
      </c>
      <c r="S8662" s="10">
        <v>0.03929672018630939</v>
      </c>
      <c r="T8662" s="10">
        <v>17.454477908856067</v>
      </c>
      <c r="U8662" s="11">
        <v>0.2581467717004047</v>
      </c>
      <c r="V8662" s="11">
        <v>0.10826226741690252</v>
      </c>
      <c r="W8662" s="11">
        <v>0.34528103756490924</v>
      </c>
      <c r="X8662" s="11">
        <v>0.08103847180900935</v>
      </c>
      <c r="Y8662" s="11">
        <v>0.0017067603827550105</v>
      </c>
      <c r="Z8662" s="11">
        <v>0.20556469112601927</v>
      </c>
    </row>
    <row r="8663" ht="22.5" customHeight="1">
      <c r="Q8663" s="9" t="s">
        <v>8701</v>
      </c>
      <c r="R8663" s="10">
        <v>0.38590999804948173</v>
      </c>
      <c r="S8663" s="10">
        <v>0.01982156465624587</v>
      </c>
      <c r="T8663" s="10">
        <v>17.451195405024894</v>
      </c>
      <c r="U8663" s="11">
        <v>0.26725299448789275</v>
      </c>
      <c r="V8663" s="11">
        <v>0.025419458505727303</v>
      </c>
      <c r="W8663" s="11">
        <v>0.16359851236263498</v>
      </c>
      <c r="X8663" s="11">
        <v>0.096067291864619</v>
      </c>
      <c r="Y8663" s="11">
        <v>0.21692190273401654</v>
      </c>
      <c r="Z8663" s="11">
        <v>0.23073984004510936</v>
      </c>
    </row>
    <row r="8664" ht="22.5" customHeight="1">
      <c r="Q8664" s="9" t="s">
        <v>8702</v>
      </c>
      <c r="R8664" s="10">
        <v>0.6651340801917981</v>
      </c>
      <c r="S8664" s="10">
        <v>0.03582448246331197</v>
      </c>
      <c r="T8664" s="10">
        <v>17.449912384135654</v>
      </c>
      <c r="U8664" s="11">
        <v>0.23497552281199666</v>
      </c>
      <c r="V8664" s="11">
        <v>0.07889090795981764</v>
      </c>
      <c r="W8664" s="11">
        <v>0.3131036106422544</v>
      </c>
      <c r="X8664" s="11">
        <v>0.09418384155433482</v>
      </c>
      <c r="Y8664" s="11">
        <v>0.24424019049105744</v>
      </c>
      <c r="Z8664" s="11">
        <v>0.034605926540538984</v>
      </c>
    </row>
    <row r="8665" ht="22.5" customHeight="1">
      <c r="Q8665" s="9" t="s">
        <v>8703</v>
      </c>
      <c r="R8665" s="10">
        <v>0.442566222656871</v>
      </c>
      <c r="S8665" s="10">
        <v>0.023070345419949297</v>
      </c>
      <c r="T8665" s="10">
        <v>17.44950998040825</v>
      </c>
      <c r="U8665" s="11">
        <v>0.14237339519580544</v>
      </c>
      <c r="V8665" s="11">
        <v>0.019689689414096333</v>
      </c>
      <c r="W8665" s="11">
        <v>0.19919533809152926</v>
      </c>
      <c r="X8665" s="11">
        <v>0.31449584045044565</v>
      </c>
      <c r="Y8665" s="11">
        <v>0.07661501491880328</v>
      </c>
      <c r="Z8665" s="11">
        <v>0.24763072192932012</v>
      </c>
    </row>
    <row r="8666" ht="22.5" customHeight="1">
      <c r="Q8666" s="9" t="s">
        <v>8704</v>
      </c>
      <c r="R8666" s="10">
        <v>0.5016644823508362</v>
      </c>
      <c r="S8666" s="10">
        <v>0.026459581149394923</v>
      </c>
      <c r="T8666" s="10">
        <v>17.447913470141742</v>
      </c>
      <c r="U8666" s="11">
        <v>0.23570531842918027</v>
      </c>
      <c r="V8666" s="11">
        <v>0.24579411448594693</v>
      </c>
      <c r="W8666" s="11">
        <v>0.030685800973481895</v>
      </c>
      <c r="X8666" s="11">
        <v>0.016310315075527944</v>
      </c>
      <c r="Y8666" s="11">
        <v>0.20617376994856168</v>
      </c>
      <c r="Z8666" s="11">
        <v>0.2653306810873013</v>
      </c>
    </row>
    <row r="8667" ht="22.5" customHeight="1">
      <c r="Q8667" s="9" t="s">
        <v>8705</v>
      </c>
      <c r="R8667" s="10">
        <v>0.5621648416653954</v>
      </c>
      <c r="S8667" s="10">
        <v>0.02992888494417129</v>
      </c>
      <c r="T8667" s="10">
        <v>17.446852518542894</v>
      </c>
      <c r="U8667" s="11">
        <v>0.1215895262336175</v>
      </c>
      <c r="V8667" s="11">
        <v>0.2798769092384076</v>
      </c>
      <c r="W8667" s="11">
        <v>0.009246133662022754</v>
      </c>
      <c r="X8667" s="11">
        <v>0.2906339526977653</v>
      </c>
      <c r="Y8667" s="11">
        <v>0.20272160987150045</v>
      </c>
      <c r="Z8667" s="11">
        <v>0.09593186829668639</v>
      </c>
    </row>
    <row r="8668" ht="22.5" customHeight="1">
      <c r="Q8668" s="9" t="s">
        <v>8706</v>
      </c>
      <c r="R8668" s="10">
        <v>0.6792263794756388</v>
      </c>
      <c r="S8668" s="10">
        <v>0.0366388645531332</v>
      </c>
      <c r="T8668" s="10">
        <v>17.446675470759775</v>
      </c>
      <c r="U8668" s="11">
        <v>0.3082060899064121</v>
      </c>
      <c r="V8668" s="11">
        <v>0.10339707900334442</v>
      </c>
      <c r="W8668" s="11">
        <v>0.31909281032836123</v>
      </c>
      <c r="X8668" s="11">
        <v>0.010726717980903931</v>
      </c>
      <c r="Y8668" s="11">
        <v>0.05087187570080991</v>
      </c>
      <c r="Z8668" s="11">
        <v>0.20770542708016865</v>
      </c>
    </row>
    <row r="8669" ht="22.5" customHeight="1">
      <c r="Q8669" s="9" t="s">
        <v>8707</v>
      </c>
      <c r="R8669" s="10">
        <v>0.5633457837055359</v>
      </c>
      <c r="S8669" s="10">
        <v>0.029997712230735104</v>
      </c>
      <c r="T8669" s="10">
        <v>17.446189885418175</v>
      </c>
      <c r="U8669" s="11">
        <v>0.241442114492786</v>
      </c>
      <c r="V8669" s="11">
        <v>0.06246272623240698</v>
      </c>
      <c r="W8669" s="11">
        <v>0.2602094378699382</v>
      </c>
      <c r="X8669" s="11">
        <v>0.06677049021397803</v>
      </c>
      <c r="Y8669" s="11">
        <v>0.22365106737371152</v>
      </c>
      <c r="Z8669" s="11">
        <v>0.14546416381717936</v>
      </c>
    </row>
    <row r="8670" ht="22.5" customHeight="1">
      <c r="Q8670" s="9" t="s">
        <v>8708</v>
      </c>
      <c r="R8670" s="10">
        <v>0.29703892194365195</v>
      </c>
      <c r="S8670" s="10">
        <v>0.014733472099957082</v>
      </c>
      <c r="T8670" s="10">
        <v>17.445916359688272</v>
      </c>
      <c r="U8670" s="11">
        <v>0.008661870865836816</v>
      </c>
      <c r="V8670" s="11">
        <v>0.008193537715060354</v>
      </c>
      <c r="W8670" s="11">
        <v>0.10777876375444646</v>
      </c>
      <c r="X8670" s="11">
        <v>0.21504643962781175</v>
      </c>
      <c r="Y8670" s="11">
        <v>0.3071102235689971</v>
      </c>
      <c r="Z8670" s="11">
        <v>0.35320916446784756</v>
      </c>
    </row>
    <row r="8671" ht="22.5" customHeight="1">
      <c r="Q8671" s="9" t="s">
        <v>8709</v>
      </c>
      <c r="R8671" s="10">
        <v>0.573226736837861</v>
      </c>
      <c r="S8671" s="10">
        <v>0.03056602307059003</v>
      </c>
      <c r="T8671" s="10">
        <v>17.445080624535684</v>
      </c>
      <c r="U8671" s="11">
        <v>0.17476151278145174</v>
      </c>
      <c r="V8671" s="11">
        <v>0.046139836377695094</v>
      </c>
      <c r="W8671" s="11">
        <v>0.270356054270131</v>
      </c>
      <c r="X8671" s="11">
        <v>0.31338135578845894</v>
      </c>
      <c r="Y8671" s="11">
        <v>0.017684617086835313</v>
      </c>
      <c r="Z8671" s="11">
        <v>0.17767662369542792</v>
      </c>
    </row>
    <row r="8672" ht="22.5" customHeight="1">
      <c r="Q8672" s="9" t="s">
        <v>8710</v>
      </c>
      <c r="R8672" s="10">
        <v>0.4137707591335768</v>
      </c>
      <c r="S8672" s="10">
        <v>0.021426019330531065</v>
      </c>
      <c r="T8672" s="10">
        <v>17.444713055073706</v>
      </c>
      <c r="U8672" s="11">
        <v>0.3615206419576292</v>
      </c>
      <c r="V8672" s="11">
        <v>0.047699079257221166</v>
      </c>
      <c r="W8672" s="11">
        <v>0.17767873477137602</v>
      </c>
      <c r="X8672" s="11">
        <v>0.025818228969540676</v>
      </c>
      <c r="Y8672" s="11">
        <v>0.04371910163094721</v>
      </c>
      <c r="Z8672" s="11">
        <v>0.34356421341328586</v>
      </c>
    </row>
    <row r="8673" ht="22.5" customHeight="1">
      <c r="Q8673" s="9" t="s">
        <v>8711</v>
      </c>
      <c r="R8673" s="10">
        <v>0.7381501526519729</v>
      </c>
      <c r="S8673" s="10">
        <v>0.040024370827422134</v>
      </c>
      <c r="T8673" s="10">
        <v>17.443126230822475</v>
      </c>
      <c r="U8673" s="11">
        <v>0.13370797700039508</v>
      </c>
      <c r="V8673" s="11">
        <v>0.3789875279704086</v>
      </c>
      <c r="W8673" s="11">
        <v>0.03132974207117194</v>
      </c>
      <c r="X8673" s="11">
        <v>0.4191807745149145</v>
      </c>
      <c r="Y8673" s="11">
        <v>0.006580285974266213</v>
      </c>
      <c r="Z8673" s="11">
        <v>0.03021369246884358</v>
      </c>
    </row>
    <row r="8674" ht="22.5" customHeight="1">
      <c r="Q8674" s="9" t="s">
        <v>8712</v>
      </c>
      <c r="R8674" s="10">
        <v>0.6342083963688389</v>
      </c>
      <c r="S8674" s="10">
        <v>0.03407051656043208</v>
      </c>
      <c r="T8674" s="10">
        <v>17.44054556128817</v>
      </c>
      <c r="U8674" s="11">
        <v>0.15571701590643905</v>
      </c>
      <c r="V8674" s="11">
        <v>0.3215604549035397</v>
      </c>
      <c r="W8674" s="11">
        <v>0.025907387083163095</v>
      </c>
      <c r="X8674" s="11">
        <v>0.21011079138891608</v>
      </c>
      <c r="Y8674" s="11">
        <v>0.2238786089462434</v>
      </c>
      <c r="Z8674" s="11">
        <v>0.06282574177169853</v>
      </c>
    </row>
    <row r="8675" ht="22.5" customHeight="1">
      <c r="Q8675" s="9" t="s">
        <v>8713</v>
      </c>
      <c r="R8675" s="10">
        <v>0.8086567420959437</v>
      </c>
      <c r="S8675" s="10">
        <v>0.044075735284751595</v>
      </c>
      <c r="T8675" s="10">
        <v>17.439453638833964</v>
      </c>
      <c r="U8675" s="11">
        <v>0.11525943028273794</v>
      </c>
      <c r="V8675" s="11">
        <v>0.134045974252965</v>
      </c>
      <c r="W8675" s="11">
        <v>0.3865758289511302</v>
      </c>
      <c r="X8675" s="11">
        <v>0.07684415735219674</v>
      </c>
      <c r="Y8675" s="11">
        <v>0.014114042512727586</v>
      </c>
      <c r="Z8675" s="11">
        <v>0.27316056664824256</v>
      </c>
    </row>
    <row r="8676" ht="22.5" customHeight="1">
      <c r="Q8676" s="9" t="s">
        <v>8714</v>
      </c>
      <c r="R8676" s="10">
        <v>0.24600392932090692</v>
      </c>
      <c r="S8676" s="10">
        <v>0.011813038819083828</v>
      </c>
      <c r="T8676" s="10">
        <v>17.438690626167244</v>
      </c>
      <c r="U8676" s="11">
        <v>0.19333951644335046</v>
      </c>
      <c r="V8676" s="11">
        <v>0.023034305255358704</v>
      </c>
      <c r="W8676" s="11">
        <v>0.07160775773885707</v>
      </c>
      <c r="X8676" s="11">
        <v>0.05300541976552525</v>
      </c>
      <c r="Y8676" s="11">
        <v>0.23383548113490651</v>
      </c>
      <c r="Z8676" s="11">
        <v>0.4251775196620021</v>
      </c>
    </row>
    <row r="8677" ht="22.5" customHeight="1">
      <c r="Q8677" s="9" t="s">
        <v>8715</v>
      </c>
      <c r="R8677" s="10">
        <v>0.5467863842517606</v>
      </c>
      <c r="S8677" s="10">
        <v>0.0290625872424853</v>
      </c>
      <c r="T8677" s="10">
        <v>17.437758724760478</v>
      </c>
      <c r="U8677" s="11">
        <v>0.09990190985447085</v>
      </c>
      <c r="V8677" s="11">
        <v>0.06857071024205585</v>
      </c>
      <c r="W8677" s="11">
        <v>0.25414167142295746</v>
      </c>
      <c r="X8677" s="11">
        <v>0.09245230041129233</v>
      </c>
      <c r="Y8677" s="11">
        <v>0.11057695957001318</v>
      </c>
      <c r="Z8677" s="11">
        <v>0.37435644849921046</v>
      </c>
    </row>
    <row r="8678" ht="22.5" customHeight="1">
      <c r="Q8678" s="9" t="s">
        <v>8716</v>
      </c>
      <c r="R8678" s="10">
        <v>0.7014347635956674</v>
      </c>
      <c r="S8678" s="10">
        <v>0.037932783511882284</v>
      </c>
      <c r="T8678" s="10">
        <v>17.437021551251984</v>
      </c>
      <c r="U8678" s="11">
        <v>0.1727746986516136</v>
      </c>
      <c r="V8678" s="11">
        <v>0.08229521168442852</v>
      </c>
      <c r="W8678" s="11">
        <v>0.33671781336749323</v>
      </c>
      <c r="X8678" s="11">
        <v>0.2063418610469204</v>
      </c>
      <c r="Y8678" s="11">
        <v>0.07941330464198729</v>
      </c>
      <c r="Z8678" s="11">
        <v>0.1224571106075571</v>
      </c>
    </row>
    <row r="8679" ht="22.5" customHeight="1">
      <c r="Q8679" s="9" t="s">
        <v>8717</v>
      </c>
      <c r="R8679" s="10">
        <v>0.3082052419894665</v>
      </c>
      <c r="S8679" s="10">
        <v>0.01538255646861116</v>
      </c>
      <c r="T8679" s="10">
        <v>17.435674137569535</v>
      </c>
      <c r="U8679" s="11">
        <v>0.021327786442162933</v>
      </c>
      <c r="V8679" s="11">
        <v>0.11598721994459656</v>
      </c>
      <c r="W8679" s="11">
        <v>0.021774332328078773</v>
      </c>
      <c r="X8679" s="11">
        <v>0.010261823621560801</v>
      </c>
      <c r="Y8679" s="11">
        <v>0.4132030725743701</v>
      </c>
      <c r="Z8679" s="11">
        <v>0.4174457650892307</v>
      </c>
    </row>
    <row r="8680" ht="22.5" customHeight="1">
      <c r="Q8680" s="9" t="s">
        <v>8718</v>
      </c>
      <c r="R8680" s="10">
        <v>0.6424673601265724</v>
      </c>
      <c r="S8680" s="10">
        <v>0.03455428086083582</v>
      </c>
      <c r="T8680" s="10">
        <v>17.43538991747373</v>
      </c>
      <c r="U8680" s="11">
        <v>0.12864059419697288</v>
      </c>
      <c r="V8680" s="11">
        <v>0.06409545033332012</v>
      </c>
      <c r="W8680" s="11">
        <v>0.3055894222222162</v>
      </c>
      <c r="X8680" s="11">
        <v>0.22247734075043055</v>
      </c>
      <c r="Y8680" s="11">
        <v>0.1756868330322525</v>
      </c>
      <c r="Z8680" s="11">
        <v>0.10351035946480765</v>
      </c>
    </row>
    <row r="8681" ht="22.5" customHeight="1">
      <c r="Q8681" s="9" t="s">
        <v>8719</v>
      </c>
      <c r="R8681" s="10">
        <v>0.61185442511471</v>
      </c>
      <c r="S8681" s="10">
        <v>0.032798546180209893</v>
      </c>
      <c r="T8681" s="10">
        <v>17.435358932456513</v>
      </c>
      <c r="U8681" s="11">
        <v>0.012159948273850559</v>
      </c>
      <c r="V8681" s="11">
        <v>0.055691291448718275</v>
      </c>
      <c r="W8681" s="11">
        <v>0.2866332958176556</v>
      </c>
      <c r="X8681" s="11">
        <v>0.24332957305059463</v>
      </c>
      <c r="Y8681" s="11">
        <v>0.29555923002467266</v>
      </c>
      <c r="Z8681" s="11">
        <v>0.10662666138450831</v>
      </c>
    </row>
    <row r="8682" ht="22.5" customHeight="1">
      <c r="Q8682" s="9" t="s">
        <v>8720</v>
      </c>
      <c r="R8682" s="10">
        <v>0.5018949021522021</v>
      </c>
      <c r="S8682" s="10">
        <v>0.02649341795442888</v>
      </c>
      <c r="T8682" s="10">
        <v>17.43432662960679</v>
      </c>
      <c r="U8682" s="11">
        <v>0.02313773699249244</v>
      </c>
      <c r="V8682" s="11">
        <v>0.03220108112979079</v>
      </c>
      <c r="W8682" s="11">
        <v>0.2293549915931173</v>
      </c>
      <c r="X8682" s="11">
        <v>0.2712955494153061</v>
      </c>
      <c r="Y8682" s="11">
        <v>0.2494428385506009</v>
      </c>
      <c r="Z8682" s="11">
        <v>0.19456780231869256</v>
      </c>
    </row>
    <row r="8683" ht="22.5" customHeight="1">
      <c r="Q8683" s="9" t="s">
        <v>8721</v>
      </c>
      <c r="R8683" s="10">
        <v>0.5019300981833795</v>
      </c>
      <c r="S8683" s="10">
        <v>0.026498861707016035</v>
      </c>
      <c r="T8683" s="10">
        <v>17.432073244907553</v>
      </c>
      <c r="U8683" s="11">
        <v>0.1782832794733024</v>
      </c>
      <c r="V8683" s="11">
        <v>0.2462112115164073</v>
      </c>
      <c r="W8683" s="11">
        <v>0.012941817167283664</v>
      </c>
      <c r="X8683" s="11">
        <v>0.14908451736327497</v>
      </c>
      <c r="Y8683" s="11">
        <v>0.2454113635501311</v>
      </c>
      <c r="Z8683" s="11">
        <v>0.16806781092960055</v>
      </c>
    </row>
    <row r="8684" ht="22.5" customHeight="1">
      <c r="Q8684" s="9" t="s">
        <v>8722</v>
      </c>
      <c r="R8684" s="10">
        <v>0.5417392097230169</v>
      </c>
      <c r="S8684" s="10">
        <v>0.028783744719128607</v>
      </c>
      <c r="T8684" s="10">
        <v>17.431338924764006</v>
      </c>
      <c r="U8684" s="11">
        <v>0.32850338830787046</v>
      </c>
      <c r="V8684" s="11">
        <v>0.2665966214366106</v>
      </c>
      <c r="W8684" s="11">
        <v>0.006093865319946783</v>
      </c>
      <c r="X8684" s="11">
        <v>0.3055214242165817</v>
      </c>
      <c r="Y8684" s="11">
        <v>0.0499501774663393</v>
      </c>
      <c r="Z8684" s="11">
        <v>0.04333452325265121</v>
      </c>
    </row>
    <row r="8685" ht="22.5" customHeight="1">
      <c r="Q8685" s="9" t="s">
        <v>8723</v>
      </c>
      <c r="R8685" s="10">
        <v>0.7467475785224239</v>
      </c>
      <c r="S8685" s="10">
        <v>0.0405491183047872</v>
      </c>
      <c r="T8685" s="10">
        <v>17.429419135828308</v>
      </c>
      <c r="U8685" s="11">
        <v>0.30772153718244366</v>
      </c>
      <c r="V8685" s="11">
        <v>0.1079698034526141</v>
      </c>
      <c r="W8685" s="11">
        <v>0.356680289151844</v>
      </c>
      <c r="X8685" s="11">
        <v>0.08265363384748999</v>
      </c>
      <c r="Y8685" s="11">
        <v>0.02010858404520579</v>
      </c>
      <c r="Z8685" s="11">
        <v>0.12486615232040252</v>
      </c>
    </row>
    <row r="8686" ht="22.5" customHeight="1">
      <c r="Q8686" s="9" t="s">
        <v>8724</v>
      </c>
      <c r="R8686" s="10">
        <v>0.6859237590913502</v>
      </c>
      <c r="S8686" s="10">
        <v>0.03705951360885564</v>
      </c>
      <c r="T8686" s="10">
        <v>17.429364181860226</v>
      </c>
      <c r="U8686" s="11">
        <v>0.09144767116319967</v>
      </c>
      <c r="V8686" s="11">
        <v>0.06959301265601732</v>
      </c>
      <c r="W8686" s="11">
        <v>0.3255665118639491</v>
      </c>
      <c r="X8686" s="11">
        <v>0.22503741963822507</v>
      </c>
      <c r="Y8686" s="11">
        <v>0.28404497745073415</v>
      </c>
      <c r="Z8686" s="11">
        <v>0.00431040722787491</v>
      </c>
    </row>
    <row r="8687" ht="22.5" customHeight="1">
      <c r="Q8687" s="9" t="s">
        <v>8725</v>
      </c>
      <c r="R8687" s="10">
        <v>0.746217769073069</v>
      </c>
      <c r="S8687" s="10">
        <v>0.04052271172005274</v>
      </c>
      <c r="T8687" s="10">
        <v>17.427702616545176</v>
      </c>
      <c r="U8687" s="11">
        <v>0.12298222761458742</v>
      </c>
      <c r="V8687" s="11">
        <v>0.08215483320251131</v>
      </c>
      <c r="W8687" s="11">
        <v>0.3606597575024164</v>
      </c>
      <c r="X8687" s="11">
        <v>0.3263002643927498</v>
      </c>
      <c r="Y8687" s="11">
        <v>0.022790682086085232</v>
      </c>
      <c r="Z8687" s="11">
        <v>0.08511223520164975</v>
      </c>
    </row>
    <row r="8688" ht="22.5" customHeight="1">
      <c r="Q8688" s="9" t="s">
        <v>8726</v>
      </c>
      <c r="R8688" s="10">
        <v>0.5054346282989493</v>
      </c>
      <c r="S8688" s="10">
        <v>0.026707887718001685</v>
      </c>
      <c r="T8688" s="10">
        <v>17.426860304839323</v>
      </c>
      <c r="U8688" s="11">
        <v>0.3010151284216728</v>
      </c>
      <c r="V8688" s="11">
        <v>0.030724260673631237</v>
      </c>
      <c r="W8688" s="11">
        <v>0.23226599260374398</v>
      </c>
      <c r="X8688" s="11">
        <v>0.22562655164260936</v>
      </c>
      <c r="Y8688" s="11">
        <v>0.1435758444099987</v>
      </c>
      <c r="Z8688" s="11">
        <v>0.06679222224834384</v>
      </c>
    </row>
    <row r="8689" ht="22.5" customHeight="1">
      <c r="Q8689" s="9" t="s">
        <v>8727</v>
      </c>
      <c r="R8689" s="10">
        <v>0.40666011492976406</v>
      </c>
      <c r="S8689" s="10">
        <v>0.02104013688577309</v>
      </c>
      <c r="T8689" s="10">
        <v>17.42669816837989</v>
      </c>
      <c r="U8689" s="11">
        <v>0.29353795436373853</v>
      </c>
      <c r="V8689" s="11">
        <v>0.03266484270462362</v>
      </c>
      <c r="W8689" s="11">
        <v>0.17849962240090161</v>
      </c>
      <c r="X8689" s="11">
        <v>0.1224064285623507</v>
      </c>
      <c r="Y8689" s="11">
        <v>0.05063260589151873</v>
      </c>
      <c r="Z8689" s="11">
        <v>0.3222585460768667</v>
      </c>
    </row>
    <row r="8690" ht="22.5" customHeight="1">
      <c r="Q8690" s="9" t="s">
        <v>8728</v>
      </c>
      <c r="R8690" s="10">
        <v>0.5007621387662534</v>
      </c>
      <c r="S8690" s="10">
        <v>0.02644078196597101</v>
      </c>
      <c r="T8690" s="10">
        <v>17.426191833480914</v>
      </c>
      <c r="U8690" s="11">
        <v>0.24687874334142154</v>
      </c>
      <c r="V8690" s="11">
        <v>0.04773436194474828</v>
      </c>
      <c r="W8690" s="11">
        <v>0.22588364375687695</v>
      </c>
      <c r="X8690" s="11">
        <v>0.06811626959208653</v>
      </c>
      <c r="Y8690" s="11">
        <v>0.2676625469115298</v>
      </c>
      <c r="Z8690" s="11">
        <v>0.14372443445333688</v>
      </c>
    </row>
    <row r="8691" ht="22.5" customHeight="1">
      <c r="Q8691" s="9" t="s">
        <v>8729</v>
      </c>
      <c r="R8691" s="10">
        <v>0.2042370978549761</v>
      </c>
      <c r="S8691" s="10">
        <v>0.009425081075925148</v>
      </c>
      <c r="T8691" s="10">
        <v>17.425536876758898</v>
      </c>
      <c r="U8691" s="11">
        <v>0.27426864720528865</v>
      </c>
      <c r="V8691" s="11">
        <v>0.04149069086611227</v>
      </c>
      <c r="W8691" s="11">
        <v>0.00890874178478317</v>
      </c>
      <c r="X8691" s="11">
        <v>0.15408526614129495</v>
      </c>
      <c r="Y8691" s="11">
        <v>0.16085766779601524</v>
      </c>
      <c r="Z8691" s="11">
        <v>0.3603889862065057</v>
      </c>
    </row>
    <row r="8692" ht="22.5" customHeight="1">
      <c r="Q8692" s="9" t="s">
        <v>8730</v>
      </c>
      <c r="R8692" s="10">
        <v>0.4592879261949872</v>
      </c>
      <c r="S8692" s="10">
        <v>0.024062532077837696</v>
      </c>
      <c r="T8692" s="10">
        <v>17.424929547674818</v>
      </c>
      <c r="U8692" s="11">
        <v>0.13111598551771286</v>
      </c>
      <c r="V8692" s="11">
        <v>0.03354268629651557</v>
      </c>
      <c r="W8692" s="11">
        <v>0.20671741081907313</v>
      </c>
      <c r="X8692" s="11">
        <v>0.15558452989967872</v>
      </c>
      <c r="Y8692" s="11">
        <v>0.24196937454397605</v>
      </c>
      <c r="Z8692" s="11">
        <v>0.2310700129230437</v>
      </c>
    </row>
    <row r="8693" ht="22.5" customHeight="1">
      <c r="Q8693" s="9" t="s">
        <v>8731</v>
      </c>
      <c r="R8693" s="10">
        <v>0.4565757707443812</v>
      </c>
      <c r="S8693" s="10">
        <v>0.02391121246561002</v>
      </c>
      <c r="T8693" s="10">
        <v>17.4217753007513</v>
      </c>
      <c r="U8693" s="11">
        <v>0.330737312563964</v>
      </c>
      <c r="V8693" s="11">
        <v>0.017534267750109737</v>
      </c>
      <c r="W8693" s="11">
        <v>0.2048991090922545</v>
      </c>
      <c r="X8693" s="11">
        <v>0.2663382859395338</v>
      </c>
      <c r="Y8693" s="11">
        <v>0.11862868787017096</v>
      </c>
      <c r="Z8693" s="11">
        <v>0.061862336783966805</v>
      </c>
    </row>
    <row r="8694" ht="22.5" customHeight="1">
      <c r="Q8694" s="9" t="s">
        <v>8732</v>
      </c>
      <c r="R8694" s="10">
        <v>0.31143837768291294</v>
      </c>
      <c r="S8694" s="10">
        <v>0.015582554694891292</v>
      </c>
      <c r="T8694" s="10">
        <v>17.41937589809349</v>
      </c>
      <c r="U8694" s="11">
        <v>0.36293779870911813</v>
      </c>
      <c r="V8694" s="11">
        <v>0.011529100033808543</v>
      </c>
      <c r="W8694" s="11">
        <v>0.12023677900283489</v>
      </c>
      <c r="X8694" s="11">
        <v>0.15037781189010282</v>
      </c>
      <c r="Y8694" s="11">
        <v>0.08906534752407802</v>
      </c>
      <c r="Z8694" s="11">
        <v>0.26585316284005767</v>
      </c>
    </row>
    <row r="8695" ht="22.5" customHeight="1">
      <c r="Q8695" s="9" t="s">
        <v>8733</v>
      </c>
      <c r="R8695" s="10">
        <v>0.4386245787945157</v>
      </c>
      <c r="S8695" s="10">
        <v>0.02288443754950691</v>
      </c>
      <c r="T8695" s="10">
        <v>17.419024519704873</v>
      </c>
      <c r="U8695" s="11">
        <v>0.1903161251495266</v>
      </c>
      <c r="V8695" s="11">
        <v>0.04661274070267953</v>
      </c>
      <c r="W8695" s="11">
        <v>0.19227089163239042</v>
      </c>
      <c r="X8695" s="11">
        <v>0.02445958046586183</v>
      </c>
      <c r="Y8695" s="11">
        <v>0.23954030872155832</v>
      </c>
      <c r="Z8695" s="11">
        <v>0.3068003533279832</v>
      </c>
    </row>
    <row r="8696" ht="22.5" customHeight="1">
      <c r="Q8696" s="9" t="s">
        <v>8734</v>
      </c>
      <c r="R8696" s="10">
        <v>0.7979637407201385</v>
      </c>
      <c r="S8696" s="10">
        <v>0.04351878203689424</v>
      </c>
      <c r="T8696" s="10">
        <v>17.41693368342786</v>
      </c>
      <c r="U8696" s="11">
        <v>0.2794721016565949</v>
      </c>
      <c r="V8696" s="11">
        <v>0.11903008076494327</v>
      </c>
      <c r="W8696" s="11">
        <v>0.38252327689385224</v>
      </c>
      <c r="X8696" s="11">
        <v>0.06557791004208598</v>
      </c>
      <c r="Y8696" s="11">
        <v>0.07586236073513132</v>
      </c>
      <c r="Z8696" s="11">
        <v>0.07753426990739223</v>
      </c>
    </row>
    <row r="8697" ht="22.5" customHeight="1">
      <c r="Q8697" s="9" t="s">
        <v>8735</v>
      </c>
      <c r="R8697" s="10">
        <v>0.37052097018094776</v>
      </c>
      <c r="S8697" s="10">
        <v>0.01898002765907603</v>
      </c>
      <c r="T8697" s="10">
        <v>17.414145865214085</v>
      </c>
      <c r="U8697" s="11">
        <v>0.24964460643291447</v>
      </c>
      <c r="V8697" s="11">
        <v>0.1702443088070957</v>
      </c>
      <c r="W8697" s="11">
        <v>0.004619012811320521</v>
      </c>
      <c r="X8697" s="11">
        <v>0.11634511327097297</v>
      </c>
      <c r="Y8697" s="11">
        <v>0.13326202737627202</v>
      </c>
      <c r="Z8697" s="11">
        <v>0.3258849313014245</v>
      </c>
    </row>
    <row r="8698" ht="22.5" customHeight="1">
      <c r="Q8698" s="9" t="s">
        <v>8736</v>
      </c>
      <c r="R8698" s="10">
        <v>0.6077438738749559</v>
      </c>
      <c r="S8698" s="10">
        <v>0.032609528067703994</v>
      </c>
      <c r="T8698" s="10">
        <v>17.410367690578177</v>
      </c>
      <c r="U8698" s="11">
        <v>0.19535503279062388</v>
      </c>
      <c r="V8698" s="11">
        <v>0.07467266275545904</v>
      </c>
      <c r="W8698" s="11">
        <v>0.2850686164273811</v>
      </c>
      <c r="X8698" s="11">
        <v>0.06405128823107427</v>
      </c>
      <c r="Y8698" s="11">
        <v>0.1948111811877005</v>
      </c>
      <c r="Z8698" s="11">
        <v>0.18604121860776118</v>
      </c>
    </row>
    <row r="8699" ht="22.5" customHeight="1">
      <c r="Q8699" s="9" t="s">
        <v>8737</v>
      </c>
      <c r="R8699" s="10">
        <v>0.25605713327042334</v>
      </c>
      <c r="S8699" s="10">
        <v>0.012412289135912996</v>
      </c>
      <c r="T8699" s="10">
        <v>17.4067112765925</v>
      </c>
      <c r="U8699" s="11">
        <v>0.2668079122069645</v>
      </c>
      <c r="V8699" s="11">
        <v>0.08782342486189097</v>
      </c>
      <c r="W8699" s="11">
        <v>0.005022636017285783</v>
      </c>
      <c r="X8699" s="11">
        <v>0.07189501695545825</v>
      </c>
      <c r="Y8699" s="11">
        <v>0.22650375908252074</v>
      </c>
      <c r="Z8699" s="11">
        <v>0.34194725087587974</v>
      </c>
    </row>
    <row r="8700" ht="22.5" customHeight="1">
      <c r="Q8700" s="9" t="s">
        <v>8738</v>
      </c>
      <c r="R8700" s="10">
        <v>0.4122614074978178</v>
      </c>
      <c r="S8700" s="10">
        <v>0.021386659282566632</v>
      </c>
      <c r="T8700" s="10">
        <v>17.406243891549124</v>
      </c>
      <c r="U8700" s="11">
        <v>0.4544890384940504</v>
      </c>
      <c r="V8700" s="11">
        <v>0.18523625946103833</v>
      </c>
      <c r="W8700" s="11">
        <v>0.014650365546535057</v>
      </c>
      <c r="X8700" s="11">
        <v>0.03328895329826349</v>
      </c>
      <c r="Y8700" s="11">
        <v>0.20074297893418716</v>
      </c>
      <c r="Z8700" s="11">
        <v>0.11159240426592557</v>
      </c>
    </row>
    <row r="8701" ht="22.5" customHeight="1">
      <c r="Q8701" s="9" t="s">
        <v>8739</v>
      </c>
      <c r="R8701" s="10">
        <v>0.5899428699413949</v>
      </c>
      <c r="S8701" s="10">
        <v>0.031596944401202795</v>
      </c>
      <c r="T8701" s="10">
        <v>17.404938368675303</v>
      </c>
      <c r="U8701" s="11">
        <v>0.1587349534776621</v>
      </c>
      <c r="V8701" s="11">
        <v>0.2952466374082993</v>
      </c>
      <c r="W8701" s="11">
        <v>0.03294019739366855</v>
      </c>
      <c r="X8701" s="11">
        <v>0.06918474822771929</v>
      </c>
      <c r="Y8701" s="11">
        <v>0.3149149336053584</v>
      </c>
      <c r="Z8701" s="11">
        <v>0.12897852988729233</v>
      </c>
    </row>
    <row r="8702" ht="22.5" customHeight="1">
      <c r="Q8702" s="9" t="s">
        <v>8740</v>
      </c>
      <c r="R8702" s="10">
        <v>0.5808329607623154</v>
      </c>
      <c r="S8702" s="10">
        <v>0.031074766545731602</v>
      </c>
      <c r="T8702" s="10">
        <v>17.40424855537985</v>
      </c>
      <c r="U8702" s="11">
        <v>0.18774633742392383</v>
      </c>
      <c r="V8702" s="11">
        <v>0.29248143753996586</v>
      </c>
      <c r="W8702" s="11">
        <v>0.017939904298104214</v>
      </c>
      <c r="X8702" s="11">
        <v>0.20639947165925704</v>
      </c>
      <c r="Y8702" s="11">
        <v>0.1957349918949336</v>
      </c>
      <c r="Z8702" s="11">
        <v>0.0996978571838155</v>
      </c>
    </row>
    <row r="8703" ht="22.5" customHeight="1">
      <c r="Q8703" s="9" t="s">
        <v>8741</v>
      </c>
      <c r="R8703" s="10">
        <v>0.7271248723264254</v>
      </c>
      <c r="S8703" s="10">
        <v>0.03948107634499256</v>
      </c>
      <c r="T8703" s="10">
        <v>17.40390424825828</v>
      </c>
      <c r="U8703" s="11">
        <v>0.1720320051911546</v>
      </c>
      <c r="V8703" s="11">
        <v>0.09589889441247663</v>
      </c>
      <c r="W8703" s="11">
        <v>0.3485891644013177</v>
      </c>
      <c r="X8703" s="11">
        <v>0.11681566672341566</v>
      </c>
      <c r="Y8703" s="11">
        <v>0.14465193944546145</v>
      </c>
      <c r="Z8703" s="11">
        <v>0.1220123298261738</v>
      </c>
    </row>
    <row r="8704" ht="22.5" customHeight="1">
      <c r="Q8704" s="9" t="s">
        <v>8742</v>
      </c>
      <c r="R8704" s="10">
        <v>0.6037990108549459</v>
      </c>
      <c r="S8704" s="10">
        <v>0.03239700340879931</v>
      </c>
      <c r="T8704" s="10">
        <v>17.402813579413124</v>
      </c>
      <c r="U8704" s="11">
        <v>0.19955213561936633</v>
      </c>
      <c r="V8704" s="11">
        <v>0.30414299501932784</v>
      </c>
      <c r="W8704" s="11">
        <v>0.04102727152744926</v>
      </c>
      <c r="X8704" s="11">
        <v>0.028209469895566972</v>
      </c>
      <c r="Y8704" s="11">
        <v>0.2608018860221048</v>
      </c>
      <c r="Z8704" s="11">
        <v>0.16626624191618478</v>
      </c>
    </row>
    <row r="8705" ht="22.5" customHeight="1">
      <c r="Q8705" s="9" t="s">
        <v>8743</v>
      </c>
      <c r="R8705" s="10">
        <v>0.522331348251574</v>
      </c>
      <c r="S8705" s="10">
        <v>0.009426645878232743</v>
      </c>
      <c r="T8705" s="10">
        <v>17.399835750433006</v>
      </c>
      <c r="U8705" s="11">
        <v>0.2463136605162291</v>
      </c>
      <c r="V8705" s="11">
        <v>0.016627310886837304</v>
      </c>
      <c r="W8705" s="11">
        <v>0.039159292249769315</v>
      </c>
      <c r="X8705" s="11">
        <v>0.15227485759577866</v>
      </c>
      <c r="Y8705" s="11">
        <v>0.12604052053787274</v>
      </c>
      <c r="Z8705" s="11">
        <v>0.419584358213513</v>
      </c>
    </row>
    <row r="8706" ht="22.5" customHeight="1">
      <c r="Q8706" s="9" t="s">
        <v>8744</v>
      </c>
      <c r="R8706" s="10">
        <v>0.3854902707777977</v>
      </c>
      <c r="S8706" s="10">
        <v>0.019855954866429996</v>
      </c>
      <c r="T8706" s="10">
        <v>17.39983159217944</v>
      </c>
      <c r="U8706" s="11">
        <v>0.0869825777940345</v>
      </c>
      <c r="V8706" s="11">
        <v>0.17540548370154274</v>
      </c>
      <c r="W8706" s="11">
        <v>0.018418130560690072</v>
      </c>
      <c r="X8706" s="11">
        <v>0.017367776745520196</v>
      </c>
      <c r="Y8706" s="11">
        <v>0.32282508364292006</v>
      </c>
      <c r="Z8706" s="11">
        <v>0.3790009475552924</v>
      </c>
    </row>
    <row r="8707" ht="22.5" customHeight="1">
      <c r="Q8707" s="9" t="s">
        <v>8745</v>
      </c>
      <c r="R8707" s="10">
        <v>0.38914640814265367</v>
      </c>
      <c r="S8707" s="10">
        <v>0.020066566808897932</v>
      </c>
      <c r="T8707" s="10">
        <v>17.3994092496099</v>
      </c>
      <c r="U8707" s="11">
        <v>0.2745446950585606</v>
      </c>
      <c r="V8707" s="11">
        <v>0.012092549544433253</v>
      </c>
      <c r="W8707" s="11">
        <v>0.1686106132250498</v>
      </c>
      <c r="X8707" s="11">
        <v>0.22601914536069895</v>
      </c>
      <c r="Y8707" s="11">
        <v>0.1293926786788274</v>
      </c>
      <c r="Z8707" s="11">
        <v>0.18934031813243</v>
      </c>
    </row>
    <row r="8708" ht="22.5" customHeight="1">
      <c r="Q8708" s="9" t="s">
        <v>8746</v>
      </c>
      <c r="R8708" s="10">
        <v>0.2583582566136048</v>
      </c>
      <c r="S8708" s="10">
        <v>0.012550152689238479</v>
      </c>
      <c r="T8708" s="10">
        <v>17.398852589326893</v>
      </c>
      <c r="U8708" s="11">
        <v>0.19247350496894142</v>
      </c>
      <c r="V8708" s="11">
        <v>0.05129645649888438</v>
      </c>
      <c r="W8708" s="11">
        <v>0.07140781269612856</v>
      </c>
      <c r="X8708" s="11">
        <v>0.016458952240434536</v>
      </c>
      <c r="Y8708" s="11">
        <v>0.023020643707623734</v>
      </c>
      <c r="Z8708" s="11">
        <v>0.6453426298879874</v>
      </c>
    </row>
    <row r="8709" ht="22.5" customHeight="1">
      <c r="Q8709" s="9" t="s">
        <v>8747</v>
      </c>
      <c r="R8709" s="10">
        <v>0.7632253768239708</v>
      </c>
      <c r="S8709" s="10">
        <v>0.041567600419359724</v>
      </c>
      <c r="T8709" s="10">
        <v>17.398776198953627</v>
      </c>
      <c r="U8709" s="11">
        <v>0.14374726016620878</v>
      </c>
      <c r="V8709" s="11">
        <v>0.0914698893827864</v>
      </c>
      <c r="W8709" s="11">
        <v>0.36987014043071953</v>
      </c>
      <c r="X8709" s="11">
        <v>0.254961377388977</v>
      </c>
      <c r="Y8709" s="11">
        <v>0.04935470131899331</v>
      </c>
      <c r="Z8709" s="11">
        <v>0.0905966313123149</v>
      </c>
    </row>
    <row r="8710" ht="22.5" customHeight="1">
      <c r="Q8710" s="9" t="s">
        <v>8748</v>
      </c>
      <c r="R8710" s="10">
        <v>0.19827835264254126</v>
      </c>
      <c r="S8710" s="10">
        <v>0.009098498339424188</v>
      </c>
      <c r="T8710" s="10">
        <v>17.39609622795822</v>
      </c>
      <c r="U8710" s="11">
        <v>0.25930528101332345</v>
      </c>
      <c r="V8710" s="11">
        <v>0.007957833178998399</v>
      </c>
      <c r="W8710" s="11">
        <v>0.023437779409344446</v>
      </c>
      <c r="X8710" s="11">
        <v>0.32236219661314636</v>
      </c>
      <c r="Y8710" s="11">
        <v>0.08708512163059796</v>
      </c>
      <c r="Z8710" s="11">
        <v>0.29985178815458935</v>
      </c>
    </row>
    <row r="8711" ht="22.5" customHeight="1">
      <c r="Q8711" s="9" t="s">
        <v>8749</v>
      </c>
      <c r="R8711" s="10">
        <v>0.6037281444425254</v>
      </c>
      <c r="S8711" s="10">
        <v>0.03240940221399474</v>
      </c>
      <c r="T8711" s="10">
        <v>17.39396921672012</v>
      </c>
      <c r="U8711" s="11">
        <v>0.11274609456474581</v>
      </c>
      <c r="V8711" s="11">
        <v>0.3047940518238428</v>
      </c>
      <c r="W8711" s="11">
        <v>0.024379961685335193</v>
      </c>
      <c r="X8711" s="11">
        <v>0.17078262523854984</v>
      </c>
      <c r="Y8711" s="11">
        <v>0.2822428839791863</v>
      </c>
      <c r="Z8711" s="11">
        <v>0.10505438270833999</v>
      </c>
    </row>
    <row r="8712" ht="22.5" customHeight="1">
      <c r="Q8712" s="9" t="s">
        <v>8750</v>
      </c>
      <c r="R8712" s="10">
        <v>0.6632398425932805</v>
      </c>
      <c r="S8712" s="10">
        <v>0.035830922636579166</v>
      </c>
      <c r="T8712" s="10">
        <v>17.39390997308637</v>
      </c>
      <c r="U8712" s="11">
        <v>0.1751699955481656</v>
      </c>
      <c r="V8712" s="11">
        <v>0.0950119604819827</v>
      </c>
      <c r="W8712" s="11">
        <v>0.31165224456148266</v>
      </c>
      <c r="X8712" s="11">
        <v>0.005705748725962932</v>
      </c>
      <c r="Y8712" s="11">
        <v>0.21983450627085943</v>
      </c>
      <c r="Z8712" s="11">
        <v>0.1926255444115465</v>
      </c>
    </row>
    <row r="8713" ht="22.5" customHeight="1">
      <c r="Q8713" s="9" t="s">
        <v>8751</v>
      </c>
      <c r="R8713" s="10">
        <v>0.596860117554701</v>
      </c>
      <c r="S8713" s="10">
        <v>0.03201713181447374</v>
      </c>
      <c r="T8713" s="10">
        <v>17.39256722874113</v>
      </c>
      <c r="U8713" s="11">
        <v>0.4030599963828597</v>
      </c>
      <c r="V8713" s="11">
        <v>0.2995848144849794</v>
      </c>
      <c r="W8713" s="11">
        <v>0.024863832633854353</v>
      </c>
      <c r="X8713" s="11">
        <v>0.16861783399742086</v>
      </c>
      <c r="Y8713" s="11">
        <v>0.06968938296699731</v>
      </c>
      <c r="Z8713" s="11">
        <v>0.03418413953388832</v>
      </c>
    </row>
    <row r="8714" ht="22.5" customHeight="1">
      <c r="Q8714" s="9" t="s">
        <v>8752</v>
      </c>
      <c r="R8714" s="10">
        <v>0.28873075542906906</v>
      </c>
      <c r="S8714" s="10">
        <v>0.014302301555841532</v>
      </c>
      <c r="T8714" s="10">
        <v>17.390960081349927</v>
      </c>
      <c r="U8714" s="11">
        <v>0.32608511046740457</v>
      </c>
      <c r="V8714" s="11">
        <v>0.10395100730196666</v>
      </c>
      <c r="W8714" s="11">
        <v>0.006210983695034052</v>
      </c>
      <c r="X8714" s="11">
        <v>0.053322515207656115</v>
      </c>
      <c r="Y8714" s="11">
        <v>0.29760406787755567</v>
      </c>
      <c r="Z8714" s="11">
        <v>0.21282631545038294</v>
      </c>
    </row>
    <row r="8715" ht="22.5" customHeight="1">
      <c r="Q8715" s="9" t="s">
        <v>8753</v>
      </c>
      <c r="R8715" s="10">
        <v>0.21545317814595574</v>
      </c>
      <c r="S8715" s="10">
        <v>0.010089436474793422</v>
      </c>
      <c r="T8715" s="10">
        <v>17.389789666082226</v>
      </c>
      <c r="U8715" s="11">
        <v>0.25182687047863694</v>
      </c>
      <c r="V8715" s="11">
        <v>0.049043129275445164</v>
      </c>
      <c r="W8715" s="11">
        <v>0.0033943031189957733</v>
      </c>
      <c r="X8715" s="11">
        <v>0.15708869082088406</v>
      </c>
      <c r="Y8715" s="11">
        <v>0.2518858466297961</v>
      </c>
      <c r="Z8715" s="11">
        <v>0.2867611596762421</v>
      </c>
    </row>
    <row r="8716" ht="22.5" customHeight="1">
      <c r="Q8716" s="9" t="s">
        <v>8754</v>
      </c>
      <c r="R8716" s="10">
        <v>0.19474174438472586</v>
      </c>
      <c r="S8716" s="10">
        <v>0.008899338041173526</v>
      </c>
      <c r="T8716" s="10">
        <v>17.388006126837787</v>
      </c>
      <c r="U8716" s="11">
        <v>0.21161138573315663</v>
      </c>
      <c r="V8716" s="11">
        <v>0.0218064959587839</v>
      </c>
      <c r="W8716" s="11">
        <v>0.009107194547358774</v>
      </c>
      <c r="X8716" s="11">
        <v>0.3248210932355624</v>
      </c>
      <c r="Y8716" s="11">
        <v>0.0796147049618862</v>
      </c>
      <c r="Z8716" s="11">
        <v>0.35303912556325195</v>
      </c>
    </row>
    <row r="8717" ht="22.5" customHeight="1">
      <c r="Q8717" s="9" t="s">
        <v>8755</v>
      </c>
      <c r="R8717" s="10">
        <v>0.4788277838123541</v>
      </c>
      <c r="S8717" s="10">
        <v>0.025239840067166248</v>
      </c>
      <c r="T8717" s="10">
        <v>17.386313964136882</v>
      </c>
      <c r="U8717" s="11">
        <v>0.2571227472456198</v>
      </c>
      <c r="V8717" s="11">
        <v>0.23454109868585596</v>
      </c>
      <c r="W8717" s="11">
        <v>0.011678224079666118</v>
      </c>
      <c r="X8717" s="11">
        <v>0.13755943664552914</v>
      </c>
      <c r="Y8717" s="11">
        <v>0.1601331745357858</v>
      </c>
      <c r="Z8717" s="11">
        <v>0.19896531880754334</v>
      </c>
    </row>
    <row r="8718" ht="22.5" customHeight="1">
      <c r="Q8718" s="9" t="s">
        <v>8756</v>
      </c>
      <c r="R8718" s="10">
        <v>0.5808697249476477</v>
      </c>
      <c r="S8718" s="10">
        <v>0.031116356180465127</v>
      </c>
      <c r="T8718" s="10">
        <v>17.38216781588347</v>
      </c>
      <c r="U8718" s="11">
        <v>0.17443685104742948</v>
      </c>
      <c r="V8718" s="11">
        <v>0.291273147291147</v>
      </c>
      <c r="W8718" s="11">
        <v>0.03175558181766192</v>
      </c>
      <c r="X8718" s="11">
        <v>0.06623262027017192</v>
      </c>
      <c r="Y8718" s="11">
        <v>0.29053642524823375</v>
      </c>
      <c r="Z8718" s="11">
        <v>0.145765374325356</v>
      </c>
    </row>
    <row r="8719" ht="22.5" customHeight="1">
      <c r="Q8719" s="9" t="s">
        <v>8757</v>
      </c>
      <c r="R8719" s="10">
        <v>0.7109459969746361</v>
      </c>
      <c r="S8719" s="10">
        <v>0.03859993664142765</v>
      </c>
      <c r="T8719" s="10">
        <v>17.38204917814654</v>
      </c>
      <c r="U8719" s="11">
        <v>0.1092218368360849</v>
      </c>
      <c r="V8719" s="11">
        <v>0.1041987993270495</v>
      </c>
      <c r="W8719" s="11">
        <v>0.3405217609735992</v>
      </c>
      <c r="X8719" s="11">
        <v>0.1088464195205198</v>
      </c>
      <c r="Y8719" s="11">
        <v>0.03429257578098559</v>
      </c>
      <c r="Z8719" s="11">
        <v>0.3029186075617611</v>
      </c>
    </row>
    <row r="8720" ht="22.5" customHeight="1">
      <c r="Q8720" s="9" t="s">
        <v>8758</v>
      </c>
      <c r="R8720" s="10">
        <v>0.7203087748596095</v>
      </c>
      <c r="S8720" s="10">
        <v>0.039141132766209785</v>
      </c>
      <c r="T8720" s="10">
        <v>17.380916871340894</v>
      </c>
      <c r="U8720" s="11">
        <v>0.12392949111248446</v>
      </c>
      <c r="V8720" s="11">
        <v>0.37376276962251803</v>
      </c>
      <c r="W8720" s="11">
        <v>0.043257549932577966</v>
      </c>
      <c r="X8720" s="11">
        <v>0.20061526411273464</v>
      </c>
      <c r="Y8720" s="11">
        <v>0.14545210520632604</v>
      </c>
      <c r="Z8720" s="11">
        <v>0.11298282001335892</v>
      </c>
    </row>
    <row r="8721" ht="22.5" customHeight="1">
      <c r="Q8721" s="9" t="s">
        <v>8759</v>
      </c>
      <c r="R8721" s="10">
        <v>0.4413764419029304</v>
      </c>
      <c r="S8721" s="10">
        <v>0.023094566454039858</v>
      </c>
      <c r="T8721" s="10">
        <v>17.379691569517163</v>
      </c>
      <c r="U8721" s="11">
        <v>0.25845608511480267</v>
      </c>
      <c r="V8721" s="11">
        <v>0.02400238476271681</v>
      </c>
      <c r="W8721" s="11">
        <v>0.19521809470482626</v>
      </c>
      <c r="X8721" s="11">
        <v>0.1587679094677315</v>
      </c>
      <c r="Y8721" s="11">
        <v>0.2553091474019724</v>
      </c>
      <c r="Z8721" s="11">
        <v>0.10824637854795034</v>
      </c>
    </row>
    <row r="8722" ht="22.5" customHeight="1">
      <c r="Q8722" s="9" t="s">
        <v>8760</v>
      </c>
      <c r="R8722" s="10">
        <v>0.5746791113737586</v>
      </c>
      <c r="S8722" s="10">
        <v>0.030766122597876033</v>
      </c>
      <c r="T8722" s="10">
        <v>17.37882665171043</v>
      </c>
      <c r="U8722" s="11">
        <v>0.1709499945287675</v>
      </c>
      <c r="V8722" s="11">
        <v>0.28841410998829525</v>
      </c>
      <c r="W8722" s="11">
        <v>0.008219663327091103</v>
      </c>
      <c r="X8722" s="11">
        <v>0.3713860392595321</v>
      </c>
      <c r="Y8722" s="11">
        <v>0.0361357967845425</v>
      </c>
      <c r="Z8722" s="11">
        <v>0.12489439611177154</v>
      </c>
    </row>
    <row r="8723" ht="22.5" customHeight="1">
      <c r="Q8723" s="9" t="s">
        <v>8761</v>
      </c>
      <c r="R8723" s="10">
        <v>0.7493091239590322</v>
      </c>
      <c r="S8723" s="10">
        <v>0.040822940073656645</v>
      </c>
      <c r="T8723" s="10">
        <v>17.375258192556167</v>
      </c>
      <c r="U8723" s="11">
        <v>0.18055074839494906</v>
      </c>
      <c r="V8723" s="11">
        <v>0.3892781629907525</v>
      </c>
      <c r="W8723" s="11">
        <v>0.04500875056167308</v>
      </c>
      <c r="X8723" s="11">
        <v>0.21387288176373315</v>
      </c>
      <c r="Y8723" s="11">
        <v>0.12454991169914335</v>
      </c>
      <c r="Z8723" s="11">
        <v>0.046739544589748744</v>
      </c>
    </row>
    <row r="8724" ht="22.5" customHeight="1">
      <c r="Q8724" s="9" t="s">
        <v>8762</v>
      </c>
      <c r="R8724" s="10">
        <v>0.6871446397289868</v>
      </c>
      <c r="S8724" s="10">
        <v>0.037246002566670246</v>
      </c>
      <c r="T8724" s="10">
        <v>17.374875023718303</v>
      </c>
      <c r="U8724" s="11">
        <v>0.18175068281239048</v>
      </c>
      <c r="V8724" s="11">
        <v>0.09408679624814976</v>
      </c>
      <c r="W8724" s="11">
        <v>0.32918839891864254</v>
      </c>
      <c r="X8724" s="11">
        <v>0.11777501290490922</v>
      </c>
      <c r="Y8724" s="11">
        <v>0.02451771114075692</v>
      </c>
      <c r="Z8724" s="11">
        <v>0.25268139797515116</v>
      </c>
    </row>
    <row r="8725" ht="22.5" customHeight="1">
      <c r="Q8725" s="9" t="s">
        <v>8763</v>
      </c>
      <c r="R8725" s="10">
        <v>0.4415733214876672</v>
      </c>
      <c r="S8725" s="10">
        <v>0.023114209986811494</v>
      </c>
      <c r="T8725" s="10">
        <v>17.373439183809307</v>
      </c>
      <c r="U8725" s="11">
        <v>0.21808227756270288</v>
      </c>
      <c r="V8725" s="11">
        <v>0.2116117217555181</v>
      </c>
      <c r="W8725" s="11">
        <v>0.003476592958633269</v>
      </c>
      <c r="X8725" s="11">
        <v>0.15980635743057442</v>
      </c>
      <c r="Y8725" s="11">
        <v>0.21452864282398793</v>
      </c>
      <c r="Z8725" s="11">
        <v>0.19249440746858343</v>
      </c>
    </row>
    <row r="8726" ht="22.5" customHeight="1">
      <c r="Q8726" s="9" t="s">
        <v>8764</v>
      </c>
      <c r="R8726" s="10">
        <v>0.5097339187441196</v>
      </c>
      <c r="S8726" s="10">
        <v>0.027040506558041272</v>
      </c>
      <c r="T8726" s="10">
        <v>17.371491090074667</v>
      </c>
      <c r="U8726" s="11">
        <v>0.29681192050050964</v>
      </c>
      <c r="V8726" s="11">
        <v>0.2519893813724711</v>
      </c>
      <c r="W8726" s="11">
        <v>0.02309581330110132</v>
      </c>
      <c r="X8726" s="11">
        <v>0.06920108536559647</v>
      </c>
      <c r="Y8726" s="11">
        <v>0.16025265940350575</v>
      </c>
      <c r="Z8726" s="11">
        <v>0.1986491400568156</v>
      </c>
    </row>
    <row r="8727" ht="22.5" customHeight="1">
      <c r="Q8727" s="9" t="s">
        <v>8765</v>
      </c>
      <c r="R8727" s="10">
        <v>0.5906204256669377</v>
      </c>
      <c r="S8727" s="10">
        <v>0.03169698367680518</v>
      </c>
      <c r="T8727" s="10">
        <v>17.37138244071671</v>
      </c>
      <c r="U8727" s="11">
        <v>0.32571060988707506</v>
      </c>
      <c r="V8727" s="11">
        <v>0.2971139297515602</v>
      </c>
      <c r="W8727" s="11">
        <v>0.03436148560625404</v>
      </c>
      <c r="X8727" s="11">
        <v>0.05742516743188673</v>
      </c>
      <c r="Y8727" s="11">
        <v>0.1730727905605562</v>
      </c>
      <c r="Z8727" s="11">
        <v>0.1123160167626679</v>
      </c>
    </row>
    <row r="8728" ht="22.5" customHeight="1">
      <c r="Q8728" s="9" t="s">
        <v>8766</v>
      </c>
      <c r="R8728" s="10">
        <v>0.5387294195086699</v>
      </c>
      <c r="S8728" s="10">
        <v>0.028712730691365495</v>
      </c>
      <c r="T8728" s="10">
        <v>17.36962690416095</v>
      </c>
      <c r="U8728" s="11">
        <v>0.25482486016645756</v>
      </c>
      <c r="V8728" s="11">
        <v>0.04459487143830511</v>
      </c>
      <c r="W8728" s="11">
        <v>0.25172203360191864</v>
      </c>
      <c r="X8728" s="11">
        <v>0.16687011094178372</v>
      </c>
      <c r="Y8728" s="11">
        <v>0.15543884542928704</v>
      </c>
      <c r="Z8728" s="11">
        <v>0.12654927842224784</v>
      </c>
    </row>
    <row r="8729" ht="22.5" customHeight="1">
      <c r="Q8729" s="9" t="s">
        <v>8767</v>
      </c>
      <c r="R8729" s="10">
        <v>0.7777073988427969</v>
      </c>
      <c r="S8729" s="10">
        <v>0.04247158360478524</v>
      </c>
      <c r="T8729" s="10">
        <v>17.36943471916314</v>
      </c>
      <c r="U8729" s="11">
        <v>0.0518224213162114</v>
      </c>
      <c r="V8729" s="11">
        <v>0.4059487363971881</v>
      </c>
      <c r="W8729" s="11">
        <v>0.05407045647961436</v>
      </c>
      <c r="X8729" s="11">
        <v>0.19160473663175617</v>
      </c>
      <c r="Y8729" s="11">
        <v>0.1836338155256016</v>
      </c>
      <c r="Z8729" s="11">
        <v>0.11291983364962846</v>
      </c>
    </row>
    <row r="8730" ht="22.5" customHeight="1">
      <c r="Q8730" s="9" t="s">
        <v>8768</v>
      </c>
      <c r="R8730" s="10">
        <v>0.6177208537414267</v>
      </c>
      <c r="S8730" s="10">
        <v>0.033261575886104955</v>
      </c>
      <c r="T8730" s="10">
        <v>17.369016300360258</v>
      </c>
      <c r="U8730" s="11">
        <v>0.09390510482839233</v>
      </c>
      <c r="V8730" s="11">
        <v>0.08176449227120608</v>
      </c>
      <c r="W8730" s="11">
        <v>0.288178473206762</v>
      </c>
      <c r="X8730" s="11">
        <v>0.02942415524304689</v>
      </c>
      <c r="Y8730" s="11">
        <v>0.28954481189733056</v>
      </c>
      <c r="Z8730" s="11">
        <v>0.2171829625532622</v>
      </c>
    </row>
    <row r="8731" ht="22.5" customHeight="1">
      <c r="Q8731" s="9" t="s">
        <v>8769</v>
      </c>
      <c r="R8731" s="10">
        <v>0.5021188200297036</v>
      </c>
      <c r="S8731" s="10">
        <v>0.026606273488064307</v>
      </c>
      <c r="T8731" s="10">
        <v>17.368791621157026</v>
      </c>
      <c r="U8731" s="11">
        <v>0.16084556828661425</v>
      </c>
      <c r="V8731" s="11">
        <v>0.052039918923595975</v>
      </c>
      <c r="W8731" s="11">
        <v>0.22990703368719922</v>
      </c>
      <c r="X8731" s="11">
        <v>0.07022873328638679</v>
      </c>
      <c r="Y8731" s="11">
        <v>0.22463580210157388</v>
      </c>
      <c r="Z8731" s="11">
        <v>0.26234294371462974</v>
      </c>
    </row>
    <row r="8732" ht="22.5" customHeight="1">
      <c r="Q8732" s="9" t="s">
        <v>8770</v>
      </c>
      <c r="R8732" s="10">
        <v>0.47118192783505936</v>
      </c>
      <c r="S8732" s="10">
        <v>0.024826809727648516</v>
      </c>
      <c r="T8732" s="10">
        <v>17.367593040150915</v>
      </c>
      <c r="U8732" s="11">
        <v>0.1517326829891855</v>
      </c>
      <c r="V8732" s="11">
        <v>0.03359128651885394</v>
      </c>
      <c r="W8732" s="11">
        <v>0.21577932681328274</v>
      </c>
      <c r="X8732" s="11">
        <v>0.17773592966997823</v>
      </c>
      <c r="Y8732" s="11">
        <v>0.1813863327451852</v>
      </c>
      <c r="Z8732" s="11">
        <v>0.23977444126351452</v>
      </c>
    </row>
    <row r="8733" ht="22.5" customHeight="1">
      <c r="Q8733" s="9" t="s">
        <v>8771</v>
      </c>
      <c r="R8733" s="10">
        <v>0.5708234593821572</v>
      </c>
      <c r="S8733" s="10">
        <v>0.0305647410412157</v>
      </c>
      <c r="T8733" s="10">
        <v>17.36718327390232</v>
      </c>
      <c r="U8733" s="11">
        <v>0.12345531674034456</v>
      </c>
      <c r="V8733" s="11">
        <v>0.04817023941366295</v>
      </c>
      <c r="W8733" s="11">
        <v>0.27075954591340057</v>
      </c>
      <c r="X8733" s="11">
        <v>0.3038993885052614</v>
      </c>
      <c r="Y8733" s="11">
        <v>0.014290047579294512</v>
      </c>
      <c r="Z8733" s="11">
        <v>0.23942546184803587</v>
      </c>
    </row>
    <row r="8734" ht="22.5" customHeight="1">
      <c r="Q8734" s="9" t="s">
        <v>8772</v>
      </c>
      <c r="R8734" s="10">
        <v>0.49812831349072545</v>
      </c>
      <c r="S8734" s="10">
        <v>0.026378974988602456</v>
      </c>
      <c r="T8734" s="10">
        <v>17.367176461127418</v>
      </c>
      <c r="U8734" s="11">
        <v>0.140108598030584</v>
      </c>
      <c r="V8734" s="11">
        <v>0.03477326226482904</v>
      </c>
      <c r="W8734" s="11">
        <v>0.22960383219951544</v>
      </c>
      <c r="X8734" s="11">
        <v>0.19809437095615853</v>
      </c>
      <c r="Y8734" s="11">
        <v>0.21811096690560777</v>
      </c>
      <c r="Z8734" s="11">
        <v>0.1793089696433053</v>
      </c>
    </row>
    <row r="8735" ht="22.5" customHeight="1">
      <c r="Q8735" s="9" t="s">
        <v>8773</v>
      </c>
      <c r="R8735" s="10">
        <v>0.36182851047907444</v>
      </c>
      <c r="S8735" s="10">
        <v>0.01853152435627778</v>
      </c>
      <c r="T8735" s="10">
        <v>17.366542778228126</v>
      </c>
      <c r="U8735" s="11">
        <v>0.26763100326716605</v>
      </c>
      <c r="V8735" s="11">
        <v>0.0022351231203705975</v>
      </c>
      <c r="W8735" s="11">
        <v>0.1512329263673947</v>
      </c>
      <c r="X8735" s="11">
        <v>0.26840192106963706</v>
      </c>
      <c r="Y8735" s="11">
        <v>0.16103979495957704</v>
      </c>
      <c r="Z8735" s="11">
        <v>0.14945923121585458</v>
      </c>
    </row>
    <row r="8736" ht="22.5" customHeight="1">
      <c r="Q8736" s="9" t="s">
        <v>8774</v>
      </c>
      <c r="R8736" s="10">
        <v>0.5480286485177344</v>
      </c>
      <c r="S8736" s="10">
        <v>0.02925544025498538</v>
      </c>
      <c r="T8736" s="10">
        <v>17.365271009078793</v>
      </c>
      <c r="U8736" s="11">
        <v>0.16666433780870113</v>
      </c>
      <c r="V8736" s="11">
        <v>0.2728618417657447</v>
      </c>
      <c r="W8736" s="11">
        <v>0.00988261684684459</v>
      </c>
      <c r="X8736" s="11">
        <v>0.22380396504930344</v>
      </c>
      <c r="Y8736" s="11">
        <v>0.24097950166169396</v>
      </c>
      <c r="Z8736" s="11">
        <v>0.08580773686771202</v>
      </c>
    </row>
    <row r="8737" ht="22.5" customHeight="1">
      <c r="Q8737" s="9" t="s">
        <v>8775</v>
      </c>
      <c r="R8737" s="10">
        <v>0.7207903551236731</v>
      </c>
      <c r="S8737" s="10">
        <v>0.039206896157538015</v>
      </c>
      <c r="T8737" s="10">
        <v>17.36404617157593</v>
      </c>
      <c r="U8737" s="11">
        <v>0.3308562364233094</v>
      </c>
      <c r="V8737" s="11">
        <v>0.10034292536895098</v>
      </c>
      <c r="W8737" s="11">
        <v>0.34244598736081555</v>
      </c>
      <c r="X8737" s="11">
        <v>0.018859937308924334</v>
      </c>
      <c r="Y8737" s="11">
        <v>0.16208882759222293</v>
      </c>
      <c r="Z8737" s="11">
        <v>0.045406085945776754</v>
      </c>
    </row>
    <row r="8738" ht="22.5" customHeight="1">
      <c r="Q8738" s="9" t="s">
        <v>8776</v>
      </c>
      <c r="R8738" s="10">
        <v>0.46647026348786125</v>
      </c>
      <c r="S8738" s="10">
        <v>0.02456072023225221</v>
      </c>
      <c r="T8738" s="10">
        <v>17.36391520505317</v>
      </c>
      <c r="U8738" s="11">
        <v>0.23710407056797617</v>
      </c>
      <c r="V8738" s="11">
        <v>0.028934544931230936</v>
      </c>
      <c r="W8738" s="11">
        <v>0.21258775028239849</v>
      </c>
      <c r="X8738" s="11">
        <v>0.1824148762308716</v>
      </c>
      <c r="Y8738" s="11">
        <v>0.17243339526773904</v>
      </c>
      <c r="Z8738" s="11">
        <v>0.16652536271978388</v>
      </c>
    </row>
    <row r="8739" ht="22.5" customHeight="1">
      <c r="Q8739" s="9" t="s">
        <v>8777</v>
      </c>
      <c r="R8739" s="10">
        <v>0.5502538823202482</v>
      </c>
      <c r="S8739" s="10">
        <v>0.029387971995712168</v>
      </c>
      <c r="T8739" s="10">
        <v>17.362677574168657</v>
      </c>
      <c r="U8739" s="11">
        <v>0.1869243479608933</v>
      </c>
      <c r="V8739" s="11">
        <v>0.038517325434219735</v>
      </c>
      <c r="W8739" s="11">
        <v>0.25742276244402146</v>
      </c>
      <c r="X8739" s="11">
        <v>0.23270459480525146</v>
      </c>
      <c r="Y8739" s="11">
        <v>0.21082041513577202</v>
      </c>
      <c r="Z8739" s="11">
        <v>0.07361055421984194</v>
      </c>
    </row>
    <row r="8740" ht="22.5" customHeight="1">
      <c r="Q8740" s="9" t="s">
        <v>8778</v>
      </c>
      <c r="R8740" s="10">
        <v>0.25984620560506666</v>
      </c>
      <c r="S8740" s="10">
        <v>0.012662793733947346</v>
      </c>
      <c r="T8740" s="10">
        <v>17.361587831576756</v>
      </c>
      <c r="U8740" s="11">
        <v>0.14245004834638555</v>
      </c>
      <c r="V8740" s="11">
        <v>0.09445838000687716</v>
      </c>
      <c r="W8740" s="11">
        <v>0.008541465150897033</v>
      </c>
      <c r="X8740" s="11">
        <v>0.056561402460340846</v>
      </c>
      <c r="Y8740" s="11">
        <v>0.2417406744646457</v>
      </c>
      <c r="Z8740" s="11">
        <v>0.4562480295708537</v>
      </c>
    </row>
    <row r="8741" ht="22.5" customHeight="1">
      <c r="Q8741" s="9" t="s">
        <v>8779</v>
      </c>
      <c r="R8741" s="10">
        <v>0.8426925878311606</v>
      </c>
      <c r="S8741" s="10">
        <v>0.04623658345639646</v>
      </c>
      <c r="T8741" s="10">
        <v>17.360551490318095</v>
      </c>
      <c r="U8741" s="11">
        <v>0.11753929687149854</v>
      </c>
      <c r="V8741" s="11">
        <v>0.11734839129115181</v>
      </c>
      <c r="W8741" s="11">
        <v>0.41031147395425915</v>
      </c>
      <c r="X8741" s="11">
        <v>0.19246042590488915</v>
      </c>
      <c r="Y8741" s="11">
        <v>0.05885906275474109</v>
      </c>
      <c r="Z8741" s="11">
        <v>0.10348134922346017</v>
      </c>
    </row>
    <row r="8742" ht="22.5" customHeight="1">
      <c r="Q8742" s="9" t="s">
        <v>8780</v>
      </c>
      <c r="R8742" s="10">
        <v>0.4783843785199926</v>
      </c>
      <c r="S8742" s="10">
        <v>0.025252849875623602</v>
      </c>
      <c r="T8742" s="10">
        <v>17.359798227888806</v>
      </c>
      <c r="U8742" s="11">
        <v>0.13476931516427132</v>
      </c>
      <c r="V8742" s="11">
        <v>0.018948705683282437</v>
      </c>
      <c r="W8742" s="11">
        <v>0.21893760301957593</v>
      </c>
      <c r="X8742" s="11">
        <v>0.3371159803499669</v>
      </c>
      <c r="Y8742" s="11">
        <v>0.14220227779587005</v>
      </c>
      <c r="Z8742" s="11">
        <v>0.1480261179870334</v>
      </c>
    </row>
    <row r="8743" ht="22.5" customHeight="1">
      <c r="Q8743" s="9" t="s">
        <v>8781</v>
      </c>
      <c r="R8743" s="10">
        <v>0.3178853544808054</v>
      </c>
      <c r="S8743" s="10">
        <v>0.016009712426539948</v>
      </c>
      <c r="T8743" s="10">
        <v>17.357298312250983</v>
      </c>
      <c r="U8743" s="11">
        <v>0.3314480893978957</v>
      </c>
      <c r="V8743" s="11">
        <v>0.010427063447278806</v>
      </c>
      <c r="W8743" s="11">
        <v>0.12441437501197528</v>
      </c>
      <c r="X8743" s="11">
        <v>0.13730761789488652</v>
      </c>
      <c r="Y8743" s="11">
        <v>0.15989004764485737</v>
      </c>
      <c r="Z8743" s="11">
        <v>0.23651280660310625</v>
      </c>
    </row>
    <row r="8744" ht="22.5" customHeight="1">
      <c r="Q8744" s="9" t="s">
        <v>8782</v>
      </c>
      <c r="R8744" s="10">
        <v>0.5181856128945261</v>
      </c>
      <c r="S8744" s="10">
        <v>0.02755033628567381</v>
      </c>
      <c r="T8744" s="10">
        <v>17.35679767884296</v>
      </c>
      <c r="U8744" s="11">
        <v>0.23050798227303668</v>
      </c>
      <c r="V8744" s="11">
        <v>0.032929221711430874</v>
      </c>
      <c r="W8744" s="11">
        <v>0.23994215457237256</v>
      </c>
      <c r="X8744" s="11">
        <v>0.21528660400708396</v>
      </c>
      <c r="Y8744" s="11">
        <v>0.20659030549875398</v>
      </c>
      <c r="Z8744" s="11">
        <v>0.07474373193732198</v>
      </c>
    </row>
    <row r="8745" ht="22.5" customHeight="1">
      <c r="Q8745" s="9" t="s">
        <v>8783</v>
      </c>
      <c r="R8745" s="10">
        <v>0.6340014519872346</v>
      </c>
      <c r="S8745" s="10">
        <v>0.034224115165908495</v>
      </c>
      <c r="T8745" s="10">
        <v>17.356225255428498</v>
      </c>
      <c r="U8745" s="11">
        <v>0.22717810194502489</v>
      </c>
      <c r="V8745" s="11">
        <v>0.06623824595592549</v>
      </c>
      <c r="W8745" s="11">
        <v>0.30021931578487415</v>
      </c>
      <c r="X8745" s="11">
        <v>0.12636783996795245</v>
      </c>
      <c r="Y8745" s="11">
        <v>0.23549880740705598</v>
      </c>
      <c r="Z8745" s="11">
        <v>0.044497688939167064</v>
      </c>
    </row>
    <row r="8746" ht="22.5" customHeight="1">
      <c r="Q8746" s="9" t="s">
        <v>8784</v>
      </c>
      <c r="R8746" s="10">
        <v>0.6920653617029615</v>
      </c>
      <c r="S8746" s="10">
        <v>0.03757377096032986</v>
      </c>
      <c r="T8746" s="10">
        <v>17.35426988127989</v>
      </c>
      <c r="U8746" s="11">
        <v>0.17560108595315788</v>
      </c>
      <c r="V8746" s="11">
        <v>0.07619819344287941</v>
      </c>
      <c r="W8746" s="11">
        <v>0.334421807401218</v>
      </c>
      <c r="X8746" s="11">
        <v>0.23027468229969866</v>
      </c>
      <c r="Y8746" s="11">
        <v>0.05814766561632976</v>
      </c>
      <c r="Z8746" s="11">
        <v>0.1253565652867163</v>
      </c>
    </row>
    <row r="8747" ht="22.5" customHeight="1">
      <c r="Q8747" s="9" t="s">
        <v>8785</v>
      </c>
      <c r="R8747" s="10">
        <v>0.6914019773857543</v>
      </c>
      <c r="S8747" s="10">
        <v>0.03754026386237052</v>
      </c>
      <c r="T8747" s="10">
        <v>17.35208840763382</v>
      </c>
      <c r="U8747" s="11">
        <v>0.1045276452270857</v>
      </c>
      <c r="V8747" s="11">
        <v>0.09356679814439446</v>
      </c>
      <c r="W8747" s="11">
        <v>0.3260030289751606</v>
      </c>
      <c r="X8747" s="11">
        <v>0.036025310640227175</v>
      </c>
      <c r="Y8747" s="11">
        <v>0.3248847145747875</v>
      </c>
      <c r="Z8747" s="11">
        <v>0.11499250243834466</v>
      </c>
    </row>
    <row r="8748" ht="22.5" customHeight="1">
      <c r="Q8748" s="9" t="s">
        <v>8786</v>
      </c>
      <c r="R8748" s="10">
        <v>0.45605619277616016</v>
      </c>
      <c r="S8748" s="10">
        <v>0.023978166061863367</v>
      </c>
      <c r="T8748" s="10">
        <v>17.3514601451479</v>
      </c>
      <c r="U8748" s="11">
        <v>0.17431462125974784</v>
      </c>
      <c r="V8748" s="11">
        <v>0.0413813775730835</v>
      </c>
      <c r="W8748" s="11">
        <v>0.2085529376506615</v>
      </c>
      <c r="X8748" s="11">
        <v>0.15002852097273575</v>
      </c>
      <c r="Y8748" s="11">
        <v>0.05009423886029851</v>
      </c>
      <c r="Z8748" s="11">
        <v>0.3756283036834729</v>
      </c>
    </row>
    <row r="8749" ht="22.5" customHeight="1">
      <c r="Q8749" s="9" t="s">
        <v>8787</v>
      </c>
      <c r="R8749" s="10">
        <v>0.578076670649252</v>
      </c>
      <c r="S8749" s="10">
        <v>0.031017696693819208</v>
      </c>
      <c r="T8749" s="10">
        <v>17.34740899560323</v>
      </c>
      <c r="U8749" s="11">
        <v>0.15185024864074778</v>
      </c>
      <c r="V8749" s="11">
        <v>0.29397981123472716</v>
      </c>
      <c r="W8749" s="11">
        <v>0.03765429607264875</v>
      </c>
      <c r="X8749" s="11">
        <v>0.05044323055944326</v>
      </c>
      <c r="Y8749" s="11">
        <v>0.1886703376237128</v>
      </c>
      <c r="Z8749" s="11">
        <v>0.27740207586872023</v>
      </c>
    </row>
    <row r="8750" ht="22.5" customHeight="1">
      <c r="Q8750" s="9" t="s">
        <v>8788</v>
      </c>
      <c r="R8750" s="10">
        <v>0.5962964128199345</v>
      </c>
      <c r="S8750" s="10">
        <v>0.032068671054657986</v>
      </c>
      <c r="T8750" s="10">
        <v>17.347036672389084</v>
      </c>
      <c r="U8750" s="11">
        <v>0.19538749703005542</v>
      </c>
      <c r="V8750" s="11">
        <v>0.3010145667648898</v>
      </c>
      <c r="W8750" s="11">
        <v>0.036737552092924584</v>
      </c>
      <c r="X8750" s="11">
        <v>0.04001575066585627</v>
      </c>
      <c r="Y8750" s="11">
        <v>0.27031467261381315</v>
      </c>
      <c r="Z8750" s="11">
        <v>0.1565299608324609</v>
      </c>
    </row>
    <row r="8751" ht="22.5" customHeight="1">
      <c r="Q8751" s="9" t="s">
        <v>8789</v>
      </c>
      <c r="R8751" s="10">
        <v>0.7580959865100272</v>
      </c>
      <c r="S8751" s="10">
        <v>0.04139601171649707</v>
      </c>
      <c r="T8751" s="10">
        <v>17.346984811675775</v>
      </c>
      <c r="U8751" s="11">
        <v>0.13505248248403948</v>
      </c>
      <c r="V8751" s="11">
        <v>0.39489889533495826</v>
      </c>
      <c r="W8751" s="11">
        <v>0.07018304430084073</v>
      </c>
      <c r="X8751" s="11">
        <v>0.032888116319506076</v>
      </c>
      <c r="Y8751" s="11">
        <v>0.15274183457415472</v>
      </c>
      <c r="Z8751" s="11">
        <v>0.21423562698650062</v>
      </c>
    </row>
    <row r="8752" ht="22.5" customHeight="1">
      <c r="Q8752" s="9" t="s">
        <v>8790</v>
      </c>
      <c r="R8752" s="10">
        <v>0.414769771200899</v>
      </c>
      <c r="S8752" s="10">
        <v>0.021606509097554207</v>
      </c>
      <c r="T8752" s="10">
        <v>17.34522543687179</v>
      </c>
      <c r="U8752" s="11">
        <v>0.24706902165071545</v>
      </c>
      <c r="V8752" s="11">
        <v>0.010127793974988442</v>
      </c>
      <c r="W8752" s="11">
        <v>0.17989313754353004</v>
      </c>
      <c r="X8752" s="11">
        <v>0.2408756302067885</v>
      </c>
      <c r="Y8752" s="11">
        <v>0.2544539139362664</v>
      </c>
      <c r="Z8752" s="11">
        <v>0.06758050268771104</v>
      </c>
    </row>
    <row r="8753" ht="22.5" customHeight="1">
      <c r="Q8753" s="9" t="s">
        <v>8791</v>
      </c>
      <c r="R8753" s="10">
        <v>0.542730688324084</v>
      </c>
      <c r="S8753" s="10">
        <v>0.028983971115314568</v>
      </c>
      <c r="T8753" s="10">
        <v>17.345127978631293</v>
      </c>
      <c r="U8753" s="11">
        <v>0.22022613769721897</v>
      </c>
      <c r="V8753" s="11">
        <v>0.0380250105559972</v>
      </c>
      <c r="W8753" s="11">
        <v>0.2541767324883765</v>
      </c>
      <c r="X8753" s="11">
        <v>0.22127385128484248</v>
      </c>
      <c r="Y8753" s="11">
        <v>0.18269501512289735</v>
      </c>
      <c r="Z8753" s="11">
        <v>0.0836032528506675</v>
      </c>
    </row>
    <row r="8754" ht="22.5" customHeight="1">
      <c r="Q8754" s="9" t="s">
        <v>8792</v>
      </c>
      <c r="R8754" s="10">
        <v>0.29323308190193936</v>
      </c>
      <c r="S8754" s="10">
        <v>0.014600783663986608</v>
      </c>
      <c r="T8754" s="10">
        <v>17.343800697941198</v>
      </c>
      <c r="U8754" s="11">
        <v>0.22947784288554024</v>
      </c>
      <c r="V8754" s="11">
        <v>0.008998344535846175</v>
      </c>
      <c r="W8754" s="11">
        <v>0.10772899917959819</v>
      </c>
      <c r="X8754" s="11">
        <v>0.12912102242876256</v>
      </c>
      <c r="Y8754" s="11">
        <v>0.25094804794423975</v>
      </c>
      <c r="Z8754" s="11">
        <v>0.27372574302601316</v>
      </c>
    </row>
    <row r="8755" ht="22.5" customHeight="1">
      <c r="Q8755" s="9" t="s">
        <v>8793</v>
      </c>
      <c r="R8755" s="10">
        <v>0.4268275753616475</v>
      </c>
      <c r="S8755" s="10">
        <v>0.02230461211339174</v>
      </c>
      <c r="T8755" s="10">
        <v>17.34294115473075</v>
      </c>
      <c r="U8755" s="11">
        <v>0.3486538421562301</v>
      </c>
      <c r="V8755" s="11">
        <v>0.0329650502638269</v>
      </c>
      <c r="W8755" s="11">
        <v>0.18985419386271585</v>
      </c>
      <c r="X8755" s="11">
        <v>0.10919845210470999</v>
      </c>
      <c r="Y8755" s="11">
        <v>0.07729650364467658</v>
      </c>
      <c r="Z8755" s="11">
        <v>0.24203195796784077</v>
      </c>
    </row>
    <row r="8756" ht="22.5" customHeight="1">
      <c r="Q8756" s="9" t="s">
        <v>8794</v>
      </c>
      <c r="R8756" s="10">
        <v>0.5750084221456457</v>
      </c>
      <c r="S8756" s="10">
        <v>0.030849701682299637</v>
      </c>
      <c r="T8756" s="10">
        <v>17.34241801283326</v>
      </c>
      <c r="U8756" s="11">
        <v>0.2895887382347641</v>
      </c>
      <c r="V8756" s="11">
        <v>0.29196215719254387</v>
      </c>
      <c r="W8756" s="11">
        <v>0.03423883454245137</v>
      </c>
      <c r="X8756" s="11">
        <v>0.08812752916171353</v>
      </c>
      <c r="Y8756" s="11">
        <v>0.06233469256109184</v>
      </c>
      <c r="Z8756" s="11">
        <v>0.23374804830743515</v>
      </c>
    </row>
    <row r="8757" ht="22.5" customHeight="1">
      <c r="Q8757" s="9" t="s">
        <v>8795</v>
      </c>
      <c r="R8757" s="10">
        <v>0.7229839826464592</v>
      </c>
      <c r="S8757" s="10">
        <v>0.03938689462579532</v>
      </c>
      <c r="T8757" s="10">
        <v>17.3403866726563</v>
      </c>
      <c r="U8757" s="11">
        <v>0.052354714554528586</v>
      </c>
      <c r="V8757" s="11">
        <v>0.3750693268189854</v>
      </c>
      <c r="W8757" s="11">
        <v>0.040258935427736384</v>
      </c>
      <c r="X8757" s="11">
        <v>0.20953434427412523</v>
      </c>
      <c r="Y8757" s="11">
        <v>0.23142833034112592</v>
      </c>
      <c r="Z8757" s="11">
        <v>0.09135434858349853</v>
      </c>
    </row>
    <row r="8758" ht="22.5" customHeight="1">
      <c r="Q8758" s="9" t="s">
        <v>8796</v>
      </c>
      <c r="R8758" s="10">
        <v>0.6033355000790139</v>
      </c>
      <c r="S8758" s="10">
        <v>0.032487765381465576</v>
      </c>
      <c r="T8758" s="10">
        <v>17.339927614732144</v>
      </c>
      <c r="U8758" s="11">
        <v>0.2163316654657126</v>
      </c>
      <c r="V8758" s="11">
        <v>0.06911218595363386</v>
      </c>
      <c r="W8758" s="11">
        <v>0.2829397168709502</v>
      </c>
      <c r="X8758" s="11">
        <v>0.06024152014166219</v>
      </c>
      <c r="Y8758" s="11">
        <v>0.25065041144232225</v>
      </c>
      <c r="Z8758" s="11">
        <v>0.12072450012571889</v>
      </c>
    </row>
    <row r="8759" ht="22.5" customHeight="1">
      <c r="Q8759" s="9" t="s">
        <v>8797</v>
      </c>
      <c r="R8759" s="10">
        <v>0.6659443056330343</v>
      </c>
      <c r="S8759" s="10">
        <v>0.03609926419377757</v>
      </c>
      <c r="T8759" s="10">
        <v>17.339530863372232</v>
      </c>
      <c r="U8759" s="11">
        <v>0.02979504813557869</v>
      </c>
      <c r="V8759" s="11">
        <v>0.07944533567086094</v>
      </c>
      <c r="W8759" s="11">
        <v>0.3192082033138467</v>
      </c>
      <c r="X8759" s="11">
        <v>0.16609077735746614</v>
      </c>
      <c r="Y8759" s="11">
        <v>0.1820783021203082</v>
      </c>
      <c r="Z8759" s="11">
        <v>0.22338233340193936</v>
      </c>
    </row>
    <row r="8760" ht="22.5" customHeight="1">
      <c r="Q8760" s="9" t="s">
        <v>8798</v>
      </c>
      <c r="R8760" s="10">
        <v>0.5425530225699287</v>
      </c>
      <c r="S8760" s="10">
        <v>0.028983156375990214</v>
      </c>
      <c r="T8760" s="10">
        <v>17.339485598133333</v>
      </c>
      <c r="U8760" s="11">
        <v>0.29089623462492925</v>
      </c>
      <c r="V8760" s="11">
        <v>0.0346570859792599</v>
      </c>
      <c r="W8760" s="11">
        <v>0.25442523324370636</v>
      </c>
      <c r="X8760" s="11">
        <v>0.25161420971194326</v>
      </c>
      <c r="Y8760" s="11">
        <v>0.11794242661672867</v>
      </c>
      <c r="Z8760" s="11">
        <v>0.05046480982343246</v>
      </c>
    </row>
    <row r="8761" ht="22.5" customHeight="1">
      <c r="Q8761" s="9" t="s">
        <v>8799</v>
      </c>
      <c r="R8761" s="10">
        <v>0.5304262780552925</v>
      </c>
      <c r="S8761" s="10">
        <v>0.028283825206470707</v>
      </c>
      <c r="T8761" s="10">
        <v>17.33946078633996</v>
      </c>
      <c r="U8761" s="11">
        <v>0.1307928468183782</v>
      </c>
      <c r="V8761" s="11">
        <v>0.2605742437738944</v>
      </c>
      <c r="W8761" s="11">
        <v>0.004167990955860767</v>
      </c>
      <c r="X8761" s="11">
        <v>0.24887814801411046</v>
      </c>
      <c r="Y8761" s="11">
        <v>0.2989899079351979</v>
      </c>
      <c r="Z8761" s="11">
        <v>0.05659686250255828</v>
      </c>
    </row>
    <row r="8762" ht="22.5" customHeight="1">
      <c r="Q8762" s="9" t="s">
        <v>8800</v>
      </c>
      <c r="R8762" s="10">
        <v>0.8768766662543694</v>
      </c>
      <c r="S8762" s="10">
        <v>0.04826429602012563</v>
      </c>
      <c r="T8762" s="10">
        <v>17.339456601737275</v>
      </c>
      <c r="U8762" s="11">
        <v>0.055615416701375216</v>
      </c>
      <c r="V8762" s="11">
        <v>0.46263006168095255</v>
      </c>
      <c r="W8762" s="11">
        <v>0.08674193720614762</v>
      </c>
      <c r="X8762" s="11">
        <v>0.12096741571466188</v>
      </c>
      <c r="Y8762" s="11">
        <v>0.048407773164206615</v>
      </c>
      <c r="Z8762" s="11">
        <v>0.225637395532656</v>
      </c>
    </row>
    <row r="8763" ht="22.5" customHeight="1">
      <c r="Q8763" s="9" t="s">
        <v>8801</v>
      </c>
      <c r="R8763" s="10">
        <v>0.207293644862047</v>
      </c>
      <c r="S8763" s="10">
        <v>0.009648695073761985</v>
      </c>
      <c r="T8763" s="10">
        <v>17.3384736053038</v>
      </c>
      <c r="U8763" s="11">
        <v>0.19277704532733178</v>
      </c>
      <c r="V8763" s="11">
        <v>0.011366408054057453</v>
      </c>
      <c r="W8763" s="11">
        <v>0.01079153970591314</v>
      </c>
      <c r="X8763" s="11">
        <v>0.39664090749808545</v>
      </c>
      <c r="Y8763" s="11">
        <v>0.21537911267483664</v>
      </c>
      <c r="Z8763" s="11">
        <v>0.17304498673977556</v>
      </c>
    </row>
    <row r="8764" ht="22.5" customHeight="1">
      <c r="Q8764" s="9" t="s">
        <v>8802</v>
      </c>
      <c r="R8764" s="10">
        <v>0.7202460463342217</v>
      </c>
      <c r="S8764" s="10">
        <v>0.039239076818143794</v>
      </c>
      <c r="T8764" s="10">
        <v>17.33593401003976</v>
      </c>
      <c r="U8764" s="11">
        <v>0.23112467876926215</v>
      </c>
      <c r="V8764" s="11">
        <v>0.3748934410400105</v>
      </c>
      <c r="W8764" s="11">
        <v>0.04677837547039915</v>
      </c>
      <c r="X8764" s="11">
        <v>0.17726430239809415</v>
      </c>
      <c r="Y8764" s="11">
        <v>0.04358835372358451</v>
      </c>
      <c r="Z8764" s="11">
        <v>0.1263508485986497</v>
      </c>
    </row>
    <row r="8765" ht="22.5" customHeight="1">
      <c r="Q8765" s="9" t="s">
        <v>8803</v>
      </c>
      <c r="R8765" s="10">
        <v>0.522331348251574</v>
      </c>
      <c r="S8765" s="10">
        <v>0.02782427892982142</v>
      </c>
      <c r="T8765" s="10">
        <v>17.334909180148507</v>
      </c>
      <c r="U8765" s="11">
        <v>0.12314250820086539</v>
      </c>
      <c r="V8765" s="11">
        <v>0.0299818583625813</v>
      </c>
      <c r="W8765" s="11">
        <v>0.24384455652949072</v>
      </c>
      <c r="X8765" s="11">
        <v>0.29813768484320735</v>
      </c>
      <c r="Y8765" s="11">
        <v>0.16566727983958274</v>
      </c>
      <c r="Z8765" s="11">
        <v>0.13922611222427253</v>
      </c>
    </row>
    <row r="8766" ht="22.5" customHeight="1">
      <c r="Q8766" s="9" t="s">
        <v>8804</v>
      </c>
      <c r="R8766" s="10">
        <v>0.8145116791277497</v>
      </c>
      <c r="S8766" s="10">
        <v>0.04468949411936897</v>
      </c>
      <c r="T8766" s="10">
        <v>17.330956512037734</v>
      </c>
      <c r="U8766" s="11">
        <v>0.01464778595473135</v>
      </c>
      <c r="V8766" s="11">
        <v>0.4276888799986667</v>
      </c>
      <c r="W8766" s="11">
        <v>0.05070697173098422</v>
      </c>
      <c r="X8766" s="11">
        <v>0.31356337338638157</v>
      </c>
      <c r="Y8766" s="11">
        <v>0.09299243150449878</v>
      </c>
      <c r="Z8766" s="11">
        <v>0.10040055742473727</v>
      </c>
    </row>
    <row r="8767" ht="22.5" customHeight="1">
      <c r="Q8767" s="9" t="s">
        <v>8805</v>
      </c>
      <c r="R8767" s="10">
        <v>0.4585458832631969</v>
      </c>
      <c r="S8767" s="10">
        <v>0.024153202920709247</v>
      </c>
      <c r="T8767" s="10">
        <v>17.328794223988016</v>
      </c>
      <c r="U8767" s="11">
        <v>0.23227734703345282</v>
      </c>
      <c r="V8767" s="11">
        <v>0.026641113896525948</v>
      </c>
      <c r="W8767" s="11">
        <v>0.2044251438002991</v>
      </c>
      <c r="X8767" s="11">
        <v>0.15349042509722235</v>
      </c>
      <c r="Y8767" s="11">
        <v>0.2934888212187028</v>
      </c>
      <c r="Z8767" s="11">
        <v>0.08967714895379696</v>
      </c>
    </row>
    <row r="8768" ht="22.5" customHeight="1">
      <c r="Q8768" s="9" t="s">
        <v>8806</v>
      </c>
      <c r="R8768" s="10">
        <v>0.5464467125179661</v>
      </c>
      <c r="S8768" s="10">
        <v>0.029230997049063314</v>
      </c>
      <c r="T8768" s="10">
        <v>17.32567355358803</v>
      </c>
      <c r="U8768" s="11">
        <v>0.3934016608550675</v>
      </c>
      <c r="V8768" s="11">
        <v>0.041462166461060705</v>
      </c>
      <c r="W8768" s="11">
        <v>0.2557839846862005</v>
      </c>
      <c r="X8768" s="11">
        <v>0.19280027397963598</v>
      </c>
      <c r="Y8768" s="11">
        <v>0.07228301945304183</v>
      </c>
      <c r="Z8768" s="11">
        <v>0.04426889456499333</v>
      </c>
    </row>
    <row r="8769" ht="22.5" customHeight="1">
      <c r="Q8769" s="9" t="s">
        <v>8807</v>
      </c>
      <c r="R8769" s="10">
        <v>0.48287170318240485</v>
      </c>
      <c r="S8769" s="10">
        <v>0.02556321581492663</v>
      </c>
      <c r="T8769" s="10">
        <v>17.3245692712811</v>
      </c>
      <c r="U8769" s="11">
        <v>0.17687560519892137</v>
      </c>
      <c r="V8769" s="11">
        <v>0.033664718457211244</v>
      </c>
      <c r="W8769" s="11">
        <v>0.22316540050628045</v>
      </c>
      <c r="X8769" s="11">
        <v>0.1876210613317571</v>
      </c>
      <c r="Y8769" s="11">
        <v>0.16031845661887142</v>
      </c>
      <c r="Z8769" s="11">
        <v>0.21835475788695857</v>
      </c>
    </row>
    <row r="8770" ht="22.5" customHeight="1">
      <c r="Q8770" s="9" t="s">
        <v>8808</v>
      </c>
      <c r="R8770" s="10">
        <v>0.41656348455004444</v>
      </c>
      <c r="S8770" s="10">
        <v>0.02173618698367999</v>
      </c>
      <c r="T8770" s="10">
        <v>17.324265973271977</v>
      </c>
      <c r="U8770" s="11">
        <v>0.25206119589360787</v>
      </c>
      <c r="V8770" s="11">
        <v>0.19919811912726593</v>
      </c>
      <c r="W8770" s="11">
        <v>5.52037566450465E-4</v>
      </c>
      <c r="X8770" s="11">
        <v>0.22352734890058903</v>
      </c>
      <c r="Y8770" s="11">
        <v>0.03932054533419775</v>
      </c>
      <c r="Z8770" s="11">
        <v>0.285340753177889</v>
      </c>
    </row>
    <row r="8771" ht="22.5" customHeight="1">
      <c r="Q8771" s="9" t="s">
        <v>8809</v>
      </c>
      <c r="R8771" s="10">
        <v>0.6605790308426025</v>
      </c>
      <c r="S8771" s="10">
        <v>0.03582612460915372</v>
      </c>
      <c r="T8771" s="10">
        <v>17.32196930627663</v>
      </c>
      <c r="U8771" s="11">
        <v>0.004684168178196068</v>
      </c>
      <c r="V8771" s="11">
        <v>0.0746550015746065</v>
      </c>
      <c r="W8771" s="11">
        <v>0.3179708550326587</v>
      </c>
      <c r="X8771" s="11">
        <v>0.22479554484276312</v>
      </c>
      <c r="Y8771" s="11">
        <v>0.12514341604883455</v>
      </c>
      <c r="Z8771" s="11">
        <v>0.25275101432294106</v>
      </c>
    </row>
    <row r="8772" ht="22.5" customHeight="1">
      <c r="Q8772" s="9" t="s">
        <v>8810</v>
      </c>
      <c r="R8772" s="10">
        <v>0.4768180000048937</v>
      </c>
      <c r="S8772" s="10">
        <v>0.025218581871242183</v>
      </c>
      <c r="T8772" s="10">
        <v>17.32127532924505</v>
      </c>
      <c r="U8772" s="11">
        <v>0.27078686138285446</v>
      </c>
      <c r="V8772" s="11">
        <v>0.01598701254181929</v>
      </c>
      <c r="W8772" s="11">
        <v>0.21743295048775016</v>
      </c>
      <c r="X8772" s="11">
        <v>0.3032786004326461</v>
      </c>
      <c r="Y8772" s="11">
        <v>0.1502744046688827</v>
      </c>
      <c r="Z8772" s="11">
        <v>0.042240170486047196</v>
      </c>
    </row>
    <row r="8773" ht="22.5" customHeight="1">
      <c r="Q8773" s="9" t="s">
        <v>8811</v>
      </c>
      <c r="R8773" s="10">
        <v>0.43368111802135206</v>
      </c>
      <c r="S8773" s="10">
        <v>0.022730422075296384</v>
      </c>
      <c r="T8773" s="10">
        <v>17.31956919749449</v>
      </c>
      <c r="U8773" s="11">
        <v>0.3213645029603638</v>
      </c>
      <c r="V8773" s="11">
        <v>0.006159315894399037</v>
      </c>
      <c r="W8773" s="11">
        <v>0.19182904344436513</v>
      </c>
      <c r="X8773" s="11">
        <v>0.38863831063328524</v>
      </c>
      <c r="Y8773" s="11">
        <v>0.013595489410088368</v>
      </c>
      <c r="Z8773" s="11">
        <v>0.07841333765749847</v>
      </c>
    </row>
    <row r="8774" ht="22.5" customHeight="1">
      <c r="Q8774" s="9" t="s">
        <v>8812</v>
      </c>
      <c r="R8774" s="10">
        <v>0.6947881827150294</v>
      </c>
      <c r="S8774" s="10">
        <v>0.03780636105204689</v>
      </c>
      <c r="T8774" s="10">
        <v>17.31952413546498</v>
      </c>
      <c r="U8774" s="11">
        <v>0.22145820512572112</v>
      </c>
      <c r="V8774" s="11">
        <v>0.3594245877550415</v>
      </c>
      <c r="W8774" s="11">
        <v>0.05579639576681065</v>
      </c>
      <c r="X8774" s="11">
        <v>0.03317223609434013</v>
      </c>
      <c r="Y8774" s="11">
        <v>0.15639772693673412</v>
      </c>
      <c r="Z8774" s="11">
        <v>0.1737508483213525</v>
      </c>
    </row>
    <row r="8775" ht="22.5" customHeight="1">
      <c r="Q8775" s="9" t="s">
        <v>8813</v>
      </c>
      <c r="R8775" s="10">
        <v>0.522331348251574</v>
      </c>
      <c r="S8775" s="10">
        <v>0.046300494314195396</v>
      </c>
      <c r="T8775" s="10">
        <v>17.318138242589704</v>
      </c>
      <c r="U8775" s="11">
        <v>0.2361610720579499</v>
      </c>
      <c r="V8775" s="11">
        <v>0.44136360494060145</v>
      </c>
      <c r="W8775" s="11">
        <v>0.08673198785028681</v>
      </c>
      <c r="X8775" s="11">
        <v>0.02820663898884001</v>
      </c>
      <c r="Y8775" s="11">
        <v>0.03635949561833628</v>
      </c>
      <c r="Z8775" s="11">
        <v>0.17117720054398558</v>
      </c>
    </row>
    <row r="8776" ht="22.5" customHeight="1">
      <c r="Q8776" s="9" t="s">
        <v>8814</v>
      </c>
      <c r="R8776" s="10">
        <v>0.8697589433571935</v>
      </c>
      <c r="S8776" s="10">
        <v>0.047912847317517375</v>
      </c>
      <c r="T8776" s="10">
        <v>17.318088776031185</v>
      </c>
      <c r="U8776" s="11">
        <v>0.19464583589863108</v>
      </c>
      <c r="V8776" s="11">
        <v>0.14868230171840804</v>
      </c>
      <c r="W8776" s="11">
        <v>0.4197880056517246</v>
      </c>
      <c r="X8776" s="11">
        <v>0.022452122300616058</v>
      </c>
      <c r="Y8776" s="11">
        <v>0.005621969417860662</v>
      </c>
      <c r="Z8776" s="11">
        <v>0.2088097650127596</v>
      </c>
    </row>
    <row r="8777" ht="22.5" customHeight="1">
      <c r="Q8777" s="9" t="s">
        <v>8815</v>
      </c>
      <c r="R8777" s="10">
        <v>0.5400980179213374</v>
      </c>
      <c r="S8777" s="10">
        <v>0.028881871228998435</v>
      </c>
      <c r="T8777" s="10">
        <v>17.31529144895643</v>
      </c>
      <c r="U8777" s="11">
        <v>0.15006297227070778</v>
      </c>
      <c r="V8777" s="11">
        <v>0.04652828855334383</v>
      </c>
      <c r="W8777" s="11">
        <v>0.25541644614129183</v>
      </c>
      <c r="X8777" s="11">
        <v>0.21541953158116273</v>
      </c>
      <c r="Y8777" s="11">
        <v>0.08014830666593771</v>
      </c>
      <c r="Z8777" s="11">
        <v>0.25242445478755615</v>
      </c>
    </row>
    <row r="8778" ht="22.5" customHeight="1">
      <c r="Q8778" s="9" t="s">
        <v>8816</v>
      </c>
      <c r="R8778" s="10">
        <v>0.7429495915642059</v>
      </c>
      <c r="S8778" s="10">
        <v>0.04059813001610828</v>
      </c>
      <c r="T8778" s="10">
        <v>17.314826847573862</v>
      </c>
      <c r="U8778" s="11">
        <v>0.004269835354817421</v>
      </c>
      <c r="V8778" s="11">
        <v>0.08811542901150331</v>
      </c>
      <c r="W8778" s="11">
        <v>0.3594092560273119</v>
      </c>
      <c r="X8778" s="11">
        <v>0.21159133002141425</v>
      </c>
      <c r="Y8778" s="11">
        <v>0.21910709216219884</v>
      </c>
      <c r="Z8778" s="11">
        <v>0.11750705742275426</v>
      </c>
    </row>
    <row r="8779" ht="22.5" customHeight="1">
      <c r="Q8779" s="9" t="s">
        <v>8817</v>
      </c>
      <c r="R8779" s="10">
        <v>0.662577658340434</v>
      </c>
      <c r="S8779" s="10">
        <v>0.03595673660193698</v>
      </c>
      <c r="T8779" s="10">
        <v>17.314631893120573</v>
      </c>
      <c r="U8779" s="11">
        <v>0.1136609197809761</v>
      </c>
      <c r="V8779" s="11">
        <v>0.3363393992035229</v>
      </c>
      <c r="W8779" s="11">
        <v>0.04072468210651331</v>
      </c>
      <c r="X8779" s="11">
        <v>0.07107307365047898</v>
      </c>
      <c r="Y8779" s="11">
        <v>0.38004731792671403</v>
      </c>
      <c r="Z8779" s="11">
        <v>0.058154607331794776</v>
      </c>
    </row>
    <row r="8780" ht="22.5" customHeight="1">
      <c r="Q8780" s="9" t="s">
        <v>8818</v>
      </c>
      <c r="R8780" s="10">
        <v>0.6114389974278623</v>
      </c>
      <c r="S8780" s="10">
        <v>0.03300676688581033</v>
      </c>
      <c r="T8780" s="10">
        <v>17.31278314549266</v>
      </c>
      <c r="U8780" s="11">
        <v>0.030958767320079364</v>
      </c>
      <c r="V8780" s="11">
        <v>0.315222448027332</v>
      </c>
      <c r="W8780" s="11">
        <v>0.03134525502775591</v>
      </c>
      <c r="X8780" s="11">
        <v>0.16760312064809518</v>
      </c>
      <c r="Y8780" s="11">
        <v>0.1816773658751</v>
      </c>
      <c r="Z8780" s="11">
        <v>0.27319304310163767</v>
      </c>
    </row>
    <row r="8781" ht="22.5" customHeight="1">
      <c r="Q8781" s="9" t="s">
        <v>8819</v>
      </c>
      <c r="R8781" s="10">
        <v>0.425084925482248</v>
      </c>
      <c r="S8781" s="10">
        <v>0.02224457156002504</v>
      </c>
      <c r="T8781" s="10">
        <v>17.31141121073651</v>
      </c>
      <c r="U8781" s="11">
        <v>0.18484653435149903</v>
      </c>
      <c r="V8781" s="11">
        <v>0.20080637290351908</v>
      </c>
      <c r="W8781" s="11">
        <v>6.395842341083136E-4</v>
      </c>
      <c r="X8781" s="11">
        <v>0.15463175580713082</v>
      </c>
      <c r="Y8781" s="11">
        <v>0.27646415812456065</v>
      </c>
      <c r="Z8781" s="11">
        <v>0.18261159457918202</v>
      </c>
    </row>
    <row r="8782" ht="22.5" customHeight="1">
      <c r="Q8782" s="9" t="s">
        <v>8820</v>
      </c>
      <c r="R8782" s="10">
        <v>0.29522440144401174</v>
      </c>
      <c r="S8782" s="10">
        <v>0.014744989654367246</v>
      </c>
      <c r="T8782" s="10">
        <v>17.309228926343675</v>
      </c>
      <c r="U8782" s="11">
        <v>0.2855714231683672</v>
      </c>
      <c r="V8782" s="11">
        <v>0.016416045212331882</v>
      </c>
      <c r="W8782" s="11">
        <v>0.10381330485743882</v>
      </c>
      <c r="X8782" s="11">
        <v>0.0660139092681288</v>
      </c>
      <c r="Y8782" s="11">
        <v>0.2917004398765814</v>
      </c>
      <c r="Z8782" s="11">
        <v>0.23648487761715192</v>
      </c>
    </row>
    <row r="8783" ht="22.5" customHeight="1">
      <c r="Q8783" s="9" t="s">
        <v>8821</v>
      </c>
      <c r="R8783" s="10">
        <v>0.1973665310831269</v>
      </c>
      <c r="S8783" s="10">
        <v>0.009092616082960414</v>
      </c>
      <c r="T8783" s="10">
        <v>17.307068685989304</v>
      </c>
      <c r="U8783" s="11">
        <v>0.1717649861435502</v>
      </c>
      <c r="V8783" s="11">
        <v>0.021148188964515355</v>
      </c>
      <c r="W8783" s="11">
        <v>0.004347841759073701</v>
      </c>
      <c r="X8783" s="11">
        <v>0.36751793746810196</v>
      </c>
      <c r="Y8783" s="11">
        <v>0.13207580851101788</v>
      </c>
      <c r="Z8783" s="11">
        <v>0.3031452371537409</v>
      </c>
    </row>
    <row r="8784" ht="22.5" customHeight="1">
      <c r="Q8784" s="9" t="s">
        <v>8822</v>
      </c>
      <c r="R8784" s="10">
        <v>0.5312859812799394</v>
      </c>
      <c r="S8784" s="10">
        <v>0.028390345727267657</v>
      </c>
      <c r="T8784" s="10">
        <v>17.304684698083168</v>
      </c>
      <c r="U8784" s="11">
        <v>0.07146345446210901</v>
      </c>
      <c r="V8784" s="11">
        <v>0.2682400917605022</v>
      </c>
      <c r="W8784" s="11">
        <v>0.016505859713289307</v>
      </c>
      <c r="X8784" s="11">
        <v>0.1718383254837205</v>
      </c>
      <c r="Y8784" s="11">
        <v>0.21392906896566863</v>
      </c>
      <c r="Z8784" s="11">
        <v>0.25802319961471043</v>
      </c>
    </row>
    <row r="8785" ht="22.5" customHeight="1">
      <c r="Q8785" s="9" t="s">
        <v>8823</v>
      </c>
      <c r="R8785" s="10">
        <v>0.5870790986742441</v>
      </c>
      <c r="S8785" s="10">
        <v>0.03161887773097254</v>
      </c>
      <c r="T8785" s="10">
        <v>17.3022933745162</v>
      </c>
      <c r="U8785" s="11">
        <v>0.07258222485056492</v>
      </c>
      <c r="V8785" s="11">
        <v>0.29759661158626627</v>
      </c>
      <c r="W8785" s="11">
        <v>0.0236477779149802</v>
      </c>
      <c r="X8785" s="11">
        <v>0.14808528637343402</v>
      </c>
      <c r="Y8785" s="11">
        <v>0.29922712777438565</v>
      </c>
      <c r="Z8785" s="11">
        <v>0.15886097150036893</v>
      </c>
    </row>
    <row r="8786" ht="22.5" customHeight="1">
      <c r="Q8786" s="9" t="s">
        <v>8824</v>
      </c>
      <c r="R8786" s="10">
        <v>0.6501366195054683</v>
      </c>
      <c r="S8786" s="10">
        <v>0.035265346947639116</v>
      </c>
      <c r="T8786" s="10">
        <v>17.301307723170286</v>
      </c>
      <c r="U8786" s="11">
        <v>0.1216133910067479</v>
      </c>
      <c r="V8786" s="11">
        <v>0.08510597598101316</v>
      </c>
      <c r="W8786" s="11">
        <v>0.3083386539252636</v>
      </c>
      <c r="X8786" s="11">
        <v>0.04394537318120655</v>
      </c>
      <c r="Y8786" s="11">
        <v>0.24524992381668623</v>
      </c>
      <c r="Z8786" s="11">
        <v>0.19574668208908255</v>
      </c>
    </row>
    <row r="8787" ht="22.5" customHeight="1">
      <c r="Q8787" s="9" t="s">
        <v>8825</v>
      </c>
      <c r="R8787" s="10">
        <v>0.5672823181576232</v>
      </c>
      <c r="S8787" s="10">
        <v>0.030477620271922166</v>
      </c>
      <c r="T8787" s="10">
        <v>17.300639402066036</v>
      </c>
      <c r="U8787" s="11">
        <v>0.006432134006141317</v>
      </c>
      <c r="V8787" s="11">
        <v>0.2856681252976507</v>
      </c>
      <c r="W8787" s="11">
        <v>0.021910118617175033</v>
      </c>
      <c r="X8787" s="11">
        <v>0.15361320453243169</v>
      </c>
      <c r="Y8787" s="11">
        <v>0.33386463612812817</v>
      </c>
      <c r="Z8787" s="11">
        <v>0.19851178141847317</v>
      </c>
    </row>
    <row r="8788" ht="22.5" customHeight="1">
      <c r="Q8788" s="9" t="s">
        <v>8826</v>
      </c>
      <c r="R8788" s="10">
        <v>0.7177069970183404</v>
      </c>
      <c r="S8788" s="10">
        <v>0.03917488683866126</v>
      </c>
      <c r="T8788" s="10">
        <v>17.299526602576396</v>
      </c>
      <c r="U8788" s="11">
        <v>0.0861360474053923</v>
      </c>
      <c r="V8788" s="11">
        <v>0.3669799055977877</v>
      </c>
      <c r="W8788" s="11">
        <v>0.058367034113693844</v>
      </c>
      <c r="X8788" s="11">
        <v>0.003544141872588102</v>
      </c>
      <c r="Y8788" s="11">
        <v>0.3980367898072934</v>
      </c>
      <c r="Z8788" s="11">
        <v>0.08693608120324461</v>
      </c>
    </row>
    <row r="8789" ht="22.5" customHeight="1">
      <c r="Q8789" s="9" t="s">
        <v>8827</v>
      </c>
      <c r="R8789" s="10">
        <v>0.7059171724756206</v>
      </c>
      <c r="S8789" s="10">
        <v>0.03849393304748394</v>
      </c>
      <c r="T8789" s="10">
        <v>17.29927600939563</v>
      </c>
      <c r="U8789" s="11">
        <v>0.04502040562601265</v>
      </c>
      <c r="V8789" s="11">
        <v>0.3634385948014561</v>
      </c>
      <c r="W8789" s="11">
        <v>0.027349205832557</v>
      </c>
      <c r="X8789" s="11">
        <v>0.27679510791891</v>
      </c>
      <c r="Y8789" s="11">
        <v>0.285469477031372</v>
      </c>
      <c r="Z8789" s="11">
        <v>0.0019272087896924281</v>
      </c>
    </row>
    <row r="8790" ht="22.5" customHeight="1">
      <c r="Q8790" s="9" t="s">
        <v>8828</v>
      </c>
      <c r="R8790" s="10">
        <v>0.8300251027626243</v>
      </c>
      <c r="S8790" s="10">
        <v>0.045669979609821304</v>
      </c>
      <c r="T8790" s="10">
        <v>17.29856482337316</v>
      </c>
      <c r="U8790" s="11">
        <v>0.014733827049641358</v>
      </c>
      <c r="V8790" s="11">
        <v>0.4357381295723762</v>
      </c>
      <c r="W8790" s="11">
        <v>0.07440641734600577</v>
      </c>
      <c r="X8790" s="11">
        <v>0.07368536403907117</v>
      </c>
      <c r="Y8790" s="11">
        <v>0.24786101168247388</v>
      </c>
      <c r="Z8790" s="11">
        <v>0.15357525031043162</v>
      </c>
    </row>
    <row r="8791" ht="22.5" customHeight="1">
      <c r="Q8791" s="9" t="s">
        <v>8829</v>
      </c>
      <c r="R8791" s="10">
        <v>0.4979370650149317</v>
      </c>
      <c r="S8791" s="10">
        <v>0.026472584349600717</v>
      </c>
      <c r="T8791" s="10">
        <v>17.298540216827707</v>
      </c>
      <c r="U8791" s="11">
        <v>0.2881330830456155</v>
      </c>
      <c r="V8791" s="11">
        <v>0.04648974510090382</v>
      </c>
      <c r="W8791" s="11">
        <v>0.22554399682981294</v>
      </c>
      <c r="X8791" s="11">
        <v>0.048098315410084455</v>
      </c>
      <c r="Y8791" s="11">
        <v>0.26765678780964197</v>
      </c>
      <c r="Z8791" s="11">
        <v>0.12407807180394119</v>
      </c>
    </row>
    <row r="8792" ht="22.5" customHeight="1">
      <c r="Q8792" s="9" t="s">
        <v>8830</v>
      </c>
      <c r="R8792" s="10">
        <v>0.5553910774220855</v>
      </c>
      <c r="S8792" s="10">
        <v>0.029797114646812645</v>
      </c>
      <c r="T8792" s="10">
        <v>17.296677330374205</v>
      </c>
      <c r="U8792" s="11">
        <v>0.16599673118713795</v>
      </c>
      <c r="V8792" s="11">
        <v>0.2835433265782409</v>
      </c>
      <c r="W8792" s="11">
        <v>0.020786590116143033</v>
      </c>
      <c r="X8792" s="11">
        <v>0.20573445318843092</v>
      </c>
      <c r="Y8792" s="11">
        <v>0.04645836591997171</v>
      </c>
      <c r="Z8792" s="11">
        <v>0.27748053301007564</v>
      </c>
    </row>
    <row r="8793" ht="22.5" customHeight="1">
      <c r="Q8793" s="9" t="s">
        <v>8831</v>
      </c>
      <c r="R8793" s="10">
        <v>0.5775467158207332</v>
      </c>
      <c r="S8793" s="10">
        <v>0.03108149286887451</v>
      </c>
      <c r="T8793" s="10">
        <v>17.294752156484762</v>
      </c>
      <c r="U8793" s="11">
        <v>0.3297619954553779</v>
      </c>
      <c r="V8793" s="11">
        <v>0.29252550666724103</v>
      </c>
      <c r="W8793" s="11">
        <v>0.025368197727623158</v>
      </c>
      <c r="X8793" s="11">
        <v>0.11993520894493465</v>
      </c>
      <c r="Y8793" s="11">
        <v>0.1130470831436605</v>
      </c>
      <c r="Z8793" s="11">
        <v>0.11936200806116279</v>
      </c>
    </row>
    <row r="8794" ht="22.5" customHeight="1">
      <c r="Q8794" s="9" t="s">
        <v>8832</v>
      </c>
      <c r="R8794" s="10">
        <v>0.4553345110119065</v>
      </c>
      <c r="S8794" s="10">
        <v>0.024019091825089038</v>
      </c>
      <c r="T8794" s="10">
        <v>17.29184908557078</v>
      </c>
      <c r="U8794" s="11">
        <v>0.252323110700432</v>
      </c>
      <c r="V8794" s="11">
        <v>0.020556922203652468</v>
      </c>
      <c r="W8794" s="11">
        <v>0.20708042598457552</v>
      </c>
      <c r="X8794" s="11">
        <v>0.22253921465010756</v>
      </c>
      <c r="Y8794" s="11">
        <v>0.17119518653512292</v>
      </c>
      <c r="Z8794" s="11">
        <v>0.12630513992610942</v>
      </c>
    </row>
    <row r="8795" ht="22.5" customHeight="1">
      <c r="Q8795" s="9" t="s">
        <v>8833</v>
      </c>
      <c r="R8795" s="10">
        <v>0.4849330602263271</v>
      </c>
      <c r="S8795" s="10">
        <v>0.025733108401860643</v>
      </c>
      <c r="T8795" s="10">
        <v>17.290295959510125</v>
      </c>
      <c r="U8795" s="11">
        <v>0.24842668834157058</v>
      </c>
      <c r="V8795" s="11">
        <v>0.03149438579255599</v>
      </c>
      <c r="W8795" s="11">
        <v>0.2213215928878282</v>
      </c>
      <c r="X8795" s="11">
        <v>0.1520927224495345</v>
      </c>
      <c r="Y8795" s="11">
        <v>0.24910639250723202</v>
      </c>
      <c r="Z8795" s="11">
        <v>0.09755821802127866</v>
      </c>
    </row>
    <row r="8796" ht="22.5" customHeight="1">
      <c r="Q8796" s="9" t="s">
        <v>8834</v>
      </c>
      <c r="R8796" s="10">
        <v>0.5814329855923004</v>
      </c>
      <c r="S8796" s="10">
        <v>0.031314684808419174</v>
      </c>
      <c r="T8796" s="10">
        <v>17.290066590315234</v>
      </c>
      <c r="U8796" s="11">
        <v>0.25016865497271124</v>
      </c>
      <c r="V8796" s="11">
        <v>0.05141005062019365</v>
      </c>
      <c r="W8796" s="11">
        <v>0.277639210617248</v>
      </c>
      <c r="X8796" s="11">
        <v>0.21652934761284728</v>
      </c>
      <c r="Y8796" s="11">
        <v>0.04605704204406387</v>
      </c>
      <c r="Z8796" s="11">
        <v>0.15819569413293597</v>
      </c>
    </row>
    <row r="8797" ht="22.5" customHeight="1">
      <c r="Q8797" s="9" t="s">
        <v>8835</v>
      </c>
      <c r="R8797" s="10">
        <v>0.5321354967085477</v>
      </c>
      <c r="S8797" s="10">
        <v>0.028464012770983215</v>
      </c>
      <c r="T8797" s="10">
        <v>17.28974409434781</v>
      </c>
      <c r="U8797" s="11">
        <v>0.2850202851199177</v>
      </c>
      <c r="V8797" s="11">
        <v>0.2687211098047667</v>
      </c>
      <c r="W8797" s="11">
        <v>0.02298517123712746</v>
      </c>
      <c r="X8797" s="11">
        <v>0.13619282062395544</v>
      </c>
      <c r="Y8797" s="11">
        <v>0.03364311889213719</v>
      </c>
      <c r="Z8797" s="11">
        <v>0.25343749432209556</v>
      </c>
    </row>
    <row r="8798" ht="22.5" customHeight="1">
      <c r="Q8798" s="9" t="s">
        <v>8836</v>
      </c>
      <c r="R8798" s="10">
        <v>0.6687456873983579</v>
      </c>
      <c r="S8798" s="10">
        <v>0.03636593459903221</v>
      </c>
      <c r="T8798" s="10">
        <v>17.289413687035847</v>
      </c>
      <c r="U8798" s="11">
        <v>0.16351735959126784</v>
      </c>
      <c r="V8798" s="11">
        <v>0.054789977976974685</v>
      </c>
      <c r="W8798" s="11">
        <v>0.32359562415973037</v>
      </c>
      <c r="X8798" s="11">
        <v>0.3500645654648497</v>
      </c>
      <c r="Y8798" s="11">
        <v>0.06862895872292032</v>
      </c>
      <c r="Z8798" s="11">
        <v>0.03940351408425712</v>
      </c>
    </row>
    <row r="8799" ht="22.5" customHeight="1">
      <c r="Q8799" s="9" t="s">
        <v>8837</v>
      </c>
      <c r="R8799" s="10">
        <v>0.5547868668941637</v>
      </c>
      <c r="S8799" s="10">
        <v>0.02977644845151011</v>
      </c>
      <c r="T8799" s="10">
        <v>17.2883904449678</v>
      </c>
      <c r="U8799" s="11">
        <v>0.2762468539252608</v>
      </c>
      <c r="V8799" s="11">
        <v>0.28095651261304966</v>
      </c>
      <c r="W8799" s="11">
        <v>0.04456330903503049</v>
      </c>
      <c r="X8799" s="11">
        <v>0.02213126506721948</v>
      </c>
      <c r="Y8799" s="11">
        <v>0.006117920611950765</v>
      </c>
      <c r="Z8799" s="11">
        <v>0.3699841387474888</v>
      </c>
    </row>
    <row r="8800" ht="22.5" customHeight="1">
      <c r="Q8800" s="9" t="s">
        <v>8838</v>
      </c>
      <c r="R8800" s="10">
        <v>0.8605128946447407</v>
      </c>
      <c r="S8800" s="10">
        <v>0.04746274583064755</v>
      </c>
      <c r="T8800" s="10">
        <v>17.287514244802093</v>
      </c>
      <c r="U8800" s="11">
        <v>0.1250992760088657</v>
      </c>
      <c r="V8800" s="11">
        <v>0.1209092416687265</v>
      </c>
      <c r="W8800" s="11">
        <v>0.4205700585955628</v>
      </c>
      <c r="X8800" s="11">
        <v>0.14354311259250552</v>
      </c>
      <c r="Y8800" s="11">
        <v>0.13063909314350558</v>
      </c>
      <c r="Z8800" s="11">
        <v>0.05923921799083392</v>
      </c>
    </row>
    <row r="8801" ht="22.5" customHeight="1">
      <c r="Q8801" s="9" t="s">
        <v>8839</v>
      </c>
      <c r="R8801" s="10">
        <v>0.562975624737913</v>
      </c>
      <c r="S8801" s="10">
        <v>0.030255300601863475</v>
      </c>
      <c r="T8801" s="10">
        <v>17.28542154050527</v>
      </c>
      <c r="U8801" s="11">
        <v>0.28859679631121193</v>
      </c>
      <c r="V8801" s="11">
        <v>0.285036292708276</v>
      </c>
      <c r="W8801" s="11">
        <v>0.029374123122912835</v>
      </c>
      <c r="X8801" s="11">
        <v>0.0704225915740374</v>
      </c>
      <c r="Y8801" s="11">
        <v>0.1401053973000206</v>
      </c>
      <c r="Z8801" s="11">
        <v>0.18646479898354115</v>
      </c>
    </row>
    <row r="8802" ht="22.5" customHeight="1">
      <c r="Q8802" s="9" t="s">
        <v>8840</v>
      </c>
      <c r="R8802" s="10">
        <v>0.46433978525671343</v>
      </c>
      <c r="S8802" s="10">
        <v>0.02454976564402284</v>
      </c>
      <c r="T8802" s="10">
        <v>17.28488130639357</v>
      </c>
      <c r="U8802" s="11">
        <v>0.20310985903628798</v>
      </c>
      <c r="V8802" s="11">
        <v>0.02736682297879397</v>
      </c>
      <c r="W8802" s="11">
        <v>0.2107157055873921</v>
      </c>
      <c r="X8802" s="11">
        <v>0.16825997412186278</v>
      </c>
      <c r="Y8802" s="11">
        <v>0.2501275410725352</v>
      </c>
      <c r="Z8802" s="11">
        <v>0.14042009720312804</v>
      </c>
    </row>
    <row r="8803" ht="22.5" customHeight="1">
      <c r="Q8803" s="9" t="s">
        <v>8841</v>
      </c>
      <c r="R8803" s="10">
        <v>0.6211983663231657</v>
      </c>
      <c r="S8803" s="10">
        <v>0.033630841992927415</v>
      </c>
      <c r="T8803" s="10">
        <v>17.281707262797404</v>
      </c>
      <c r="U8803" s="11">
        <v>0.20782770226755276</v>
      </c>
      <c r="V8803" s="11">
        <v>0.31757990858317625</v>
      </c>
      <c r="W8803" s="11">
        <v>0.02048061996146556</v>
      </c>
      <c r="X8803" s="11">
        <v>0.20586638066420268</v>
      </c>
      <c r="Y8803" s="11">
        <v>0.1932764968204064</v>
      </c>
      <c r="Z8803" s="11">
        <v>0.05496889170319629</v>
      </c>
    </row>
    <row r="8804" ht="22.5" customHeight="1">
      <c r="Q8804" s="9" t="s">
        <v>8842</v>
      </c>
      <c r="R8804" s="10">
        <v>0.6101200930124395</v>
      </c>
      <c r="S8804" s="10">
        <v>0.032997464052467694</v>
      </c>
      <c r="T8804" s="10">
        <v>17.277694192072417</v>
      </c>
      <c r="U8804" s="11">
        <v>0.304910649634193</v>
      </c>
      <c r="V8804" s="11">
        <v>0.07423968065022586</v>
      </c>
      <c r="W8804" s="11">
        <v>0.28625548185707256</v>
      </c>
      <c r="X8804" s="11">
        <v>0.011720178337233855</v>
      </c>
      <c r="Y8804" s="11">
        <v>0.2229343110630296</v>
      </c>
      <c r="Z8804" s="11">
        <v>0.09993969845824506</v>
      </c>
    </row>
    <row r="8805" ht="22.5" customHeight="1">
      <c r="Q8805" s="9" t="s">
        <v>8843</v>
      </c>
      <c r="R8805" s="10">
        <v>0.27188240301271727</v>
      </c>
      <c r="S8805" s="10">
        <v>0.01342215039444767</v>
      </c>
      <c r="T8805" s="10">
        <v>17.276099298413456</v>
      </c>
      <c r="U8805" s="11">
        <v>0.21741505965785682</v>
      </c>
      <c r="V8805" s="11">
        <v>0.09765547957396768</v>
      </c>
      <c r="W8805" s="11">
        <v>0.002890616462986973</v>
      </c>
      <c r="X8805" s="11">
        <v>0.07277665420787385</v>
      </c>
      <c r="Y8805" s="11">
        <v>0.30889265280638906</v>
      </c>
      <c r="Z8805" s="11">
        <v>0.30036953729092564</v>
      </c>
    </row>
    <row r="8806" ht="22.5" customHeight="1">
      <c r="Q8806" s="9" t="s">
        <v>8844</v>
      </c>
      <c r="R8806" s="10">
        <v>0.5430389819770696</v>
      </c>
      <c r="S8806" s="10">
        <v>0.029117946472174576</v>
      </c>
      <c r="T8806" s="10">
        <v>17.27590860357474</v>
      </c>
      <c r="U8806" s="11">
        <v>0.1773375442130803</v>
      </c>
      <c r="V8806" s="11">
        <v>0.2734655193507493</v>
      </c>
      <c r="W8806" s="11">
        <v>0.03359859911723449</v>
      </c>
      <c r="X8806" s="11">
        <v>0.014613726691848225</v>
      </c>
      <c r="Y8806" s="11">
        <v>0.23225347483325276</v>
      </c>
      <c r="Z8806" s="11">
        <v>0.26873113579383484</v>
      </c>
    </row>
    <row r="8807" ht="22.5" customHeight="1">
      <c r="Q8807" s="9" t="s">
        <v>8845</v>
      </c>
      <c r="R8807" s="10">
        <v>0.5671666451155027</v>
      </c>
      <c r="S8807" s="10">
        <v>0.03051557472561559</v>
      </c>
      <c r="T8807" s="10">
        <v>17.275330707534895</v>
      </c>
      <c r="U8807" s="11">
        <v>0.10414434705122633</v>
      </c>
      <c r="V8807" s="11">
        <v>0.04875706708815652</v>
      </c>
      <c r="W8807" s="11">
        <v>0.27077223044983073</v>
      </c>
      <c r="X8807" s="11">
        <v>0.2778174999326836</v>
      </c>
      <c r="Y8807" s="11">
        <v>0.030879632627071076</v>
      </c>
      <c r="Z8807" s="11">
        <v>0.26762922285103186</v>
      </c>
    </row>
    <row r="8808" ht="22.5" customHeight="1">
      <c r="Q8808" s="9" t="s">
        <v>8846</v>
      </c>
      <c r="R8808" s="10">
        <v>0.4879601559754914</v>
      </c>
      <c r="S8808" s="10">
        <v>0.02593117237900168</v>
      </c>
      <c r="T8808" s="10">
        <v>17.27496734155517</v>
      </c>
      <c r="U8808" s="11">
        <v>0.04649232218675205</v>
      </c>
      <c r="V8808" s="11">
        <v>0.019692792817149155</v>
      </c>
      <c r="W8808" s="11">
        <v>0.22452351216308256</v>
      </c>
      <c r="X8808" s="11">
        <v>0.35597755954088917</v>
      </c>
      <c r="Y8808" s="11">
        <v>0.18264554560693133</v>
      </c>
      <c r="Z8808" s="11">
        <v>0.17066826768519572</v>
      </c>
    </row>
    <row r="8809" ht="22.5" customHeight="1">
      <c r="Q8809" s="9" t="s">
        <v>8847</v>
      </c>
      <c r="R8809" s="10">
        <v>0.7737837977794193</v>
      </c>
      <c r="S8809" s="10">
        <v>0.042481689366242664</v>
      </c>
      <c r="T8809" s="10">
        <v>17.27294297204922</v>
      </c>
      <c r="U8809" s="11">
        <v>0.19859512111972719</v>
      </c>
      <c r="V8809" s="11">
        <v>0.1017761805413419</v>
      </c>
      <c r="W8809" s="11">
        <v>0.37718441590637236</v>
      </c>
      <c r="X8809" s="11">
        <v>0.13837388276803453</v>
      </c>
      <c r="Y8809" s="11">
        <v>0.08005643893095173</v>
      </c>
      <c r="Z8809" s="11">
        <v>0.10401396073357246</v>
      </c>
    </row>
    <row r="8810" ht="22.5" customHeight="1">
      <c r="Q8810" s="9" t="s">
        <v>8848</v>
      </c>
      <c r="R8810" s="10">
        <v>0.6089997042319465</v>
      </c>
      <c r="S8810" s="10">
        <v>0.03294209377672391</v>
      </c>
      <c r="T8810" s="10">
        <v>17.27272431705564</v>
      </c>
      <c r="U8810" s="11">
        <v>0.08309823997942455</v>
      </c>
      <c r="V8810" s="11">
        <v>0.31499225273358555</v>
      </c>
      <c r="W8810" s="11">
        <v>0.039713190471788215</v>
      </c>
      <c r="X8810" s="11">
        <v>0.08952278402315625</v>
      </c>
      <c r="Y8810" s="11">
        <v>0.15001375743705106</v>
      </c>
      <c r="Z8810" s="11">
        <v>0.32265977535499435</v>
      </c>
    </row>
    <row r="8811" ht="22.5" customHeight="1">
      <c r="Q8811" s="9" t="s">
        <v>8849</v>
      </c>
      <c r="R8811" s="10">
        <v>0.5963651640915405</v>
      </c>
      <c r="S8811" s="10">
        <v>0.03221245688269539</v>
      </c>
      <c r="T8811" s="10">
        <v>17.271739504924916</v>
      </c>
      <c r="U8811" s="11">
        <v>0.1642307681313219</v>
      </c>
      <c r="V8811" s="11">
        <v>0.3030855217501016</v>
      </c>
      <c r="W8811" s="11">
        <v>0.015240333307290967</v>
      </c>
      <c r="X8811" s="11">
        <v>0.22039543022543306</v>
      </c>
      <c r="Y8811" s="11">
        <v>0.2287061541250518</v>
      </c>
      <c r="Z8811" s="11">
        <v>0.0683417924608007</v>
      </c>
    </row>
    <row r="8812" ht="22.5" customHeight="1">
      <c r="Q8812" s="9" t="s">
        <v>8850</v>
      </c>
      <c r="R8812" s="10">
        <v>0.4243297981123783</v>
      </c>
      <c r="S8812" s="10">
        <v>0.022253882078931926</v>
      </c>
      <c r="T8812" s="10">
        <v>17.270236121014992</v>
      </c>
      <c r="U8812" s="11">
        <v>0.24779963756956616</v>
      </c>
      <c r="V8812" s="11">
        <v>0.03602098581896303</v>
      </c>
      <c r="W8812" s="11">
        <v>0.18626308523701823</v>
      </c>
      <c r="X8812" s="11">
        <v>0.04463789464249338</v>
      </c>
      <c r="Y8812" s="11">
        <v>0.2501523038878204</v>
      </c>
      <c r="Z8812" s="11">
        <v>0.23512609284413885</v>
      </c>
    </row>
    <row r="8813" ht="22.5" customHeight="1">
      <c r="Q8813" s="9" t="s">
        <v>8851</v>
      </c>
      <c r="R8813" s="10">
        <v>0.4643943602815558</v>
      </c>
      <c r="S8813" s="10">
        <v>0.024576424288008252</v>
      </c>
      <c r="T8813" s="10">
        <v>17.268352601181025</v>
      </c>
      <c r="U8813" s="11">
        <v>0.13868837068823148</v>
      </c>
      <c r="V8813" s="11">
        <v>0.03513806168910234</v>
      </c>
      <c r="W8813" s="11">
        <v>0.21151050128993978</v>
      </c>
      <c r="X8813" s="11">
        <v>0.12740499548510634</v>
      </c>
      <c r="Y8813" s="11">
        <v>0.25082485473754335</v>
      </c>
      <c r="Z8813" s="11">
        <v>0.23643321611007678</v>
      </c>
    </row>
    <row r="8814" ht="22.5" customHeight="1">
      <c r="Q8814" s="9" t="s">
        <v>8852</v>
      </c>
      <c r="R8814" s="10">
        <v>0.29587951004963114</v>
      </c>
      <c r="S8814" s="10">
        <v>0.014819186773017605</v>
      </c>
      <c r="T8814" s="10">
        <v>17.266771380163046</v>
      </c>
      <c r="U8814" s="11">
        <v>0.18247428323901255</v>
      </c>
      <c r="V8814" s="11">
        <v>6.206757741764552E-4</v>
      </c>
      <c r="W8814" s="11">
        <v>0.11143665506090046</v>
      </c>
      <c r="X8814" s="11">
        <v>0.2085649320159999</v>
      </c>
      <c r="Y8814" s="11">
        <v>0.23687012295274704</v>
      </c>
      <c r="Z8814" s="11">
        <v>0.2600333309571636</v>
      </c>
    </row>
    <row r="8815" ht="22.5" customHeight="1">
      <c r="Q8815" s="9" t="s">
        <v>8853</v>
      </c>
      <c r="R8815" s="10">
        <v>0.3902395331630967</v>
      </c>
      <c r="S8815" s="10">
        <v>0.020288182624015695</v>
      </c>
      <c r="T8815" s="10">
        <v>17.263228533269817</v>
      </c>
      <c r="U8815" s="11">
        <v>0.43904510559586224</v>
      </c>
      <c r="V8815" s="11">
        <v>0.02881432278555337</v>
      </c>
      <c r="W8815" s="11">
        <v>0.1619210556404968</v>
      </c>
      <c r="X8815" s="11">
        <v>0.03569305914533026</v>
      </c>
      <c r="Y8815" s="11">
        <v>0.21742240845440317</v>
      </c>
      <c r="Z8815" s="11">
        <v>0.117104048378354</v>
      </c>
    </row>
    <row r="8816" ht="22.5" customHeight="1">
      <c r="Q8816" s="9" t="s">
        <v>8854</v>
      </c>
      <c r="R8816" s="10">
        <v>0.8166651851761173</v>
      </c>
      <c r="S8816" s="10">
        <v>0.04499196064308614</v>
      </c>
      <c r="T8816" s="10">
        <v>17.262310289993252</v>
      </c>
      <c r="U8816" s="11">
        <v>0.03656930670752526</v>
      </c>
      <c r="V8816" s="11">
        <v>0.09648479706086965</v>
      </c>
      <c r="W8816" s="11">
        <v>0.40110151001450706</v>
      </c>
      <c r="X8816" s="11">
        <v>0.29753429806722725</v>
      </c>
      <c r="Y8816" s="11">
        <v>0.09022720372531128</v>
      </c>
      <c r="Z8816" s="11">
        <v>0.07808288442455966</v>
      </c>
    </row>
    <row r="8817" ht="22.5" customHeight="1">
      <c r="Q8817" s="9" t="s">
        <v>8855</v>
      </c>
      <c r="R8817" s="10">
        <v>0.47368527041354824</v>
      </c>
      <c r="S8817" s="10">
        <v>0.025123748431307585</v>
      </c>
      <c r="T8817" s="10">
        <v>17.261965172088644</v>
      </c>
      <c r="U8817" s="11">
        <v>0.28977653105784223</v>
      </c>
      <c r="V8817" s="11">
        <v>0.2346229631414899</v>
      </c>
      <c r="W8817" s="11">
        <v>0.015994558795201688</v>
      </c>
      <c r="X8817" s="11">
        <v>0.11004151011027863</v>
      </c>
      <c r="Y8817" s="11">
        <v>0.07428808714529667</v>
      </c>
      <c r="Z8817" s="11">
        <v>0.27527634974989096</v>
      </c>
    </row>
    <row r="8818" ht="22.5" customHeight="1">
      <c r="Q8818" s="9" t="s">
        <v>8856</v>
      </c>
      <c r="R8818" s="10">
        <v>0.8631598319889879</v>
      </c>
      <c r="S8818" s="10">
        <v>0.047689834755979425</v>
      </c>
      <c r="T8818" s="10">
        <v>17.26069792862469</v>
      </c>
      <c r="U8818" s="11">
        <v>0.1362838361700833</v>
      </c>
      <c r="V8818" s="11">
        <v>0.13534686436472185</v>
      </c>
      <c r="W8818" s="11">
        <v>0.4173065901207089</v>
      </c>
      <c r="X8818" s="11">
        <v>0.004336585747975355</v>
      </c>
      <c r="Y8818" s="11">
        <v>0.24071961009048384</v>
      </c>
      <c r="Z8818" s="11">
        <v>0.06600651350602683</v>
      </c>
    </row>
    <row r="8819" ht="22.5" customHeight="1">
      <c r="Q8819" s="9" t="s">
        <v>8857</v>
      </c>
      <c r="R8819" s="10">
        <v>0.45375684053768883</v>
      </c>
      <c r="S8819" s="10">
        <v>0.023972046548326516</v>
      </c>
      <c r="T8819" s="10">
        <v>17.259971513219554</v>
      </c>
      <c r="U8819" s="11">
        <v>0.19256719012497173</v>
      </c>
      <c r="V8819" s="11">
        <v>0.21551970019268185</v>
      </c>
      <c r="W8819" s="11">
        <v>0.018364676164879884</v>
      </c>
      <c r="X8819" s="11">
        <v>0.01931195450497379</v>
      </c>
      <c r="Y8819" s="11">
        <v>0.3531652679774616</v>
      </c>
      <c r="Z8819" s="11">
        <v>0.20107121103503092</v>
      </c>
    </row>
    <row r="8820" ht="22.5" customHeight="1">
      <c r="Q8820" s="9" t="s">
        <v>8858</v>
      </c>
      <c r="R8820" s="10">
        <v>0.3835198453095854</v>
      </c>
      <c r="S8820" s="10">
        <v>0.019903356312908075</v>
      </c>
      <c r="T8820" s="10">
        <v>17.259392833499135</v>
      </c>
      <c r="U8820" s="11">
        <v>0.24621034811540654</v>
      </c>
      <c r="V8820" s="11">
        <v>0.0032015995795842073</v>
      </c>
      <c r="W8820" s="11">
        <v>0.16352972503959248</v>
      </c>
      <c r="X8820" s="11">
        <v>0.26112806330773247</v>
      </c>
      <c r="Y8820" s="11">
        <v>0.22658831629213516</v>
      </c>
      <c r="Z8820" s="11">
        <v>0.0993419476655491</v>
      </c>
    </row>
    <row r="8821" ht="22.5" customHeight="1">
      <c r="Q8821" s="9" t="s">
        <v>8859</v>
      </c>
      <c r="R8821" s="10">
        <v>0.5003675606073609</v>
      </c>
      <c r="S8821" s="10">
        <v>0.02667348648558316</v>
      </c>
      <c r="T8821" s="10">
        <v>17.25936955621405</v>
      </c>
      <c r="U8821" s="11">
        <v>0.02898080720116504</v>
      </c>
      <c r="V8821" s="11">
        <v>0.04703329663814803</v>
      </c>
      <c r="W8821" s="11">
        <v>0.23344881753421715</v>
      </c>
      <c r="X8821" s="11">
        <v>0.15712368874862792</v>
      </c>
      <c r="Y8821" s="11">
        <v>0.16965047399046784</v>
      </c>
      <c r="Z8821" s="11">
        <v>0.363762915887374</v>
      </c>
    </row>
    <row r="8822" ht="22.5" customHeight="1">
      <c r="Q8822" s="9" t="s">
        <v>8860</v>
      </c>
      <c r="R8822" s="10">
        <v>0.39001911727552147</v>
      </c>
      <c r="S8822" s="10">
        <v>0.020284430595235735</v>
      </c>
      <c r="T8822" s="10">
        <v>17.255555468129902</v>
      </c>
      <c r="U8822" s="11">
        <v>0.2258030803792851</v>
      </c>
      <c r="V8822" s="11">
        <v>0.18515542515190228</v>
      </c>
      <c r="W8822" s="11">
        <v>0.0013102850841197426</v>
      </c>
      <c r="X8822" s="11">
        <v>0.16277017550496325</v>
      </c>
      <c r="Y8822" s="11">
        <v>0.09372653987220525</v>
      </c>
      <c r="Z8822" s="11">
        <v>0.33123449400752447</v>
      </c>
    </row>
    <row r="8823" ht="22.5" customHeight="1">
      <c r="Q8823" s="9" t="s">
        <v>8861</v>
      </c>
      <c r="R8823" s="10">
        <v>0.2574632199429118</v>
      </c>
      <c r="S8823" s="10">
        <v>0.012603150771533915</v>
      </c>
      <c r="T8823" s="10">
        <v>17.254670985455853</v>
      </c>
      <c r="U8823" s="11">
        <v>0.2946405726009275</v>
      </c>
      <c r="V8823" s="11">
        <v>0.013745239079832852</v>
      </c>
      <c r="W8823" s="11">
        <v>0.07757996734795446</v>
      </c>
      <c r="X8823" s="11">
        <v>0.07957705678823701</v>
      </c>
      <c r="Y8823" s="11">
        <v>0.2769851567978585</v>
      </c>
      <c r="Z8823" s="11">
        <v>0.2574720073851896</v>
      </c>
    </row>
    <row r="8824" ht="22.5" customHeight="1">
      <c r="Q8824" s="9" t="s">
        <v>8862</v>
      </c>
      <c r="R8824" s="10">
        <v>0.4313115810546493</v>
      </c>
      <c r="S8824" s="10">
        <v>0.02267975794803154</v>
      </c>
      <c r="T8824" s="10">
        <v>17.25378118899248</v>
      </c>
      <c r="U8824" s="11">
        <v>0.2781392052357083</v>
      </c>
      <c r="V8824" s="11">
        <v>0.011278980320539627</v>
      </c>
      <c r="W8824" s="11">
        <v>0.19360669756918988</v>
      </c>
      <c r="X8824" s="11">
        <v>0.269746108266949</v>
      </c>
      <c r="Y8824" s="11">
        <v>0.14125174779959027</v>
      </c>
      <c r="Z8824" s="11">
        <v>0.105977260808023</v>
      </c>
    </row>
    <row r="8825" ht="22.5" customHeight="1">
      <c r="Q8825" s="9" t="s">
        <v>8863</v>
      </c>
      <c r="R8825" s="10">
        <v>0.3010320939488229</v>
      </c>
      <c r="S8825" s="10">
        <v>0.015129368482939488</v>
      </c>
      <c r="T8825" s="10">
        <v>17.253337060510734</v>
      </c>
      <c r="U8825" s="11">
        <v>0.02641097035713036</v>
      </c>
      <c r="V8825" s="11">
        <v>0.07748890454888584</v>
      </c>
      <c r="W8825" s="11">
        <v>0.009964021270493752</v>
      </c>
      <c r="X8825" s="11">
        <v>0.26009633445321984</v>
      </c>
      <c r="Y8825" s="11">
        <v>0.5943532463186874</v>
      </c>
      <c r="Z8825" s="11">
        <v>0.031686523051582885</v>
      </c>
    </row>
    <row r="8826" ht="22.5" customHeight="1">
      <c r="Q8826" s="9" t="s">
        <v>8864</v>
      </c>
      <c r="R8826" s="10">
        <v>1.1231707732231702</v>
      </c>
      <c r="S8826" s="10">
        <v>0.06278179969820273</v>
      </c>
      <c r="T8826" s="10">
        <v>17.252942388240875</v>
      </c>
      <c r="U8826" s="11">
        <v>0.05107394114265627</v>
      </c>
      <c r="V8826" s="11">
        <v>0.5979635933228707</v>
      </c>
      <c r="W8826" s="11">
        <v>0.14004711338455045</v>
      </c>
      <c r="X8826" s="11">
        <v>0.01646617180782439</v>
      </c>
      <c r="Y8826" s="11">
        <v>0.05158371887402935</v>
      </c>
      <c r="Z8826" s="11">
        <v>0.14286546146806886</v>
      </c>
    </row>
    <row r="8827" ht="22.5" customHeight="1">
      <c r="Q8827" s="9" t="s">
        <v>8865</v>
      </c>
      <c r="R8827" s="10">
        <v>0.6013117751243119</v>
      </c>
      <c r="S8827" s="10">
        <v>0.03253673491543762</v>
      </c>
      <c r="T8827" s="10">
        <v>17.251631934893005</v>
      </c>
      <c r="U8827" s="11">
        <v>0.10786632060743563</v>
      </c>
      <c r="V8827" s="11">
        <v>0.3082309187641014</v>
      </c>
      <c r="W8827" s="11">
        <v>0.01284464269519669</v>
      </c>
      <c r="X8827" s="11">
        <v>0.3331079391208414</v>
      </c>
      <c r="Y8827" s="11">
        <v>0.07345607572570409</v>
      </c>
      <c r="Z8827" s="11">
        <v>0.16449410308672077</v>
      </c>
    </row>
    <row r="8828" ht="22.5" customHeight="1">
      <c r="Q8828" s="9" t="s">
        <v>8866</v>
      </c>
      <c r="R8828" s="10">
        <v>0.5390951536675839</v>
      </c>
      <c r="S8828" s="10">
        <v>0.02893097697970642</v>
      </c>
      <c r="T8828" s="10">
        <v>17.251237454499833</v>
      </c>
      <c r="U8828" s="11">
        <v>0.1800134669451797</v>
      </c>
      <c r="V8828" s="11">
        <v>0.0480871523760198</v>
      </c>
      <c r="W8828" s="11">
        <v>0.24965508018961194</v>
      </c>
      <c r="X8828" s="11">
        <v>0.1008274553011694</v>
      </c>
      <c r="Y8828" s="11">
        <v>0.31339794807351967</v>
      </c>
      <c r="Z8828" s="11">
        <v>0.10801889711449941</v>
      </c>
    </row>
    <row r="8829" ht="22.5" customHeight="1">
      <c r="Q8829" s="9" t="s">
        <v>8867</v>
      </c>
      <c r="R8829" s="10">
        <v>0.5825552590921719</v>
      </c>
      <c r="S8829" s="10">
        <v>0.03145089203748155</v>
      </c>
      <c r="T8829" s="10">
        <v>17.250870291551113</v>
      </c>
      <c r="U8829" s="11">
        <v>0.23216722368640808</v>
      </c>
      <c r="V8829" s="11">
        <v>0.04461243729364102</v>
      </c>
      <c r="W8829" s="11">
        <v>0.2790619615441716</v>
      </c>
      <c r="X8829" s="11">
        <v>0.2632297463911188</v>
      </c>
      <c r="Y8829" s="11">
        <v>0.06346063637090786</v>
      </c>
      <c r="Z8829" s="11">
        <v>0.11746799471375267</v>
      </c>
    </row>
    <row r="8830" ht="22.5" customHeight="1">
      <c r="Q8830" s="9" t="s">
        <v>8868</v>
      </c>
      <c r="R8830" s="10">
        <v>0.5750584351550996</v>
      </c>
      <c r="S8830" s="10">
        <v>0.031017229213639495</v>
      </c>
      <c r="T8830" s="10">
        <v>17.25036209616729</v>
      </c>
      <c r="U8830" s="11">
        <v>0.059255807935314785</v>
      </c>
      <c r="V8830" s="11">
        <v>0.2952133299477888</v>
      </c>
      <c r="W8830" s="11">
        <v>0.016589779113846743</v>
      </c>
      <c r="X8830" s="11">
        <v>0.2555607801839144</v>
      </c>
      <c r="Y8830" s="11">
        <v>0.12254619876039395</v>
      </c>
      <c r="Z8830" s="11">
        <v>0.2508341040587413</v>
      </c>
    </row>
    <row r="8831" ht="22.5" customHeight="1">
      <c r="Q8831" s="9" t="s">
        <v>8869</v>
      </c>
      <c r="R8831" s="10">
        <v>0.6348439101080681</v>
      </c>
      <c r="S8831" s="10">
        <v>0.034487404595180834</v>
      </c>
      <c r="T8831" s="10">
        <v>17.248149493719506</v>
      </c>
      <c r="U8831" s="11">
        <v>0.0795192772382651</v>
      </c>
      <c r="V8831" s="11">
        <v>0.09081282712366921</v>
      </c>
      <c r="W8831" s="11">
        <v>0.30366524050654947</v>
      </c>
      <c r="X8831" s="11">
        <v>0.08443679435262523</v>
      </c>
      <c r="Y8831" s="11">
        <v>0.030763901481892966</v>
      </c>
      <c r="Z8831" s="11">
        <v>0.410801959296998</v>
      </c>
    </row>
    <row r="8832" ht="22.5" customHeight="1">
      <c r="Q8832" s="9" t="s">
        <v>8870</v>
      </c>
      <c r="R8832" s="10">
        <v>0.5679367460279511</v>
      </c>
      <c r="S8832" s="10">
        <v>0.030608811333167302</v>
      </c>
      <c r="T8832" s="10">
        <v>17.2478682782394</v>
      </c>
      <c r="U8832" s="11">
        <v>0.2058141985709866</v>
      </c>
      <c r="V8832" s="11">
        <v>0.0579812681884653</v>
      </c>
      <c r="W8832" s="11">
        <v>0.27109400514005005</v>
      </c>
      <c r="X8832" s="11">
        <v>0.16392950847639948</v>
      </c>
      <c r="Y8832" s="11">
        <v>0.03446200328344496</v>
      </c>
      <c r="Z8832" s="11">
        <v>0.2667190163406534</v>
      </c>
    </row>
    <row r="8833" ht="22.5" customHeight="1">
      <c r="Q8833" s="9" t="s">
        <v>8871</v>
      </c>
      <c r="R8833" s="10">
        <v>0.6693221376857497</v>
      </c>
      <c r="S8833" s="10">
        <v>0.03649079988404468</v>
      </c>
      <c r="T8833" s="10">
        <v>17.246049406577022</v>
      </c>
      <c r="U8833" s="11">
        <v>0.16422743567233267</v>
      </c>
      <c r="V8833" s="11">
        <v>0.3450883576969087</v>
      </c>
      <c r="W8833" s="11">
        <v>0.029797872378265467</v>
      </c>
      <c r="X8833" s="11">
        <v>0.1662414042346435</v>
      </c>
      <c r="Y8833" s="11">
        <v>0.2603945852114834</v>
      </c>
      <c r="Z8833" s="11">
        <v>0.034250344806366316</v>
      </c>
    </row>
    <row r="8834" ht="22.5" customHeight="1">
      <c r="Q8834" s="9" t="s">
        <v>8872</v>
      </c>
      <c r="R8834" s="10">
        <v>0.39144794473204353</v>
      </c>
      <c r="S8834" s="10">
        <v>0.020379901371755955</v>
      </c>
      <c r="T8834" s="10">
        <v>17.244830498498256</v>
      </c>
      <c r="U8834" s="11">
        <v>0.05931330801396359</v>
      </c>
      <c r="V8834" s="11">
        <v>0.011445994444136355</v>
      </c>
      <c r="W8834" s="11">
        <v>0.15924830732929598</v>
      </c>
      <c r="X8834" s="11">
        <v>0.23368080785832723</v>
      </c>
      <c r="Y8834" s="11">
        <v>0.4354587165039131</v>
      </c>
      <c r="Z8834" s="11">
        <v>0.10085286585036372</v>
      </c>
    </row>
    <row r="8835" ht="22.5" customHeight="1">
      <c r="Q8835" s="9" t="s">
        <v>8873</v>
      </c>
      <c r="R8835" s="10">
        <v>0.2715474827112933</v>
      </c>
      <c r="S8835" s="10">
        <v>0.01342715211143635</v>
      </c>
      <c r="T8835" s="10">
        <v>17.244720309236435</v>
      </c>
      <c r="U8835" s="11">
        <v>0.07222855564380685</v>
      </c>
      <c r="V8835" s="11">
        <v>0.03766273180500658</v>
      </c>
      <c r="W8835" s="11">
        <v>0.02416786124760819</v>
      </c>
      <c r="X8835" s="11">
        <v>0.306039412517407</v>
      </c>
      <c r="Y8835" s="11">
        <v>0.5568673624628131</v>
      </c>
      <c r="Z8835" s="11">
        <v>0.0030340763233582136</v>
      </c>
    </row>
    <row r="8836" ht="22.5" customHeight="1">
      <c r="Q8836" s="9" t="s">
        <v>8874</v>
      </c>
      <c r="R8836" s="10">
        <v>0.5637702563129485</v>
      </c>
      <c r="S8836" s="10">
        <v>0.030374378139174766</v>
      </c>
      <c r="T8836" s="10">
        <v>17.243818257382724</v>
      </c>
      <c r="U8836" s="11">
        <v>0.0707574220565923</v>
      </c>
      <c r="V8836" s="11">
        <v>0.03709824174474774</v>
      </c>
      <c r="W8836" s="11">
        <v>0.26633141306680824</v>
      </c>
      <c r="X8836" s="11">
        <v>0.28032021975562016</v>
      </c>
      <c r="Y8836" s="11">
        <v>0.24473045531774018</v>
      </c>
      <c r="Z8836" s="11">
        <v>0.10076224805849138</v>
      </c>
    </row>
    <row r="8837" ht="22.5" customHeight="1">
      <c r="Q8837" s="9" t="s">
        <v>8875</v>
      </c>
      <c r="R8837" s="10">
        <v>0.4743274645614832</v>
      </c>
      <c r="S8837" s="10">
        <v>0.025187707909962238</v>
      </c>
      <c r="T8837" s="10">
        <v>17.2436279678191</v>
      </c>
      <c r="U8837" s="11">
        <v>0.1243414972913496</v>
      </c>
      <c r="V8837" s="11">
        <v>0.23364491367487694</v>
      </c>
      <c r="W8837" s="11">
        <v>0.003867608173003553</v>
      </c>
      <c r="X8837" s="11">
        <v>0.1865035943795019</v>
      </c>
      <c r="Y8837" s="11">
        <v>0.24359297526437806</v>
      </c>
      <c r="Z8837" s="11">
        <v>0.20804941121689</v>
      </c>
    </row>
    <row r="8838" ht="22.5" customHeight="1">
      <c r="Q8838" s="9" t="s">
        <v>8876</v>
      </c>
      <c r="R8838" s="10">
        <v>0.42018858422355904</v>
      </c>
      <c r="S8838" s="10">
        <v>0.022048300058893692</v>
      </c>
      <c r="T8838" s="10">
        <v>17.24344204351488</v>
      </c>
      <c r="U8838" s="11">
        <v>0.09862062131991248</v>
      </c>
      <c r="V8838" s="11">
        <v>0.03307098492537902</v>
      </c>
      <c r="W8838" s="11">
        <v>0.190252359976828</v>
      </c>
      <c r="X8838" s="11">
        <v>0.15449439635229958</v>
      </c>
      <c r="Y8838" s="11">
        <v>0.1064602336697628</v>
      </c>
      <c r="Z8838" s="11">
        <v>0.41710140375581817</v>
      </c>
    </row>
    <row r="8839" ht="22.5" customHeight="1">
      <c r="Q8839" s="9" t="s">
        <v>8877</v>
      </c>
      <c r="R8839" s="10">
        <v>0.49601506250581756</v>
      </c>
      <c r="S8839" s="10">
        <v>0.02644637185981655</v>
      </c>
      <c r="T8839" s="10">
        <v>17.24301030489181</v>
      </c>
      <c r="U8839" s="11">
        <v>0.18456292099127822</v>
      </c>
      <c r="V8839" s="11">
        <v>0.2481801331634482</v>
      </c>
      <c r="W8839" s="11">
        <v>0.00883094744423648</v>
      </c>
      <c r="X8839" s="11">
        <v>0.1756970750239309</v>
      </c>
      <c r="Y8839" s="11">
        <v>0.16058465422210857</v>
      </c>
      <c r="Z8839" s="11">
        <v>0.22214426915499771</v>
      </c>
    </row>
    <row r="8840" ht="22.5" customHeight="1">
      <c r="Q8840" s="9" t="s">
        <v>8878</v>
      </c>
      <c r="R8840" s="10">
        <v>0.7599681868495551</v>
      </c>
      <c r="S8840" s="10">
        <v>0.041756523583856425</v>
      </c>
      <c r="T8840" s="10">
        <v>17.242052859206495</v>
      </c>
      <c r="U8840" s="11">
        <v>0.24529363448899721</v>
      </c>
      <c r="V8840" s="11">
        <v>0.39909542374329127</v>
      </c>
      <c r="W8840" s="11">
        <v>0.06111448348026497</v>
      </c>
      <c r="X8840" s="11">
        <v>0.08016474797004963</v>
      </c>
      <c r="Y8840" s="11">
        <v>0.06711568493400875</v>
      </c>
      <c r="Z8840" s="11">
        <v>0.14721602538338818</v>
      </c>
    </row>
    <row r="8841" ht="22.5" customHeight="1">
      <c r="Q8841" s="9" t="s">
        <v>8879</v>
      </c>
      <c r="R8841" s="10">
        <v>0.7036754516927264</v>
      </c>
      <c r="S8841" s="10">
        <v>0.038493527716966944</v>
      </c>
      <c r="T8841" s="10">
        <v>17.24122186390819</v>
      </c>
      <c r="U8841" s="11">
        <v>0.10463685602571718</v>
      </c>
      <c r="V8841" s="11">
        <v>0.3695131309774437</v>
      </c>
      <c r="W8841" s="11">
        <v>0.04345650056161794</v>
      </c>
      <c r="X8841" s="11">
        <v>0.17958403963722222</v>
      </c>
      <c r="Y8841" s="11">
        <v>0.08908136383197238</v>
      </c>
      <c r="Z8841" s="11">
        <v>0.21372810896602645</v>
      </c>
    </row>
    <row r="8842" ht="22.5" customHeight="1">
      <c r="Q8842" s="9" t="s">
        <v>8880</v>
      </c>
      <c r="R8842" s="10">
        <v>0.5171068581062136</v>
      </c>
      <c r="S8842" s="10">
        <v>0.027676497752035793</v>
      </c>
      <c r="T8842" s="10">
        <v>17.23870058924342</v>
      </c>
      <c r="U8842" s="11">
        <v>0.0332288741654186</v>
      </c>
      <c r="V8842" s="11">
        <v>0.25286256834267506</v>
      </c>
      <c r="W8842" s="11">
        <v>0.02952142904462075</v>
      </c>
      <c r="X8842" s="11">
        <v>0.01721795318661002</v>
      </c>
      <c r="Y8842" s="11">
        <v>0.42470196636879326</v>
      </c>
      <c r="Z8842" s="11">
        <v>0.24246720889188225</v>
      </c>
    </row>
    <row r="8843" ht="22.5" customHeight="1">
      <c r="Q8843" s="9" t="s">
        <v>8881</v>
      </c>
      <c r="R8843" s="10">
        <v>0.4835183573422909</v>
      </c>
      <c r="S8843" s="10">
        <v>0.025729523313660258</v>
      </c>
      <c r="T8843" s="10">
        <v>17.23772150519474</v>
      </c>
      <c r="U8843" s="11">
        <v>0.2882076669166072</v>
      </c>
      <c r="V8843" s="11">
        <v>0.048096202613096384</v>
      </c>
      <c r="W8843" s="11">
        <v>0.22225565763974656</v>
      </c>
      <c r="X8843" s="11">
        <v>0.053466503240601045</v>
      </c>
      <c r="Y8843" s="11">
        <v>0.13465711373522055</v>
      </c>
      <c r="Z8843" s="11">
        <v>0.25331685585472824</v>
      </c>
    </row>
    <row r="8844" ht="22.5" customHeight="1">
      <c r="Q8844" s="9" t="s">
        <v>8882</v>
      </c>
      <c r="R8844" s="10">
        <v>0.9417270914552229</v>
      </c>
      <c r="S8844" s="10">
        <v>0.05231175810436076</v>
      </c>
      <c r="T8844" s="10">
        <v>17.237560428695552</v>
      </c>
      <c r="U8844" s="11">
        <v>0.1025143132832445</v>
      </c>
      <c r="V8844" s="11">
        <v>0.4993916450556393</v>
      </c>
      <c r="W8844" s="11">
        <v>0.09772124882093466</v>
      </c>
      <c r="X8844" s="11">
        <v>0.02741851824360092</v>
      </c>
      <c r="Y8844" s="11">
        <v>0.15968604367627254</v>
      </c>
      <c r="Z8844" s="11">
        <v>0.11326823092030804</v>
      </c>
    </row>
    <row r="8845" ht="22.5" customHeight="1">
      <c r="Q8845" s="9" t="s">
        <v>8883</v>
      </c>
      <c r="R8845" s="10">
        <v>0.335647595996857</v>
      </c>
      <c r="S8845" s="10">
        <v>0.017152151365771546</v>
      </c>
      <c r="T8845" s="10">
        <v>17.23676463040344</v>
      </c>
      <c r="U8845" s="11">
        <v>0.1425592428183782</v>
      </c>
      <c r="V8845" s="11">
        <v>0.010060712482010091</v>
      </c>
      <c r="W8845" s="11">
        <v>0.13646214780360666</v>
      </c>
      <c r="X8845" s="11">
        <v>0.16291692660263063</v>
      </c>
      <c r="Y8845" s="11">
        <v>0.27270050557863285</v>
      </c>
      <c r="Z8845" s="11">
        <v>0.2753004647147416</v>
      </c>
    </row>
    <row r="8846" ht="22.5" customHeight="1">
      <c r="Q8846" s="9" t="s">
        <v>8884</v>
      </c>
      <c r="R8846" s="10">
        <v>0.5137225700184518</v>
      </c>
      <c r="S8846" s="10">
        <v>0.027484764195555646</v>
      </c>
      <c r="T8846" s="10">
        <v>17.235824424320654</v>
      </c>
      <c r="U8846" s="11">
        <v>0.1794382752318209</v>
      </c>
      <c r="V8846" s="11">
        <v>0.259979924888428</v>
      </c>
      <c r="W8846" s="11">
        <v>0.013256175214113076</v>
      </c>
      <c r="X8846" s="11">
        <v>0.18264224772729604</v>
      </c>
      <c r="Y8846" s="11">
        <v>0.10020449876565483</v>
      </c>
      <c r="Z8846" s="11">
        <v>0.2644788781726871</v>
      </c>
    </row>
    <row r="8847" ht="22.5" customHeight="1">
      <c r="Q8847" s="9" t="s">
        <v>8885</v>
      </c>
      <c r="R8847" s="10">
        <v>0.3319610298458399</v>
      </c>
      <c r="S8847" s="10">
        <v>0.01693960170768117</v>
      </c>
      <c r="T8847" s="10">
        <v>17.235412903093927</v>
      </c>
      <c r="U8847" s="11">
        <v>0.2677061130411808</v>
      </c>
      <c r="V8847" s="11">
        <v>0.14203020214936168</v>
      </c>
      <c r="W8847" s="11">
        <v>0.0016076923831657211</v>
      </c>
      <c r="X8847" s="11">
        <v>0.07017097057091304</v>
      </c>
      <c r="Y8847" s="11">
        <v>0.26194165884592036</v>
      </c>
      <c r="Z8847" s="11">
        <v>0.25654336300945835</v>
      </c>
    </row>
    <row r="8848" ht="22.5" customHeight="1">
      <c r="Q8848" s="9" t="s">
        <v>8886</v>
      </c>
      <c r="R8848" s="10">
        <v>0.4756376871256691</v>
      </c>
      <c r="S8848" s="10">
        <v>0.02527617617149493</v>
      </c>
      <c r="T8848" s="10">
        <v>17.235110412664284</v>
      </c>
      <c r="U8848" s="11">
        <v>0.1913809096907793</v>
      </c>
      <c r="V8848" s="11">
        <v>0.2311482591883419</v>
      </c>
      <c r="W8848" s="11">
        <v>0.015205587126655238</v>
      </c>
      <c r="X8848" s="11">
        <v>0.059875236761202835</v>
      </c>
      <c r="Y8848" s="11">
        <v>0.31915154867497003</v>
      </c>
      <c r="Z8848" s="11">
        <v>0.18323845855805063</v>
      </c>
    </row>
    <row r="8849" ht="22.5" customHeight="1">
      <c r="Q8849" s="9" t="s">
        <v>8887</v>
      </c>
      <c r="R8849" s="10">
        <v>0.47662386409704754</v>
      </c>
      <c r="S8849" s="10">
        <v>0.0253338860913552</v>
      </c>
      <c r="T8849" s="10">
        <v>17.234776477740567</v>
      </c>
      <c r="U8849" s="11">
        <v>0.28940770061666854</v>
      </c>
      <c r="V8849" s="11">
        <v>0.03060405664808265</v>
      </c>
      <c r="W8849" s="11">
        <v>0.21791048541789695</v>
      </c>
      <c r="X8849" s="11">
        <v>0.13847608020257673</v>
      </c>
      <c r="Y8849" s="11">
        <v>0.2193269069172159</v>
      </c>
      <c r="Z8849" s="11">
        <v>0.10427477019755928</v>
      </c>
    </row>
    <row r="8850" ht="22.5" customHeight="1">
      <c r="Q8850" s="9" t="s">
        <v>8888</v>
      </c>
      <c r="R8850" s="10">
        <v>0.44007725096715344</v>
      </c>
      <c r="S8850" s="10">
        <v>0.02321376571594543</v>
      </c>
      <c r="T8850" s="10">
        <v>17.23448301592629</v>
      </c>
      <c r="U8850" s="11">
        <v>0.07078589692131848</v>
      </c>
      <c r="V8850" s="11">
        <v>0.022623863379942127</v>
      </c>
      <c r="W8850" s="11">
        <v>0.19946563211639584</v>
      </c>
      <c r="X8850" s="11">
        <v>0.2203751811210025</v>
      </c>
      <c r="Y8850" s="11">
        <v>0.23081365471732632</v>
      </c>
      <c r="Z8850" s="11">
        <v>0.2559357717440147</v>
      </c>
    </row>
    <row r="8851" ht="22.5" customHeight="1">
      <c r="Q8851" s="9" t="s">
        <v>8889</v>
      </c>
      <c r="R8851" s="10">
        <v>0.6016574525006076</v>
      </c>
      <c r="S8851" s="10">
        <v>0.03259608938348111</v>
      </c>
      <c r="T8851" s="10">
        <v>17.23082317921369</v>
      </c>
      <c r="U8851" s="11">
        <v>0.2637485309737733</v>
      </c>
      <c r="V8851" s="11">
        <v>0.05138571412334554</v>
      </c>
      <c r="W8851" s="11">
        <v>0.28895861626825015</v>
      </c>
      <c r="X8851" s="11">
        <v>0.2048691953187909</v>
      </c>
      <c r="Y8851" s="11">
        <v>0.10643349717122744</v>
      </c>
      <c r="Z8851" s="11">
        <v>0.08460444614461271</v>
      </c>
    </row>
    <row r="8852" ht="22.5" customHeight="1">
      <c r="Q8852" s="9" t="s">
        <v>8890</v>
      </c>
      <c r="R8852" s="10">
        <v>0.6700067114543271</v>
      </c>
      <c r="S8852" s="10">
        <v>0.036567728731049014</v>
      </c>
      <c r="T8852" s="10">
        <v>17.228488979666913</v>
      </c>
      <c r="U8852" s="11">
        <v>0.11011027004838662</v>
      </c>
      <c r="V8852" s="11">
        <v>0.06757378035895661</v>
      </c>
      <c r="W8852" s="11">
        <v>0.3209154883307855</v>
      </c>
      <c r="X8852" s="11">
        <v>0.16226172017921997</v>
      </c>
      <c r="Y8852" s="11">
        <v>0.31718874743933967</v>
      </c>
      <c r="Z8852" s="11">
        <v>0.021949993643311558</v>
      </c>
    </row>
    <row r="8853" ht="22.5" customHeight="1">
      <c r="Q8853" s="9" t="s">
        <v>8891</v>
      </c>
      <c r="R8853" s="10">
        <v>0.3870346836495739</v>
      </c>
      <c r="S8853" s="10">
        <v>0.0201450879661665</v>
      </c>
      <c r="T8853" s="10">
        <v>17.226764372159387</v>
      </c>
      <c r="U8853" s="11">
        <v>0.2711582345395392</v>
      </c>
      <c r="V8853" s="11">
        <v>5.121460281213576E-4</v>
      </c>
      <c r="W8853" s="11">
        <v>0.1630794446546715</v>
      </c>
      <c r="X8853" s="11">
        <v>0.2758444533291417</v>
      </c>
      <c r="Y8853" s="11">
        <v>0.2612589694688842</v>
      </c>
      <c r="Z8853" s="11">
        <v>0.028146751979642066</v>
      </c>
    </row>
    <row r="8854" ht="22.5" customHeight="1">
      <c r="Q8854" s="9" t="s">
        <v>8892</v>
      </c>
      <c r="R8854" s="10">
        <v>0.30145856910593327</v>
      </c>
      <c r="S8854" s="10">
        <v>0.015177552770033081</v>
      </c>
      <c r="T8854" s="10">
        <v>17.226661838538508</v>
      </c>
      <c r="U8854" s="11">
        <v>0.3180458491502389</v>
      </c>
      <c r="V8854" s="11">
        <v>0.021904411863294348</v>
      </c>
      <c r="W8854" s="11">
        <v>0.1079505033203313</v>
      </c>
      <c r="X8854" s="11">
        <v>0.026132876748249576</v>
      </c>
      <c r="Y8854" s="11">
        <v>0.267925860613063</v>
      </c>
      <c r="Z8854" s="11">
        <v>0.25804049830482273</v>
      </c>
    </row>
    <row r="8855" ht="22.5" customHeight="1">
      <c r="Q8855" s="9" t="s">
        <v>8893</v>
      </c>
      <c r="R8855" s="10">
        <v>0.2230949684073764</v>
      </c>
      <c r="S8855" s="10">
        <v>0.010629744745965284</v>
      </c>
      <c r="T8855" s="10">
        <v>17.224775644483227</v>
      </c>
      <c r="U8855" s="11">
        <v>0.4763035360867778</v>
      </c>
      <c r="V8855" s="11">
        <v>0.008753877091684417</v>
      </c>
      <c r="W8855" s="11">
        <v>0.02995193080594502</v>
      </c>
      <c r="X8855" s="11">
        <v>0.26769700950658104</v>
      </c>
      <c r="Y8855" s="11">
        <v>0.175041999603495</v>
      </c>
      <c r="Z8855" s="11">
        <v>0.042251646905516735</v>
      </c>
    </row>
    <row r="8856" ht="22.5" customHeight="1">
      <c r="Q8856" s="9" t="s">
        <v>8894</v>
      </c>
      <c r="R8856" s="10">
        <v>0.522331348251574</v>
      </c>
      <c r="S8856" s="10">
        <v>0.023759846513955556</v>
      </c>
      <c r="T8856" s="10">
        <v>17.222078595773645</v>
      </c>
      <c r="U8856" s="11">
        <v>0.09520232223159238</v>
      </c>
      <c r="V8856" s="11">
        <v>0.0295298401934253</v>
      </c>
      <c r="W8856" s="11">
        <v>0.2037996706030841</v>
      </c>
      <c r="X8856" s="11">
        <v>0.15640585802226795</v>
      </c>
      <c r="Y8856" s="11">
        <v>0.26298296624236456</v>
      </c>
      <c r="Z8856" s="11">
        <v>0.2520793427072656</v>
      </c>
    </row>
    <row r="8857" ht="22.5" customHeight="1">
      <c r="Q8857" s="9" t="s">
        <v>8895</v>
      </c>
      <c r="R8857" s="10">
        <v>0.46698300290615846</v>
      </c>
      <c r="S8857" s="10">
        <v>0.02480155454120606</v>
      </c>
      <c r="T8857" s="10">
        <v>17.21597741773629</v>
      </c>
      <c r="U8857" s="11">
        <v>0.30848901587685257</v>
      </c>
      <c r="V8857" s="11">
        <v>0.026530143477966724</v>
      </c>
      <c r="W8857" s="11">
        <v>0.208245418642838</v>
      </c>
      <c r="X8857" s="11">
        <v>0.13090935244327098</v>
      </c>
      <c r="Y8857" s="11">
        <v>0.3124211730505132</v>
      </c>
      <c r="Z8857" s="11">
        <v>0.013404896508558636</v>
      </c>
    </row>
    <row r="8858" ht="22.5" customHeight="1">
      <c r="Q8858" s="9" t="s">
        <v>8896</v>
      </c>
      <c r="R8858" s="10">
        <v>0.6274915762126168</v>
      </c>
      <c r="S8858" s="10">
        <v>0.034126804943258544</v>
      </c>
      <c r="T8858" s="10">
        <v>17.214959829653512</v>
      </c>
      <c r="U8858" s="11">
        <v>0.29656862985431914</v>
      </c>
      <c r="V8858" s="11">
        <v>0.07425821472145325</v>
      </c>
      <c r="W8858" s="11">
        <v>0.30101815843375507</v>
      </c>
      <c r="X8858" s="11">
        <v>0.07758166449443392</v>
      </c>
      <c r="Y8858" s="11">
        <v>0.08170185302131713</v>
      </c>
      <c r="Z8858" s="11">
        <v>0.16887147947472148</v>
      </c>
    </row>
    <row r="8859" ht="22.5" customHeight="1">
      <c r="Q8859" s="9" t="s">
        <v>8897</v>
      </c>
      <c r="R8859" s="10">
        <v>0.4626130304953574</v>
      </c>
      <c r="S8859" s="10">
        <v>0.024549507518800653</v>
      </c>
      <c r="T8859" s="10">
        <v>17.214725394051566</v>
      </c>
      <c r="U8859" s="11">
        <v>0.18646984601721406</v>
      </c>
      <c r="V8859" s="11">
        <v>0.023755355711160296</v>
      </c>
      <c r="W8859" s="11">
        <v>0.21442034769908325</v>
      </c>
      <c r="X8859" s="11">
        <v>0.25158269057958643</v>
      </c>
      <c r="Y8859" s="11">
        <v>0.09415387772615791</v>
      </c>
      <c r="Z8859" s="11">
        <v>0.22961788226679797</v>
      </c>
    </row>
    <row r="8860" ht="22.5" customHeight="1">
      <c r="Q8860" s="9" t="s">
        <v>8898</v>
      </c>
      <c r="R8860" s="10">
        <v>0.6240741861699257</v>
      </c>
      <c r="S8860" s="10">
        <v>0.03393293397882893</v>
      </c>
      <c r="T8860" s="10">
        <v>17.21260491457458</v>
      </c>
      <c r="U8860" s="11">
        <v>0.031619407454846586</v>
      </c>
      <c r="V8860" s="11">
        <v>0.0468053317574408</v>
      </c>
      <c r="W8860" s="11">
        <v>0.29810075619580023</v>
      </c>
      <c r="X8860" s="11">
        <v>0.2934702312406882</v>
      </c>
      <c r="Y8860" s="11">
        <v>0.28324188093922414</v>
      </c>
      <c r="Z8860" s="11">
        <v>0.04676239241200004</v>
      </c>
    </row>
    <row r="8861" ht="22.5" customHeight="1">
      <c r="Q8861" s="9" t="s">
        <v>8899</v>
      </c>
      <c r="R8861" s="10">
        <v>0.402200866031817</v>
      </c>
      <c r="S8861" s="10">
        <v>0.021044044918414086</v>
      </c>
      <c r="T8861" s="10">
        <v>17.211561153572802</v>
      </c>
      <c r="U8861" s="11">
        <v>0.14308891120907458</v>
      </c>
      <c r="V8861" s="11">
        <v>0.1891562945255223</v>
      </c>
      <c r="W8861" s="11">
        <v>0.017740661893317036</v>
      </c>
      <c r="X8861" s="11">
        <v>0.00330660068433699</v>
      </c>
      <c r="Y8861" s="11">
        <v>0.28704280605343785</v>
      </c>
      <c r="Z8861" s="11">
        <v>0.35966472563431134</v>
      </c>
    </row>
    <row r="8862" ht="22.5" customHeight="1">
      <c r="Q8862" s="9" t="s">
        <v>8900</v>
      </c>
      <c r="R8862" s="10">
        <v>0.3942060020763145</v>
      </c>
      <c r="S8862" s="10">
        <v>0.02058339654215396</v>
      </c>
      <c r="T8862" s="10">
        <v>17.208335920211955</v>
      </c>
      <c r="U8862" s="11">
        <v>0.20638612063800107</v>
      </c>
      <c r="V8862" s="11">
        <v>0.01857078303698087</v>
      </c>
      <c r="W8862" s="11">
        <v>0.17232634248001463</v>
      </c>
      <c r="X8862" s="11">
        <v>0.14187862066941354</v>
      </c>
      <c r="Y8862" s="11">
        <v>0.24088076914950599</v>
      </c>
      <c r="Z8862" s="11">
        <v>0.219957364026084</v>
      </c>
    </row>
    <row r="8863" ht="22.5" customHeight="1">
      <c r="Q8863" s="9" t="s">
        <v>8901</v>
      </c>
      <c r="R8863" s="10">
        <v>0.5054983099362834</v>
      </c>
      <c r="S8863" s="10">
        <v>0.02705170933553619</v>
      </c>
      <c r="T8863" s="10">
        <v>17.2077225938838</v>
      </c>
      <c r="U8863" s="11">
        <v>0.2162184179330975</v>
      </c>
      <c r="V8863" s="11">
        <v>0.027908865798794244</v>
      </c>
      <c r="W8863" s="11">
        <v>0.23800141101003122</v>
      </c>
      <c r="X8863" s="11">
        <v>0.28320591660878774</v>
      </c>
      <c r="Y8863" s="11">
        <v>0.06405764514254154</v>
      </c>
      <c r="Z8863" s="11">
        <v>0.17060774350674773</v>
      </c>
    </row>
    <row r="8864" ht="22.5" customHeight="1">
      <c r="Q8864" s="9" t="s">
        <v>8902</v>
      </c>
      <c r="R8864" s="10">
        <v>0.522331348251574</v>
      </c>
      <c r="S8864" s="10">
        <v>0.034508011846283604</v>
      </c>
      <c r="T8864" s="10">
        <v>17.207113133449266</v>
      </c>
      <c r="U8864" s="11">
        <v>0.3312036913914386</v>
      </c>
      <c r="V8864" s="11">
        <v>0.3251453708744965</v>
      </c>
      <c r="W8864" s="11">
        <v>0.017122864293140635</v>
      </c>
      <c r="X8864" s="11">
        <v>0.26639341443482456</v>
      </c>
      <c r="Y8864" s="11">
        <v>0.0551592832943258</v>
      </c>
      <c r="Z8864" s="11">
        <v>0.004975375711773886</v>
      </c>
    </row>
    <row r="8865" ht="22.5" customHeight="1">
      <c r="Q8865" s="9" t="s">
        <v>8903</v>
      </c>
      <c r="R8865" s="10">
        <v>0.5223270984037004</v>
      </c>
      <c r="S8865" s="10">
        <v>0.02803421291414709</v>
      </c>
      <c r="T8865" s="10">
        <v>17.20494525317315</v>
      </c>
      <c r="U8865" s="11">
        <v>0.30614226854819293</v>
      </c>
      <c r="V8865" s="11">
        <v>0.05035139025641476</v>
      </c>
      <c r="W8865" s="11">
        <v>0.2448507385142176</v>
      </c>
      <c r="X8865" s="11">
        <v>0.08397041922994321</v>
      </c>
      <c r="Y8865" s="11">
        <v>0.11505372346909501</v>
      </c>
      <c r="Z8865" s="11">
        <v>0.19963145998213655</v>
      </c>
    </row>
    <row r="8866" ht="22.5" customHeight="1">
      <c r="Q8866" s="9" t="s">
        <v>8904</v>
      </c>
      <c r="R8866" s="10">
        <v>0.34585256420219446</v>
      </c>
      <c r="S8866" s="10">
        <v>0.017777034421172032</v>
      </c>
      <c r="T8866" s="10">
        <v>17.20492613987017</v>
      </c>
      <c r="U8866" s="11">
        <v>0.19743401687478146</v>
      </c>
      <c r="V8866" s="11">
        <v>0.154090831102686</v>
      </c>
      <c r="W8866" s="11">
        <v>5.380313288336905E-4</v>
      </c>
      <c r="X8866" s="11">
        <v>0.08943681452708907</v>
      </c>
      <c r="Y8866" s="11">
        <v>0.26035327674491077</v>
      </c>
      <c r="Z8866" s="11">
        <v>0.298147029421699</v>
      </c>
    </row>
    <row r="8867" ht="22.5" customHeight="1">
      <c r="Q8867" s="9" t="s">
        <v>8905</v>
      </c>
      <c r="R8867" s="10">
        <v>0.6610548774653188</v>
      </c>
      <c r="S8867" s="10">
        <v>0.03609761112319513</v>
      </c>
      <c r="T8867" s="10">
        <v>17.20487473106633</v>
      </c>
      <c r="U8867" s="11">
        <v>0.0832775766474885</v>
      </c>
      <c r="V8867" s="11">
        <v>0.08589347147471349</v>
      </c>
      <c r="W8867" s="11">
        <v>0.31344511629742394</v>
      </c>
      <c r="X8867" s="11">
        <v>0.02392250482751978</v>
      </c>
      <c r="Y8867" s="11">
        <v>0.3390478879272793</v>
      </c>
      <c r="Z8867" s="11">
        <v>0.15441344282557495</v>
      </c>
    </row>
    <row r="8868" ht="22.5" customHeight="1">
      <c r="Q8868" s="9" t="s">
        <v>8906</v>
      </c>
      <c r="R8868" s="10">
        <v>0.522331348251574</v>
      </c>
      <c r="S8868" s="10">
        <v>0.03285764240246159</v>
      </c>
      <c r="T8868" s="10">
        <v>17.20465317091118</v>
      </c>
      <c r="U8868" s="11">
        <v>0.12721998943938562</v>
      </c>
      <c r="V8868" s="11">
        <v>0.04941896698396078</v>
      </c>
      <c r="W8868" s="11">
        <v>0.2916811634892032</v>
      </c>
      <c r="X8868" s="11">
        <v>0.24911253424719523</v>
      </c>
      <c r="Y8868" s="11">
        <v>0.15468888081801335</v>
      </c>
      <c r="Z8868" s="11">
        <v>0.1278784650222418</v>
      </c>
    </row>
    <row r="8869" ht="22.5" customHeight="1">
      <c r="Q8869" s="9" t="s">
        <v>8907</v>
      </c>
      <c r="R8869" s="10">
        <v>0.522331348251574</v>
      </c>
      <c r="S8869" s="10">
        <v>0.03233393057205684</v>
      </c>
      <c r="T8869" s="10">
        <v>17.204150450983168</v>
      </c>
      <c r="U8869" s="11">
        <v>0.2435623832172951</v>
      </c>
      <c r="V8869" s="11">
        <v>0.06838132494587776</v>
      </c>
      <c r="W8869" s="11">
        <v>0.28566685959339305</v>
      </c>
      <c r="X8869" s="11">
        <v>0.09659265540140137</v>
      </c>
      <c r="Y8869" s="11">
        <v>0.0663090484950361</v>
      </c>
      <c r="Z8869" s="11">
        <v>0.2394877283469966</v>
      </c>
    </row>
    <row r="8870" ht="22.5" customHeight="1">
      <c r="Q8870" s="9" t="s">
        <v>8908</v>
      </c>
      <c r="R8870" s="10">
        <v>0.522331348251574</v>
      </c>
      <c r="S8870" s="10">
        <v>0.0449903268866111</v>
      </c>
      <c r="T8870" s="10">
        <v>17.204133582284644</v>
      </c>
      <c r="U8870" s="11">
        <v>0.14054563656445535</v>
      </c>
      <c r="V8870" s="11">
        <v>0.1314587620874523</v>
      </c>
      <c r="W8870" s="11">
        <v>0.3956834392595268</v>
      </c>
      <c r="X8870" s="11">
        <v>0.01468953850501897</v>
      </c>
      <c r="Y8870" s="11">
        <v>0.07546863252709407</v>
      </c>
      <c r="Z8870" s="11">
        <v>0.24215399105645247</v>
      </c>
    </row>
    <row r="8871" ht="22.5" customHeight="1">
      <c r="Q8871" s="9" t="s">
        <v>8909</v>
      </c>
      <c r="R8871" s="10">
        <v>0.522331348251574</v>
      </c>
      <c r="S8871" s="10">
        <v>0.030839187836404217</v>
      </c>
      <c r="T8871" s="10">
        <v>17.203800535234755</v>
      </c>
      <c r="U8871" s="11">
        <v>0.3315680993796888</v>
      </c>
      <c r="V8871" s="11">
        <v>0.07413714974692824</v>
      </c>
      <c r="W8871" s="11">
        <v>0.26827808710072054</v>
      </c>
      <c r="X8871" s="11">
        <v>0.007658924970440143</v>
      </c>
      <c r="Y8871" s="11">
        <v>0.059581485356514426</v>
      </c>
      <c r="Z8871" s="11">
        <v>0.2587762534457079</v>
      </c>
    </row>
    <row r="8872" ht="22.5" customHeight="1">
      <c r="Q8872" s="9" t="s">
        <v>8910</v>
      </c>
      <c r="R8872" s="10">
        <v>0.6307287682549496</v>
      </c>
      <c r="S8872" s="10">
        <v>0.03433964355654647</v>
      </c>
      <c r="T8872" s="10">
        <v>17.202530576131554</v>
      </c>
      <c r="U8872" s="11">
        <v>0.1835586036523471</v>
      </c>
      <c r="V8872" s="11">
        <v>0.3235794552218931</v>
      </c>
      <c r="W8872" s="11">
        <v>0.009972032929377681</v>
      </c>
      <c r="X8872" s="11">
        <v>0.35592201812453195</v>
      </c>
      <c r="Y8872" s="11">
        <v>0.09068358468797054</v>
      </c>
      <c r="Z8872" s="11">
        <v>0.036284305383879834</v>
      </c>
    </row>
    <row r="8873" ht="22.5" customHeight="1">
      <c r="Q8873" s="9" t="s">
        <v>8911</v>
      </c>
      <c r="R8873" s="10">
        <v>0.6156418122842272</v>
      </c>
      <c r="S8873" s="10">
        <v>0.03346382735237558</v>
      </c>
      <c r="T8873" s="10">
        <v>17.20191196968277</v>
      </c>
      <c r="U8873" s="11">
        <v>0.045273500715576946</v>
      </c>
      <c r="V8873" s="11">
        <v>0.056680079708500704</v>
      </c>
      <c r="W8873" s="11">
        <v>0.2979559775616143</v>
      </c>
      <c r="X8873" s="11">
        <v>0.28610221366063326</v>
      </c>
      <c r="Y8873" s="11">
        <v>0.06215512408033171</v>
      </c>
      <c r="Z8873" s="11">
        <v>0.2518331042733431</v>
      </c>
    </row>
    <row r="8874" ht="22.5" customHeight="1">
      <c r="Q8874" s="9" t="s">
        <v>8912</v>
      </c>
      <c r="R8874" s="10">
        <v>0.5002684804277696</v>
      </c>
      <c r="S8874" s="10">
        <v>0.026759357431344</v>
      </c>
      <c r="T8874" s="10">
        <v>17.20028149437714</v>
      </c>
      <c r="U8874" s="11">
        <v>0.03472775165264588</v>
      </c>
      <c r="V8874" s="11">
        <v>0.25195765274392223</v>
      </c>
      <c r="W8874" s="11">
        <v>0.00607880655014954</v>
      </c>
      <c r="X8874" s="11">
        <v>0.24147028672673246</v>
      </c>
      <c r="Y8874" s="11">
        <v>0.1779289096957788</v>
      </c>
      <c r="Z8874" s="11">
        <v>0.287836592630771</v>
      </c>
    </row>
    <row r="8875" ht="22.5" customHeight="1">
      <c r="Q8875" s="9" t="s">
        <v>8913</v>
      </c>
      <c r="R8875" s="10">
        <v>0.4851149094861166</v>
      </c>
      <c r="S8875" s="10">
        <v>0.02587872114327907</v>
      </c>
      <c r="T8875" s="10">
        <v>17.200035002568775</v>
      </c>
      <c r="U8875" s="11">
        <v>0.2032116451430787</v>
      </c>
      <c r="V8875" s="11">
        <v>0.03474335248434675</v>
      </c>
      <c r="W8875" s="11">
        <v>0.22583560861686958</v>
      </c>
      <c r="X8875" s="11">
        <v>0.15302357139052752</v>
      </c>
      <c r="Y8875" s="11">
        <v>0.1745679939806625</v>
      </c>
      <c r="Z8875" s="11">
        <v>0.20861782838451487</v>
      </c>
    </row>
    <row r="8876" ht="22.5" customHeight="1">
      <c r="Q8876" s="9" t="s">
        <v>8914</v>
      </c>
      <c r="R8876" s="10">
        <v>0.6562442687670496</v>
      </c>
      <c r="S8876" s="10">
        <v>0.0358312166736441</v>
      </c>
      <c r="T8876" s="10">
        <v>17.19853038706141</v>
      </c>
      <c r="U8876" s="11">
        <v>0.3254984852489735</v>
      </c>
      <c r="V8876" s="11">
        <v>0.34007154357088165</v>
      </c>
      <c r="W8876" s="11">
        <v>0.03239708045225736</v>
      </c>
      <c r="X8876" s="11">
        <v>0.14828621712234574</v>
      </c>
      <c r="Y8876" s="11">
        <v>0.07835169860507012</v>
      </c>
      <c r="Z8876" s="11">
        <v>0.07539497500047163</v>
      </c>
    </row>
    <row r="8877" ht="22.5" customHeight="1">
      <c r="Q8877" s="9" t="s">
        <v>8915</v>
      </c>
      <c r="R8877" s="10">
        <v>0.6316926322451746</v>
      </c>
      <c r="S8877" s="10">
        <v>0.034407840540466535</v>
      </c>
      <c r="T8877" s="10">
        <v>17.196447755833265</v>
      </c>
      <c r="U8877" s="11">
        <v>0.19600266061496888</v>
      </c>
      <c r="V8877" s="11">
        <v>0.07127268396131166</v>
      </c>
      <c r="W8877" s="11">
        <v>0.30310781236617906</v>
      </c>
      <c r="X8877" s="11">
        <v>0.08343612123993706</v>
      </c>
      <c r="Y8877" s="11">
        <v>0.2021783124266452</v>
      </c>
      <c r="Z8877" s="11">
        <v>0.14400240939095815</v>
      </c>
    </row>
    <row r="8878" ht="22.5" customHeight="1">
      <c r="Q8878" s="9" t="s">
        <v>8916</v>
      </c>
      <c r="R8878" s="10">
        <v>0.9092022390816885</v>
      </c>
      <c r="S8878" s="10">
        <v>0.05055223966256806</v>
      </c>
      <c r="T8878" s="10">
        <v>17.194139070465326</v>
      </c>
      <c r="U8878" s="11">
        <v>0.06105425637485128</v>
      </c>
      <c r="V8878" s="11">
        <v>0.4836634489882092</v>
      </c>
      <c r="W8878" s="11">
        <v>0.07481352259805463</v>
      </c>
      <c r="X8878" s="11">
        <v>0.13485339526739604</v>
      </c>
      <c r="Y8878" s="11">
        <v>0.20552452878568658</v>
      </c>
      <c r="Z8878" s="11">
        <v>0.0400908479858022</v>
      </c>
    </row>
    <row r="8879" ht="22.5" customHeight="1">
      <c r="Q8879" s="9" t="s">
        <v>8917</v>
      </c>
      <c r="R8879" s="10">
        <v>0.6921396165393756</v>
      </c>
      <c r="S8879" s="10">
        <v>0.03792855697733605</v>
      </c>
      <c r="T8879" s="10">
        <v>17.193894746089526</v>
      </c>
      <c r="U8879" s="11">
        <v>0.1256347508646155</v>
      </c>
      <c r="V8879" s="11">
        <v>0.3614347343290818</v>
      </c>
      <c r="W8879" s="11">
        <v>0.03340536481027069</v>
      </c>
      <c r="X8879" s="11">
        <v>0.17911266504545556</v>
      </c>
      <c r="Y8879" s="11">
        <v>0.2114209401584913</v>
      </c>
      <c r="Z8879" s="11">
        <v>0.08899154479208508</v>
      </c>
    </row>
    <row r="8880" ht="22.5" customHeight="1">
      <c r="Q8880" s="9" t="s">
        <v>8918</v>
      </c>
      <c r="R8880" s="10">
        <v>0.7687416825042812</v>
      </c>
      <c r="S8880" s="10">
        <v>0.04238377081961036</v>
      </c>
      <c r="T8880" s="10">
        <v>17.193885027499793</v>
      </c>
      <c r="U8880" s="11">
        <v>0.13234428520308536</v>
      </c>
      <c r="V8880" s="11">
        <v>0.10580342237572797</v>
      </c>
      <c r="W8880" s="11">
        <v>0.37565527575065466</v>
      </c>
      <c r="X8880" s="11">
        <v>0.09276997454340698</v>
      </c>
      <c r="Y8880" s="11">
        <v>0.12493553928575647</v>
      </c>
      <c r="Z8880" s="11">
        <v>0.16849150284136855</v>
      </c>
    </row>
    <row r="8881" ht="22.5" customHeight="1">
      <c r="Q8881" s="9" t="s">
        <v>8919</v>
      </c>
      <c r="R8881" s="10">
        <v>0.5489314742448329</v>
      </c>
      <c r="S8881" s="10">
        <v>0.029601695642236005</v>
      </c>
      <c r="T8881" s="10">
        <v>17.19264600230144</v>
      </c>
      <c r="U8881" s="11">
        <v>0.08118243900370822</v>
      </c>
      <c r="V8881" s="11">
        <v>0.27388948562760945</v>
      </c>
      <c r="W8881" s="11">
        <v>0.0018185194076797318</v>
      </c>
      <c r="X8881" s="11">
        <v>0.2834968758217829</v>
      </c>
      <c r="Y8881" s="11">
        <v>0.29992972206666046</v>
      </c>
      <c r="Z8881" s="11">
        <v>0.05968295807255907</v>
      </c>
    </row>
    <row r="8882" ht="22.5" customHeight="1">
      <c r="Q8882" s="9" t="s">
        <v>8920</v>
      </c>
      <c r="R8882" s="10">
        <v>0.41064507074393275</v>
      </c>
      <c r="S8882" s="10">
        <v>0.0215592212125954</v>
      </c>
      <c r="T8882" s="10">
        <v>17.1919508171934</v>
      </c>
      <c r="U8882" s="11">
        <v>0.15406066665583207</v>
      </c>
      <c r="V8882" s="11">
        <v>0.013522927760624498</v>
      </c>
      <c r="W8882" s="11">
        <v>0.18463141845628162</v>
      </c>
      <c r="X8882" s="11">
        <v>0.2505347961324876</v>
      </c>
      <c r="Y8882" s="11">
        <v>0.15098183020900144</v>
      </c>
      <c r="Z8882" s="11">
        <v>0.24626836078577283</v>
      </c>
    </row>
    <row r="8883" ht="22.5" customHeight="1">
      <c r="Q8883" s="9" t="s">
        <v>8921</v>
      </c>
      <c r="R8883" s="10">
        <v>0.4517533041357102</v>
      </c>
      <c r="S8883" s="10">
        <v>0.02395302307924209</v>
      </c>
      <c r="T8883" s="10">
        <v>17.190034960244304</v>
      </c>
      <c r="U8883" s="11">
        <v>0.09000262086353002</v>
      </c>
      <c r="V8883" s="11">
        <v>0.22153837853963765</v>
      </c>
      <c r="W8883" s="11">
        <v>0.007775126292505704</v>
      </c>
      <c r="X8883" s="11">
        <v>0.125189012031266</v>
      </c>
      <c r="Y8883" s="11">
        <v>0.2741772849898766</v>
      </c>
      <c r="Z8883" s="11">
        <v>0.281317577283184</v>
      </c>
    </row>
    <row r="8884" ht="22.5" customHeight="1">
      <c r="Q8884" s="9" t="s">
        <v>8922</v>
      </c>
      <c r="R8884" s="10">
        <v>0.28200352864555966</v>
      </c>
      <c r="S8884" s="10">
        <v>0.01407879425405276</v>
      </c>
      <c r="T8884" s="10">
        <v>17.18922261939412</v>
      </c>
      <c r="U8884" s="11">
        <v>0.06881880575439203</v>
      </c>
      <c r="V8884" s="11">
        <v>0.05423923527137304</v>
      </c>
      <c r="W8884" s="11">
        <v>0.05700511729189672</v>
      </c>
      <c r="X8884" s="11">
        <v>0.006483447220721315</v>
      </c>
      <c r="Y8884" s="11">
        <v>0.5253722294748419</v>
      </c>
      <c r="Z8884" s="11">
        <v>0.28808116498677494</v>
      </c>
    </row>
    <row r="8885" ht="22.5" customHeight="1">
      <c r="Q8885" s="9" t="s">
        <v>8923</v>
      </c>
      <c r="R8885" s="10">
        <v>0.4373424462533908</v>
      </c>
      <c r="S8885" s="10">
        <v>0.023116623365270143</v>
      </c>
      <c r="T8885" s="10">
        <v>17.188602330665148</v>
      </c>
      <c r="U8885" s="11">
        <v>0.21589019785845406</v>
      </c>
      <c r="V8885" s="11">
        <v>0.02199074291496223</v>
      </c>
      <c r="W8885" s="11">
        <v>0.1924416964407589</v>
      </c>
      <c r="X8885" s="11">
        <v>0.14390031293114444</v>
      </c>
      <c r="Y8885" s="11">
        <v>0.3402375347009142</v>
      </c>
      <c r="Z8885" s="11">
        <v>0.08553951515376623</v>
      </c>
    </row>
    <row r="8886" ht="22.5" customHeight="1">
      <c r="Q8886" s="9" t="s">
        <v>8924</v>
      </c>
      <c r="R8886" s="10">
        <v>0.5405544340208724</v>
      </c>
      <c r="S8886" s="10">
        <v>0.029127340794208565</v>
      </c>
      <c r="T8886" s="10">
        <v>17.185037163447426</v>
      </c>
      <c r="U8886" s="11">
        <v>0.3081942499292683</v>
      </c>
      <c r="V8886" s="11">
        <v>0.05210515475572269</v>
      </c>
      <c r="W8886" s="11">
        <v>0.2551721538407295</v>
      </c>
      <c r="X8886" s="11">
        <v>0.0900169902838464</v>
      </c>
      <c r="Y8886" s="11">
        <v>0.11970918430067617</v>
      </c>
      <c r="Z8886" s="11">
        <v>0.1748022668897571</v>
      </c>
    </row>
    <row r="8887" ht="22.5" customHeight="1">
      <c r="Q8887" s="9" t="s">
        <v>8925</v>
      </c>
      <c r="R8887" s="10">
        <v>0.46536797686436315</v>
      </c>
      <c r="S8887" s="10">
        <v>0.024755753401040838</v>
      </c>
      <c r="T8887" s="10">
        <v>17.18259064765441</v>
      </c>
      <c r="U8887" s="11">
        <v>0.2125277764264286</v>
      </c>
      <c r="V8887" s="11">
        <v>0.029189863802307116</v>
      </c>
      <c r="W8887" s="11">
        <v>0.21336926767516215</v>
      </c>
      <c r="X8887" s="11">
        <v>0.14487178720193775</v>
      </c>
      <c r="Y8887" s="11">
        <v>0.23380340475398537</v>
      </c>
      <c r="Z8887" s="11">
        <v>0.16623790014017886</v>
      </c>
    </row>
    <row r="8888" ht="22.5" customHeight="1">
      <c r="Q8888" s="9" t="s">
        <v>8926</v>
      </c>
      <c r="R8888" s="10">
        <v>0.4849437957947366</v>
      </c>
      <c r="S8888" s="10">
        <v>0.025896446890860337</v>
      </c>
      <c r="T8888" s="10">
        <v>17.18165421186685</v>
      </c>
      <c r="U8888" s="11">
        <v>0.049693780163014546</v>
      </c>
      <c r="V8888" s="11">
        <v>0.03097986766342729</v>
      </c>
      <c r="W8888" s="11">
        <v>0.22214704178157355</v>
      </c>
      <c r="X8888" s="11">
        <v>0.19000546411282665</v>
      </c>
      <c r="Y8888" s="11">
        <v>0.3236130770455795</v>
      </c>
      <c r="Z8888" s="11">
        <v>0.18356076923357853</v>
      </c>
    </row>
    <row r="8889" ht="22.5" customHeight="1">
      <c r="Q8889" s="9" t="s">
        <v>8927</v>
      </c>
      <c r="R8889" s="10">
        <v>0.5794926871898736</v>
      </c>
      <c r="S8889" s="10">
        <v>0.03140034258584246</v>
      </c>
      <c r="T8889" s="10">
        <v>17.181108318006558</v>
      </c>
      <c r="U8889" s="11">
        <v>0.24937627077502936</v>
      </c>
      <c r="V8889" s="11">
        <v>0.29412767890267966</v>
      </c>
      <c r="W8889" s="11">
        <v>0.03138662499563373</v>
      </c>
      <c r="X8889" s="11">
        <v>0.026549104187849767</v>
      </c>
      <c r="Y8889" s="11">
        <v>0.25763037145870676</v>
      </c>
      <c r="Z8889" s="11">
        <v>0.14092994968010078</v>
      </c>
    </row>
    <row r="8890" ht="22.5" customHeight="1">
      <c r="Q8890" s="9" t="s">
        <v>8928</v>
      </c>
      <c r="R8890" s="10">
        <v>0.4924363211396298</v>
      </c>
      <c r="S8890" s="10">
        <v>0.02633444720310572</v>
      </c>
      <c r="T8890" s="10">
        <v>17.180399408052594</v>
      </c>
      <c r="U8890" s="11">
        <v>0.17868359332768752</v>
      </c>
      <c r="V8890" s="11">
        <v>0.03261165151863046</v>
      </c>
      <c r="W8890" s="11">
        <v>0.23079711220200233</v>
      </c>
      <c r="X8890" s="11">
        <v>0.1898702109834908</v>
      </c>
      <c r="Y8890" s="11">
        <v>0.1619343629089595</v>
      </c>
      <c r="Z8890" s="11">
        <v>0.20610306905922945</v>
      </c>
    </row>
    <row r="8891" ht="22.5" customHeight="1">
      <c r="Q8891" s="9" t="s">
        <v>8929</v>
      </c>
      <c r="R8891" s="10">
        <v>0.5721774183783875</v>
      </c>
      <c r="S8891" s="10">
        <v>0.030978734395114893</v>
      </c>
      <c r="T8891" s="10">
        <v>17.17879793250391</v>
      </c>
      <c r="U8891" s="11">
        <v>0.1937164871114099</v>
      </c>
      <c r="V8891" s="11">
        <v>0.033193967545057934</v>
      </c>
      <c r="W8891" s="11">
        <v>0.2741060577075021</v>
      </c>
      <c r="X8891" s="11">
        <v>0.3713604696836281</v>
      </c>
      <c r="Y8891" s="11">
        <v>0.021578385364035575</v>
      </c>
      <c r="Z8891" s="11">
        <v>0.10604463258836631</v>
      </c>
    </row>
    <row r="8892" ht="22.5" customHeight="1">
      <c r="Q8892" s="9" t="s">
        <v>8930</v>
      </c>
      <c r="R8892" s="10">
        <v>0.5064727546159364</v>
      </c>
      <c r="S8892" s="10">
        <v>0.02715569974251198</v>
      </c>
      <c r="T8892" s="10">
        <v>17.17771072146883</v>
      </c>
      <c r="U8892" s="11">
        <v>0.12113750158385123</v>
      </c>
      <c r="V8892" s="11">
        <v>0.03652068941978091</v>
      </c>
      <c r="W8892" s="11">
        <v>0.23730244675180492</v>
      </c>
      <c r="X8892" s="11">
        <v>0.17506154967487564</v>
      </c>
      <c r="Y8892" s="11">
        <v>0.22797701446326893</v>
      </c>
      <c r="Z8892" s="11">
        <v>0.2020007981064184</v>
      </c>
    </row>
    <row r="8893" ht="22.5" customHeight="1">
      <c r="Q8893" s="9" t="s">
        <v>8931</v>
      </c>
      <c r="R8893" s="10">
        <v>0.404014409777177</v>
      </c>
      <c r="S8893" s="10">
        <v>0.021193296302036747</v>
      </c>
      <c r="T8893" s="10">
        <v>17.175922262842803</v>
      </c>
      <c r="U8893" s="11">
        <v>0.28892200869528734</v>
      </c>
      <c r="V8893" s="11">
        <v>0.18915999434814543</v>
      </c>
      <c r="W8893" s="11">
        <v>0.012435787309748774</v>
      </c>
      <c r="X8893" s="11">
        <v>0.01995260940270653</v>
      </c>
      <c r="Y8893" s="11">
        <v>0.23903941105614457</v>
      </c>
      <c r="Z8893" s="11">
        <v>0.25049018918796734</v>
      </c>
    </row>
    <row r="8894" ht="22.5" customHeight="1">
      <c r="Q8894" s="9" t="s">
        <v>8932</v>
      </c>
      <c r="R8894" s="10">
        <v>0.7236731649408924</v>
      </c>
      <c r="S8894" s="10">
        <v>0.03980528226312445</v>
      </c>
      <c r="T8894" s="10">
        <v>17.175438184852318</v>
      </c>
      <c r="U8894" s="11">
        <v>0.023530945318728253</v>
      </c>
      <c r="V8894" s="11">
        <v>0.0681709842009958</v>
      </c>
      <c r="W8894" s="11">
        <v>0.35262807586216743</v>
      </c>
      <c r="X8894" s="11">
        <v>0.2828695913321912</v>
      </c>
      <c r="Y8894" s="11">
        <v>0.2593315372352847</v>
      </c>
      <c r="Z8894" s="11">
        <v>0.013468866050632664</v>
      </c>
    </row>
    <row r="8895" ht="22.5" customHeight="1">
      <c r="Q8895" s="9" t="s">
        <v>8933</v>
      </c>
      <c r="R8895" s="10">
        <v>0.5485574216784137</v>
      </c>
      <c r="S8895" s="10">
        <v>0.029611031224098184</v>
      </c>
      <c r="T8895" s="10">
        <v>17.174593408436824</v>
      </c>
      <c r="U8895" s="11">
        <v>0.22045155677450817</v>
      </c>
      <c r="V8895" s="11">
        <v>0.033402301425300034</v>
      </c>
      <c r="W8895" s="11">
        <v>0.26053016770343873</v>
      </c>
      <c r="X8895" s="11">
        <v>0.24511552578583687</v>
      </c>
      <c r="Y8895" s="11">
        <v>0.17709955733232935</v>
      </c>
      <c r="Z8895" s="11">
        <v>0.0634008909785867</v>
      </c>
    </row>
    <row r="8896" ht="22.5" customHeight="1">
      <c r="Q8896" s="9" t="s">
        <v>8934</v>
      </c>
      <c r="R8896" s="10">
        <v>0.5406983911420247</v>
      </c>
      <c r="S8896" s="10">
        <v>0.02915893800422429</v>
      </c>
      <c r="T8896" s="10">
        <v>17.17135209346403</v>
      </c>
      <c r="U8896" s="11">
        <v>0.27961620776469875</v>
      </c>
      <c r="V8896" s="11">
        <v>0.048813575185664676</v>
      </c>
      <c r="W8896" s="11">
        <v>0.255287131948244</v>
      </c>
      <c r="X8896" s="11">
        <v>0.10007934904670364</v>
      </c>
      <c r="Y8896" s="11">
        <v>0.16961723678475762</v>
      </c>
      <c r="Z8896" s="11">
        <v>0.14658649926993136</v>
      </c>
    </row>
    <row r="8897" ht="22.5" customHeight="1">
      <c r="Q8897" s="9" t="s">
        <v>8935</v>
      </c>
      <c r="R8897" s="10">
        <v>0.4223696861076844</v>
      </c>
      <c r="S8897" s="10">
        <v>0.02226849367615907</v>
      </c>
      <c r="T8897" s="10">
        <v>17.17088239861748</v>
      </c>
      <c r="U8897" s="11">
        <v>0.20558870680785402</v>
      </c>
      <c r="V8897" s="11">
        <v>0.01600107950675004</v>
      </c>
      <c r="W8897" s="11">
        <v>0.19222722906908982</v>
      </c>
      <c r="X8897" s="11">
        <v>0.2702139678909314</v>
      </c>
      <c r="Y8897" s="11">
        <v>0.055456585360618836</v>
      </c>
      <c r="Z8897" s="11">
        <v>0.260512431364756</v>
      </c>
    </row>
    <row r="8898" ht="22.5" customHeight="1">
      <c r="Q8898" s="9" t="s">
        <v>8936</v>
      </c>
      <c r="R8898" s="10">
        <v>0.9639940846603651</v>
      </c>
      <c r="S8898" s="10">
        <v>0.0538230005345702</v>
      </c>
      <c r="T8898" s="10">
        <v>17.16727190017749</v>
      </c>
      <c r="U8898" s="11">
        <v>0.15839120973770182</v>
      </c>
      <c r="V8898" s="11">
        <v>0.5146477412213618</v>
      </c>
      <c r="W8898" s="11">
        <v>0.09521933297377519</v>
      </c>
      <c r="X8898" s="11">
        <v>0.048467208184785913</v>
      </c>
      <c r="Y8898" s="11">
        <v>0.11919308919150348</v>
      </c>
      <c r="Z8898" s="11">
        <v>0.06408141869087192</v>
      </c>
    </row>
    <row r="8899" ht="22.5" customHeight="1">
      <c r="Q8899" s="9" t="s">
        <v>8937</v>
      </c>
      <c r="R8899" s="10">
        <v>0.19538535794389617</v>
      </c>
      <c r="S8899" s="10">
        <v>0.009051530426043583</v>
      </c>
      <c r="T8899" s="10">
        <v>17.166749779331514</v>
      </c>
      <c r="U8899" s="11">
        <v>0.01756132432529539</v>
      </c>
      <c r="V8899" s="11">
        <v>0.018696821845673346</v>
      </c>
      <c r="W8899" s="11">
        <v>0.014594705550645869</v>
      </c>
      <c r="X8899" s="11">
        <v>0.3168227501653651</v>
      </c>
      <c r="Y8899" s="11">
        <v>0.21436845823403497</v>
      </c>
      <c r="Z8899" s="11">
        <v>0.41795593987898516</v>
      </c>
    </row>
    <row r="8900" ht="22.5" customHeight="1">
      <c r="Q8900" s="9" t="s">
        <v>8938</v>
      </c>
      <c r="R8900" s="10">
        <v>0.535714711372054</v>
      </c>
      <c r="S8900" s="10">
        <v>0.02887651782436526</v>
      </c>
      <c r="T8900" s="10">
        <v>17.166706677970108</v>
      </c>
      <c r="U8900" s="11">
        <v>0.2562129862863496</v>
      </c>
      <c r="V8900" s="11">
        <v>0.2687099177526714</v>
      </c>
      <c r="W8900" s="11">
        <v>0.014949203791205122</v>
      </c>
      <c r="X8900" s="11">
        <v>0.10744074221554961</v>
      </c>
      <c r="Y8900" s="11">
        <v>0.2534396622484649</v>
      </c>
      <c r="Z8900" s="11">
        <v>0.09924748770575943</v>
      </c>
    </row>
    <row r="8901" ht="22.5" customHeight="1">
      <c r="Q8901" s="9" t="s">
        <v>8939</v>
      </c>
      <c r="R8901" s="10">
        <v>0.5043357566593205</v>
      </c>
      <c r="S8901" s="10">
        <v>0.027049101978806687</v>
      </c>
      <c r="T8901" s="10">
        <v>17.16640193907855</v>
      </c>
      <c r="U8901" s="11">
        <v>0.21548804999246438</v>
      </c>
      <c r="V8901" s="11">
        <v>0.25217101366460826</v>
      </c>
      <c r="W8901" s="11">
        <v>2.764521656921467E-4</v>
      </c>
      <c r="X8901" s="11">
        <v>0.25549988820883934</v>
      </c>
      <c r="Y8901" s="11">
        <v>0.13523318725260772</v>
      </c>
      <c r="Z8901" s="11">
        <v>0.14133140871578823</v>
      </c>
    </row>
    <row r="8902" ht="22.5" customHeight="1">
      <c r="Q8902" s="9" t="s">
        <v>8940</v>
      </c>
      <c r="R8902" s="10">
        <v>0.8923491503754697</v>
      </c>
      <c r="S8902" s="10">
        <v>0.04965912386701266</v>
      </c>
      <c r="T8902" s="10">
        <v>17.163998959346607</v>
      </c>
      <c r="U8902" s="11">
        <v>0.20393853006929455</v>
      </c>
      <c r="V8902" s="11">
        <v>0.4737922485121588</v>
      </c>
      <c r="W8902" s="11">
        <v>0.08129382696846879</v>
      </c>
      <c r="X8902" s="11">
        <v>0.03322468511326617</v>
      </c>
      <c r="Y8902" s="11">
        <v>0.16852079769919145</v>
      </c>
      <c r="Z8902" s="11">
        <v>0.039229911637620254</v>
      </c>
    </row>
    <row r="8903" ht="22.5" customHeight="1">
      <c r="Q8903" s="9" t="s">
        <v>8941</v>
      </c>
      <c r="R8903" s="10">
        <v>0.7665971565455532</v>
      </c>
      <c r="S8903" s="10">
        <v>0.042335016725831884</v>
      </c>
      <c r="T8903" s="10">
        <v>17.16302986842095</v>
      </c>
      <c r="U8903" s="11">
        <v>0.2462327049119388</v>
      </c>
      <c r="V8903" s="11">
        <v>0.4040807797542038</v>
      </c>
      <c r="W8903" s="11">
        <v>0.04714856108462745</v>
      </c>
      <c r="X8903" s="11">
        <v>0.145636372891941</v>
      </c>
      <c r="Y8903" s="11">
        <v>0.13282624553539346</v>
      </c>
      <c r="Z8903" s="11">
        <v>0.02407533582189543</v>
      </c>
    </row>
    <row r="8904" ht="22.5" customHeight="1">
      <c r="Q8904" s="9" t="s">
        <v>8942</v>
      </c>
      <c r="R8904" s="10">
        <v>0.7345625766560231</v>
      </c>
      <c r="S8904" s="10">
        <v>0.040469324098818475</v>
      </c>
      <c r="T8904" s="10">
        <v>17.162692783305</v>
      </c>
      <c r="U8904" s="11">
        <v>0.13162251374126036</v>
      </c>
      <c r="V8904" s="11">
        <v>0.38883075527685257</v>
      </c>
      <c r="W8904" s="11">
        <v>0.054267488895656704</v>
      </c>
      <c r="X8904" s="11">
        <v>0.10884176995055153</v>
      </c>
      <c r="Y8904" s="11">
        <v>0.08427748941666853</v>
      </c>
      <c r="Z8904" s="11">
        <v>0.23215998271901037</v>
      </c>
    </row>
    <row r="8905" ht="22.5" customHeight="1">
      <c r="Q8905" s="9" t="s">
        <v>8943</v>
      </c>
      <c r="R8905" s="10">
        <v>0.5763742818685272</v>
      </c>
      <c r="S8905" s="10">
        <v>0.03125625967411948</v>
      </c>
      <c r="T8905" s="10">
        <v>17.160539599453447</v>
      </c>
      <c r="U8905" s="11">
        <v>0.20847859007075062</v>
      </c>
      <c r="V8905" s="11">
        <v>0.055051270936451124</v>
      </c>
      <c r="W8905" s="11">
        <v>0.2731833222234435</v>
      </c>
      <c r="X8905" s="11">
        <v>0.09360080594711587</v>
      </c>
      <c r="Y8905" s="11">
        <v>0.25922907511683774</v>
      </c>
      <c r="Z8905" s="11">
        <v>0.11045693570540124</v>
      </c>
    </row>
    <row r="8906" ht="22.5" customHeight="1">
      <c r="Q8906" s="9" t="s">
        <v>8944</v>
      </c>
      <c r="R8906" s="10">
        <v>0.23596325092239015</v>
      </c>
      <c r="S8906" s="10">
        <v>0.011420218005758289</v>
      </c>
      <c r="T8906" s="10">
        <v>17.159326627878887</v>
      </c>
      <c r="U8906" s="11">
        <v>0.20727764899217307</v>
      </c>
      <c r="V8906" s="11">
        <v>0.009701776804646551</v>
      </c>
      <c r="W8906" s="11">
        <v>0.070809307072379</v>
      </c>
      <c r="X8906" s="11">
        <v>0.11698649537849147</v>
      </c>
      <c r="Y8906" s="11">
        <v>0.207725124017382</v>
      </c>
      <c r="Z8906" s="11">
        <v>0.3874996477349279</v>
      </c>
    </row>
    <row r="8907" ht="22.5" customHeight="1">
      <c r="Q8907" s="9" t="s">
        <v>8945</v>
      </c>
      <c r="R8907" s="10">
        <v>0.4259813835494581</v>
      </c>
      <c r="S8907" s="10">
        <v>0.022496308799643126</v>
      </c>
      <c r="T8907" s="10">
        <v>17.157542910132047</v>
      </c>
      <c r="U8907" s="11">
        <v>0.29110367022755657</v>
      </c>
      <c r="V8907" s="11">
        <v>0.023067562331309667</v>
      </c>
      <c r="W8907" s="11">
        <v>0.18492358201876655</v>
      </c>
      <c r="X8907" s="11">
        <v>0.1032115838596416</v>
      </c>
      <c r="Y8907" s="11">
        <v>0.331672864639598</v>
      </c>
      <c r="Z8907" s="11">
        <v>0.06602073692312752</v>
      </c>
    </row>
    <row r="8908" ht="22.5" customHeight="1">
      <c r="Q8908" s="9" t="s">
        <v>8946</v>
      </c>
      <c r="R8908" s="10">
        <v>0.6194489060265365</v>
      </c>
      <c r="S8908" s="10">
        <v>0.03377499644774711</v>
      </c>
      <c r="T8908" s="10">
        <v>17.15615002130333</v>
      </c>
      <c r="U8908" s="11">
        <v>0.031167191250570745</v>
      </c>
      <c r="V8908" s="11">
        <v>0.05686223424981466</v>
      </c>
      <c r="W8908" s="11">
        <v>0.3007588204765075</v>
      </c>
      <c r="X8908" s="11">
        <v>0.3178777910769048</v>
      </c>
      <c r="Y8908" s="11">
        <v>0.012007909832452424</v>
      </c>
      <c r="Z8908" s="11">
        <v>0.2813260531137498</v>
      </c>
    </row>
    <row r="8909" ht="22.5" customHeight="1">
      <c r="Q8909" s="9" t="s">
        <v>8947</v>
      </c>
      <c r="R8909" s="10">
        <v>0.49842789496335205</v>
      </c>
      <c r="S8909" s="10">
        <v>0.026721368705464196</v>
      </c>
      <c r="T8909" s="10">
        <v>17.155853804360294</v>
      </c>
      <c r="U8909" s="11">
        <v>0.38700547042465394</v>
      </c>
      <c r="V8909" s="11">
        <v>0.041780377175115416</v>
      </c>
      <c r="W8909" s="11">
        <v>0.23260857419283443</v>
      </c>
      <c r="X8909" s="11">
        <v>0.12310386263504594</v>
      </c>
      <c r="Y8909" s="11">
        <v>0.03327865185905056</v>
      </c>
      <c r="Z8909" s="11">
        <v>0.1822230637132997</v>
      </c>
    </row>
    <row r="8910" ht="22.5" customHeight="1">
      <c r="Q8910" s="9" t="s">
        <v>8948</v>
      </c>
      <c r="R8910" s="10">
        <v>0.7413117683818894</v>
      </c>
      <c r="S8910" s="10">
        <v>0.040881985605132516</v>
      </c>
      <c r="T8910" s="10">
        <v>17.15454271609164</v>
      </c>
      <c r="U8910" s="11">
        <v>0.36489615144955034</v>
      </c>
      <c r="V8910" s="11">
        <v>0.3885036249705077</v>
      </c>
      <c r="W8910" s="11">
        <v>0.06003978556273782</v>
      </c>
      <c r="X8910" s="11">
        <v>0.02980546765824644</v>
      </c>
      <c r="Y8910" s="11">
        <v>0.04916264830963702</v>
      </c>
      <c r="Z8910" s="11">
        <v>0.10759232204932066</v>
      </c>
    </row>
    <row r="8911" ht="22.5" customHeight="1">
      <c r="Q8911" s="9" t="s">
        <v>8949</v>
      </c>
      <c r="R8911" s="10">
        <v>0.5926224735348564</v>
      </c>
      <c r="S8911" s="10">
        <v>0.03221524260360701</v>
      </c>
      <c r="T8911" s="10">
        <v>17.154068350023273</v>
      </c>
      <c r="U8911" s="11">
        <v>0.1614052992458526</v>
      </c>
      <c r="V8911" s="11">
        <v>0.0630732450135558</v>
      </c>
      <c r="W8911" s="11">
        <v>0.27667786328893645</v>
      </c>
      <c r="X8911" s="11">
        <v>0.04411354963774554</v>
      </c>
      <c r="Y8911" s="11">
        <v>0.3852185718129463</v>
      </c>
      <c r="Z8911" s="11">
        <v>0.06951147100096339</v>
      </c>
    </row>
    <row r="8912" ht="22.5" customHeight="1">
      <c r="Q8912" s="9" t="s">
        <v>8950</v>
      </c>
      <c r="R8912" s="10">
        <v>0.46424214202941</v>
      </c>
      <c r="S8912" s="10">
        <v>0.024731460684751516</v>
      </c>
      <c r="T8912" s="10">
        <v>17.153946038091544</v>
      </c>
      <c r="U8912" s="11">
        <v>0.05024988627344505</v>
      </c>
      <c r="V8912" s="11">
        <v>0.01998780201475133</v>
      </c>
      <c r="W8912" s="11">
        <v>0.21237827675441392</v>
      </c>
      <c r="X8912" s="11">
        <v>0.2641341395005913</v>
      </c>
      <c r="Y8912" s="11">
        <v>0.2706423786224475</v>
      </c>
      <c r="Z8912" s="11">
        <v>0.1826075168343508</v>
      </c>
    </row>
    <row r="8913" ht="22.5" customHeight="1">
      <c r="Q8913" s="9" t="s">
        <v>8951</v>
      </c>
      <c r="R8913" s="10">
        <v>0.46247166987183064</v>
      </c>
      <c r="S8913" s="10">
        <v>0.024628949662236197</v>
      </c>
      <c r="T8913" s="10">
        <v>17.15345866005851</v>
      </c>
      <c r="U8913" s="11">
        <v>0.16606123222331146</v>
      </c>
      <c r="V8913" s="11">
        <v>0.2276431522399143</v>
      </c>
      <c r="W8913" s="11">
        <v>0.010462950440394253</v>
      </c>
      <c r="X8913" s="11">
        <v>0.08954805560042955</v>
      </c>
      <c r="Y8913" s="11">
        <v>0.2663692198443144</v>
      </c>
      <c r="Z8913" s="11">
        <v>0.23991538965163609</v>
      </c>
    </row>
    <row r="8914" ht="22.5" customHeight="1">
      <c r="Q8914" s="9" t="s">
        <v>8952</v>
      </c>
      <c r="R8914" s="10">
        <v>0.6316524127691902</v>
      </c>
      <c r="S8914" s="10">
        <v>0.0344955773563848</v>
      </c>
      <c r="T8914" s="10">
        <v>17.151543998137516</v>
      </c>
      <c r="U8914" s="11">
        <v>0.20977410863171117</v>
      </c>
      <c r="V8914" s="11">
        <v>0.07422734531883758</v>
      </c>
      <c r="W8914" s="11">
        <v>0.30130061879476405</v>
      </c>
      <c r="X8914" s="11">
        <v>0.032689346109539684</v>
      </c>
      <c r="Y8914" s="11">
        <v>0.26653091622354874</v>
      </c>
      <c r="Z8914" s="11">
        <v>0.11547766492159864</v>
      </c>
    </row>
    <row r="8915" ht="22.5" customHeight="1">
      <c r="Q8915" s="9" t="s">
        <v>8953</v>
      </c>
      <c r="R8915" s="10">
        <v>0.5946648464154558</v>
      </c>
      <c r="S8915" s="10">
        <v>0.03233951691369193</v>
      </c>
      <c r="T8915" s="10">
        <v>17.151302782158172</v>
      </c>
      <c r="U8915" s="11">
        <v>0.2600638404519545</v>
      </c>
      <c r="V8915" s="11">
        <v>0.29965437973057135</v>
      </c>
      <c r="W8915" s="11">
        <v>0.030469111264868048</v>
      </c>
      <c r="X8915" s="11">
        <v>0.023722734827004908</v>
      </c>
      <c r="Y8915" s="11">
        <v>0.34075834848455516</v>
      </c>
      <c r="Z8915" s="11">
        <v>0.04533158524104607</v>
      </c>
    </row>
    <row r="8916" ht="22.5" customHeight="1">
      <c r="Q8916" s="9" t="s">
        <v>8954</v>
      </c>
      <c r="R8916" s="10">
        <v>0.6002161892333351</v>
      </c>
      <c r="S8916" s="10">
        <v>0.032668131415183474</v>
      </c>
      <c r="T8916" s="10">
        <v>17.148706245651937</v>
      </c>
      <c r="U8916" s="11">
        <v>0.2651535089355889</v>
      </c>
      <c r="V8916" s="11">
        <v>0.30981184314235793</v>
      </c>
      <c r="W8916" s="11">
        <v>0.01814705051620459</v>
      </c>
      <c r="X8916" s="11">
        <v>0.20991664971938387</v>
      </c>
      <c r="Y8916" s="11">
        <v>0.07552647971028634</v>
      </c>
      <c r="Z8916" s="11">
        <v>0.12144446797617822</v>
      </c>
    </row>
    <row r="8917" ht="22.5" customHeight="1">
      <c r="Q8917" s="9" t="s">
        <v>8955</v>
      </c>
      <c r="R8917" s="10">
        <v>0.35692596637765545</v>
      </c>
      <c r="S8917" s="10">
        <v>0.018482833177334842</v>
      </c>
      <c r="T8917" s="10">
        <v>17.147044683944664</v>
      </c>
      <c r="U8917" s="11">
        <v>0.22948417448208636</v>
      </c>
      <c r="V8917" s="11">
        <v>0.025429310499401576</v>
      </c>
      <c r="W8917" s="11">
        <v>0.14519514644114348</v>
      </c>
      <c r="X8917" s="11">
        <v>0.03530773655705576</v>
      </c>
      <c r="Y8917" s="11">
        <v>0.31558506246126855</v>
      </c>
      <c r="Z8917" s="11">
        <v>0.24899856955904426</v>
      </c>
    </row>
    <row r="8918" ht="22.5" customHeight="1">
      <c r="Q8918" s="9" t="s">
        <v>8956</v>
      </c>
      <c r="R8918" s="10">
        <v>0.49665613893092997</v>
      </c>
      <c r="S8918" s="10">
        <v>0.026633196325158336</v>
      </c>
      <c r="T8918" s="10">
        <v>17.146125960839406</v>
      </c>
      <c r="U8918" s="11">
        <v>0.3129977365886904</v>
      </c>
      <c r="V8918" s="11">
        <v>0.04968125906814121</v>
      </c>
      <c r="W8918" s="11">
        <v>0.22753270826546443</v>
      </c>
      <c r="X8918" s="11">
        <v>0.012103271011114683</v>
      </c>
      <c r="Y8918" s="11">
        <v>0.22912114671580616</v>
      </c>
      <c r="Z8918" s="11">
        <v>0.1685638783507831</v>
      </c>
    </row>
    <row r="8919" ht="22.5" customHeight="1">
      <c r="Q8919" s="9" t="s">
        <v>8957</v>
      </c>
      <c r="R8919" s="10">
        <v>0.637047897101801</v>
      </c>
      <c r="S8919" s="10">
        <v>0.03482813341756099</v>
      </c>
      <c r="T8919" s="10">
        <v>17.142690075970545</v>
      </c>
      <c r="U8919" s="11">
        <v>0.16404596192136234</v>
      </c>
      <c r="V8919" s="11">
        <v>0.3267833484663248</v>
      </c>
      <c r="W8919" s="11">
        <v>0.039988806110603806</v>
      </c>
      <c r="X8919" s="11">
        <v>0.013182443389570298</v>
      </c>
      <c r="Y8919" s="11">
        <v>0.3386165884196336</v>
      </c>
      <c r="Z8919" s="11">
        <v>0.11738285169250508</v>
      </c>
    </row>
    <row r="8920" ht="22.5" customHeight="1">
      <c r="Q8920" s="9" t="s">
        <v>8958</v>
      </c>
      <c r="R8920" s="10">
        <v>0.7005466580534218</v>
      </c>
      <c r="S8920" s="10">
        <v>0.038536737745266315</v>
      </c>
      <c r="T8920" s="10">
        <v>17.14069993209429</v>
      </c>
      <c r="U8920" s="11">
        <v>0.05407608711121444</v>
      </c>
      <c r="V8920" s="11">
        <v>0.0835992272398903</v>
      </c>
      <c r="W8920" s="11">
        <v>0.34224011237813434</v>
      </c>
      <c r="X8920" s="11">
        <v>0.14294447017267695</v>
      </c>
      <c r="Y8920" s="11">
        <v>0.1802265611012667</v>
      </c>
      <c r="Z8920" s="11">
        <v>0.19691354199681724</v>
      </c>
    </row>
    <row r="8921" ht="22.5" customHeight="1">
      <c r="Q8921" s="9" t="s">
        <v>8959</v>
      </c>
      <c r="R8921" s="10">
        <v>0.44965037540450403</v>
      </c>
      <c r="S8921" s="10">
        <v>0.023900521031546013</v>
      </c>
      <c r="T8921" s="10">
        <v>17.139809415192722</v>
      </c>
      <c r="U8921" s="11">
        <v>0.19675698160028524</v>
      </c>
      <c r="V8921" s="11">
        <v>0.021235033254923277</v>
      </c>
      <c r="W8921" s="11">
        <v>0.20766410255833717</v>
      </c>
      <c r="X8921" s="11">
        <v>0.21791730339382165</v>
      </c>
      <c r="Y8921" s="11">
        <v>0.14601599367460122</v>
      </c>
      <c r="Z8921" s="11">
        <v>0.21041058551803143</v>
      </c>
    </row>
    <row r="8922" ht="22.5" customHeight="1">
      <c r="Q8922" s="9" t="s">
        <v>8960</v>
      </c>
      <c r="R8922" s="10">
        <v>0.9215663141846903</v>
      </c>
      <c r="S8922" s="10">
        <v>0.05144096561591681</v>
      </c>
      <c r="T8922" s="10">
        <v>17.13743713068864</v>
      </c>
      <c r="U8922" s="11">
        <v>0.1826770472296913</v>
      </c>
      <c r="V8922" s="11">
        <v>0.1394596024329466</v>
      </c>
      <c r="W8922" s="11">
        <v>0.4563138234114815</v>
      </c>
      <c r="X8922" s="11">
        <v>0.09980759500286009</v>
      </c>
      <c r="Y8922" s="11">
        <v>0.027698051890537582</v>
      </c>
      <c r="Z8922" s="11">
        <v>0.09404388003248278</v>
      </c>
    </row>
    <row r="8923" ht="22.5" customHeight="1">
      <c r="Q8923" s="9" t="s">
        <v>8961</v>
      </c>
      <c r="R8923" s="10">
        <v>0.6107975385630993</v>
      </c>
      <c r="S8923" s="10">
        <v>0.0333132171597897</v>
      </c>
      <c r="T8923" s="10">
        <v>17.134266433206374</v>
      </c>
      <c r="U8923" s="11">
        <v>0.011063827524649445</v>
      </c>
      <c r="V8923" s="11">
        <v>0.06683838603671742</v>
      </c>
      <c r="W8923" s="11">
        <v>0.2918067340446553</v>
      </c>
      <c r="X8923" s="11">
        <v>0.10943367413810673</v>
      </c>
      <c r="Y8923" s="11">
        <v>0.2997489222385877</v>
      </c>
      <c r="Z8923" s="11">
        <v>0.2211084560172835</v>
      </c>
    </row>
    <row r="8924" ht="22.5" customHeight="1">
      <c r="Q8924" s="9" t="s">
        <v>8962</v>
      </c>
      <c r="R8924" s="10">
        <v>0.7215384517728574</v>
      </c>
      <c r="S8924" s="10">
        <v>0.039776753647125754</v>
      </c>
      <c r="T8924" s="10">
        <v>17.134089368354093</v>
      </c>
      <c r="U8924" s="11">
        <v>0.07824186730924271</v>
      </c>
      <c r="V8924" s="11">
        <v>0.10048373640421288</v>
      </c>
      <c r="W8924" s="11">
        <v>0.3492098700711844</v>
      </c>
      <c r="X8924" s="11">
        <v>0.023709284066819405</v>
      </c>
      <c r="Y8924" s="11">
        <v>0.2538748054473661</v>
      </c>
      <c r="Z8924" s="11">
        <v>0.19448043670117462</v>
      </c>
    </row>
    <row r="8925" ht="22.5" customHeight="1">
      <c r="Q8925" s="9" t="s">
        <v>8963</v>
      </c>
      <c r="R8925" s="10">
        <v>0.547158654378892</v>
      </c>
      <c r="S8925" s="10">
        <v>0.029599695009335902</v>
      </c>
      <c r="T8925" s="10">
        <v>17.13391486699209</v>
      </c>
      <c r="U8925" s="11">
        <v>0.007418944110699048</v>
      </c>
      <c r="V8925" s="11">
        <v>0.27900321512153436</v>
      </c>
      <c r="W8925" s="11">
        <v>0.02923119752864693</v>
      </c>
      <c r="X8925" s="11">
        <v>0.05587092548969036</v>
      </c>
      <c r="Y8925" s="11">
        <v>0.30474977934898695</v>
      </c>
      <c r="Z8925" s="11">
        <v>0.3237259384004422</v>
      </c>
    </row>
    <row r="8926" ht="22.5" customHeight="1">
      <c r="Q8926" s="9" t="s">
        <v>8964</v>
      </c>
      <c r="R8926" s="10">
        <v>0.8038361392475409</v>
      </c>
      <c r="S8926" s="10">
        <v>0.04458810001025829</v>
      </c>
      <c r="T8926" s="10">
        <v>17.130941642990095</v>
      </c>
      <c r="U8926" s="11">
        <v>0.1251618929912057</v>
      </c>
      <c r="V8926" s="11">
        <v>0.10449203551776831</v>
      </c>
      <c r="W8926" s="11">
        <v>0.39808146936622235</v>
      </c>
      <c r="X8926" s="11">
        <v>0.19491767932917822</v>
      </c>
      <c r="Y8926" s="11">
        <v>0.00924541880048807</v>
      </c>
      <c r="Z8926" s="11">
        <v>0.1681015039951374</v>
      </c>
    </row>
    <row r="8927" ht="22.5" customHeight="1">
      <c r="Q8927" s="9" t="s">
        <v>8965</v>
      </c>
      <c r="R8927" s="10">
        <v>0.5804951334822579</v>
      </c>
      <c r="S8927" s="10">
        <v>0.03155136639622246</v>
      </c>
      <c r="T8927" s="10">
        <v>17.1306410852295</v>
      </c>
      <c r="U8927" s="11">
        <v>0.09921384809379687</v>
      </c>
      <c r="V8927" s="11">
        <v>0.3025737376999562</v>
      </c>
      <c r="W8927" s="11">
        <v>0.030032791114871168</v>
      </c>
      <c r="X8927" s="11">
        <v>0.17604643902366063</v>
      </c>
      <c r="Y8927" s="11">
        <v>0.0036228932970121686</v>
      </c>
      <c r="Z8927" s="11">
        <v>0.3885102907707029</v>
      </c>
    </row>
    <row r="8928" ht="22.5" customHeight="1">
      <c r="Q8928" s="9" t="s">
        <v>8966</v>
      </c>
      <c r="R8928" s="10">
        <v>0.53603325501222</v>
      </c>
      <c r="S8928" s="10">
        <v>0.02895898448637371</v>
      </c>
      <c r="T8928" s="10">
        <v>17.12882077220706</v>
      </c>
      <c r="U8928" s="11">
        <v>0.11487004016337793</v>
      </c>
      <c r="V8928" s="11">
        <v>0.04857503113465521</v>
      </c>
      <c r="W8928" s="11">
        <v>0.2561881131988892</v>
      </c>
      <c r="X8928" s="11">
        <v>0.16275761955504325</v>
      </c>
      <c r="Y8928" s="11">
        <v>0.12165903420634472</v>
      </c>
      <c r="Z8928" s="11">
        <v>0.2959501617416898</v>
      </c>
    </row>
    <row r="8929" ht="22.5" customHeight="1">
      <c r="Q8929" s="9" t="s">
        <v>8967</v>
      </c>
      <c r="R8929" s="10">
        <v>0.6173170346061608</v>
      </c>
      <c r="S8929" s="10">
        <v>0.03370998158687875</v>
      </c>
      <c r="T8929" s="10">
        <v>17.12599673536681</v>
      </c>
      <c r="U8929" s="11">
        <v>0.3413378125338815</v>
      </c>
      <c r="V8929" s="11">
        <v>0.31996129096191717</v>
      </c>
      <c r="W8929" s="11">
        <v>0.03525501136478377</v>
      </c>
      <c r="X8929" s="11">
        <v>0.09095294290018799</v>
      </c>
      <c r="Y8929" s="11">
        <v>0.029019098723380408</v>
      </c>
      <c r="Z8929" s="11">
        <v>0.18347384351584917</v>
      </c>
    </row>
    <row r="8930" ht="22.5" customHeight="1">
      <c r="Q8930" s="9" t="s">
        <v>8968</v>
      </c>
      <c r="R8930" s="10">
        <v>0.7911447970569329</v>
      </c>
      <c r="S8930" s="10">
        <v>0.04386043532560365</v>
      </c>
      <c r="T8930" s="10">
        <v>17.12579438577642</v>
      </c>
      <c r="U8930" s="11">
        <v>0.20261425832818167</v>
      </c>
      <c r="V8930" s="11">
        <v>0.1174677711010229</v>
      </c>
      <c r="W8930" s="11">
        <v>0.3876467813040849</v>
      </c>
      <c r="X8930" s="11">
        <v>0.03192404954847683</v>
      </c>
      <c r="Y8930" s="11">
        <v>0.07819668725326635</v>
      </c>
      <c r="Z8930" s="11">
        <v>0.18215045246496747</v>
      </c>
    </row>
    <row r="8931" ht="22.5" customHeight="1">
      <c r="Q8931" s="9" t="s">
        <v>8969</v>
      </c>
      <c r="R8931" s="10">
        <v>0.5265903905186975</v>
      </c>
      <c r="S8931" s="10">
        <v>0.028415604244947868</v>
      </c>
      <c r="T8931" s="10">
        <v>17.124055723897214</v>
      </c>
      <c r="U8931" s="11">
        <v>0.07279576696906911</v>
      </c>
      <c r="V8931" s="11">
        <v>0.26976525209445634</v>
      </c>
      <c r="W8931" s="11">
        <v>0.010599528960928493</v>
      </c>
      <c r="X8931" s="11">
        <v>0.21848937944018296</v>
      </c>
      <c r="Y8931" s="11">
        <v>0.13933701116946695</v>
      </c>
      <c r="Z8931" s="11">
        <v>0.2890130613658962</v>
      </c>
    </row>
    <row r="8932" ht="22.5" customHeight="1">
      <c r="Q8932" s="9" t="s">
        <v>8970</v>
      </c>
      <c r="R8932" s="10">
        <v>0.5954462715357354</v>
      </c>
      <c r="S8932" s="10">
        <v>0.032437864559163955</v>
      </c>
      <c r="T8932" s="10">
        <v>17.123392032254397</v>
      </c>
      <c r="U8932" s="11">
        <v>0.11779668446034541</v>
      </c>
      <c r="V8932" s="11">
        <v>0.30943554760964825</v>
      </c>
      <c r="W8932" s="11">
        <v>0.020551571512336487</v>
      </c>
      <c r="X8932" s="11">
        <v>0.18513005699442728</v>
      </c>
      <c r="Y8932" s="11">
        <v>0.15474384645508105</v>
      </c>
      <c r="Z8932" s="11">
        <v>0.21234229296816154</v>
      </c>
    </row>
    <row r="8933" ht="22.5" customHeight="1">
      <c r="Q8933" s="9" t="s">
        <v>8971</v>
      </c>
      <c r="R8933" s="10">
        <v>0.6073438174609037</v>
      </c>
      <c r="S8933" s="10">
        <v>0.033133381541614604</v>
      </c>
      <c r="T8933" s="10">
        <v>17.123027927238144</v>
      </c>
      <c r="U8933" s="11">
        <v>0.037574309774114786</v>
      </c>
      <c r="V8933" s="11">
        <v>0.31514826301545</v>
      </c>
      <c r="W8933" s="11">
        <v>0.013201640493856415</v>
      </c>
      <c r="X8933" s="11">
        <v>0.33518982817648174</v>
      </c>
      <c r="Y8933" s="11">
        <v>0.07845753678332659</v>
      </c>
      <c r="Z8933" s="11">
        <v>0.22042842175677038</v>
      </c>
    </row>
    <row r="8934" ht="22.5" customHeight="1">
      <c r="Q8934" s="9" t="s">
        <v>8972</v>
      </c>
      <c r="R8934" s="10">
        <v>0.517641684020536</v>
      </c>
      <c r="S8934" s="10">
        <v>0.027903042783630913</v>
      </c>
      <c r="T8934" s="10">
        <v>17.11790673599012</v>
      </c>
      <c r="U8934" s="11">
        <v>0.046168244592332396</v>
      </c>
      <c r="V8934" s="11">
        <v>0.057609693185993974</v>
      </c>
      <c r="W8934" s="11">
        <v>0.23733495285225958</v>
      </c>
      <c r="X8934" s="11">
        <v>0.025039786244749198</v>
      </c>
      <c r="Y8934" s="11">
        <v>0.36709789996588593</v>
      </c>
      <c r="Z8934" s="11">
        <v>0.266749423158779</v>
      </c>
    </row>
    <row r="8935" ht="22.5" customHeight="1">
      <c r="Q8935" s="9" t="s">
        <v>8973</v>
      </c>
      <c r="R8935" s="10">
        <v>0.4976490910444129</v>
      </c>
      <c r="S8935" s="10">
        <v>0.026736956182145083</v>
      </c>
      <c r="T8935" s="10">
        <v>17.1167236811358</v>
      </c>
      <c r="U8935" s="11">
        <v>0.15091904200697676</v>
      </c>
      <c r="V8935" s="11">
        <v>0.020495064970657142</v>
      </c>
      <c r="W8935" s="11">
        <v>0.23000051933630383</v>
      </c>
      <c r="X8935" s="11">
        <v>0.25830538414886917</v>
      </c>
      <c r="Y8935" s="11">
        <v>0.29460980390525215</v>
      </c>
      <c r="Z8935" s="11">
        <v>0.04567018563194083</v>
      </c>
    </row>
    <row r="8936" ht="22.5" customHeight="1">
      <c r="Q8936" s="9" t="s">
        <v>8974</v>
      </c>
      <c r="R8936" s="10">
        <v>0.4541437679212205</v>
      </c>
      <c r="S8936" s="10">
        <v>0.02419554825721551</v>
      </c>
      <c r="T8936" s="10">
        <v>17.11652753302319</v>
      </c>
      <c r="U8936" s="11">
        <v>0.21842179661174446</v>
      </c>
      <c r="V8936" s="11">
        <v>0.22697317113057222</v>
      </c>
      <c r="W8936" s="11">
        <v>0.0167487974646577</v>
      </c>
      <c r="X8936" s="11">
        <v>0.08496511726603878</v>
      </c>
      <c r="Y8936" s="11">
        <v>0.07586015131159893</v>
      </c>
      <c r="Z8936" s="11">
        <v>0.3770309662153879</v>
      </c>
    </row>
    <row r="8937" ht="22.5" customHeight="1">
      <c r="Q8937" s="9" t="s">
        <v>8975</v>
      </c>
      <c r="R8937" s="10">
        <v>0.719512545693918</v>
      </c>
      <c r="S8937" s="10">
        <v>0.03970362853304258</v>
      </c>
      <c r="T8937" s="10">
        <v>17.114620773978043</v>
      </c>
      <c r="U8937" s="11">
        <v>0.3147769272995705</v>
      </c>
      <c r="V8937" s="11">
        <v>0.37868678398642935</v>
      </c>
      <c r="W8937" s="11">
        <v>0.056594328256609414</v>
      </c>
      <c r="X8937" s="11">
        <v>0.03984265148767855</v>
      </c>
      <c r="Y8937" s="11">
        <v>0.03657824221925903</v>
      </c>
      <c r="Z8937" s="11">
        <v>0.17352106675045323</v>
      </c>
    </row>
    <row r="8938" ht="22.5" customHeight="1">
      <c r="Q8938" s="9" t="s">
        <v>8976</v>
      </c>
      <c r="R8938" s="10">
        <v>0.21057329391735588</v>
      </c>
      <c r="S8938" s="10">
        <v>0.009967328359569583</v>
      </c>
      <c r="T8938" s="10">
        <v>17.1132411579066</v>
      </c>
      <c r="U8938" s="11">
        <v>0.32799256359109197</v>
      </c>
      <c r="V8938" s="11">
        <v>0.028088777642781896</v>
      </c>
      <c r="W8938" s="11">
        <v>0.009058621864506245</v>
      </c>
      <c r="X8938" s="11">
        <v>0.20951930821072953</v>
      </c>
      <c r="Y8938" s="11">
        <v>0.27358186130464995</v>
      </c>
      <c r="Z8938" s="11">
        <v>0.15175886738624056</v>
      </c>
    </row>
    <row r="8939" ht="22.5" customHeight="1">
      <c r="Q8939" s="9" t="s">
        <v>8977</v>
      </c>
      <c r="R8939" s="10">
        <v>0.6665793334339857</v>
      </c>
      <c r="S8939" s="10">
        <v>0.03661525248669901</v>
      </c>
      <c r="T8939" s="10">
        <v>17.11252253856775</v>
      </c>
      <c r="U8939" s="11">
        <v>0.22046100153348694</v>
      </c>
      <c r="V8939" s="11">
        <v>0.35070204740421185</v>
      </c>
      <c r="W8939" s="11">
        <v>0.038073460516265666</v>
      </c>
      <c r="X8939" s="11">
        <v>0.13103846126224883</v>
      </c>
      <c r="Y8939" s="11">
        <v>0.06183232434049067</v>
      </c>
      <c r="Z8939" s="11">
        <v>0.1978927049432961</v>
      </c>
    </row>
    <row r="8940" ht="22.5" customHeight="1">
      <c r="Q8940" s="9" t="s">
        <v>8978</v>
      </c>
      <c r="R8940" s="10">
        <v>0.5041838434335539</v>
      </c>
      <c r="S8940" s="10">
        <v>0.02712699487942196</v>
      </c>
      <c r="T8940" s="10">
        <v>17.111509973619498</v>
      </c>
      <c r="U8940" s="11">
        <v>0.11734343890058523</v>
      </c>
      <c r="V8940" s="11">
        <v>0.2573580418411005</v>
      </c>
      <c r="W8940" s="11">
        <v>0.01019511145482551</v>
      </c>
      <c r="X8940" s="11">
        <v>0.21924137631028962</v>
      </c>
      <c r="Y8940" s="11">
        <v>0.06292823474861008</v>
      </c>
      <c r="Z8940" s="11">
        <v>0.33293379674458906</v>
      </c>
    </row>
    <row r="8941" ht="22.5" customHeight="1">
      <c r="Q8941" s="9" t="s">
        <v>8979</v>
      </c>
      <c r="R8941" s="10">
        <v>0.546475921865774</v>
      </c>
      <c r="S8941" s="10">
        <v>0.02959964357152536</v>
      </c>
      <c r="T8941" s="10">
        <v>17.110879076699426</v>
      </c>
      <c r="U8941" s="11">
        <v>0.08859353887789373</v>
      </c>
      <c r="V8941" s="11">
        <v>0.2810741503615306</v>
      </c>
      <c r="W8941" s="11">
        <v>0.009409712663358858</v>
      </c>
      <c r="X8941" s="11">
        <v>0.2809517647543581</v>
      </c>
      <c r="Y8941" s="11">
        <v>0.06769449470959411</v>
      </c>
      <c r="Z8941" s="11">
        <v>0.2722763386332648</v>
      </c>
    </row>
    <row r="8942" ht="22.5" customHeight="1">
      <c r="Q8942" s="9" t="s">
        <v>8980</v>
      </c>
      <c r="R8942" s="10">
        <v>0.522331348251574</v>
      </c>
      <c r="S8942" s="10">
        <v>0.022534652748804077</v>
      </c>
      <c r="T8942" s="10">
        <v>17.11032270155996</v>
      </c>
      <c r="U8942" s="11">
        <v>0.3179685536808076</v>
      </c>
      <c r="V8942" s="11">
        <v>0.01168331308961181</v>
      </c>
      <c r="W8942" s="11">
        <v>0.1931904187305315</v>
      </c>
      <c r="X8942" s="11">
        <v>0.2729067785339558</v>
      </c>
      <c r="Y8942" s="11">
        <v>0.04810732057899058</v>
      </c>
      <c r="Z8942" s="11">
        <v>0.15614361538610255</v>
      </c>
    </row>
    <row r="8943" ht="22.5" customHeight="1">
      <c r="Q8943" s="9" t="s">
        <v>8981</v>
      </c>
      <c r="R8943" s="10">
        <v>0.7240713640916487</v>
      </c>
      <c r="S8943" s="10">
        <v>0.039986459723030304</v>
      </c>
      <c r="T8943" s="10">
        <v>17.107575134931388</v>
      </c>
      <c r="U8943" s="11">
        <v>0.03485193692630707</v>
      </c>
      <c r="V8943" s="11">
        <v>0.09106450648161085</v>
      </c>
      <c r="W8943" s="11">
        <v>0.35676321410375555</v>
      </c>
      <c r="X8943" s="11">
        <v>0.20630124845147169</v>
      </c>
      <c r="Y8943" s="11">
        <v>0.010047183099757266</v>
      </c>
      <c r="Z8943" s="11">
        <v>0.30097191093709763</v>
      </c>
    </row>
    <row r="8944" ht="22.5" customHeight="1">
      <c r="Q8944" s="9" t="s">
        <v>8982</v>
      </c>
      <c r="R8944" s="10">
        <v>0.2865711295494669</v>
      </c>
      <c r="S8944" s="10">
        <v>0.014414368365410303</v>
      </c>
      <c r="T8944" s="10">
        <v>17.105926759937375</v>
      </c>
      <c r="U8944" s="11">
        <v>0.36760625019707827</v>
      </c>
      <c r="V8944" s="11">
        <v>0.001069678816988213</v>
      </c>
      <c r="W8944" s="11">
        <v>0.09290490710207953</v>
      </c>
      <c r="X8944" s="11">
        <v>0.1706646763339972</v>
      </c>
      <c r="Y8944" s="11">
        <v>0.3216925836186331</v>
      </c>
      <c r="Z8944" s="11">
        <v>0.046061903931223745</v>
      </c>
    </row>
    <row r="8945" ht="22.5" customHeight="1">
      <c r="Q8945" s="9" t="s">
        <v>8983</v>
      </c>
      <c r="R8945" s="10">
        <v>0.7187355350362828</v>
      </c>
      <c r="S8945" s="10">
        <v>0.039683225009910054</v>
      </c>
      <c r="T8945" s="10">
        <v>17.103840095324482</v>
      </c>
      <c r="U8945" s="11">
        <v>0.0353993181852944</v>
      </c>
      <c r="V8945" s="11">
        <v>0.3823223600218376</v>
      </c>
      <c r="W8945" s="11">
        <v>0.056265162127005115</v>
      </c>
      <c r="X8945" s="11">
        <v>0.09947827079675095</v>
      </c>
      <c r="Y8945" s="11">
        <v>0.07963384504235144</v>
      </c>
      <c r="Z8945" s="11">
        <v>0.34690104382676057</v>
      </c>
    </row>
    <row r="8946" ht="22.5" customHeight="1">
      <c r="Q8946" s="9" t="s">
        <v>8984</v>
      </c>
      <c r="R8946" s="10">
        <v>0.6269243061010216</v>
      </c>
      <c r="S8946" s="10">
        <v>0.034316292795948465</v>
      </c>
      <c r="T8946" s="10">
        <v>17.103371555633668</v>
      </c>
      <c r="U8946" s="11">
        <v>0.09516045759023918</v>
      </c>
      <c r="V8946" s="11">
        <v>0.06375887102746261</v>
      </c>
      <c r="W8946" s="11">
        <v>0.3041588545262467</v>
      </c>
      <c r="X8946" s="11">
        <v>0.14771750469577882</v>
      </c>
      <c r="Y8946" s="11">
        <v>0.20507087819786932</v>
      </c>
      <c r="Z8946" s="11">
        <v>0.18413343396240348</v>
      </c>
    </row>
    <row r="8947" ht="22.5" customHeight="1">
      <c r="Q8947" s="9" t="s">
        <v>8985</v>
      </c>
      <c r="R8947" s="10">
        <v>0.7160547485647358</v>
      </c>
      <c r="S8947" s="10">
        <v>0.03952997182646099</v>
      </c>
      <c r="T8947" s="10">
        <v>17.102333174753017</v>
      </c>
      <c r="U8947" s="11">
        <v>0.16079747034873187</v>
      </c>
      <c r="V8947" s="11">
        <v>0.08344285105581956</v>
      </c>
      <c r="W8947" s="11">
        <v>0.3462609663012014</v>
      </c>
      <c r="X8947" s="11">
        <v>0.07029705639392349</v>
      </c>
      <c r="Y8947" s="11">
        <v>0.3369570407419778</v>
      </c>
      <c r="Z8947" s="11">
        <v>0.002244615158345887</v>
      </c>
    </row>
    <row r="8948" ht="22.5" customHeight="1">
      <c r="Q8948" s="9" t="s">
        <v>8986</v>
      </c>
      <c r="R8948" s="10">
        <v>0.564299636241535</v>
      </c>
      <c r="S8948" s="10">
        <v>0.030657806225547007</v>
      </c>
      <c r="T8948" s="10">
        <v>17.101668409810696</v>
      </c>
      <c r="U8948" s="11">
        <v>0.2618544148379684</v>
      </c>
      <c r="V8948" s="11">
        <v>0.28604140899651426</v>
      </c>
      <c r="W8948" s="11">
        <v>0.0020727649037371306</v>
      </c>
      <c r="X8948" s="11">
        <v>0.27726884971289106</v>
      </c>
      <c r="Y8948" s="11">
        <v>0.15407479464157964</v>
      </c>
      <c r="Z8948" s="11">
        <v>0.018687766907309635</v>
      </c>
    </row>
    <row r="8949" ht="22.5" customHeight="1">
      <c r="Q8949" s="9" t="s">
        <v>8987</v>
      </c>
      <c r="R8949" s="10">
        <v>0.5464790327839784</v>
      </c>
      <c r="S8949" s="10">
        <v>0.02961663678813563</v>
      </c>
      <c r="T8949" s="10">
        <v>17.101166361565838</v>
      </c>
      <c r="U8949" s="11">
        <v>0.1974042661765861</v>
      </c>
      <c r="V8949" s="11">
        <v>0.06019217656900425</v>
      </c>
      <c r="W8949" s="11">
        <v>0.261478982787521</v>
      </c>
      <c r="X8949" s="11">
        <v>0.10891127746646155</v>
      </c>
      <c r="Y8949" s="11">
        <v>0.024962779623989923</v>
      </c>
      <c r="Z8949" s="11">
        <v>0.34705051737643716</v>
      </c>
    </row>
    <row r="8950" ht="22.5" customHeight="1">
      <c r="Q8950" s="9" t="s">
        <v>8988</v>
      </c>
      <c r="R8950" s="10">
        <v>0.5631043863601327</v>
      </c>
      <c r="S8950" s="10">
        <v>0.030591509261790568</v>
      </c>
      <c r="T8950" s="10">
        <v>17.09965931669481</v>
      </c>
      <c r="U8950" s="11">
        <v>0.14282632366070577</v>
      </c>
      <c r="V8950" s="11">
        <v>0.2899296108401632</v>
      </c>
      <c r="W8950" s="11">
        <v>0.022290763243517985</v>
      </c>
      <c r="X8950" s="11">
        <v>0.10032775075631271</v>
      </c>
      <c r="Y8950" s="11">
        <v>0.22159557012951325</v>
      </c>
      <c r="Z8950" s="11">
        <v>0.22302998136978702</v>
      </c>
    </row>
    <row r="8951" ht="22.5" customHeight="1">
      <c r="Q8951" s="9" t="s">
        <v>8989</v>
      </c>
      <c r="R8951" s="10">
        <v>0.4543096992211721</v>
      </c>
      <c r="S8951" s="10">
        <v>0.024231423816712214</v>
      </c>
      <c r="T8951" s="10">
        <v>17.098033625883186</v>
      </c>
      <c r="U8951" s="11">
        <v>0.25507888813050694</v>
      </c>
      <c r="V8951" s="11">
        <v>0.021260698679757772</v>
      </c>
      <c r="W8951" s="11">
        <v>0.20971600693157472</v>
      </c>
      <c r="X8951" s="11">
        <v>0.1911008864118882</v>
      </c>
      <c r="Y8951" s="11">
        <v>0.17015733302665254</v>
      </c>
      <c r="Z8951" s="11">
        <v>0.1526861868196199</v>
      </c>
    </row>
    <row r="8952" ht="22.5" customHeight="1">
      <c r="Q8952" s="9" t="s">
        <v>8990</v>
      </c>
      <c r="R8952" s="10">
        <v>0.24785904190626484</v>
      </c>
      <c r="S8952" s="10">
        <v>0.012159766046245475</v>
      </c>
      <c r="T8952" s="10">
        <v>17.094000091428132</v>
      </c>
      <c r="U8952" s="11">
        <v>0.17830492745088766</v>
      </c>
      <c r="V8952" s="11">
        <v>0.06514216479872179</v>
      </c>
      <c r="W8952" s="11">
        <v>0.023128043649736717</v>
      </c>
      <c r="X8952" s="11">
        <v>0.015630494332325714</v>
      </c>
      <c r="Y8952" s="11">
        <v>0.39035721385104893</v>
      </c>
      <c r="Z8952" s="11">
        <v>0.3274371559172792</v>
      </c>
    </row>
    <row r="8953" ht="22.5" customHeight="1">
      <c r="Q8953" s="9" t="s">
        <v>8991</v>
      </c>
      <c r="R8953" s="10">
        <v>0.6537541060491107</v>
      </c>
      <c r="S8953" s="10">
        <v>0.035906800798200036</v>
      </c>
      <c r="T8953" s="10">
        <v>17.09297660625553</v>
      </c>
      <c r="U8953" s="11">
        <v>0.2581728160747241</v>
      </c>
      <c r="V8953" s="11">
        <v>0.34214270533035335</v>
      </c>
      <c r="W8953" s="11">
        <v>0.04064739898724456</v>
      </c>
      <c r="X8953" s="11">
        <v>0.055999286464257336</v>
      </c>
      <c r="Y8953" s="11">
        <v>0.1294078604240269</v>
      </c>
      <c r="Z8953" s="11">
        <v>0.17362993271939361</v>
      </c>
    </row>
    <row r="8954" ht="22.5" customHeight="1">
      <c r="Q8954" s="9" t="s">
        <v>8992</v>
      </c>
      <c r="R8954" s="10">
        <v>0.7704594934261421</v>
      </c>
      <c r="S8954" s="10">
        <v>0.04273556072026271</v>
      </c>
      <c r="T8954" s="10">
        <v>17.092544969927136</v>
      </c>
      <c r="U8954" s="11">
        <v>0.30620488493647796</v>
      </c>
      <c r="V8954" s="11">
        <v>0.10268698212219537</v>
      </c>
      <c r="W8954" s="11">
        <v>0.3760308693064247</v>
      </c>
      <c r="X8954" s="11">
        <v>0.014075541569148177</v>
      </c>
      <c r="Y8954" s="11">
        <v>0.19638983851430988</v>
      </c>
      <c r="Z8954" s="11">
        <v>0.004611883551443845</v>
      </c>
    </row>
    <row r="8955" ht="22.5" customHeight="1">
      <c r="Q8955" s="9" t="s">
        <v>8993</v>
      </c>
      <c r="R8955" s="10">
        <v>0.7250301833071968</v>
      </c>
      <c r="S8955" s="10">
        <v>0.040082995974579205</v>
      </c>
      <c r="T8955" s="10">
        <v>17.09029394263956</v>
      </c>
      <c r="U8955" s="11">
        <v>0.0513911362009631</v>
      </c>
      <c r="V8955" s="11">
        <v>0.08431721651389215</v>
      </c>
      <c r="W8955" s="11">
        <v>0.35626060304379736</v>
      </c>
      <c r="X8955" s="11">
        <v>0.15417672370186228</v>
      </c>
      <c r="Y8955" s="11">
        <v>0.20618230304771928</v>
      </c>
      <c r="Z8955" s="11">
        <v>0.1476720174917657</v>
      </c>
    </row>
    <row r="8956" ht="22.5" customHeight="1">
      <c r="Q8956" s="9" t="s">
        <v>8994</v>
      </c>
      <c r="R8956" s="10">
        <v>0.6097917453523326</v>
      </c>
      <c r="S8956" s="10">
        <v>0.03334381195402093</v>
      </c>
      <c r="T8956" s="10">
        <v>17.08838048085325</v>
      </c>
      <c r="U8956" s="11">
        <v>0.12312582444830754</v>
      </c>
      <c r="V8956" s="11">
        <v>0.0423400020833595</v>
      </c>
      <c r="W8956" s="11">
        <v>0.29622821287492535</v>
      </c>
      <c r="X8956" s="11">
        <v>0.2956493113943078</v>
      </c>
      <c r="Y8956" s="11">
        <v>0.1572763694489175</v>
      </c>
      <c r="Z8956" s="11">
        <v>0.08538027975018236</v>
      </c>
    </row>
    <row r="8957" ht="22.5" customHeight="1">
      <c r="Q8957" s="9" t="s">
        <v>8995</v>
      </c>
      <c r="R8957" s="10">
        <v>0.7698655383426739</v>
      </c>
      <c r="S8957" s="10">
        <v>0.042712135038370624</v>
      </c>
      <c r="T8957" s="10">
        <v>17.08801345769759</v>
      </c>
      <c r="U8957" s="11">
        <v>0.06694522105937374</v>
      </c>
      <c r="V8957" s="11">
        <v>0.11761106356857903</v>
      </c>
      <c r="W8957" s="11">
        <v>0.37762373073252054</v>
      </c>
      <c r="X8957" s="11">
        <v>0.04782438157853809</v>
      </c>
      <c r="Y8957" s="11">
        <v>0.07068491229769717</v>
      </c>
      <c r="Z8957" s="11">
        <v>0.3193106907632915</v>
      </c>
    </row>
    <row r="8958" ht="22.5" customHeight="1">
      <c r="Q8958" s="9" t="s">
        <v>8996</v>
      </c>
      <c r="R8958" s="10">
        <v>0.5383746891455673</v>
      </c>
      <c r="S8958" s="10">
        <v>0.029166221808253987</v>
      </c>
      <c r="T8958" s="10">
        <v>17.0873928211205</v>
      </c>
      <c r="U8958" s="11">
        <v>0.046714815400258826</v>
      </c>
      <c r="V8958" s="11">
        <v>0.27666627192476556</v>
      </c>
      <c r="W8958" s="11">
        <v>0.007656273423825579</v>
      </c>
      <c r="X8958" s="11">
        <v>0.294795979366906</v>
      </c>
      <c r="Y8958" s="11">
        <v>0.07916254227446665</v>
      </c>
      <c r="Z8958" s="11">
        <v>0.29500411760977735</v>
      </c>
    </row>
    <row r="8959" ht="22.5" customHeight="1">
      <c r="Q8959" s="9" t="s">
        <v>8997</v>
      </c>
      <c r="R8959" s="10">
        <v>0.5539217615589582</v>
      </c>
      <c r="S8959" s="10">
        <v>0.03007661134428091</v>
      </c>
      <c r="T8959" s="10">
        <v>17.08708988776027</v>
      </c>
      <c r="U8959" s="11">
        <v>0.15460491436727286</v>
      </c>
      <c r="V8959" s="11">
        <v>0.03395535048805697</v>
      </c>
      <c r="W8959" s="11">
        <v>0.2665612185197957</v>
      </c>
      <c r="X8959" s="11">
        <v>0.34882267954637686</v>
      </c>
      <c r="Y8959" s="11">
        <v>2.772896260323994E-4</v>
      </c>
      <c r="Z8959" s="11">
        <v>0.1957785474524654</v>
      </c>
    </row>
    <row r="8960" ht="22.5" customHeight="1">
      <c r="Q8960" s="9" t="s">
        <v>8998</v>
      </c>
      <c r="R8960" s="10">
        <v>0.8583449509020402</v>
      </c>
      <c r="S8960" s="10">
        <v>0.047894912061248573</v>
      </c>
      <c r="T8960" s="10">
        <v>17.086260641955686</v>
      </c>
      <c r="U8960" s="11">
        <v>0.08022310764469992</v>
      </c>
      <c r="V8960" s="11">
        <v>0.12043593218027196</v>
      </c>
      <c r="W8960" s="11">
        <v>0.4247676096943084</v>
      </c>
      <c r="X8960" s="11">
        <v>0.09338360995153278</v>
      </c>
      <c r="Y8960" s="11">
        <v>0.18318466352275584</v>
      </c>
      <c r="Z8960" s="11">
        <v>0.09800507700643125</v>
      </c>
    </row>
    <row r="8961" ht="22.5" customHeight="1">
      <c r="Q8961" s="9" t="s">
        <v>8999</v>
      </c>
      <c r="R8961" s="10">
        <v>0.522331348251574</v>
      </c>
      <c r="S8961" s="10">
        <v>0.03776447386830761</v>
      </c>
      <c r="T8961" s="10">
        <v>17.084196496675233</v>
      </c>
      <c r="U8961" s="11">
        <v>0.027926657806183648</v>
      </c>
      <c r="V8961" s="11">
        <v>0.05587123828421603</v>
      </c>
      <c r="W8961" s="11">
        <v>0.3352123430325153</v>
      </c>
      <c r="X8961" s="11">
        <v>0.3129400683931265</v>
      </c>
      <c r="Y8961" s="11">
        <v>0.22815306769560667</v>
      </c>
      <c r="Z8961" s="11">
        <v>0.03989662478835197</v>
      </c>
    </row>
    <row r="8962" ht="22.5" customHeight="1">
      <c r="Q8962" s="9" t="s">
        <v>9000</v>
      </c>
      <c r="R8962" s="10">
        <v>0.4638670126033053</v>
      </c>
      <c r="S8962" s="10">
        <v>0.024810650552013584</v>
      </c>
      <c r="T8962" s="10">
        <v>17.084074910276996</v>
      </c>
      <c r="U8962" s="11">
        <v>0.05180232125379205</v>
      </c>
      <c r="V8962" s="11">
        <v>0.04091818793484299</v>
      </c>
      <c r="W8962" s="11">
        <v>0.21679066830103944</v>
      </c>
      <c r="X8962" s="11">
        <v>0.1445041608898223</v>
      </c>
      <c r="Y8962" s="11">
        <v>0.12381289880105693</v>
      </c>
      <c r="Z8962" s="11">
        <v>0.4221717628194463</v>
      </c>
    </row>
    <row r="8963" ht="22.5" customHeight="1">
      <c r="Q8963" s="9" t="s">
        <v>9001</v>
      </c>
      <c r="R8963" s="10">
        <v>0.6502288590722585</v>
      </c>
      <c r="S8963" s="10">
        <v>0.03572080604045692</v>
      </c>
      <c r="T8963" s="10">
        <v>17.083289172733704</v>
      </c>
      <c r="U8963" s="11">
        <v>0.09669890261100245</v>
      </c>
      <c r="V8963" s="11">
        <v>0.34292481707803635</v>
      </c>
      <c r="W8963" s="11">
        <v>0.036749413886484936</v>
      </c>
      <c r="X8963" s="11">
        <v>0.11954630683946821</v>
      </c>
      <c r="Y8963" s="11">
        <v>0.13981135158582422</v>
      </c>
      <c r="Z8963" s="11">
        <v>0.2642692079991839</v>
      </c>
    </row>
    <row r="8964" ht="22.5" customHeight="1">
      <c r="Q8964" s="9" t="s">
        <v>9002</v>
      </c>
      <c r="R8964" s="10">
        <v>0.7040769188616646</v>
      </c>
      <c r="S8964" s="10">
        <v>0.038875874654485235</v>
      </c>
      <c r="T8964" s="10">
        <v>17.081980142279523</v>
      </c>
      <c r="U8964" s="11">
        <v>0.24741558189394341</v>
      </c>
      <c r="V8964" s="11">
        <v>0.3698545161393724</v>
      </c>
      <c r="W8964" s="11">
        <v>0.029951740892621394</v>
      </c>
      <c r="X8964" s="11">
        <v>0.18312657635415633</v>
      </c>
      <c r="Y8964" s="11">
        <v>0.16022049303120617</v>
      </c>
      <c r="Z8964" s="11">
        <v>0.009431091688700434</v>
      </c>
    </row>
    <row r="8965" ht="22.5" customHeight="1">
      <c r="Q8965" s="9" t="s">
        <v>9003</v>
      </c>
      <c r="R8965" s="10">
        <v>1.0860521567995813</v>
      </c>
      <c r="S8965" s="10">
        <v>0.06123912301858522</v>
      </c>
      <c r="T8965" s="10">
        <v>17.08143593895228</v>
      </c>
      <c r="U8965" s="11">
        <v>0.021161333613830633</v>
      </c>
      <c r="V8965" s="11">
        <v>0.1737137487741566</v>
      </c>
      <c r="W8965" s="11">
        <v>0.5417325308480073</v>
      </c>
      <c r="X8965" s="11">
        <v>0.10743641259248832</v>
      </c>
      <c r="Y8965" s="11">
        <v>0.13033839016215187</v>
      </c>
      <c r="Z8965" s="11">
        <v>0.02561758400936521</v>
      </c>
    </row>
    <row r="8966" ht="22.5" customHeight="1">
      <c r="Q8966" s="9" t="s">
        <v>9004</v>
      </c>
      <c r="R8966" s="10">
        <v>0.4610341223167584</v>
      </c>
      <c r="S8966" s="10">
        <v>0.024652633158619135</v>
      </c>
      <c r="T8966" s="10">
        <v>17.078667402697107</v>
      </c>
      <c r="U8966" s="11">
        <v>0.43017210476296963</v>
      </c>
      <c r="V8966" s="11">
        <v>0.03076902878151235</v>
      </c>
      <c r="W8966" s="11">
        <v>0.21167759936813496</v>
      </c>
      <c r="X8966" s="11">
        <v>0.12202998781609066</v>
      </c>
      <c r="Y8966" s="11">
        <v>0.07082688874344152</v>
      </c>
      <c r="Z8966" s="11">
        <v>0.13452439052785095</v>
      </c>
    </row>
    <row r="8967" ht="22.5" customHeight="1">
      <c r="Q8967" s="9" t="s">
        <v>9005</v>
      </c>
      <c r="R8967" s="10">
        <v>0.46544502406270105</v>
      </c>
      <c r="S8967" s="10">
        <v>0.024912822535265618</v>
      </c>
      <c r="T8967" s="10">
        <v>17.07735137038197</v>
      </c>
      <c r="U8967" s="11">
        <v>0.3117581564857309</v>
      </c>
      <c r="V8967" s="11">
        <v>0.010265541465910457</v>
      </c>
      <c r="W8967" s="11">
        <v>0.215034374412417</v>
      </c>
      <c r="X8967" s="11">
        <v>0.32639034429689723</v>
      </c>
      <c r="Y8967" s="11">
        <v>0.07805780706696891</v>
      </c>
      <c r="Z8967" s="11">
        <v>0.05849377627207551</v>
      </c>
    </row>
    <row r="8968" ht="22.5" customHeight="1">
      <c r="Q8968" s="9" t="s">
        <v>9006</v>
      </c>
      <c r="R8968" s="10">
        <v>0.5188797019837402</v>
      </c>
      <c r="S8968" s="10">
        <v>0.028043343624408922</v>
      </c>
      <c r="T8968" s="10">
        <v>17.07641244202148</v>
      </c>
      <c r="U8968" s="11">
        <v>0.22824521271067102</v>
      </c>
      <c r="V8968" s="11">
        <v>0.2609427367644609</v>
      </c>
      <c r="W8968" s="11">
        <v>0.015249936795775815</v>
      </c>
      <c r="X8968" s="11">
        <v>0.076797031993489</v>
      </c>
      <c r="Y8968" s="11">
        <v>0.2680696611717202</v>
      </c>
      <c r="Z8968" s="11">
        <v>0.15069542056388296</v>
      </c>
    </row>
    <row r="8969" ht="22.5" customHeight="1">
      <c r="Q8969" s="9" t="s">
        <v>9007</v>
      </c>
      <c r="R8969" s="10">
        <v>0.527219872774316</v>
      </c>
      <c r="S8969" s="10">
        <v>0.028533233038217674</v>
      </c>
      <c r="T8969" s="10">
        <v>17.075522851607083</v>
      </c>
      <c r="U8969" s="11">
        <v>0.05401291139368208</v>
      </c>
      <c r="V8969" s="11">
        <v>0.03694909710837239</v>
      </c>
      <c r="W8969" s="11">
        <v>0.24604441402618643</v>
      </c>
      <c r="X8969" s="11">
        <v>0.1770923358210505</v>
      </c>
      <c r="Y8969" s="11">
        <v>0.3572315923938662</v>
      </c>
      <c r="Z8969" s="11">
        <v>0.12866964925684232</v>
      </c>
    </row>
    <row r="8970" ht="22.5" customHeight="1">
      <c r="Q8970" s="9" t="s">
        <v>9008</v>
      </c>
      <c r="R8970" s="10">
        <v>0.6156810843664329</v>
      </c>
      <c r="S8970" s="10">
        <v>0.03371573325609569</v>
      </c>
      <c r="T8970" s="10">
        <v>17.074553295154914</v>
      </c>
      <c r="U8970" s="11">
        <v>0.09800118240195604</v>
      </c>
      <c r="V8970" s="11">
        <v>0.057571142785790216</v>
      </c>
      <c r="W8970" s="11">
        <v>0.29521977084954115</v>
      </c>
      <c r="X8970" s="11">
        <v>0.13313221195366587</v>
      </c>
      <c r="Y8970" s="11">
        <v>0.32730779927158327</v>
      </c>
      <c r="Z8970" s="11">
        <v>0.08876789273746342</v>
      </c>
    </row>
    <row r="8971" ht="22.5" customHeight="1">
      <c r="Q8971" s="9" t="s">
        <v>9009</v>
      </c>
      <c r="R8971" s="10">
        <v>0.6410479314357413</v>
      </c>
      <c r="S8971" s="10">
        <v>0.03520364095828916</v>
      </c>
      <c r="T8971" s="10">
        <v>17.073459309163212</v>
      </c>
      <c r="U8971" s="11">
        <v>0.3178952472986849</v>
      </c>
      <c r="V8971" s="11">
        <v>0.33150851257983044</v>
      </c>
      <c r="W8971" s="11">
        <v>0.03799914475049284</v>
      </c>
      <c r="X8971" s="11">
        <v>0.016967983490886147</v>
      </c>
      <c r="Y8971" s="11">
        <v>0.21716791079941028</v>
      </c>
      <c r="Z8971" s="11">
        <v>0.07846120108069538</v>
      </c>
    </row>
    <row r="8972" ht="22.5" customHeight="1">
      <c r="Q8972" s="9" t="s">
        <v>9010</v>
      </c>
      <c r="R8972" s="10">
        <v>0.38583117641898834</v>
      </c>
      <c r="S8972" s="10">
        <v>0.020255855739141567</v>
      </c>
      <c r="T8972" s="10">
        <v>17.073145705254934</v>
      </c>
      <c r="U8972" s="11">
        <v>0.30970062673043663</v>
      </c>
      <c r="V8972" s="11">
        <v>0.18129278094511717</v>
      </c>
      <c r="W8972" s="11">
        <v>0.004171339945403434</v>
      </c>
      <c r="X8972" s="11">
        <v>0.07254632098846027</v>
      </c>
      <c r="Y8972" s="11">
        <v>0.1703625181578406</v>
      </c>
      <c r="Z8972" s="11">
        <v>0.2619264132327419</v>
      </c>
    </row>
    <row r="8973" ht="22.5" customHeight="1">
      <c r="Q8973" s="9" t="s">
        <v>9011</v>
      </c>
      <c r="R8973" s="10">
        <v>0.6139789062714446</v>
      </c>
      <c r="S8973" s="10">
        <v>0.0336205286064643</v>
      </c>
      <c r="T8973" s="10">
        <v>17.07227488865491</v>
      </c>
      <c r="U8973" s="11">
        <v>0.11376310838463903</v>
      </c>
      <c r="V8973" s="11">
        <v>0.06714423376311592</v>
      </c>
      <c r="W8973" s="11">
        <v>0.2966830803028205</v>
      </c>
      <c r="X8973" s="11">
        <v>0.08900678599245829</v>
      </c>
      <c r="Y8973" s="11">
        <v>0.2218241286651657</v>
      </c>
      <c r="Z8973" s="11">
        <v>0.21157866289180063</v>
      </c>
    </row>
    <row r="8974" ht="22.5" customHeight="1">
      <c r="Q8974" s="9" t="s">
        <v>9012</v>
      </c>
      <c r="R8974" s="10">
        <v>0.5720608048742194</v>
      </c>
      <c r="S8974" s="10">
        <v>0.031165873978744006</v>
      </c>
      <c r="T8974" s="10">
        <v>17.071903879130733</v>
      </c>
      <c r="U8974" s="11">
        <v>0.27250128393538525</v>
      </c>
      <c r="V8974" s="11">
        <v>0.05548099648267089</v>
      </c>
      <c r="W8974" s="11">
        <v>0.27135343118617866</v>
      </c>
      <c r="X8974" s="11">
        <v>0.05550577683484778</v>
      </c>
      <c r="Y8974" s="11">
        <v>0.25670775606915847</v>
      </c>
      <c r="Z8974" s="11">
        <v>0.08845075549175901</v>
      </c>
    </row>
    <row r="8975" ht="22.5" customHeight="1">
      <c r="Q8975" s="9" t="s">
        <v>9013</v>
      </c>
      <c r="R8975" s="10">
        <v>0.43679485699117704</v>
      </c>
      <c r="S8975" s="10">
        <v>0.02324304403257769</v>
      </c>
      <c r="T8975" s="10">
        <v>17.071552953005007</v>
      </c>
      <c r="U8975" s="11">
        <v>0.14967870856859902</v>
      </c>
      <c r="V8975" s="11">
        <v>0.020926335645450368</v>
      </c>
      <c r="W8975" s="11">
        <v>0.20172944417443464</v>
      </c>
      <c r="X8975" s="11">
        <v>0.2087217430555723</v>
      </c>
      <c r="Y8975" s="11">
        <v>0.15393173173999256</v>
      </c>
      <c r="Z8975" s="11">
        <v>0.2650120368159512</v>
      </c>
    </row>
    <row r="8976" ht="22.5" customHeight="1">
      <c r="Q8976" s="9" t="s">
        <v>9014</v>
      </c>
      <c r="R8976" s="10">
        <v>0.6358335667335385</v>
      </c>
      <c r="S8976" s="10">
        <v>0.03490434463903388</v>
      </c>
      <c r="T8976" s="10">
        <v>17.07046996284846</v>
      </c>
      <c r="U8976" s="11">
        <v>0.21409974380210445</v>
      </c>
      <c r="V8976" s="11">
        <v>0.3315866782991859</v>
      </c>
      <c r="W8976" s="11">
        <v>0.01723674811273702</v>
      </c>
      <c r="X8976" s="11">
        <v>0.23284525585889307</v>
      </c>
      <c r="Y8976" s="11">
        <v>0.1300610909574947</v>
      </c>
      <c r="Z8976" s="11">
        <v>0.07417048296958478</v>
      </c>
    </row>
    <row r="8977" ht="22.5" customHeight="1">
      <c r="Q8977" s="9" t="s">
        <v>9015</v>
      </c>
      <c r="R8977" s="10">
        <v>0.7773737044792891</v>
      </c>
      <c r="S8977" s="10">
        <v>0.043198580537241384</v>
      </c>
      <c r="T8977" s="10">
        <v>17.069396616946733</v>
      </c>
      <c r="U8977" s="11">
        <v>0.2139837083097</v>
      </c>
      <c r="V8977" s="11">
        <v>0.0922762387827838</v>
      </c>
      <c r="W8977" s="11">
        <v>0.3860572143989677</v>
      </c>
      <c r="X8977" s="11">
        <v>0.1741424318173122</v>
      </c>
      <c r="Y8977" s="11">
        <v>0.05444295681411929</v>
      </c>
      <c r="Z8977" s="11">
        <v>0.0790974498771171</v>
      </c>
    </row>
    <row r="8978" ht="22.5" customHeight="1">
      <c r="Q8978" s="9" t="s">
        <v>9016</v>
      </c>
      <c r="R8978" s="10">
        <v>0.5247269086318048</v>
      </c>
      <c r="S8978" s="10">
        <v>0.02839746469215029</v>
      </c>
      <c r="T8978" s="10">
        <v>17.069372702338264</v>
      </c>
      <c r="U8978" s="11">
        <v>0.18079201306061754</v>
      </c>
      <c r="V8978" s="11">
        <v>0.03556871086937082</v>
      </c>
      <c r="W8978" s="11">
        <v>0.24755573140396656</v>
      </c>
      <c r="X8978" s="11">
        <v>0.16116294863726222</v>
      </c>
      <c r="Y8978" s="11">
        <v>0.26628196631772844</v>
      </c>
      <c r="Z8978" s="11">
        <v>0.10863862971105447</v>
      </c>
    </row>
    <row r="8979" ht="22.5" customHeight="1">
      <c r="Q8979" s="9" t="s">
        <v>9017</v>
      </c>
      <c r="R8979" s="10">
        <v>0.5061004497136447</v>
      </c>
      <c r="S8979" s="10">
        <v>0.0273078193406296</v>
      </c>
      <c r="T8979" s="10">
        <v>17.068387772002097</v>
      </c>
      <c r="U8979" s="11">
        <v>0.1770070443543457</v>
      </c>
      <c r="V8979" s="11">
        <v>0.042744747668079106</v>
      </c>
      <c r="W8979" s="11">
        <v>0.24125673183132743</v>
      </c>
      <c r="X8979" s="11">
        <v>0.16783189712062052</v>
      </c>
      <c r="Y8979" s="11">
        <v>0.052722370639892845</v>
      </c>
      <c r="Z8979" s="11">
        <v>0.31843720838573436</v>
      </c>
    </row>
    <row r="8980" ht="22.5" customHeight="1">
      <c r="Q8980" s="9" t="s">
        <v>9018</v>
      </c>
      <c r="R8980" s="10">
        <v>0.27263413247940654</v>
      </c>
      <c r="S8980" s="10">
        <v>0.013630032428932683</v>
      </c>
      <c r="T8980" s="10">
        <v>17.067760747625986</v>
      </c>
      <c r="U8980" s="11">
        <v>0.10199131358879493</v>
      </c>
      <c r="V8980" s="11">
        <v>0.01429248008839071</v>
      </c>
      <c r="W8980" s="11">
        <v>0.07851957085523797</v>
      </c>
      <c r="X8980" s="11">
        <v>0.13284120054712723</v>
      </c>
      <c r="Y8980" s="11">
        <v>0.4546474847884084</v>
      </c>
      <c r="Z8980" s="11">
        <v>0.21770795013204075</v>
      </c>
    </row>
    <row r="8981" ht="22.5" customHeight="1">
      <c r="Q8981" s="9" t="s">
        <v>9019</v>
      </c>
      <c r="R8981" s="10">
        <v>0.5472141667888506</v>
      </c>
      <c r="S8981" s="10">
        <v>0.02972215459002596</v>
      </c>
      <c r="T8981" s="10">
        <v>17.06518836824365</v>
      </c>
      <c r="U8981" s="11">
        <v>0.10843017506784033</v>
      </c>
      <c r="V8981" s="11">
        <v>0.28118861614541807</v>
      </c>
      <c r="W8981" s="11">
        <v>0.00560149733551833</v>
      </c>
      <c r="X8981" s="11">
        <v>0.2681782794114726</v>
      </c>
      <c r="Y8981" s="11">
        <v>0.13408922581287874</v>
      </c>
      <c r="Z8981" s="11">
        <v>0.20251220622687197</v>
      </c>
    </row>
    <row r="8982" ht="22.5" customHeight="1">
      <c r="Q8982" s="9" t="s">
        <v>9020</v>
      </c>
      <c r="R8982" s="10">
        <v>0.6124641575019852</v>
      </c>
      <c r="S8982" s="10">
        <v>0.03355289843981015</v>
      </c>
      <c r="T8982" s="10">
        <v>17.061541152068184</v>
      </c>
      <c r="U8982" s="11">
        <v>0.00483027205689537</v>
      </c>
      <c r="V8982" s="11">
        <v>0.05033120029700341</v>
      </c>
      <c r="W8982" s="11">
        <v>0.29445559974110286</v>
      </c>
      <c r="X8982" s="11">
        <v>0.2189026224039728</v>
      </c>
      <c r="Y8982" s="11">
        <v>0.32174008625389855</v>
      </c>
      <c r="Z8982" s="11">
        <v>0.10974021924712701</v>
      </c>
    </row>
    <row r="8983" ht="22.5" customHeight="1">
      <c r="Q8983" s="9" t="s">
        <v>9021</v>
      </c>
      <c r="R8983" s="10">
        <v>0.7048311815117918</v>
      </c>
      <c r="S8983" s="10">
        <v>0.03896810291198125</v>
      </c>
      <c r="T8983" s="10">
        <v>17.060907045269087</v>
      </c>
      <c r="U8983" s="11">
        <v>0.02972707360163664</v>
      </c>
      <c r="V8983" s="11">
        <v>0.06518023911003168</v>
      </c>
      <c r="W8983" s="11">
        <v>0.34856735447327136</v>
      </c>
      <c r="X8983" s="11">
        <v>0.34269675109999714</v>
      </c>
      <c r="Y8983" s="11">
        <v>0.05432069483313673</v>
      </c>
      <c r="Z8983" s="11">
        <v>0.15950788688192646</v>
      </c>
    </row>
    <row r="8984" ht="22.5" customHeight="1">
      <c r="Q8984" s="9" t="s">
        <v>9022</v>
      </c>
      <c r="R8984" s="10">
        <v>0.7228532263730423</v>
      </c>
      <c r="S8984" s="10">
        <v>0.04002525796079513</v>
      </c>
      <c r="T8984" s="10">
        <v>17.060557786832984</v>
      </c>
      <c r="U8984" s="11">
        <v>0.003060676624354793</v>
      </c>
      <c r="V8984" s="11">
        <v>0.3818572636414335</v>
      </c>
      <c r="W8984" s="11">
        <v>0.022851520898333647</v>
      </c>
      <c r="X8984" s="11">
        <v>0.3791698654829624</v>
      </c>
      <c r="Y8984" s="11">
        <v>0.09741058901058065</v>
      </c>
      <c r="Z8984" s="11">
        <v>0.11565008434233487</v>
      </c>
    </row>
    <row r="8985" ht="22.5" customHeight="1">
      <c r="Q8985" s="9" t="s">
        <v>9023</v>
      </c>
      <c r="R8985" s="10">
        <v>0.5895004822330647</v>
      </c>
      <c r="S8985" s="10">
        <v>0.03221030767854027</v>
      </c>
      <c r="T8985" s="10">
        <v>17.059771291758345</v>
      </c>
      <c r="U8985" s="11">
        <v>0.16525286501749162</v>
      </c>
      <c r="V8985" s="11">
        <v>0.30424400370034416</v>
      </c>
      <c r="W8985" s="11">
        <v>0.005621199825820847</v>
      </c>
      <c r="X8985" s="11">
        <v>0.3300288039336703</v>
      </c>
      <c r="Y8985" s="11">
        <v>0.07349736590138849</v>
      </c>
      <c r="Z8985" s="11">
        <v>0.12135576162128461</v>
      </c>
    </row>
    <row r="8986" ht="22.5" customHeight="1">
      <c r="Q8986" s="9" t="s">
        <v>9024</v>
      </c>
      <c r="R8986" s="10">
        <v>0.7852008058704105</v>
      </c>
      <c r="S8986" s="10">
        <v>0.043682059930156336</v>
      </c>
      <c r="T8986" s="10">
        <v>17.059653483876886</v>
      </c>
      <c r="U8986" s="11">
        <v>0.022884007001159716</v>
      </c>
      <c r="V8986" s="11">
        <v>0.416162286119972</v>
      </c>
      <c r="W8986" s="11">
        <v>0.0634628336308622</v>
      </c>
      <c r="X8986" s="11">
        <v>0.020985760372915576</v>
      </c>
      <c r="Y8986" s="11">
        <v>0.317302496439662</v>
      </c>
      <c r="Z8986" s="11">
        <v>0.15920261643542855</v>
      </c>
    </row>
    <row r="8987" ht="22.5" customHeight="1">
      <c r="Q8987" s="9" t="s">
        <v>9025</v>
      </c>
      <c r="R8987" s="10">
        <v>0.7032399576297652</v>
      </c>
      <c r="S8987" s="10">
        <v>0.03888211077624878</v>
      </c>
      <c r="T8987" s="10">
        <v>17.057714830515497</v>
      </c>
      <c r="U8987" s="11">
        <v>0.300339205462504</v>
      </c>
      <c r="V8987" s="11">
        <v>0.08961717299868346</v>
      </c>
      <c r="W8987" s="11">
        <v>0.3436653343184751</v>
      </c>
      <c r="X8987" s="11">
        <v>0.03634881092683156</v>
      </c>
      <c r="Y8987" s="11">
        <v>0.11340146784680832</v>
      </c>
      <c r="Z8987" s="11">
        <v>0.11662800844669748</v>
      </c>
    </row>
    <row r="8988" ht="22.5" customHeight="1">
      <c r="Q8988" s="9" t="s">
        <v>9026</v>
      </c>
      <c r="R8988" s="10">
        <v>0.5258343383802335</v>
      </c>
      <c r="S8988" s="10">
        <v>0.028483088042103064</v>
      </c>
      <c r="T8988" s="10">
        <v>17.05694051368602</v>
      </c>
      <c r="U8988" s="11">
        <v>0.3371047204752146</v>
      </c>
      <c r="V8988" s="11">
        <v>0.2676752848885248</v>
      </c>
      <c r="W8988" s="11">
        <v>0.016326041759539875</v>
      </c>
      <c r="X8988" s="11">
        <v>0.11871859004789527</v>
      </c>
      <c r="Y8988" s="11">
        <v>0.069452696742746</v>
      </c>
      <c r="Z8988" s="11">
        <v>0.1907226660860794</v>
      </c>
    </row>
    <row r="8989" ht="22.5" customHeight="1">
      <c r="Q8989" s="9" t="s">
        <v>9027</v>
      </c>
      <c r="R8989" s="10">
        <v>0.36292745184389064</v>
      </c>
      <c r="S8989" s="10">
        <v>0.01893349960938648</v>
      </c>
      <c r="T8989" s="10">
        <v>17.05587759823313</v>
      </c>
      <c r="U8989" s="11">
        <v>0.4960615949557701</v>
      </c>
      <c r="V8989" s="11">
        <v>0.005274426587645851</v>
      </c>
      <c r="W8989" s="11">
        <v>0.15165291709555856</v>
      </c>
      <c r="X8989" s="11">
        <v>0.23676112200852897</v>
      </c>
      <c r="Y8989" s="11">
        <v>0.010991475945358022</v>
      </c>
      <c r="Z8989" s="11">
        <v>0.09925846340713851</v>
      </c>
    </row>
    <row r="8990" ht="22.5" customHeight="1">
      <c r="Q8990" s="9" t="s">
        <v>9028</v>
      </c>
      <c r="R8990" s="10">
        <v>0.5282039411573058</v>
      </c>
      <c r="S8990" s="10">
        <v>0.028627461081138072</v>
      </c>
      <c r="T8990" s="10">
        <v>17.05369329727153</v>
      </c>
      <c r="U8990" s="11">
        <v>0.08769396165574368</v>
      </c>
      <c r="V8990" s="11">
        <v>0.2706536273853148</v>
      </c>
      <c r="W8990" s="11">
        <v>0.007586105176592582</v>
      </c>
      <c r="X8990" s="11">
        <v>0.20800966754061825</v>
      </c>
      <c r="Y8990" s="11">
        <v>0.19206297191807128</v>
      </c>
      <c r="Z8990" s="11">
        <v>0.23399366632365945</v>
      </c>
    </row>
    <row r="8991" ht="22.5" customHeight="1">
      <c r="Q8991" s="9" t="s">
        <v>9029</v>
      </c>
      <c r="R8991" s="10">
        <v>0.6632517168522357</v>
      </c>
      <c r="S8991" s="10">
        <v>0.03654749564535663</v>
      </c>
      <c r="T8991" s="10">
        <v>17.05319901806788</v>
      </c>
      <c r="U8991" s="11">
        <v>0.13310551847351204</v>
      </c>
      <c r="V8991" s="11">
        <v>0.35110835897571985</v>
      </c>
      <c r="W8991" s="11">
        <v>0.03983301207370538</v>
      </c>
      <c r="X8991" s="11">
        <v>0.10572122894716468</v>
      </c>
      <c r="Y8991" s="11">
        <v>0.1095755235966021</v>
      </c>
      <c r="Z8991" s="11">
        <v>0.2606563579332961</v>
      </c>
    </row>
    <row r="8992" ht="22.5" customHeight="1">
      <c r="Q8992" s="9" t="s">
        <v>9030</v>
      </c>
      <c r="R8992" s="10">
        <v>0.46368383856891765</v>
      </c>
      <c r="S8992" s="10">
        <v>0.02485214096807754</v>
      </c>
      <c r="T8992" s="10">
        <v>17.048182654087533</v>
      </c>
      <c r="U8992" s="11">
        <v>0.16629692180691566</v>
      </c>
      <c r="V8992" s="11">
        <v>0.030092657299565895</v>
      </c>
      <c r="W8992" s="11">
        <v>0.21551371652356488</v>
      </c>
      <c r="X8992" s="11">
        <v>0.1380958962776601</v>
      </c>
      <c r="Y8992" s="11">
        <v>0.22132148821618475</v>
      </c>
      <c r="Z8992" s="11">
        <v>0.2286793198761087</v>
      </c>
    </row>
    <row r="8993" ht="22.5" customHeight="1">
      <c r="Q8993" s="9" t="s">
        <v>9031</v>
      </c>
      <c r="R8993" s="10">
        <v>0.5996639025003667</v>
      </c>
      <c r="S8993" s="10">
        <v>0.03283108243878722</v>
      </c>
      <c r="T8993" s="10">
        <v>17.0467697354739</v>
      </c>
      <c r="U8993" s="11">
        <v>0.20363277649528172</v>
      </c>
      <c r="V8993" s="11">
        <v>0.05150086468168002</v>
      </c>
      <c r="W8993" s="11">
        <v>0.2898677607959699</v>
      </c>
      <c r="X8993" s="11">
        <v>0.14592115685781573</v>
      </c>
      <c r="Y8993" s="11">
        <v>0.22456877774830236</v>
      </c>
      <c r="Z8993" s="11">
        <v>0.08450866342095033</v>
      </c>
    </row>
    <row r="8994" ht="22.5" customHeight="1">
      <c r="Q8994" s="9" t="s">
        <v>9032</v>
      </c>
      <c r="R8994" s="10">
        <v>0.6835241936791863</v>
      </c>
      <c r="S8994" s="10">
        <v>0.03775062291460078</v>
      </c>
      <c r="T8994" s="10">
        <v>17.04671721934132</v>
      </c>
      <c r="U8994" s="11">
        <v>0.09103572744587211</v>
      </c>
      <c r="V8994" s="11">
        <v>0.04998124840339928</v>
      </c>
      <c r="W8994" s="11">
        <v>0.33642609106107113</v>
      </c>
      <c r="X8994" s="11">
        <v>0.36408029398172054</v>
      </c>
      <c r="Y8994" s="11">
        <v>0.1391855935321273</v>
      </c>
      <c r="Z8994" s="11">
        <v>0.019291045575809684</v>
      </c>
    </row>
    <row r="8995" ht="22.5" customHeight="1">
      <c r="Q8995" s="9" t="s">
        <v>9033</v>
      </c>
      <c r="R8995" s="10">
        <v>0.6578118966423075</v>
      </c>
      <c r="S8995" s="10">
        <v>0.03624339406294958</v>
      </c>
      <c r="T8995" s="10">
        <v>17.046193178521218</v>
      </c>
      <c r="U8995" s="11">
        <v>0.20815894825962017</v>
      </c>
      <c r="V8995" s="11">
        <v>0.3457709497960026</v>
      </c>
      <c r="W8995" s="11">
        <v>0.020533981503126908</v>
      </c>
      <c r="X8995" s="11">
        <v>0.2743005532316128</v>
      </c>
      <c r="Y8995" s="11">
        <v>0.03145377768107736</v>
      </c>
      <c r="Z8995" s="11">
        <v>0.11978178952856018</v>
      </c>
    </row>
    <row r="8996" ht="22.5" customHeight="1">
      <c r="Q8996" s="9" t="s">
        <v>9034</v>
      </c>
      <c r="R8996" s="10">
        <v>0.522331348251574</v>
      </c>
      <c r="S8996" s="10">
        <v>0.02765028696608883</v>
      </c>
      <c r="T8996" s="10">
        <v>17.04576234563486</v>
      </c>
      <c r="U8996" s="11">
        <v>0.13595346498550157</v>
      </c>
      <c r="V8996" s="11">
        <v>0.02491438253940415</v>
      </c>
      <c r="W8996" s="11">
        <v>0.2429088645923645</v>
      </c>
      <c r="X8996" s="11">
        <v>0.2731090097324533</v>
      </c>
      <c r="Y8996" s="11">
        <v>0.17653495315581694</v>
      </c>
      <c r="Z8996" s="11">
        <v>0.14657932499445958</v>
      </c>
    </row>
    <row r="8997" ht="22.5" customHeight="1">
      <c r="Q8997" s="9" t="s">
        <v>9035</v>
      </c>
      <c r="R8997" s="10">
        <v>0.6515265224486473</v>
      </c>
      <c r="S8997" s="10">
        <v>0.03587672677229877</v>
      </c>
      <c r="T8997" s="10">
        <v>17.045215031177836</v>
      </c>
      <c r="U8997" s="11">
        <v>0.17264396044954794</v>
      </c>
      <c r="V8997" s="11">
        <v>0.34476425792806703</v>
      </c>
      <c r="W8997" s="11">
        <v>0.04223858638069477</v>
      </c>
      <c r="X8997" s="11">
        <v>0.1084974913499103</v>
      </c>
      <c r="Y8997" s="11">
        <v>0.015320632560943402</v>
      </c>
      <c r="Z8997" s="11">
        <v>0.31653507133083664</v>
      </c>
    </row>
    <row r="8998" ht="22.5" customHeight="1">
      <c r="Q8998" s="9" t="s">
        <v>9036</v>
      </c>
      <c r="R8998" s="10">
        <v>0.31684435352255935</v>
      </c>
      <c r="S8998" s="10">
        <v>0.01624477318251506</v>
      </c>
      <c r="T8998" s="10">
        <v>17.04205718430952</v>
      </c>
      <c r="U8998" s="11">
        <v>0.37838962326231296</v>
      </c>
      <c r="V8998" s="11">
        <v>0.014360572842050164</v>
      </c>
      <c r="W8998" s="11">
        <v>0.12647143971047747</v>
      </c>
      <c r="X8998" s="11">
        <v>0.09621730668766362</v>
      </c>
      <c r="Y8998" s="11">
        <v>0.10511201113862968</v>
      </c>
      <c r="Z8998" s="11">
        <v>0.27944904635886625</v>
      </c>
    </row>
    <row r="8999" ht="22.5" customHeight="1">
      <c r="Q8999" s="9" t="s">
        <v>9037</v>
      </c>
      <c r="R8999" s="10">
        <v>0.2009521427584946</v>
      </c>
      <c r="S8999" s="10">
        <v>0.009445020616424602</v>
      </c>
      <c r="T8999" s="10">
        <v>17.04095197829465</v>
      </c>
      <c r="U8999" s="11">
        <v>0.07622696317440965</v>
      </c>
      <c r="V8999" s="11">
        <v>0.009861582867449122</v>
      </c>
      <c r="W8999" s="11">
        <v>0.018522070792775184</v>
      </c>
      <c r="X8999" s="11">
        <v>0.32936587313147636</v>
      </c>
      <c r="Y8999" s="11">
        <v>0.2769355633493506</v>
      </c>
      <c r="Z8999" s="11">
        <v>0.2890879466845389</v>
      </c>
    </row>
    <row r="9000" ht="22.5" customHeight="1">
      <c r="Q9000" s="9" t="s">
        <v>9038</v>
      </c>
      <c r="R9000" s="10">
        <v>0.5822052483263236</v>
      </c>
      <c r="S9000" s="10">
        <v>0.031824576034906335</v>
      </c>
      <c r="T9000" s="10">
        <v>17.03731253895145</v>
      </c>
      <c r="U9000" s="11">
        <v>0.4223589526103073</v>
      </c>
      <c r="V9000" s="11">
        <v>0.29881763691991875</v>
      </c>
      <c r="W9000" s="11">
        <v>0.03485980513368331</v>
      </c>
      <c r="X9000" s="11">
        <v>0.02697169260359744</v>
      </c>
      <c r="Y9000" s="11">
        <v>0.041062897983884655</v>
      </c>
      <c r="Z9000" s="11">
        <v>0.17592901474860861</v>
      </c>
    </row>
    <row r="9001" ht="22.5" customHeight="1">
      <c r="Q9001" s="9" t="s">
        <v>9039</v>
      </c>
      <c r="R9001" s="10">
        <v>0.46524142296278936</v>
      </c>
      <c r="S9001" s="10">
        <v>0.02496056965717121</v>
      </c>
      <c r="T9001" s="10">
        <v>17.036527162777187</v>
      </c>
      <c r="U9001" s="11">
        <v>0.21535369483634698</v>
      </c>
      <c r="V9001" s="11">
        <v>0.042970725122748195</v>
      </c>
      <c r="W9001" s="11">
        <v>0.21516101452185685</v>
      </c>
      <c r="X9001" s="11">
        <v>0.04234170525334545</v>
      </c>
      <c r="Y9001" s="11">
        <v>0.1955981520045422</v>
      </c>
      <c r="Z9001" s="11">
        <v>0.2885747082611604</v>
      </c>
    </row>
    <row r="9002" ht="22.5" customHeight="1">
      <c r="Q9002" s="9" t="s">
        <v>9040</v>
      </c>
      <c r="R9002" s="10">
        <v>0.32691903869864675</v>
      </c>
      <c r="S9002" s="10">
        <v>0.016841699610421108</v>
      </c>
      <c r="T9002" s="10">
        <v>17.036228251043642</v>
      </c>
      <c r="U9002" s="11">
        <v>0.23793145509584612</v>
      </c>
      <c r="V9002" s="11">
        <v>0.003763756657698012</v>
      </c>
      <c r="W9002" s="11">
        <v>0.1336051887202548</v>
      </c>
      <c r="X9002" s="11">
        <v>0.17243421867431297</v>
      </c>
      <c r="Y9002" s="11">
        <v>0.22603226854468667</v>
      </c>
      <c r="Z9002" s="11">
        <v>0.22623311230720142</v>
      </c>
    </row>
    <row r="9003" ht="22.5" customHeight="1">
      <c r="Q9003" s="9" t="s">
        <v>9041</v>
      </c>
      <c r="R9003" s="10">
        <v>0.4240195113222828</v>
      </c>
      <c r="S9003" s="10">
        <v>0.022542106716780554</v>
      </c>
      <c r="T9003" s="10">
        <v>17.035653151105667</v>
      </c>
      <c r="U9003" s="11">
        <v>0.21264296542049876</v>
      </c>
      <c r="V9003" s="11">
        <v>0.023083935516506515</v>
      </c>
      <c r="W9003" s="11">
        <v>0.1943995017481093</v>
      </c>
      <c r="X9003" s="11">
        <v>0.14917047270653339</v>
      </c>
      <c r="Y9003" s="11">
        <v>0.1566104149661497</v>
      </c>
      <c r="Z9003" s="11">
        <v>0.2640927096422023</v>
      </c>
    </row>
    <row r="9004" ht="22.5" customHeight="1">
      <c r="Q9004" s="9" t="s">
        <v>9042</v>
      </c>
      <c r="R9004" s="10">
        <v>0.7039428236406645</v>
      </c>
      <c r="S9004" s="10">
        <v>0.038985020296513705</v>
      </c>
      <c r="T9004" s="10">
        <v>17.030716377491242</v>
      </c>
      <c r="U9004" s="11">
        <v>0.04455436609489132</v>
      </c>
      <c r="V9004" s="11">
        <v>0.06329152437152456</v>
      </c>
      <c r="W9004" s="11">
        <v>0.34652086733726345</v>
      </c>
      <c r="X9004" s="11">
        <v>0.2574222127317155</v>
      </c>
      <c r="Y9004" s="11">
        <v>0.24510644778667992</v>
      </c>
      <c r="Z9004" s="11">
        <v>0.043104581677925226</v>
      </c>
    </row>
    <row r="9005" ht="22.5" customHeight="1">
      <c r="Q9005" s="9" t="s">
        <v>9043</v>
      </c>
      <c r="R9005" s="10">
        <v>0.5141528032664108</v>
      </c>
      <c r="S9005" s="10">
        <v>0.02784621682498753</v>
      </c>
      <c r="T9005" s="10">
        <v>17.027548346924256</v>
      </c>
      <c r="U9005" s="11">
        <v>0.047193411087975395</v>
      </c>
      <c r="V9005" s="11">
        <v>0.0069160981198357905</v>
      </c>
      <c r="W9005" s="11">
        <v>0.23752081384413012</v>
      </c>
      <c r="X9005" s="11">
        <v>0.49363768923747126</v>
      </c>
      <c r="Y9005" s="11">
        <v>0.1998793395385801</v>
      </c>
      <c r="Z9005" s="11">
        <v>0.01485264817200712</v>
      </c>
    </row>
    <row r="9006" ht="22.5" customHeight="1">
      <c r="Q9006" s="9" t="s">
        <v>9044</v>
      </c>
      <c r="R9006" s="10">
        <v>0.46799110115623244</v>
      </c>
      <c r="S9006" s="10">
        <v>0.025137218297300985</v>
      </c>
      <c r="T9006" s="10">
        <v>17.026191844074745</v>
      </c>
      <c r="U9006" s="11">
        <v>0.11797237161454677</v>
      </c>
      <c r="V9006" s="11">
        <v>0.0050940067871042246</v>
      </c>
      <c r="W9006" s="11">
        <v>0.21502585893785933</v>
      </c>
      <c r="X9006" s="11">
        <v>0.46372615052716587</v>
      </c>
      <c r="Y9006" s="11">
        <v>0.07101597786079597</v>
      </c>
      <c r="Z9006" s="11">
        <v>0.12716563427252772</v>
      </c>
    </row>
    <row r="9007" ht="22.5" customHeight="1">
      <c r="Q9007" s="9" t="s">
        <v>9045</v>
      </c>
      <c r="R9007" s="10">
        <v>1.0650456910385322</v>
      </c>
      <c r="S9007" s="10">
        <v>0.060213318996862504</v>
      </c>
      <c r="T9007" s="10">
        <v>17.02357066701378</v>
      </c>
      <c r="U9007" s="11">
        <v>0.11987843853366878</v>
      </c>
      <c r="V9007" s="11">
        <v>0.1748919645889284</v>
      </c>
      <c r="W9007" s="11">
        <v>0.5331586621425237</v>
      </c>
      <c r="X9007" s="11">
        <v>0.07016267404452686</v>
      </c>
      <c r="Y9007" s="11">
        <v>0.014043547569538127</v>
      </c>
      <c r="Z9007" s="11">
        <v>0.0878647131208141</v>
      </c>
    </row>
    <row r="9008" ht="22.5" customHeight="1">
      <c r="Q9008" s="9" t="s">
        <v>9046</v>
      </c>
      <c r="R9008" s="10">
        <v>0.512444588683735</v>
      </c>
      <c r="S9008" s="10">
        <v>0.027752615657895094</v>
      </c>
      <c r="T9008" s="10">
        <v>17.023425629768827</v>
      </c>
      <c r="U9008" s="11">
        <v>0.10905534410693579</v>
      </c>
      <c r="V9008" s="11">
        <v>0.028421138181329953</v>
      </c>
      <c r="W9008" s="11">
        <v>0.2447622443684775</v>
      </c>
      <c r="X9008" s="11">
        <v>0.262534374633242</v>
      </c>
      <c r="Y9008" s="11">
        <v>0.1515303872105389</v>
      </c>
      <c r="Z9008" s="11">
        <v>0.20369651149947596</v>
      </c>
    </row>
    <row r="9009" ht="22.5" customHeight="1">
      <c r="Q9009" s="9" t="s">
        <v>9047</v>
      </c>
      <c r="R9009" s="10">
        <v>0.39209329155221656</v>
      </c>
      <c r="S9009" s="10">
        <v>0.020684489059143246</v>
      </c>
      <c r="T9009" s="10">
        <v>17.02209276455777</v>
      </c>
      <c r="U9009" s="11">
        <v>0.13195761578886583</v>
      </c>
      <c r="V9009" s="11">
        <v>0.001838708749871076</v>
      </c>
      <c r="W9009" s="11">
        <v>0.170365608186185</v>
      </c>
      <c r="X9009" s="11">
        <v>0.2823382906330563</v>
      </c>
      <c r="Y9009" s="11">
        <v>0.2850779090063587</v>
      </c>
      <c r="Z9009" s="11">
        <v>0.12842186763566318</v>
      </c>
    </row>
    <row r="9010" ht="22.5" customHeight="1">
      <c r="Q9010" s="9" t="s">
        <v>9048</v>
      </c>
      <c r="R9010" s="10">
        <v>0.44910743332034914</v>
      </c>
      <c r="S9010" s="10">
        <v>0.02403437261127898</v>
      </c>
      <c r="T9010" s="10">
        <v>17.021764617577784</v>
      </c>
      <c r="U9010" s="11">
        <v>0.09236029011996114</v>
      </c>
      <c r="V9010" s="11">
        <v>0.2259071389121225</v>
      </c>
      <c r="W9010" s="11">
        <v>0.011466794790887911</v>
      </c>
      <c r="X9010" s="11">
        <v>0.10085373030531047</v>
      </c>
      <c r="Y9010" s="11">
        <v>0.17719437529109608</v>
      </c>
      <c r="Z9010" s="11">
        <v>0.39221767058062196</v>
      </c>
    </row>
    <row r="9011" ht="22.5" customHeight="1">
      <c r="Q9011" s="9" t="s">
        <v>9049</v>
      </c>
      <c r="R9011" s="10">
        <v>0.6427163277616612</v>
      </c>
      <c r="S9011" s="10">
        <v>0.03540902392438999</v>
      </c>
      <c r="T9011" s="10">
        <v>17.021545949661316</v>
      </c>
      <c r="U9011" s="11">
        <v>0.308398261798676</v>
      </c>
      <c r="V9011" s="11">
        <v>0.06877146682563992</v>
      </c>
      <c r="W9011" s="11">
        <v>0.3125511139490439</v>
      </c>
      <c r="X9011" s="11">
        <v>0.06678400344078653</v>
      </c>
      <c r="Y9011" s="11">
        <v>0.166909977045113</v>
      </c>
      <c r="Z9011" s="11">
        <v>0.07658517694074077</v>
      </c>
    </row>
    <row r="9012" ht="22.5" customHeight="1">
      <c r="Q9012" s="9" t="s">
        <v>9050</v>
      </c>
      <c r="R9012" s="10">
        <v>0.3855219812689396</v>
      </c>
      <c r="S9012" s="10">
        <v>0.020299888835693114</v>
      </c>
      <c r="T9012" s="10">
        <v>17.020880462232455</v>
      </c>
      <c r="U9012" s="11">
        <v>0.2249761704835503</v>
      </c>
      <c r="V9012" s="11">
        <v>0.011558591603763983</v>
      </c>
      <c r="W9012" s="11">
        <v>0.17162245630383977</v>
      </c>
      <c r="X9012" s="11">
        <v>0.18504890128085302</v>
      </c>
      <c r="Y9012" s="11">
        <v>0.17105765311324544</v>
      </c>
      <c r="Z9012" s="11">
        <v>0.2357362272147474</v>
      </c>
    </row>
    <row r="9013" ht="22.5" customHeight="1">
      <c r="Q9013" s="9" t="s">
        <v>9051</v>
      </c>
      <c r="R9013" s="10">
        <v>0.682938934874744</v>
      </c>
      <c r="S9013" s="10">
        <v>0.037775176080325504</v>
      </c>
      <c r="T9013" s="10">
        <v>17.020143956644763</v>
      </c>
      <c r="U9013" s="11">
        <v>0.14077793808357622</v>
      </c>
      <c r="V9013" s="11">
        <v>0.3615897555041201</v>
      </c>
      <c r="W9013" s="11">
        <v>0.043029569457998164</v>
      </c>
      <c r="X9013" s="11">
        <v>0.061062930027734656</v>
      </c>
      <c r="Y9013" s="11">
        <v>0.18951080254421537</v>
      </c>
      <c r="Z9013" s="11">
        <v>0.20402900438235558</v>
      </c>
    </row>
    <row r="9014" ht="22.5" customHeight="1">
      <c r="Q9014" s="9" t="s">
        <v>9052</v>
      </c>
      <c r="R9014" s="10">
        <v>0.5021295185772028</v>
      </c>
      <c r="S9014" s="10">
        <v>0.027153754596635406</v>
      </c>
      <c r="T9014" s="10">
        <v>17.0189914964638</v>
      </c>
      <c r="U9014" s="11">
        <v>0.24006619718021452</v>
      </c>
      <c r="V9014" s="11">
        <v>0.025461382700603413</v>
      </c>
      <c r="W9014" s="11">
        <v>0.23918782274511127</v>
      </c>
      <c r="X9014" s="11">
        <v>0.25079573873673394</v>
      </c>
      <c r="Y9014" s="11">
        <v>0.09053227349312763</v>
      </c>
      <c r="Z9014" s="11">
        <v>0.15395658514420926</v>
      </c>
    </row>
    <row r="9015" ht="22.5" customHeight="1">
      <c r="Q9015" s="9" t="s">
        <v>9053</v>
      </c>
      <c r="R9015" s="10">
        <v>0.5454067075104492</v>
      </c>
      <c r="S9015" s="10">
        <v>0.029705319303886955</v>
      </c>
      <c r="T9015" s="10">
        <v>17.014013629684044</v>
      </c>
      <c r="U9015" s="11">
        <v>0.06966674594194668</v>
      </c>
      <c r="V9015" s="11">
        <v>0.28349722572936636</v>
      </c>
      <c r="W9015" s="11">
        <v>0.02635492153088232</v>
      </c>
      <c r="X9015" s="11">
        <v>0.07650625397688617</v>
      </c>
      <c r="Y9015" s="11">
        <v>0.1781012194793173</v>
      </c>
      <c r="Z9015" s="11">
        <v>0.3658736333416011</v>
      </c>
    </row>
    <row r="9016" ht="22.5" customHeight="1">
      <c r="Q9016" s="9" t="s">
        <v>9054</v>
      </c>
      <c r="R9016" s="10">
        <v>0.5227914023223642</v>
      </c>
      <c r="S9016" s="10">
        <v>0.028376673477079783</v>
      </c>
      <c r="T9016" s="10">
        <v>17.01367155358507</v>
      </c>
      <c r="U9016" s="11">
        <v>0.2275985359548796</v>
      </c>
      <c r="V9016" s="11">
        <v>0.26742256531580233</v>
      </c>
      <c r="W9016" s="11">
        <v>0.012672269835141513</v>
      </c>
      <c r="X9016" s="11">
        <v>0.11967624364694171</v>
      </c>
      <c r="Y9016" s="11">
        <v>0.17191098778643243</v>
      </c>
      <c r="Z9016" s="11">
        <v>0.20071939746080242</v>
      </c>
    </row>
    <row r="9017" ht="22.5" customHeight="1">
      <c r="Q9017" s="9" t="s">
        <v>9055</v>
      </c>
      <c r="R9017" s="10">
        <v>0.8606069413046242</v>
      </c>
      <c r="S9017" s="10">
        <v>0.04823343179150466</v>
      </c>
      <c r="T9017" s="10">
        <v>17.013239797072814</v>
      </c>
      <c r="U9017" s="11">
        <v>0.15087021069520076</v>
      </c>
      <c r="V9017" s="11">
        <v>0.12220109069879738</v>
      </c>
      <c r="W9017" s="11">
        <v>0.42969282751867804</v>
      </c>
      <c r="X9017" s="11">
        <v>0.10375826215652888</v>
      </c>
      <c r="Y9017" s="11">
        <v>0.041977186110028514</v>
      </c>
      <c r="Z9017" s="11">
        <v>0.15150042282076637</v>
      </c>
    </row>
    <row r="9018" ht="22.5" customHeight="1">
      <c r="Q9018" s="9" t="s">
        <v>9056</v>
      </c>
      <c r="R9018" s="10">
        <v>0.6530078071101578</v>
      </c>
      <c r="S9018" s="10">
        <v>0.036031518153082726</v>
      </c>
      <c r="T9018" s="10">
        <v>17.01309960090347</v>
      </c>
      <c r="U9018" s="11">
        <v>0.305274464445506</v>
      </c>
      <c r="V9018" s="11">
        <v>0.3436914240282827</v>
      </c>
      <c r="W9018" s="11">
        <v>0.043212917986694806</v>
      </c>
      <c r="X9018" s="11">
        <v>0.04705707191922072</v>
      </c>
      <c r="Y9018" s="11">
        <v>0.046022200709303865</v>
      </c>
      <c r="Z9018" s="11">
        <v>0.2147419209109919</v>
      </c>
    </row>
    <row r="9019" ht="22.5" customHeight="1">
      <c r="Q9019" s="9" t="s">
        <v>9057</v>
      </c>
      <c r="R9019" s="10">
        <v>0.2089041608397543</v>
      </c>
      <c r="S9019" s="10">
        <v>0.00992859661620475</v>
      </c>
      <c r="T9019" s="10">
        <v>17.011886711570185</v>
      </c>
      <c r="U9019" s="11">
        <v>0.05313533443910783</v>
      </c>
      <c r="V9019" s="11">
        <v>0.005604574565894352</v>
      </c>
      <c r="W9019" s="11">
        <v>0.030904360917078315</v>
      </c>
      <c r="X9019" s="11">
        <v>0.30301857778023267</v>
      </c>
      <c r="Y9019" s="11">
        <v>0.31407729672690365</v>
      </c>
      <c r="Z9019" s="11">
        <v>0.29325985557078316</v>
      </c>
    </row>
    <row r="9020" ht="22.5" customHeight="1">
      <c r="Q9020" s="9" t="s">
        <v>9058</v>
      </c>
      <c r="R9020" s="10">
        <v>0.5797875546429574</v>
      </c>
      <c r="S9020" s="10">
        <v>0.03173104657192743</v>
      </c>
      <c r="T9020" s="10">
        <v>17.011337883841165</v>
      </c>
      <c r="U9020" s="11">
        <v>0.15776512129184117</v>
      </c>
      <c r="V9020" s="11">
        <v>0.030919784083830924</v>
      </c>
      <c r="W9020" s="11">
        <v>0.2814150205224023</v>
      </c>
      <c r="X9020" s="11">
        <v>0.390572443643283</v>
      </c>
      <c r="Y9020" s="11">
        <v>0.02250766996528067</v>
      </c>
      <c r="Z9020" s="11">
        <v>0.11681996049336187</v>
      </c>
    </row>
    <row r="9021" ht="22.5" customHeight="1">
      <c r="Q9021" s="9" t="s">
        <v>9059</v>
      </c>
      <c r="R9021" s="10">
        <v>0.533118222013478</v>
      </c>
      <c r="S9021" s="10">
        <v>0.028990661354761544</v>
      </c>
      <c r="T9021" s="10">
        <v>17.009554076022702</v>
      </c>
      <c r="U9021" s="11">
        <v>0.21007812039316398</v>
      </c>
      <c r="V9021" s="11">
        <v>0.2697262917502667</v>
      </c>
      <c r="W9021" s="11">
        <v>0.0023442383462487742</v>
      </c>
      <c r="X9021" s="11">
        <v>0.20117205152455844</v>
      </c>
      <c r="Y9021" s="11">
        <v>0.24801792998547137</v>
      </c>
      <c r="Z9021" s="11">
        <v>0.06866136800029059</v>
      </c>
    </row>
    <row r="9022" ht="22.5" customHeight="1">
      <c r="Q9022" s="9" t="s">
        <v>9060</v>
      </c>
      <c r="R9022" s="10">
        <v>0.7297404428633275</v>
      </c>
      <c r="S9022" s="10">
        <v>0.04055565704899797</v>
      </c>
      <c r="T9022" s="10">
        <v>17.007256029165216</v>
      </c>
      <c r="U9022" s="11">
        <v>0.034756678960017835</v>
      </c>
      <c r="V9022" s="11">
        <v>0.0818672077432256</v>
      </c>
      <c r="W9022" s="11">
        <v>0.36309658234668274</v>
      </c>
      <c r="X9022" s="11">
        <v>0.22779169834167473</v>
      </c>
      <c r="Y9022" s="11">
        <v>0.07325428892394338</v>
      </c>
      <c r="Z9022" s="11">
        <v>0.2192335436844556</v>
      </c>
    </row>
    <row r="9023" ht="22.5" customHeight="1">
      <c r="Q9023" s="9" t="s">
        <v>9061</v>
      </c>
      <c r="R9023" s="10">
        <v>0.6711451627104779</v>
      </c>
      <c r="S9023" s="10">
        <v>0.03711493970671607</v>
      </c>
      <c r="T9023" s="10">
        <v>17.005151232840884</v>
      </c>
      <c r="U9023" s="11">
        <v>0.16160693525890113</v>
      </c>
      <c r="V9023" s="11">
        <v>0.05457872246015806</v>
      </c>
      <c r="W9023" s="11">
        <v>0.331582113404898</v>
      </c>
      <c r="X9023" s="11">
        <v>0.2697777181772706</v>
      </c>
      <c r="Y9023" s="11">
        <v>0.13472224331785887</v>
      </c>
      <c r="Z9023" s="11">
        <v>0.047732267380913275</v>
      </c>
    </row>
    <row r="9024" ht="22.5" customHeight="1">
      <c r="Q9024" s="9" t="s">
        <v>9062</v>
      </c>
      <c r="R9024" s="10">
        <v>0.4604402125062749</v>
      </c>
      <c r="S9024" s="10">
        <v>0.024729958301675042</v>
      </c>
      <c r="T9024" s="10">
        <v>17.001250361097338</v>
      </c>
      <c r="U9024" s="11">
        <v>0.14735422436541123</v>
      </c>
      <c r="V9024" s="11">
        <v>0.023111963271055143</v>
      </c>
      <c r="W9024" s="11">
        <v>0.2168703484662471</v>
      </c>
      <c r="X9024" s="11">
        <v>0.242836941291293</v>
      </c>
      <c r="Y9024" s="11">
        <v>0.09306533815278854</v>
      </c>
      <c r="Z9024" s="11">
        <v>0.276761184453205</v>
      </c>
    </row>
    <row r="9025" ht="22.5" customHeight="1">
      <c r="Q9025" s="9" t="s">
        <v>9063</v>
      </c>
      <c r="R9025" s="10">
        <v>0.3361071951328326</v>
      </c>
      <c r="S9025" s="10">
        <v>0.017416980274717192</v>
      </c>
      <c r="T9025" s="10">
        <v>17.0010639308507</v>
      </c>
      <c r="U9025" s="11">
        <v>0.4022856839440654</v>
      </c>
      <c r="V9025" s="11">
        <v>0.1469941421737117</v>
      </c>
      <c r="W9025" s="11">
        <v>5.481134313507684E-4</v>
      </c>
      <c r="X9025" s="11">
        <v>0.07747280251382176</v>
      </c>
      <c r="Y9025" s="11">
        <v>0.13372018461598256</v>
      </c>
      <c r="Z9025" s="11">
        <v>0.2389790733210677</v>
      </c>
    </row>
    <row r="9026" ht="22.5" customHeight="1">
      <c r="Q9026" s="9" t="s">
        <v>9064</v>
      </c>
      <c r="R9026" s="10">
        <v>0.582143553724796</v>
      </c>
      <c r="S9026" s="10">
        <v>0.0318921352460972</v>
      </c>
      <c r="T9026" s="10">
        <v>16.9992868003763</v>
      </c>
      <c r="U9026" s="11">
        <v>0.11120055479937109</v>
      </c>
      <c r="V9026" s="11">
        <v>0.3036827408903953</v>
      </c>
      <c r="W9026" s="11">
        <v>0.01785056318012336</v>
      </c>
      <c r="X9026" s="11">
        <v>0.1548279939781498</v>
      </c>
      <c r="Y9026" s="11">
        <v>0.2005328067766946</v>
      </c>
      <c r="Z9026" s="11">
        <v>0.21190534037526587</v>
      </c>
    </row>
    <row r="9027" ht="22.5" customHeight="1">
      <c r="Q9027" s="9" t="s">
        <v>9065</v>
      </c>
      <c r="R9027" s="10">
        <v>0.5623475262781342</v>
      </c>
      <c r="S9027" s="10">
        <v>0.030730054862107545</v>
      </c>
      <c r="T9027" s="10">
        <v>16.997936665652613</v>
      </c>
      <c r="U9027" s="11">
        <v>0.2657392949794948</v>
      </c>
      <c r="V9027" s="11">
        <v>0.05957233239495031</v>
      </c>
      <c r="W9027" s="11">
        <v>0.27082709592422777</v>
      </c>
      <c r="X9027" s="11">
        <v>0.06053427582557355</v>
      </c>
      <c r="Y9027" s="11">
        <v>0.10338284698524534</v>
      </c>
      <c r="Z9027" s="11">
        <v>0.2399441538905083</v>
      </c>
    </row>
    <row r="9028" ht="22.5" customHeight="1">
      <c r="Q9028" s="9" t="s">
        <v>9066</v>
      </c>
      <c r="R9028" s="10">
        <v>0.5104867150369756</v>
      </c>
      <c r="S9028" s="10">
        <v>0.027684017274625012</v>
      </c>
      <c r="T9028" s="10">
        <v>16.994885907263924</v>
      </c>
      <c r="U9028" s="11">
        <v>0.14238074063411857</v>
      </c>
      <c r="V9028" s="11">
        <v>0.2595299174236137</v>
      </c>
      <c r="W9028" s="11">
        <v>0.00718724437854896</v>
      </c>
      <c r="X9028" s="11">
        <v>0.14853063427244464</v>
      </c>
      <c r="Y9028" s="11">
        <v>0.24678979476116247</v>
      </c>
      <c r="Z9028" s="11">
        <v>0.19558166853011175</v>
      </c>
    </row>
    <row r="9029" ht="22.5" customHeight="1">
      <c r="Q9029" s="9" t="s">
        <v>9067</v>
      </c>
      <c r="R9029" s="10">
        <v>0.522331348251574</v>
      </c>
      <c r="S9029" s="10">
        <v>0.023052664232938676</v>
      </c>
      <c r="T9029" s="10">
        <v>16.993834822780915</v>
      </c>
      <c r="U9029" s="11">
        <v>0.24839378637231985</v>
      </c>
      <c r="V9029" s="11">
        <v>0.03093604165305544</v>
      </c>
      <c r="W9029" s="11">
        <v>0.19582725499068693</v>
      </c>
      <c r="X9029" s="11">
        <v>0.0622090427269067</v>
      </c>
      <c r="Y9029" s="11">
        <v>0.23456578579646462</v>
      </c>
      <c r="Z9029" s="11">
        <v>0.22806808846056648</v>
      </c>
    </row>
    <row r="9030" ht="22.5" customHeight="1">
      <c r="Q9030" s="9" t="s">
        <v>9068</v>
      </c>
      <c r="R9030" s="10">
        <v>0.5960886423908898</v>
      </c>
      <c r="S9030" s="10">
        <v>0.032723869054614864</v>
      </c>
      <c r="T9030" s="10">
        <v>16.99336473516623</v>
      </c>
      <c r="U9030" s="11">
        <v>0.10427620999463723</v>
      </c>
      <c r="V9030" s="11">
        <v>0.0697965778044096</v>
      </c>
      <c r="W9030" s="11">
        <v>0.2846995136405881</v>
      </c>
      <c r="X9030" s="11">
        <v>0.013995438824218972</v>
      </c>
      <c r="Y9030" s="11">
        <v>0.31153147460054087</v>
      </c>
      <c r="Z9030" s="11">
        <v>0.21570078513560512</v>
      </c>
    </row>
    <row r="9031" ht="22.5" customHeight="1">
      <c r="Q9031" s="9" t="s">
        <v>9069</v>
      </c>
      <c r="R9031" s="10">
        <v>0.8917143590933297</v>
      </c>
      <c r="S9031" s="10">
        <v>0.05012574910197428</v>
      </c>
      <c r="T9031" s="10">
        <v>16.991553729414164</v>
      </c>
      <c r="U9031" s="11">
        <v>0.023581553887606663</v>
      </c>
      <c r="V9031" s="11">
        <v>0.11579686509956802</v>
      </c>
      <c r="W9031" s="11">
        <v>0.4460964361831947</v>
      </c>
      <c r="X9031" s="11">
        <v>0.1563705793886462</v>
      </c>
      <c r="Y9031" s="11">
        <v>0.2210540773092074</v>
      </c>
      <c r="Z9031" s="11">
        <v>0.037100488131776896</v>
      </c>
    </row>
    <row r="9032" ht="22.5" customHeight="1">
      <c r="Q9032" s="9" t="s">
        <v>9070</v>
      </c>
      <c r="R9032" s="10">
        <v>0.36119234290557783</v>
      </c>
      <c r="S9032" s="10">
        <v>0.01890320791714794</v>
      </c>
      <c r="T9032" s="10">
        <v>16.991419885627455</v>
      </c>
      <c r="U9032" s="11">
        <v>0.1768078947282807</v>
      </c>
      <c r="V9032" s="11">
        <v>0.024071096855830174</v>
      </c>
      <c r="W9032" s="11">
        <v>0.15334360836660077</v>
      </c>
      <c r="X9032" s="11">
        <v>0.05132219866748018</v>
      </c>
      <c r="Y9032" s="11">
        <v>0.27653812331931904</v>
      </c>
      <c r="Z9032" s="11">
        <v>0.31791707806248914</v>
      </c>
    </row>
    <row r="9033" ht="22.5" customHeight="1">
      <c r="Q9033" s="9" t="s">
        <v>9071</v>
      </c>
      <c r="R9033" s="10">
        <v>0.29647958867191965</v>
      </c>
      <c r="S9033" s="10">
        <v>0.015100240346230606</v>
      </c>
      <c r="T9033" s="10">
        <v>16.98513287147402</v>
      </c>
      <c r="U9033" s="11">
        <v>0.25591792742799047</v>
      </c>
      <c r="V9033" s="11">
        <v>0.12012930868072406</v>
      </c>
      <c r="W9033" s="11">
        <v>1.105732317076549E-4</v>
      </c>
      <c r="X9033" s="11">
        <v>0.05664822074414168</v>
      </c>
      <c r="Y9033" s="11">
        <v>0.27293600741819474</v>
      </c>
      <c r="Z9033" s="11">
        <v>0.2942579624972413</v>
      </c>
    </row>
    <row r="9034" ht="22.5" customHeight="1">
      <c r="Q9034" s="9" t="s">
        <v>9072</v>
      </c>
      <c r="R9034" s="10">
        <v>0.6991639747080718</v>
      </c>
      <c r="S9034" s="10">
        <v>0.03880919577522358</v>
      </c>
      <c r="T9034" s="10">
        <v>16.984736775424054</v>
      </c>
      <c r="U9034" s="11">
        <v>0.14176941376568997</v>
      </c>
      <c r="V9034" s="11">
        <v>0.3728010522927387</v>
      </c>
      <c r="W9034" s="11">
        <v>0.04085359063482508</v>
      </c>
      <c r="X9034" s="11">
        <v>0.10590423262508497</v>
      </c>
      <c r="Y9034" s="11">
        <v>0.13908338754503186</v>
      </c>
      <c r="Z9034" s="11">
        <v>0.19958832313662941</v>
      </c>
    </row>
    <row r="9035" ht="22.5" customHeight="1">
      <c r="Q9035" s="9" t="s">
        <v>9073</v>
      </c>
      <c r="R9035" s="10">
        <v>0.5123898935637963</v>
      </c>
      <c r="S9035" s="10">
        <v>0.027815355835497695</v>
      </c>
      <c r="T9035" s="10">
        <v>16.98306131180018</v>
      </c>
      <c r="U9035" s="11">
        <v>0.24816818436636992</v>
      </c>
      <c r="V9035" s="11">
        <v>0.05189287238014077</v>
      </c>
      <c r="W9035" s="11">
        <v>0.24100932832940283</v>
      </c>
      <c r="X9035" s="11">
        <v>0.016508152827007724</v>
      </c>
      <c r="Y9035" s="11">
        <v>0.21168195847440882</v>
      </c>
      <c r="Z9035" s="11">
        <v>0.23073950362266987</v>
      </c>
    </row>
    <row r="9036" ht="22.5" customHeight="1">
      <c r="Q9036" s="9" t="s">
        <v>9074</v>
      </c>
      <c r="R9036" s="10">
        <v>0.4833938784386832</v>
      </c>
      <c r="S9036" s="10">
        <v>0.026109214308577215</v>
      </c>
      <c r="T9036" s="10">
        <v>16.982275804945328</v>
      </c>
      <c r="U9036" s="11">
        <v>0.21910700523078055</v>
      </c>
      <c r="V9036" s="11">
        <v>0.03628624562558259</v>
      </c>
      <c r="W9036" s="11">
        <v>0.22596158037325326</v>
      </c>
      <c r="X9036" s="11">
        <v>0.08690280324573194</v>
      </c>
      <c r="Y9036" s="11">
        <v>0.2423454644964394</v>
      </c>
      <c r="Z9036" s="11">
        <v>0.18939690102821227</v>
      </c>
    </row>
    <row r="9037" ht="22.5" customHeight="1">
      <c r="Q9037" s="9" t="s">
        <v>9075</v>
      </c>
      <c r="R9037" s="10">
        <v>0.4775974135908215</v>
      </c>
      <c r="S9037" s="10">
        <v>0.025770846896161947</v>
      </c>
      <c r="T9037" s="10">
        <v>16.98032724163182</v>
      </c>
      <c r="U9037" s="11">
        <v>0.17290202697289403</v>
      </c>
      <c r="V9037" s="11">
        <v>0.033032245628564015</v>
      </c>
      <c r="W9037" s="11">
        <v>0.22447770682916232</v>
      </c>
      <c r="X9037" s="11">
        <v>0.12514200783400758</v>
      </c>
      <c r="Y9037" s="11">
        <v>0.21544047984869577</v>
      </c>
      <c r="Z9037" s="11">
        <v>0.2290055328866763</v>
      </c>
    </row>
    <row r="9038" ht="22.5" customHeight="1">
      <c r="Q9038" s="9" t="s">
        <v>9076</v>
      </c>
      <c r="R9038" s="10">
        <v>0.6803797114107561</v>
      </c>
      <c r="S9038" s="10">
        <v>0.037713513671707166</v>
      </c>
      <c r="T9038" s="10">
        <v>16.98011267221626</v>
      </c>
      <c r="U9038" s="11">
        <v>0.015279913717350142</v>
      </c>
      <c r="V9038" s="11">
        <v>0.36417688872392734</v>
      </c>
      <c r="W9038" s="11">
        <v>0.0432045618684619</v>
      </c>
      <c r="X9038" s="11">
        <v>0.16921099295641162</v>
      </c>
      <c r="Y9038" s="11">
        <v>0.019984384041184904</v>
      </c>
      <c r="Z9038" s="11">
        <v>0.3881432586926641</v>
      </c>
    </row>
    <row r="9039" ht="22.5" customHeight="1">
      <c r="Q9039" s="9" t="s">
        <v>9077</v>
      </c>
      <c r="R9039" s="10">
        <v>0.6070360921920391</v>
      </c>
      <c r="S9039" s="10">
        <v>0.033394339063121954</v>
      </c>
      <c r="T9039" s="10">
        <v>16.980006435229274</v>
      </c>
      <c r="U9039" s="11">
        <v>0.026294094765303998</v>
      </c>
      <c r="V9039" s="11">
        <v>0.04158151077893561</v>
      </c>
      <c r="W9039" s="11">
        <v>0.2964658076441479</v>
      </c>
      <c r="X9039" s="11">
        <v>0.30647249934334225</v>
      </c>
      <c r="Y9039" s="11">
        <v>0.18930548224866245</v>
      </c>
      <c r="Z9039" s="11">
        <v>0.13988060521960774</v>
      </c>
    </row>
    <row r="9040" ht="22.5" customHeight="1">
      <c r="Q9040" s="9" t="s">
        <v>9078</v>
      </c>
      <c r="R9040" s="10">
        <v>0.5974438239414621</v>
      </c>
      <c r="S9040" s="10">
        <v>0.032829683175916065</v>
      </c>
      <c r="T9040" s="10">
        <v>16.979872177091377</v>
      </c>
      <c r="U9040" s="11">
        <v>0.311325929157525</v>
      </c>
      <c r="V9040" s="11">
        <v>0.05518187314532355</v>
      </c>
      <c r="W9040" s="11">
        <v>0.29186188467141017</v>
      </c>
      <c r="X9040" s="11">
        <v>0.14843975177099722</v>
      </c>
      <c r="Y9040" s="11">
        <v>0.037691661591178885</v>
      </c>
      <c r="Z9040" s="11">
        <v>0.1554988996635653</v>
      </c>
    </row>
    <row r="9041" ht="22.5" customHeight="1">
      <c r="Q9041" s="9" t="s">
        <v>9079</v>
      </c>
      <c r="R9041" s="10">
        <v>0.522331348251574</v>
      </c>
      <c r="S9041" s="10">
        <v>0.028821375398491653</v>
      </c>
      <c r="T9041" s="10">
        <v>16.979480827580232</v>
      </c>
      <c r="U9041" s="11">
        <v>0.0017171576341493656</v>
      </c>
      <c r="V9041" s="11">
        <v>0.27046894448749714</v>
      </c>
      <c r="W9041" s="11">
        <v>0.008941875497803734</v>
      </c>
      <c r="X9041" s="11">
        <v>0.17796263316388689</v>
      </c>
      <c r="Y9041" s="11">
        <v>0.306623951553149</v>
      </c>
      <c r="Z9041" s="11">
        <v>0.2342854376635138</v>
      </c>
    </row>
    <row r="9042" ht="22.5" customHeight="1">
      <c r="Q9042" s="9" t="s">
        <v>9080</v>
      </c>
      <c r="R9042" s="10">
        <v>0.2777851891318234</v>
      </c>
      <c r="S9042" s="10">
        <v>0.014007142468595931</v>
      </c>
      <c r="T9042" s="10">
        <v>16.975995615446813</v>
      </c>
      <c r="U9042" s="11">
        <v>0.1150459761138918</v>
      </c>
      <c r="V9042" s="11">
        <v>0.07969593766529631</v>
      </c>
      <c r="W9042" s="11">
        <v>0.01775352814637088</v>
      </c>
      <c r="X9042" s="11">
        <v>0.06296161876439944</v>
      </c>
      <c r="Y9042" s="11">
        <v>0.5166499387383889</v>
      </c>
      <c r="Z9042" s="11">
        <v>0.20789300057165264</v>
      </c>
    </row>
    <row r="9043" ht="22.5" customHeight="1">
      <c r="Q9043" s="9" t="s">
        <v>9081</v>
      </c>
      <c r="R9043" s="10">
        <v>0.25367787370229855</v>
      </c>
      <c r="S9043" s="10">
        <v>0.01258731873560662</v>
      </c>
      <c r="T9043" s="10">
        <v>16.97564653684769</v>
      </c>
      <c r="U9043" s="11">
        <v>0.28895327682617516</v>
      </c>
      <c r="V9043" s="11">
        <v>0.09425112911903737</v>
      </c>
      <c r="W9043" s="11">
        <v>0.003314177529620602</v>
      </c>
      <c r="X9043" s="11">
        <v>0.08504544955495694</v>
      </c>
      <c r="Y9043" s="11">
        <v>0.0933077545621015</v>
      </c>
      <c r="Z9043" s="11">
        <v>0.43512821240810856</v>
      </c>
    </row>
    <row r="9044" ht="22.5" customHeight="1">
      <c r="Q9044" s="9" t="s">
        <v>9082</v>
      </c>
      <c r="R9044" s="10">
        <v>0.9666799612005356</v>
      </c>
      <c r="S9044" s="10">
        <v>0.05459141551022786</v>
      </c>
      <c r="T9044" s="10">
        <v>16.9748293305734</v>
      </c>
      <c r="U9044" s="11">
        <v>0.1079768528129639</v>
      </c>
      <c r="V9044" s="11">
        <v>0.14105375984823915</v>
      </c>
      <c r="W9044" s="11">
        <v>0.4856437444618835</v>
      </c>
      <c r="X9044" s="11">
        <v>0.09604181117144474</v>
      </c>
      <c r="Y9044" s="11">
        <v>0.1203363031188476</v>
      </c>
      <c r="Z9044" s="11">
        <v>0.04894752858662108</v>
      </c>
    </row>
    <row r="9045" ht="22.5" customHeight="1">
      <c r="Q9045" s="9" t="s">
        <v>9083</v>
      </c>
      <c r="R9045" s="10">
        <v>0.5090220033041081</v>
      </c>
      <c r="S9045" s="10">
        <v>0.02763249791315239</v>
      </c>
      <c r="T9045" s="10">
        <v>16.97356513979379</v>
      </c>
      <c r="U9045" s="11">
        <v>0.28297323306205024</v>
      </c>
      <c r="V9045" s="11">
        <v>0.04681053082668571</v>
      </c>
      <c r="W9045" s="11">
        <v>0.23504443578619305</v>
      </c>
      <c r="X9045" s="11">
        <v>0.010494024303437889</v>
      </c>
      <c r="Y9045" s="11">
        <v>0.31728375053602426</v>
      </c>
      <c r="Z9045" s="11">
        <v>0.10739402548560892</v>
      </c>
    </row>
    <row r="9046" ht="22.5" customHeight="1">
      <c r="Q9046" s="9" t="s">
        <v>9084</v>
      </c>
      <c r="R9046" s="10">
        <v>0.522331348251574</v>
      </c>
      <c r="S9046" s="10">
        <v>0.027946821684504304</v>
      </c>
      <c r="T9046" s="10">
        <v>16.97133972915064</v>
      </c>
      <c r="U9046" s="11">
        <v>0.06824703013660567</v>
      </c>
      <c r="V9046" s="11">
        <v>0.026220254935724375</v>
      </c>
      <c r="W9046" s="11">
        <v>0.24384486764485494</v>
      </c>
      <c r="X9046" s="11">
        <v>0.24982904478395357</v>
      </c>
      <c r="Y9046" s="11">
        <v>0.26771437679277826</v>
      </c>
      <c r="Z9046" s="11">
        <v>0.1441444257060833</v>
      </c>
    </row>
    <row r="9047" ht="22.5" customHeight="1">
      <c r="Q9047" s="9" t="s">
        <v>9085</v>
      </c>
      <c r="R9047" s="10">
        <v>0.4903450502175791</v>
      </c>
      <c r="S9047" s="10">
        <v>0.026538477856534345</v>
      </c>
      <c r="T9047" s="10">
        <v>16.969513197106536</v>
      </c>
      <c r="U9047" s="11">
        <v>0.18984264839722578</v>
      </c>
      <c r="V9047" s="11">
        <v>0.030978556687491166</v>
      </c>
      <c r="W9047" s="11">
        <v>0.23420379248518838</v>
      </c>
      <c r="X9047" s="11">
        <v>0.19976650398160256</v>
      </c>
      <c r="Y9047" s="11">
        <v>0.09143189280181525</v>
      </c>
      <c r="Z9047" s="11">
        <v>0.2537766056466768</v>
      </c>
    </row>
    <row r="9048" ht="22.5" customHeight="1">
      <c r="Q9048" s="9" t="s">
        <v>9086</v>
      </c>
      <c r="R9048" s="10">
        <v>0.522331348251574</v>
      </c>
      <c r="S9048" s="10">
        <v>0.027823350954811827</v>
      </c>
      <c r="T9048" s="10">
        <v>16.969276235308474</v>
      </c>
      <c r="U9048" s="11">
        <v>0.17413813433173242</v>
      </c>
      <c r="V9048" s="11">
        <v>0.03331611581832497</v>
      </c>
      <c r="W9048" s="11">
        <v>0.2450506334100289</v>
      </c>
      <c r="X9048" s="11">
        <v>0.1781795881773675</v>
      </c>
      <c r="Y9048" s="11">
        <v>0.1800816040517539</v>
      </c>
      <c r="Z9048" s="11">
        <v>0.18923392421079227</v>
      </c>
    </row>
    <row r="9049" ht="22.5" customHeight="1">
      <c r="Q9049" s="9" t="s">
        <v>9087</v>
      </c>
      <c r="R9049" s="10">
        <v>0.4041903170588197</v>
      </c>
      <c r="S9049" s="10">
        <v>0.021465558186279144</v>
      </c>
      <c r="T9049" s="10">
        <v>16.966263532415912</v>
      </c>
      <c r="U9049" s="11">
        <v>0.274074499202031</v>
      </c>
      <c r="V9049" s="11">
        <v>0.02825879546152723</v>
      </c>
      <c r="W9049" s="11">
        <v>0.1837946370249371</v>
      </c>
      <c r="X9049" s="11">
        <v>0.11123441439743587</v>
      </c>
      <c r="Y9049" s="11">
        <v>0.05148490658888461</v>
      </c>
      <c r="Z9049" s="11">
        <v>0.35115274732518426</v>
      </c>
    </row>
    <row r="9050" ht="22.5" customHeight="1">
      <c r="Q9050" s="9" t="s">
        <v>9088</v>
      </c>
      <c r="R9050" s="10">
        <v>0.6024341954837248</v>
      </c>
      <c r="S9050" s="10">
        <v>0.03315446602509741</v>
      </c>
      <c r="T9050" s="10">
        <v>16.96405531182348</v>
      </c>
      <c r="U9050" s="11">
        <v>0.3234558665841279</v>
      </c>
      <c r="V9050" s="11">
        <v>0.06595320321968201</v>
      </c>
      <c r="W9050" s="11">
        <v>0.29239732990692185</v>
      </c>
      <c r="X9050" s="11">
        <v>0.04611337154407489</v>
      </c>
      <c r="Y9050" s="11">
        <v>0.1039788579124594</v>
      </c>
      <c r="Z9050" s="11">
        <v>0.16810137083273394</v>
      </c>
    </row>
    <row r="9051" ht="22.5" customHeight="1">
      <c r="Q9051" s="9" t="s">
        <v>9089</v>
      </c>
      <c r="R9051" s="10">
        <v>0.6129370516536784</v>
      </c>
      <c r="S9051" s="10">
        <v>0.03377385038746523</v>
      </c>
      <c r="T9051" s="10">
        <v>16.963924606781504</v>
      </c>
      <c r="U9051" s="11">
        <v>0.17224674581835708</v>
      </c>
      <c r="V9051" s="11">
        <v>0.04818225179138983</v>
      </c>
      <c r="W9051" s="11">
        <v>0.2965686583080107</v>
      </c>
      <c r="X9051" s="11">
        <v>0.16175846132428337</v>
      </c>
      <c r="Y9051" s="11">
        <v>0.30850808811819114</v>
      </c>
      <c r="Z9051" s="11">
        <v>0.012735794639767777</v>
      </c>
    </row>
    <row r="9052" ht="22.5" customHeight="1">
      <c r="Q9052" s="9" t="s">
        <v>9090</v>
      </c>
      <c r="R9052" s="10">
        <v>0.6586384673227463</v>
      </c>
      <c r="S9052" s="10">
        <v>0.03646903502191463</v>
      </c>
      <c r="T9052" s="10">
        <v>16.96339009110057</v>
      </c>
      <c r="U9052" s="11">
        <v>0.08721204579316502</v>
      </c>
      <c r="V9052" s="11">
        <v>0.3469127714355242</v>
      </c>
      <c r="W9052" s="11">
        <v>0.035517944946016795</v>
      </c>
      <c r="X9052" s="11">
        <v>0.06313136954226604</v>
      </c>
      <c r="Y9052" s="11">
        <v>0.29408971174057646</v>
      </c>
      <c r="Z9052" s="11">
        <v>0.17313615654245154</v>
      </c>
    </row>
    <row r="9053" ht="22.5" customHeight="1">
      <c r="Q9053" s="9" t="s">
        <v>9091</v>
      </c>
      <c r="R9053" s="10">
        <v>0.5392660328776966</v>
      </c>
      <c r="S9053" s="10">
        <v>0.029434677657300973</v>
      </c>
      <c r="T9053" s="10">
        <v>16.961831166982687</v>
      </c>
      <c r="U9053" s="11">
        <v>0.22655953829828046</v>
      </c>
      <c r="V9053" s="11">
        <v>0.016165614016738435</v>
      </c>
      <c r="W9053" s="11">
        <v>0.25809420010482576</v>
      </c>
      <c r="X9053" s="11">
        <v>0.3820112780398953</v>
      </c>
      <c r="Y9053" s="11">
        <v>0.109543171848529</v>
      </c>
      <c r="Z9053" s="11">
        <v>0.007626197691731239</v>
      </c>
    </row>
    <row r="9054" ht="22.5" customHeight="1">
      <c r="Q9054" s="9" t="s">
        <v>9092</v>
      </c>
      <c r="R9054" s="10">
        <v>0.43871431792567245</v>
      </c>
      <c r="S9054" s="10">
        <v>0.023508449895249587</v>
      </c>
      <c r="T9054" s="10">
        <v>16.960468244494578</v>
      </c>
      <c r="U9054" s="11">
        <v>0.23380729921907545</v>
      </c>
      <c r="V9054" s="11">
        <v>0.02523297099237358</v>
      </c>
      <c r="W9054" s="11">
        <v>0.20502715719167028</v>
      </c>
      <c r="X9054" s="11">
        <v>0.19375946488518853</v>
      </c>
      <c r="Y9054" s="11">
        <v>0.03132615907149505</v>
      </c>
      <c r="Z9054" s="11">
        <v>0.3108469486401972</v>
      </c>
    </row>
    <row r="9055" ht="22.5" customHeight="1">
      <c r="Q9055" s="9" t="s">
        <v>9093</v>
      </c>
      <c r="R9055" s="10">
        <v>0.5232493124459595</v>
      </c>
      <c r="S9055" s="10">
        <v>0.028492947506268254</v>
      </c>
      <c r="T9055" s="10">
        <v>16.960313156076534</v>
      </c>
      <c r="U9055" s="11">
        <v>0.2450754292871852</v>
      </c>
      <c r="V9055" s="11">
        <v>0.04540704879641786</v>
      </c>
      <c r="W9055" s="11">
        <v>0.24695120246812885</v>
      </c>
      <c r="X9055" s="11">
        <v>0.0545493127212715</v>
      </c>
      <c r="Y9055" s="11">
        <v>0.26557388449010116</v>
      </c>
      <c r="Z9055" s="11">
        <v>0.1424431222368954</v>
      </c>
    </row>
    <row r="9056" ht="22.5" customHeight="1">
      <c r="Q9056" s="9" t="s">
        <v>9094</v>
      </c>
      <c r="R9056" s="10">
        <v>0.6645161102192656</v>
      </c>
      <c r="S9056" s="10">
        <v>0.036828677369950345</v>
      </c>
      <c r="T9056" s="10">
        <v>16.957332025418527</v>
      </c>
      <c r="U9056" s="11">
        <v>0.09012287932005855</v>
      </c>
      <c r="V9056" s="11">
        <v>0.089082751540589</v>
      </c>
      <c r="W9056" s="11">
        <v>0.3254677528665399</v>
      </c>
      <c r="X9056" s="11">
        <v>0.024471559004266407</v>
      </c>
      <c r="Y9056" s="11">
        <v>0.15784921932038193</v>
      </c>
      <c r="Z9056" s="11">
        <v>0.31300583794816417</v>
      </c>
    </row>
    <row r="9057" ht="22.5" customHeight="1">
      <c r="Q9057" s="9" t="s">
        <v>9095</v>
      </c>
      <c r="R9057" s="10">
        <v>0.510157230334273</v>
      </c>
      <c r="S9057" s="10">
        <v>0.027725949421575333</v>
      </c>
      <c r="T9057" s="10">
        <v>16.95729957468701</v>
      </c>
      <c r="U9057" s="11">
        <v>0.11395677653720848</v>
      </c>
      <c r="V9057" s="11">
        <v>0.04566921492261828</v>
      </c>
      <c r="W9057" s="11">
        <v>0.24106368084695037</v>
      </c>
      <c r="X9057" s="11">
        <v>0.07414925027864495</v>
      </c>
      <c r="Y9057" s="11">
        <v>0.272089144030674</v>
      </c>
      <c r="Z9057" s="11">
        <v>0.2530719333839038</v>
      </c>
    </row>
    <row r="9058" ht="22.5" customHeight="1">
      <c r="Q9058" s="9" t="s">
        <v>9096</v>
      </c>
      <c r="R9058" s="10">
        <v>0.691118610238079</v>
      </c>
      <c r="S9058" s="10">
        <v>0.03839882692262658</v>
      </c>
      <c r="T9058" s="10">
        <v>16.95673181761722</v>
      </c>
      <c r="U9058" s="11">
        <v>0.03554548619225186</v>
      </c>
      <c r="V9058" s="11">
        <v>0.3689638872224291</v>
      </c>
      <c r="W9058" s="11">
        <v>0.0498106198288708</v>
      </c>
      <c r="X9058" s="11">
        <v>0.03990545946775018</v>
      </c>
      <c r="Y9058" s="11">
        <v>0.19019275191739765</v>
      </c>
      <c r="Z9058" s="11">
        <v>0.31558179537130043</v>
      </c>
    </row>
    <row r="9059" ht="22.5" customHeight="1">
      <c r="Q9059" s="9" t="s">
        <v>9097</v>
      </c>
      <c r="R9059" s="10">
        <v>0.516662157946708</v>
      </c>
      <c r="S9059" s="10">
        <v>0.028111856476469858</v>
      </c>
      <c r="T9059" s="10">
        <v>16.95591176433627</v>
      </c>
      <c r="U9059" s="11">
        <v>0.12387784206771969</v>
      </c>
      <c r="V9059" s="11">
        <v>0.2639617955529408</v>
      </c>
      <c r="W9059" s="11">
        <v>0.020103134239389815</v>
      </c>
      <c r="X9059" s="11">
        <v>0.041811538057492055</v>
      </c>
      <c r="Y9059" s="11">
        <v>0.2775483356634613</v>
      </c>
      <c r="Z9059" s="11">
        <v>0.27269735441899634</v>
      </c>
    </row>
    <row r="9060" ht="22.5" customHeight="1">
      <c r="Q9060" s="9" t="s">
        <v>9098</v>
      </c>
      <c r="R9060" s="10">
        <v>0.4527444948653629</v>
      </c>
      <c r="S9060" s="10">
        <v>0.02434612299842625</v>
      </c>
      <c r="T9060" s="10">
        <v>16.953191885707756</v>
      </c>
      <c r="U9060" s="11">
        <v>0.010857952071746954</v>
      </c>
      <c r="V9060" s="11">
        <v>0.04821194854838758</v>
      </c>
      <c r="W9060" s="11">
        <v>0.2059776030559644</v>
      </c>
      <c r="X9060" s="11">
        <v>0.02256454016820842</v>
      </c>
      <c r="Y9060" s="11">
        <v>0.3080977454154877</v>
      </c>
      <c r="Z9060" s="11">
        <v>0.40429021074020505</v>
      </c>
    </row>
    <row r="9061" ht="22.5" customHeight="1">
      <c r="Q9061" s="9" t="s">
        <v>9099</v>
      </c>
      <c r="R9061" s="10">
        <v>0.7210467954953255</v>
      </c>
      <c r="S9061" s="10">
        <v>0.0401727695992028</v>
      </c>
      <c r="T9061" s="10">
        <v>16.952946045045405</v>
      </c>
      <c r="U9061" s="11">
        <v>0.21115627772472692</v>
      </c>
      <c r="V9061" s="11">
        <v>0.09539258212010437</v>
      </c>
      <c r="W9061" s="11">
        <v>0.35651262028129815</v>
      </c>
      <c r="X9061" s="11">
        <v>0.034189014316399084</v>
      </c>
      <c r="Y9061" s="11">
        <v>0.10438057642614405</v>
      </c>
      <c r="Z9061" s="11">
        <v>0.19836892913132745</v>
      </c>
    </row>
    <row r="9062" ht="22.5" customHeight="1">
      <c r="Q9062" s="9" t="s">
        <v>9100</v>
      </c>
      <c r="R9062" s="10">
        <v>0.6737167827425348</v>
      </c>
      <c r="S9062" s="10">
        <v>0.03738871053598566</v>
      </c>
      <c r="T9062" s="10">
        <v>16.949415309003474</v>
      </c>
      <c r="U9062" s="11">
        <v>0.06113957155242406</v>
      </c>
      <c r="V9062" s="11">
        <v>0.35600998917961196</v>
      </c>
      <c r="W9062" s="11">
        <v>0.013367174833799261</v>
      </c>
      <c r="X9062" s="11">
        <v>0.33929158244561464</v>
      </c>
      <c r="Y9062" s="11">
        <v>0.13298776298575998</v>
      </c>
      <c r="Z9062" s="11">
        <v>0.09720391900279005</v>
      </c>
    </row>
    <row r="9063" ht="22.5" customHeight="1">
      <c r="Q9063" s="9" t="s">
        <v>9101</v>
      </c>
      <c r="R9063" s="10">
        <v>0.38426494956028334</v>
      </c>
      <c r="S9063" s="10">
        <v>0.0203119377017716</v>
      </c>
      <c r="T9063" s="10">
        <v>16.948897471768863</v>
      </c>
      <c r="U9063" s="11">
        <v>0.20224737097899084</v>
      </c>
      <c r="V9063" s="11">
        <v>0.0056230017273708535</v>
      </c>
      <c r="W9063" s="11">
        <v>0.17247473890530218</v>
      </c>
      <c r="X9063" s="11">
        <v>0.26821345148167736</v>
      </c>
      <c r="Y9063" s="11">
        <v>0.0968941168956942</v>
      </c>
      <c r="Z9063" s="11">
        <v>0.2545473200109646</v>
      </c>
    </row>
    <row r="9064" ht="22.5" customHeight="1">
      <c r="Q9064" s="9" t="s">
        <v>9102</v>
      </c>
      <c r="R9064" s="10">
        <v>0.4898441265363914</v>
      </c>
      <c r="S9064" s="10">
        <v>0.026541358023383373</v>
      </c>
      <c r="T9064" s="10">
        <v>16.948798405118207</v>
      </c>
      <c r="U9064" s="11">
        <v>0.2228640146707287</v>
      </c>
      <c r="V9064" s="11">
        <v>0.015048387105586</v>
      </c>
      <c r="W9064" s="11">
        <v>0.22917429342893877</v>
      </c>
      <c r="X9064" s="11">
        <v>0.2595351863108069</v>
      </c>
      <c r="Y9064" s="11">
        <v>0.24982719578888005</v>
      </c>
      <c r="Z9064" s="11">
        <v>0.023550922695059536</v>
      </c>
    </row>
    <row r="9065" ht="22.5" customHeight="1">
      <c r="Q9065" s="9" t="s">
        <v>9103</v>
      </c>
      <c r="R9065" s="10">
        <v>0.5227007037608266</v>
      </c>
      <c r="S9065" s="10">
        <v>0.028482916130966204</v>
      </c>
      <c r="T9065" s="10">
        <v>16.94702542188233</v>
      </c>
      <c r="U9065" s="11">
        <v>0.0410928301450079</v>
      </c>
      <c r="V9065" s="11">
        <v>0.2696749466908154</v>
      </c>
      <c r="W9065" s="11">
        <v>0.002964072297377112</v>
      </c>
      <c r="X9065" s="11">
        <v>0.26850912955182005</v>
      </c>
      <c r="Y9065" s="11">
        <v>0.1379985052310724</v>
      </c>
      <c r="Z9065" s="11">
        <v>0.2797605160839071</v>
      </c>
    </row>
    <row r="9066" ht="22.5" customHeight="1">
      <c r="Q9066" s="9" t="s">
        <v>9104</v>
      </c>
      <c r="R9066" s="10">
        <v>0.3595091823537699</v>
      </c>
      <c r="S9066" s="10">
        <v>0.01885698323414593</v>
      </c>
      <c r="T9066" s="10">
        <v>16.9438121881133</v>
      </c>
      <c r="U9066" s="11">
        <v>0.3542324680654833</v>
      </c>
      <c r="V9066" s="11">
        <v>0.004979310473987512</v>
      </c>
      <c r="W9066" s="11">
        <v>0.15591522403680838</v>
      </c>
      <c r="X9066" s="11">
        <v>0.22733327936798284</v>
      </c>
      <c r="Y9066" s="11">
        <v>0.04512025078907238</v>
      </c>
      <c r="Z9066" s="11">
        <v>0.21241946726666572</v>
      </c>
    </row>
    <row r="9067" ht="22.5" customHeight="1">
      <c r="Q9067" s="9" t="s">
        <v>9105</v>
      </c>
      <c r="R9067" s="10">
        <v>0.4960425163177358</v>
      </c>
      <c r="S9067" s="10">
        <v>0.026918151204783757</v>
      </c>
      <c r="T9067" s="10">
        <v>16.941821629885574</v>
      </c>
      <c r="U9067" s="11">
        <v>0.0304546026154104</v>
      </c>
      <c r="V9067" s="11">
        <v>0.25271176319690264</v>
      </c>
      <c r="W9067" s="11">
        <v>1.7438890561248874E-4</v>
      </c>
      <c r="X9067" s="11">
        <v>0.23685529574400552</v>
      </c>
      <c r="Y9067" s="11">
        <v>0.21685359717274882</v>
      </c>
      <c r="Z9067" s="11">
        <v>0.26295035236532016</v>
      </c>
    </row>
    <row r="9068" ht="22.5" customHeight="1">
      <c r="Q9068" s="9" t="s">
        <v>9106</v>
      </c>
      <c r="R9068" s="10">
        <v>0.5406999391223615</v>
      </c>
      <c r="S9068" s="10">
        <v>0.029557675990581286</v>
      </c>
      <c r="T9068" s="10">
        <v>16.939760056978507</v>
      </c>
      <c r="U9068" s="11">
        <v>0.14895677902367319</v>
      </c>
      <c r="V9068" s="11">
        <v>0.28214895223310205</v>
      </c>
      <c r="W9068" s="11">
        <v>0.0136190205989372</v>
      </c>
      <c r="X9068" s="11">
        <v>0.1982841471533673</v>
      </c>
      <c r="Y9068" s="11">
        <v>0.042831121947643165</v>
      </c>
      <c r="Z9068" s="11">
        <v>0.314159979043277</v>
      </c>
    </row>
    <row r="9069" ht="22.5" customHeight="1">
      <c r="Q9069" s="9" t="s">
        <v>9107</v>
      </c>
      <c r="R9069" s="10">
        <v>0.41812155769030984</v>
      </c>
      <c r="S9069" s="10">
        <v>0.022321639944796405</v>
      </c>
      <c r="T9069" s="10">
        <v>16.939685373719914</v>
      </c>
      <c r="U9069" s="11">
        <v>0.20104380240111158</v>
      </c>
      <c r="V9069" s="11">
        <v>0.010223255699462684</v>
      </c>
      <c r="W9069" s="11">
        <v>0.18992082874496416</v>
      </c>
      <c r="X9069" s="11">
        <v>0.21576269586393362</v>
      </c>
      <c r="Y9069" s="11">
        <v>0.2298565064549386</v>
      </c>
      <c r="Z9069" s="11">
        <v>0.15319291083558934</v>
      </c>
    </row>
    <row r="9070" ht="22.5" customHeight="1">
      <c r="Q9070" s="9" t="s">
        <v>9108</v>
      </c>
      <c r="R9070" s="10">
        <v>0.23735402049679866</v>
      </c>
      <c r="S9070" s="10">
        <v>0.011650696807359464</v>
      </c>
      <c r="T9070" s="10">
        <v>16.9392461034721</v>
      </c>
      <c r="U9070" s="11">
        <v>0.15679531841515254</v>
      </c>
      <c r="V9070" s="11">
        <v>0.002611674418372904</v>
      </c>
      <c r="W9070" s="11">
        <v>0.0675254910046417</v>
      </c>
      <c r="X9070" s="11">
        <v>0.16822811866426562</v>
      </c>
      <c r="Y9070" s="11">
        <v>0.312123847077219</v>
      </c>
      <c r="Z9070" s="11">
        <v>0.2927155504203482</v>
      </c>
    </row>
    <row r="9071" ht="22.5" customHeight="1">
      <c r="Q9071" s="9" t="s">
        <v>9109</v>
      </c>
      <c r="R9071" s="10">
        <v>0.6414849397654486</v>
      </c>
      <c r="S9071" s="10">
        <v>0.03551024816498605</v>
      </c>
      <c r="T9071" s="10">
        <v>16.938347965659307</v>
      </c>
      <c r="U9071" s="11">
        <v>0.22366018187339348</v>
      </c>
      <c r="V9071" s="11">
        <v>0.042821074013778285</v>
      </c>
      <c r="W9071" s="11">
        <v>0.317318565366958</v>
      </c>
      <c r="X9071" s="11">
        <v>0.34824087143854005</v>
      </c>
      <c r="Y9071" s="11">
        <v>0.010447816589255955</v>
      </c>
      <c r="Z9071" s="11">
        <v>0.057511490718074355</v>
      </c>
    </row>
    <row r="9072" ht="22.5" customHeight="1">
      <c r="Q9072" s="9" t="s">
        <v>9110</v>
      </c>
      <c r="R9072" s="10">
        <v>0.462337512296449</v>
      </c>
      <c r="S9072" s="10">
        <v>0.024934120408309255</v>
      </c>
      <c r="T9072" s="10">
        <v>16.938135590125157</v>
      </c>
      <c r="U9072" s="11">
        <v>0.3808560723500295</v>
      </c>
      <c r="V9072" s="11">
        <v>0.021496409493270707</v>
      </c>
      <c r="W9072" s="11">
        <v>0.21196387860966587</v>
      </c>
      <c r="X9072" s="11">
        <v>0.13251091573093504</v>
      </c>
      <c r="Y9072" s="11">
        <v>0.23043310632033417</v>
      </c>
      <c r="Z9072" s="11">
        <v>0.022739617495764725</v>
      </c>
    </row>
    <row r="9073" ht="22.5" customHeight="1">
      <c r="Q9073" s="9" t="s">
        <v>9111</v>
      </c>
      <c r="R9073" s="10">
        <v>0.47880457352390576</v>
      </c>
      <c r="S9073" s="10">
        <v>0.025907733787459256</v>
      </c>
      <c r="T9073" s="10">
        <v>16.93720404585564</v>
      </c>
      <c r="U9073" s="11">
        <v>0.16241805126336462</v>
      </c>
      <c r="V9073" s="11">
        <v>0.028865060563501497</v>
      </c>
      <c r="W9073" s="11">
        <v>0.22850959823500644</v>
      </c>
      <c r="X9073" s="11">
        <v>0.24369439195020678</v>
      </c>
      <c r="Y9073" s="11">
        <v>0.0235798412803079</v>
      </c>
      <c r="Z9073" s="11">
        <v>0.31293305670761273</v>
      </c>
    </row>
    <row r="9074" ht="22.5" customHeight="1">
      <c r="Q9074" s="9" t="s">
        <v>9112</v>
      </c>
      <c r="R9074" s="10">
        <v>0.22323188773734925</v>
      </c>
      <c r="S9074" s="10">
        <v>0.010818831488692372</v>
      </c>
      <c r="T9074" s="10">
        <v>16.936384297034255</v>
      </c>
      <c r="U9074" s="11">
        <v>0.3274140741389836</v>
      </c>
      <c r="V9074" s="11">
        <v>0.03238028458249644</v>
      </c>
      <c r="W9074" s="11">
        <v>0.023583378396224656</v>
      </c>
      <c r="X9074" s="11">
        <v>0.1022498358764717</v>
      </c>
      <c r="Y9074" s="11">
        <v>0.3372863914859559</v>
      </c>
      <c r="Z9074" s="11">
        <v>0.17708603551986768</v>
      </c>
    </row>
    <row r="9075" ht="22.5" customHeight="1">
      <c r="Q9075" s="9" t="s">
        <v>9113</v>
      </c>
      <c r="R9075" s="10">
        <v>0.49184092909538024</v>
      </c>
      <c r="S9075" s="10">
        <v>0.026679091883608518</v>
      </c>
      <c r="T9075" s="10">
        <v>16.936143518924972</v>
      </c>
      <c r="U9075" s="11">
        <v>0.15293613702552117</v>
      </c>
      <c r="V9075" s="11">
        <v>0.026097808452437577</v>
      </c>
      <c r="W9075" s="11">
        <v>0.23548756420330152</v>
      </c>
      <c r="X9075" s="11">
        <v>0.24487495756696637</v>
      </c>
      <c r="Y9075" s="11">
        <v>0.10395036980201852</v>
      </c>
      <c r="Z9075" s="11">
        <v>0.2366531629497548</v>
      </c>
    </row>
    <row r="9076" ht="22.5" customHeight="1">
      <c r="Q9076" s="9" t="s">
        <v>9114</v>
      </c>
      <c r="R9076" s="10">
        <v>0.31856822479614977</v>
      </c>
      <c r="S9076" s="10">
        <v>0.01644911122481587</v>
      </c>
      <c r="T9076" s="10">
        <v>16.935153576923305</v>
      </c>
      <c r="U9076" s="11">
        <v>0.3597795343700798</v>
      </c>
      <c r="V9076" s="11">
        <v>0.008771338514856643</v>
      </c>
      <c r="W9076" s="11">
        <v>0.11753736713208067</v>
      </c>
      <c r="X9076" s="11">
        <v>0.09686184978037428</v>
      </c>
      <c r="Y9076" s="11">
        <v>0.3372394602467456</v>
      </c>
      <c r="Z9076" s="11">
        <v>0.07981044995586306</v>
      </c>
    </row>
    <row r="9077" ht="22.5" customHeight="1">
      <c r="Q9077" s="9" t="s">
        <v>9115</v>
      </c>
      <c r="R9077" s="10">
        <v>0.8657312898957007</v>
      </c>
      <c r="S9077" s="10">
        <v>0.048765330953848066</v>
      </c>
      <c r="T9077" s="10">
        <v>16.93275271067431</v>
      </c>
      <c r="U9077" s="11">
        <v>0.1378311131681544</v>
      </c>
      <c r="V9077" s="11">
        <v>0.4664803753422942</v>
      </c>
      <c r="W9077" s="11">
        <v>0.06801860792470006</v>
      </c>
      <c r="X9077" s="11">
        <v>0.027995076512098024</v>
      </c>
      <c r="Y9077" s="11">
        <v>0.24555607398580592</v>
      </c>
      <c r="Z9077" s="11">
        <v>0.05411875306694731</v>
      </c>
    </row>
    <row r="9078" ht="22.5" customHeight="1">
      <c r="Q9078" s="9" t="s">
        <v>9116</v>
      </c>
      <c r="R9078" s="10">
        <v>0.5656608298485141</v>
      </c>
      <c r="S9078" s="10">
        <v>0.03104621802197059</v>
      </c>
      <c r="T9078" s="10">
        <v>16.931557636956544</v>
      </c>
      <c r="U9078" s="11">
        <v>0.20167988816989896</v>
      </c>
      <c r="V9078" s="11">
        <v>0.04402716517189513</v>
      </c>
      <c r="W9078" s="11">
        <v>0.2721903487891639</v>
      </c>
      <c r="X9078" s="11">
        <v>0.12372848989949264</v>
      </c>
      <c r="Y9078" s="11">
        <v>0.2731185626989489</v>
      </c>
      <c r="Z9078" s="11">
        <v>0.08525554527060028</v>
      </c>
    </row>
    <row r="9079" ht="22.5" customHeight="1">
      <c r="Q9079" s="9" t="s">
        <v>9117</v>
      </c>
      <c r="R9079" s="10">
        <v>0.6790727485102758</v>
      </c>
      <c r="S9079" s="10">
        <v>0.037749027031008554</v>
      </c>
      <c r="T9079" s="10">
        <v>16.92951577229569</v>
      </c>
      <c r="U9079" s="11">
        <v>0.06448456521262187</v>
      </c>
      <c r="V9079" s="11">
        <v>0.0669713570872417</v>
      </c>
      <c r="W9079" s="11">
        <v>0.3378753953420182</v>
      </c>
      <c r="X9079" s="11">
        <v>0.20985658419278283</v>
      </c>
      <c r="Y9079" s="11">
        <v>0.13234002114516527</v>
      </c>
      <c r="Z9079" s="11">
        <v>0.18847207702017016</v>
      </c>
    </row>
    <row r="9080" ht="22.5" customHeight="1">
      <c r="Q9080" s="9" t="s">
        <v>9118</v>
      </c>
      <c r="R9080" s="10">
        <v>0.5531723916712749</v>
      </c>
      <c r="S9080" s="10">
        <v>0.030312725471885404</v>
      </c>
      <c r="T9080" s="10">
        <v>16.9292725640007</v>
      </c>
      <c r="U9080" s="11">
        <v>0.24448006529579014</v>
      </c>
      <c r="V9080" s="11">
        <v>0.2874860114113105</v>
      </c>
      <c r="W9080" s="11">
        <v>0.012300560252372302</v>
      </c>
      <c r="X9080" s="11">
        <v>0.15905202561845322</v>
      </c>
      <c r="Y9080" s="11">
        <v>0.11049823318601742</v>
      </c>
      <c r="Z9080" s="11">
        <v>0.18618310423605636</v>
      </c>
    </row>
    <row r="9081" ht="22.5" customHeight="1">
      <c r="Q9081" s="9" t="s">
        <v>9119</v>
      </c>
      <c r="R9081" s="10">
        <v>0.6501560355738127</v>
      </c>
      <c r="S9081" s="10">
        <v>0.03604177843849669</v>
      </c>
      <c r="T9081" s="10">
        <v>16.92913230169844</v>
      </c>
      <c r="U9081" s="11">
        <v>0.264714623583897</v>
      </c>
      <c r="V9081" s="11">
        <v>0.34204970272226887</v>
      </c>
      <c r="W9081" s="11">
        <v>0.025943698835970756</v>
      </c>
      <c r="X9081" s="11">
        <v>0.10572575026138782</v>
      </c>
      <c r="Y9081" s="11">
        <v>0.19972571627168353</v>
      </c>
      <c r="Z9081" s="11">
        <v>0.06184050832479201</v>
      </c>
    </row>
    <row r="9082" ht="22.5" customHeight="1">
      <c r="Q9082" s="9" t="s">
        <v>9120</v>
      </c>
      <c r="R9082" s="10">
        <v>0.3718785687253706</v>
      </c>
      <c r="S9082" s="10">
        <v>0.019604665796254965</v>
      </c>
      <c r="T9082" s="10">
        <v>16.92855018159854</v>
      </c>
      <c r="U9082" s="11">
        <v>0.23489761642912504</v>
      </c>
      <c r="V9082" s="11">
        <v>0.006186644000433588</v>
      </c>
      <c r="W9082" s="11">
        <v>0.16485123919269812</v>
      </c>
      <c r="X9082" s="11">
        <v>0.2130170709717283</v>
      </c>
      <c r="Y9082" s="11">
        <v>0.1448967632403653</v>
      </c>
      <c r="Z9082" s="11">
        <v>0.23615066616564978</v>
      </c>
    </row>
    <row r="9083" ht="22.5" customHeight="1">
      <c r="Q9083" s="9" t="s">
        <v>9121</v>
      </c>
      <c r="R9083" s="10">
        <v>0.580959623192488</v>
      </c>
      <c r="S9083" s="10">
        <v>0.03195651238706557</v>
      </c>
      <c r="T9083" s="10">
        <v>16.927993162715772</v>
      </c>
      <c r="U9083" s="11">
        <v>0.3355009203603155</v>
      </c>
      <c r="V9083" s="11">
        <v>0.041699931646422536</v>
      </c>
      <c r="W9083" s="11">
        <v>0.2827343527628881</v>
      </c>
      <c r="X9083" s="11">
        <v>0.17042552465097185</v>
      </c>
      <c r="Y9083" s="11">
        <v>0.13175126012229693</v>
      </c>
      <c r="Z9083" s="11">
        <v>0.037888010457105</v>
      </c>
    </row>
    <row r="9084" ht="22.5" customHeight="1">
      <c r="Q9084" s="9" t="s">
        <v>9122</v>
      </c>
      <c r="R9084" s="10">
        <v>0.5047280614307971</v>
      </c>
      <c r="S9084" s="10">
        <v>0.027453355731672485</v>
      </c>
      <c r="T9084" s="10">
        <v>16.92791460443023</v>
      </c>
      <c r="U9084" s="11">
        <v>0.1927565660528966</v>
      </c>
      <c r="V9084" s="11">
        <v>0.257650807601116</v>
      </c>
      <c r="W9084" s="11">
        <v>0.015330187905655572</v>
      </c>
      <c r="X9084" s="11">
        <v>0.05914420375354023</v>
      </c>
      <c r="Y9084" s="11">
        <v>0.23040475742689379</v>
      </c>
      <c r="Z9084" s="11">
        <v>0.24471347725989775</v>
      </c>
    </row>
    <row r="9085" ht="22.5" customHeight="1">
      <c r="Q9085" s="9" t="s">
        <v>9123</v>
      </c>
      <c r="R9085" s="10">
        <v>0.5193472806050505</v>
      </c>
      <c r="S9085" s="10">
        <v>0.028317303660827537</v>
      </c>
      <c r="T9085" s="10">
        <v>16.927716224202197</v>
      </c>
      <c r="U9085" s="11">
        <v>0.1434807474664677</v>
      </c>
      <c r="V9085" s="11">
        <v>0.26544219076500625</v>
      </c>
      <c r="W9085" s="11">
        <v>0.0055275481822805094</v>
      </c>
      <c r="X9085" s="11">
        <v>0.15816395991306959</v>
      </c>
      <c r="Y9085" s="11">
        <v>0.25541169806777725</v>
      </c>
      <c r="Z9085" s="11">
        <v>0.17197385560539877</v>
      </c>
    </row>
    <row r="9086" ht="22.5" customHeight="1">
      <c r="Q9086" s="9" t="s">
        <v>9124</v>
      </c>
      <c r="R9086" s="10">
        <v>0.6855669134776983</v>
      </c>
      <c r="S9086" s="10">
        <v>0.03813717384389011</v>
      </c>
      <c r="T9086" s="10">
        <v>16.927497462718346</v>
      </c>
      <c r="U9086" s="11">
        <v>0.08027414328779098</v>
      </c>
      <c r="V9086" s="11">
        <v>0.3569850106970206</v>
      </c>
      <c r="W9086" s="11">
        <v>0.03830368490027268</v>
      </c>
      <c r="X9086" s="11">
        <v>0.032600131466459945</v>
      </c>
      <c r="Y9086" s="11">
        <v>0.44338574792122165</v>
      </c>
      <c r="Z9086" s="11">
        <v>0.04845128172723413</v>
      </c>
    </row>
    <row r="9087" ht="22.5" customHeight="1">
      <c r="Q9087" s="9" t="s">
        <v>9125</v>
      </c>
      <c r="R9087" s="10">
        <v>0.4495027935110377</v>
      </c>
      <c r="S9087" s="10">
        <v>0.024197225375249112</v>
      </c>
      <c r="T9087" s="10">
        <v>16.92354338815683</v>
      </c>
      <c r="U9087" s="11">
        <v>0.36149834542375453</v>
      </c>
      <c r="V9087" s="11">
        <v>0.030808200067909353</v>
      </c>
      <c r="W9087" s="11">
        <v>0.207411443425477</v>
      </c>
      <c r="X9087" s="11">
        <v>0.07426578931300813</v>
      </c>
      <c r="Y9087" s="11">
        <v>0.1507368249720618</v>
      </c>
      <c r="Z9087" s="11">
        <v>0.175279396797789</v>
      </c>
    </row>
    <row r="9088" ht="22.5" customHeight="1">
      <c r="Q9088" s="9" t="s">
        <v>9126</v>
      </c>
      <c r="R9088" s="10">
        <v>0.49180249542804894</v>
      </c>
      <c r="S9088" s="10">
        <v>0.02670396028648551</v>
      </c>
      <c r="T9088" s="10">
        <v>16.918932270008643</v>
      </c>
      <c r="U9088" s="11">
        <v>0.07586777707882722</v>
      </c>
      <c r="V9088" s="11">
        <v>0.03256617327961139</v>
      </c>
      <c r="W9088" s="11">
        <v>0.2338650817382008</v>
      </c>
      <c r="X9088" s="11">
        <v>0.16923749089295315</v>
      </c>
      <c r="Y9088" s="11">
        <v>0.22830147781927165</v>
      </c>
      <c r="Z9088" s="11">
        <v>0.26016199919113586</v>
      </c>
    </row>
    <row r="9089" ht="22.5" customHeight="1">
      <c r="Q9089" s="9" t="s">
        <v>9127</v>
      </c>
      <c r="R9089" s="10">
        <v>0.6486743889392954</v>
      </c>
      <c r="S9089" s="10">
        <v>0.035977210340115404</v>
      </c>
      <c r="T9089" s="10">
        <v>16.918331999204774</v>
      </c>
      <c r="U9089" s="11">
        <v>0.21675634481655806</v>
      </c>
      <c r="V9089" s="11">
        <v>0.07227198473991371</v>
      </c>
      <c r="W9089" s="11">
        <v>0.31839062115668165</v>
      </c>
      <c r="X9089" s="11">
        <v>0.051167711343420394</v>
      </c>
      <c r="Y9089" s="11">
        <v>0.1934344625553329</v>
      </c>
      <c r="Z9089" s="11">
        <v>0.1479788753880933</v>
      </c>
    </row>
    <row r="9090" ht="22.5" customHeight="1">
      <c r="Q9090" s="9" t="s">
        <v>9128</v>
      </c>
      <c r="R9090" s="10">
        <v>0.5347056701051203</v>
      </c>
      <c r="S9090" s="10">
        <v>0.02924116990180774</v>
      </c>
      <c r="T9090" s="10">
        <v>16.91812166771538</v>
      </c>
      <c r="U9090" s="11">
        <v>0.12534264432357234</v>
      </c>
      <c r="V9090" s="11">
        <v>0.027339632206924508</v>
      </c>
      <c r="W9090" s="11">
        <v>0.25660912503467004</v>
      </c>
      <c r="X9090" s="11">
        <v>0.245761150277028</v>
      </c>
      <c r="Y9090" s="11">
        <v>0.24766896928325086</v>
      </c>
      <c r="Z9090" s="11">
        <v>0.0972784788745542</v>
      </c>
    </row>
    <row r="9091" ht="22.5" customHeight="1">
      <c r="Q9091" s="9" t="s">
        <v>9129</v>
      </c>
      <c r="R9091" s="10">
        <v>0.6405278434324122</v>
      </c>
      <c r="S9091" s="10">
        <v>0.03549642858756554</v>
      </c>
      <c r="T9091" s="10">
        <v>16.917979282084115</v>
      </c>
      <c r="U9091" s="11">
        <v>0.24780740928431388</v>
      </c>
      <c r="V9091" s="11">
        <v>0.05666395648949874</v>
      </c>
      <c r="W9091" s="11">
        <v>0.3166188368246334</v>
      </c>
      <c r="X9091" s="11">
        <v>0.16548317994537393</v>
      </c>
      <c r="Y9091" s="11">
        <v>0.12768548397612742</v>
      </c>
      <c r="Z9091" s="11">
        <v>0.08574113348005277</v>
      </c>
    </row>
    <row r="9092" ht="22.5" customHeight="1">
      <c r="Q9092" s="9" t="s">
        <v>9130</v>
      </c>
      <c r="R9092" s="10">
        <v>0.49264544729417153</v>
      </c>
      <c r="S9092" s="10">
        <v>0.02675760722081658</v>
      </c>
      <c r="T9092" s="10">
        <v>16.916514378835323</v>
      </c>
      <c r="U9092" s="11">
        <v>0.04098032612858758</v>
      </c>
      <c r="V9092" s="11">
        <v>0.018197873774898395</v>
      </c>
      <c r="W9092" s="11">
        <v>0.2295068234583789</v>
      </c>
      <c r="X9092" s="11">
        <v>0.27666331420510504</v>
      </c>
      <c r="Y9092" s="11">
        <v>0.332047882998197</v>
      </c>
      <c r="Z9092" s="11">
        <v>0.10260377943483304</v>
      </c>
    </row>
    <row r="9093" ht="22.5" customHeight="1">
      <c r="Q9093" s="9" t="s">
        <v>9131</v>
      </c>
      <c r="R9093" s="10">
        <v>0.6207830556782018</v>
      </c>
      <c r="S9093" s="10">
        <v>0.034342676561719986</v>
      </c>
      <c r="T9093" s="10">
        <v>16.911409180191004</v>
      </c>
      <c r="U9093" s="11">
        <v>0.1561277138605419</v>
      </c>
      <c r="V9093" s="11">
        <v>0.3243591668409331</v>
      </c>
      <c r="W9093" s="11">
        <v>0.01757724114132772</v>
      </c>
      <c r="X9093" s="11">
        <v>0.14066198027878496</v>
      </c>
      <c r="Y9093" s="11">
        <v>0.2889941572903323</v>
      </c>
      <c r="Z9093" s="11">
        <v>0.07227974058807991</v>
      </c>
    </row>
    <row r="9094" ht="22.5" customHeight="1">
      <c r="Q9094" s="9" t="s">
        <v>9132</v>
      </c>
      <c r="R9094" s="10">
        <v>0.522331348251574</v>
      </c>
      <c r="S9094" s="10">
        <v>0.037183512262445616</v>
      </c>
      <c r="T9094" s="10">
        <v>16.90980110132542</v>
      </c>
      <c r="U9094" s="11">
        <v>0.13148233189384056</v>
      </c>
      <c r="V9094" s="11">
        <v>0.07486901440045159</v>
      </c>
      <c r="W9094" s="11">
        <v>0.3328578566866535</v>
      </c>
      <c r="X9094" s="11">
        <v>0.16190926055612007</v>
      </c>
      <c r="Y9094" s="11">
        <v>0.02179013320787363</v>
      </c>
      <c r="Z9094" s="11">
        <v>0.27709140325506076</v>
      </c>
    </row>
    <row r="9095" ht="22.5" customHeight="1">
      <c r="Q9095" s="9" t="s">
        <v>9133</v>
      </c>
      <c r="R9095" s="10">
        <v>0.6498502577663788</v>
      </c>
      <c r="S9095" s="10">
        <v>0.036072386737632786</v>
      </c>
      <c r="T9095" s="10">
        <v>16.906290737068083</v>
      </c>
      <c r="U9095" s="11">
        <v>0.16294954601394032</v>
      </c>
      <c r="V9095" s="11">
        <v>0.05789090783332009</v>
      </c>
      <c r="W9095" s="11">
        <v>0.32335753776594756</v>
      </c>
      <c r="X9095" s="11">
        <v>0.22545277699487465</v>
      </c>
      <c r="Y9095" s="11">
        <v>0.06531775535635634</v>
      </c>
      <c r="Z9095" s="11">
        <v>0.16503147603556112</v>
      </c>
    </row>
    <row r="9096" ht="22.5" customHeight="1">
      <c r="Q9096" s="9" t="s">
        <v>9134</v>
      </c>
      <c r="R9096" s="10">
        <v>0.7936140801012588</v>
      </c>
      <c r="S9096" s="10">
        <v>0.04457743158575009</v>
      </c>
      <c r="T9096" s="10">
        <v>16.90573129256204</v>
      </c>
      <c r="U9096" s="11">
        <v>0.11734010988425941</v>
      </c>
      <c r="V9096" s="11">
        <v>0.09226399764290767</v>
      </c>
      <c r="W9096" s="11">
        <v>0.3965887433366966</v>
      </c>
      <c r="X9096" s="11">
        <v>0.11764318744543377</v>
      </c>
      <c r="Y9096" s="11">
        <v>0.24902320157748395</v>
      </c>
      <c r="Z9096" s="11">
        <v>0.02714076011321861</v>
      </c>
    </row>
    <row r="9097" ht="22.5" customHeight="1">
      <c r="Q9097" s="9" t="s">
        <v>9135</v>
      </c>
      <c r="R9097" s="10">
        <v>0.6123346399432378</v>
      </c>
      <c r="S9097" s="10">
        <v>0.03386945408996589</v>
      </c>
      <c r="T9097" s="10">
        <v>16.898254055792318</v>
      </c>
      <c r="U9097" s="11">
        <v>0.07024753118822542</v>
      </c>
      <c r="V9097" s="11">
        <v>0.05332224705155451</v>
      </c>
      <c r="W9097" s="11">
        <v>0.30252152478781597</v>
      </c>
      <c r="X9097" s="11">
        <v>0.2073398401199644</v>
      </c>
      <c r="Y9097" s="11">
        <v>0.13994470491661368</v>
      </c>
      <c r="Z9097" s="11">
        <v>0.22662415193582605</v>
      </c>
    </row>
    <row r="9098" ht="22.5" customHeight="1">
      <c r="Q9098" s="9" t="s">
        <v>9136</v>
      </c>
      <c r="R9098" s="10">
        <v>0.5111423983568818</v>
      </c>
      <c r="S9098" s="10">
        <v>0.02788324171333638</v>
      </c>
      <c r="T9098" s="10">
        <v>16.89697357289477</v>
      </c>
      <c r="U9098" s="11">
        <v>0.13771101215557663</v>
      </c>
      <c r="V9098" s="11">
        <v>0.03463037219357946</v>
      </c>
      <c r="W9098" s="11">
        <v>0.24549807545250044</v>
      </c>
      <c r="X9098" s="11">
        <v>0.16138682531683804</v>
      </c>
      <c r="Y9098" s="11">
        <v>0.2027743909735052</v>
      </c>
      <c r="Z9098" s="11">
        <v>0.21799932390800028</v>
      </c>
    </row>
    <row r="9099" ht="22.5" customHeight="1">
      <c r="Q9099" s="9" t="s">
        <v>9137</v>
      </c>
      <c r="R9099" s="10">
        <v>0.7054679341465044</v>
      </c>
      <c r="S9099" s="10">
        <v>0.03938801105356382</v>
      </c>
      <c r="T9099" s="10">
        <v>16.895190093288374</v>
      </c>
      <c r="U9099" s="11">
        <v>0.22085657112661586</v>
      </c>
      <c r="V9099" s="11">
        <v>0.09120103781177867</v>
      </c>
      <c r="W9099" s="11">
        <v>0.3483566622552483</v>
      </c>
      <c r="X9099" s="11">
        <v>0.002671249814318083</v>
      </c>
      <c r="Y9099" s="11">
        <v>0.1695197235581885</v>
      </c>
      <c r="Z9099" s="11">
        <v>0.16739475543385052</v>
      </c>
    </row>
    <row r="9100" ht="22.5" customHeight="1">
      <c r="Q9100" s="9" t="s">
        <v>9138</v>
      </c>
      <c r="R9100" s="10">
        <v>0.7154929516371928</v>
      </c>
      <c r="S9100" s="10">
        <v>0.039984345507979885</v>
      </c>
      <c r="T9100" s="10">
        <v>16.89393544036831</v>
      </c>
      <c r="U9100" s="11">
        <v>0.13691936708450236</v>
      </c>
      <c r="V9100" s="11">
        <v>0.060751905457251475</v>
      </c>
      <c r="W9100" s="11">
        <v>0.35906016480076053</v>
      </c>
      <c r="X9100" s="11">
        <v>0.3432966572662789</v>
      </c>
      <c r="Y9100" s="11">
        <v>0.0010685379757608689</v>
      </c>
      <c r="Z9100" s="11">
        <v>0.09890336741544589</v>
      </c>
    </row>
    <row r="9101" ht="22.5" customHeight="1">
      <c r="Q9101" s="9" t="s">
        <v>9139</v>
      </c>
      <c r="R9101" s="10">
        <v>0.5366446471551463</v>
      </c>
      <c r="S9101" s="10">
        <v>0.02939789402298914</v>
      </c>
      <c r="T9101" s="10">
        <v>16.893885213912615</v>
      </c>
      <c r="U9101" s="11">
        <v>0.20058611749229557</v>
      </c>
      <c r="V9101" s="11">
        <v>0.04034901599896028</v>
      </c>
      <c r="W9101" s="11">
        <v>0.25808104014049116</v>
      </c>
      <c r="X9101" s="11">
        <v>0.11890275490801913</v>
      </c>
      <c r="Y9101" s="11">
        <v>0.23633179966526507</v>
      </c>
      <c r="Z9101" s="11">
        <v>0.14574927179496877</v>
      </c>
    </row>
    <row r="9102" ht="22.5" customHeight="1">
      <c r="Q9102" s="9" t="s">
        <v>9140</v>
      </c>
      <c r="R9102" s="10">
        <v>0.7022627926843706</v>
      </c>
      <c r="S9102" s="10">
        <v>0.039206130941203815</v>
      </c>
      <c r="T9102" s="10">
        <v>16.891817090483755</v>
      </c>
      <c r="U9102" s="11">
        <v>0.12293973240944356</v>
      </c>
      <c r="V9102" s="11">
        <v>0.37396362668451205</v>
      </c>
      <c r="W9102" s="11">
        <v>0.039130486318694514</v>
      </c>
      <c r="X9102" s="11">
        <v>0.05935392832508872</v>
      </c>
      <c r="Y9102" s="11">
        <v>0.27608987371470556</v>
      </c>
      <c r="Z9102" s="11">
        <v>0.1285223525475555</v>
      </c>
    </row>
    <row r="9103" ht="22.5" customHeight="1">
      <c r="Q9103" s="9" t="s">
        <v>9141</v>
      </c>
      <c r="R9103" s="10">
        <v>0.21913837868895442</v>
      </c>
      <c r="S9103" s="10">
        <v>0.010606633764572018</v>
      </c>
      <c r="T9103" s="10">
        <v>16.889277282987504</v>
      </c>
      <c r="U9103" s="11">
        <v>0.24533618159040774</v>
      </c>
      <c r="V9103" s="11">
        <v>0.020851123397215524</v>
      </c>
      <c r="W9103" s="11">
        <v>0.0392045823644228</v>
      </c>
      <c r="X9103" s="11">
        <v>0.09074273130313451</v>
      </c>
      <c r="Y9103" s="11">
        <v>0.3299824146193784</v>
      </c>
      <c r="Z9103" s="11">
        <v>0.273882966725441</v>
      </c>
    </row>
    <row r="9104" ht="22.5" customHeight="1">
      <c r="Q9104" s="9" t="s">
        <v>9142</v>
      </c>
      <c r="R9104" s="10">
        <v>0.522331348251574</v>
      </c>
      <c r="S9104" s="10">
        <v>0.03156102915524493</v>
      </c>
      <c r="T9104" s="10">
        <v>16.88842813091917</v>
      </c>
      <c r="U9104" s="11">
        <v>0.27250877166226944</v>
      </c>
      <c r="V9104" s="11">
        <v>0.29857770608127765</v>
      </c>
      <c r="W9104" s="11">
        <v>0.021196008761430258</v>
      </c>
      <c r="X9104" s="11">
        <v>0.06697089277897139</v>
      </c>
      <c r="Y9104" s="11">
        <v>0.1768999052412866</v>
      </c>
      <c r="Z9104" s="11">
        <v>0.1638467154747646</v>
      </c>
    </row>
    <row r="9105" ht="22.5" customHeight="1">
      <c r="Q9105" s="9" t="s">
        <v>9143</v>
      </c>
      <c r="R9105" s="10">
        <v>0.4893266301251605</v>
      </c>
      <c r="S9105" s="10">
        <v>0.026607095304997993</v>
      </c>
      <c r="T9105" s="10">
        <v>16.88747399798869</v>
      </c>
      <c r="U9105" s="11">
        <v>0.2361964882382681</v>
      </c>
      <c r="V9105" s="11">
        <v>0.2499386078614867</v>
      </c>
      <c r="W9105" s="11">
        <v>0.005887304291848708</v>
      </c>
      <c r="X9105" s="11">
        <v>0.13385375336518351</v>
      </c>
      <c r="Y9105" s="11">
        <v>0.14637835563698068</v>
      </c>
      <c r="Z9105" s="11">
        <v>0.2277454906062322</v>
      </c>
    </row>
    <row r="9106" ht="22.5" customHeight="1">
      <c r="Q9106" s="9" t="s">
        <v>9144</v>
      </c>
      <c r="R9106" s="10">
        <v>0.6072664670654636</v>
      </c>
      <c r="S9106" s="10">
        <v>0.0335940785863442</v>
      </c>
      <c r="T9106" s="10">
        <v>16.885906413758708</v>
      </c>
      <c r="U9106" s="11">
        <v>0.05205125948194049</v>
      </c>
      <c r="V9106" s="11">
        <v>0.31795573351675277</v>
      </c>
      <c r="W9106" s="11">
        <v>0.023552559080205426</v>
      </c>
      <c r="X9106" s="11">
        <v>0.0925923698184911</v>
      </c>
      <c r="Y9106" s="11">
        <v>0.3282588561484692</v>
      </c>
      <c r="Z9106" s="11">
        <v>0.18558922195414096</v>
      </c>
    </row>
    <row r="9107" ht="22.5" customHeight="1">
      <c r="Q9107" s="9" t="s">
        <v>9145</v>
      </c>
      <c r="R9107" s="10">
        <v>0.38384553232776447</v>
      </c>
      <c r="S9107" s="10">
        <v>0.020364043026346382</v>
      </c>
      <c r="T9107" s="10">
        <v>16.884934483928735</v>
      </c>
      <c r="U9107" s="11">
        <v>0.29040607520209466</v>
      </c>
      <c r="V9107" s="11">
        <v>0.0012513514297662859</v>
      </c>
      <c r="W9107" s="11">
        <v>0.1714168572371121</v>
      </c>
      <c r="X9107" s="11">
        <v>0.29277751691856585</v>
      </c>
      <c r="Y9107" s="11">
        <v>0.05950725753417526</v>
      </c>
      <c r="Z9107" s="11">
        <v>0.18464094167828596</v>
      </c>
    </row>
    <row r="9108" ht="22.5" customHeight="1">
      <c r="Q9108" s="9" t="s">
        <v>9146</v>
      </c>
      <c r="R9108" s="10">
        <v>0.3342891756627522</v>
      </c>
      <c r="S9108" s="10">
        <v>0.017430882663287794</v>
      </c>
      <c r="T9108" s="10">
        <v>16.88320559248396</v>
      </c>
      <c r="U9108" s="11">
        <v>0.08321430582823339</v>
      </c>
      <c r="V9108" s="11">
        <v>0.09258304892427402</v>
      </c>
      <c r="W9108" s="11">
        <v>0.035501217632936406</v>
      </c>
      <c r="X9108" s="11">
        <v>0.05660898239583214</v>
      </c>
      <c r="Y9108" s="11">
        <v>0.6930447371435495</v>
      </c>
      <c r="Z9108" s="11">
        <v>0.03904770807517448</v>
      </c>
    </row>
    <row r="9109" ht="22.5" customHeight="1">
      <c r="Q9109" s="9" t="s">
        <v>9147</v>
      </c>
      <c r="R9109" s="10">
        <v>0.45331033233068024</v>
      </c>
      <c r="S9109" s="10">
        <v>0.024487364117375062</v>
      </c>
      <c r="T9109" s="10">
        <v>16.878514582033556</v>
      </c>
      <c r="U9109" s="11">
        <v>0.19359990045059605</v>
      </c>
      <c r="V9109" s="11">
        <v>0.04423689933326362</v>
      </c>
      <c r="W9109" s="11">
        <v>0.20924337499112844</v>
      </c>
      <c r="X9109" s="11">
        <v>0.0016924389580478102</v>
      </c>
      <c r="Y9109" s="11">
        <v>0.2286329108919293</v>
      </c>
      <c r="Z9109" s="11">
        <v>0.32259447537503483</v>
      </c>
    </row>
    <row r="9110" ht="22.5" customHeight="1">
      <c r="Q9110" s="9" t="s">
        <v>9148</v>
      </c>
      <c r="R9110" s="10">
        <v>0.730274368814106</v>
      </c>
      <c r="S9110" s="10">
        <v>0.040896946466741</v>
      </c>
      <c r="T9110" s="10">
        <v>16.878384046971924</v>
      </c>
      <c r="U9110" s="11">
        <v>0.03493995259991172</v>
      </c>
      <c r="V9110" s="11">
        <v>0.1101194473904374</v>
      </c>
      <c r="W9110" s="11">
        <v>0.36226719331814883</v>
      </c>
      <c r="X9110" s="11">
        <v>0.03430268123999978</v>
      </c>
      <c r="Y9110" s="11">
        <v>0.03806359827410937</v>
      </c>
      <c r="Z9110" s="11">
        <v>0.4203071271773928</v>
      </c>
    </row>
    <row r="9111" ht="22.5" customHeight="1">
      <c r="Q9111" s="9" t="s">
        <v>9149</v>
      </c>
      <c r="R9111" s="10">
        <v>0.29873836648099544</v>
      </c>
      <c r="S9111" s="10">
        <v>0.015330724577475849</v>
      </c>
      <c r="T9111" s="10">
        <v>16.877112700931182</v>
      </c>
      <c r="U9111" s="11">
        <v>0.28369144386761125</v>
      </c>
      <c r="V9111" s="11">
        <v>0.004957366343964187</v>
      </c>
      <c r="W9111" s="11">
        <v>0.11605278507280455</v>
      </c>
      <c r="X9111" s="11">
        <v>0.12159087779099453</v>
      </c>
      <c r="Y9111" s="11">
        <v>0.22407335400326683</v>
      </c>
      <c r="Z9111" s="11">
        <v>0.24963417292135867</v>
      </c>
    </row>
    <row r="9112" ht="22.5" customHeight="1">
      <c r="Q9112" s="9" t="s">
        <v>9150</v>
      </c>
      <c r="R9112" s="10">
        <v>0.5622996806692506</v>
      </c>
      <c r="S9112" s="10">
        <v>0.03094987955304524</v>
      </c>
      <c r="T9112" s="10">
        <v>16.875661172576685</v>
      </c>
      <c r="U9112" s="11">
        <v>0.11004321207269217</v>
      </c>
      <c r="V9112" s="11">
        <v>0.05883628502824745</v>
      </c>
      <c r="W9112" s="11">
        <v>0.2712251275558006</v>
      </c>
      <c r="X9112" s="11">
        <v>0.04158037582653519</v>
      </c>
      <c r="Y9112" s="11">
        <v>0.2581978740758278</v>
      </c>
      <c r="Z9112" s="11">
        <v>0.2601171254408967</v>
      </c>
    </row>
    <row r="9113" ht="22.5" customHeight="1">
      <c r="Q9113" s="9" t="s">
        <v>9151</v>
      </c>
      <c r="R9113" s="10">
        <v>0.8179892257061411</v>
      </c>
      <c r="S9113" s="10">
        <v>0.04610166843555669</v>
      </c>
      <c r="T9113" s="10">
        <v>16.87551127989337</v>
      </c>
      <c r="U9113" s="11">
        <v>0.025066222715896307</v>
      </c>
      <c r="V9113" s="11">
        <v>0.12052743183450355</v>
      </c>
      <c r="W9113" s="11">
        <v>0.4081399349021703</v>
      </c>
      <c r="X9113" s="11">
        <v>0.010646293722085387</v>
      </c>
      <c r="Y9113" s="11">
        <v>0.1950831069606885</v>
      </c>
      <c r="Z9113" s="11">
        <v>0.24053700986465584</v>
      </c>
    </row>
    <row r="9114" ht="22.5" customHeight="1">
      <c r="Q9114" s="9" t="s">
        <v>9152</v>
      </c>
      <c r="R9114" s="10">
        <v>0.416761917685851</v>
      </c>
      <c r="S9114" s="10">
        <v>0.022328663826216236</v>
      </c>
      <c r="T9114" s="10">
        <v>16.873464557404116</v>
      </c>
      <c r="U9114" s="11">
        <v>0.30569624716543764</v>
      </c>
      <c r="V9114" s="11">
        <v>0.007347399231914819</v>
      </c>
      <c r="W9114" s="11">
        <v>0.1870282810866987</v>
      </c>
      <c r="X9114" s="11">
        <v>0.19848957282396607</v>
      </c>
      <c r="Y9114" s="11">
        <v>0.2507717327062202</v>
      </c>
      <c r="Z9114" s="11">
        <v>0.0506667669857625</v>
      </c>
    </row>
    <row r="9115" ht="22.5" customHeight="1">
      <c r="Q9115" s="9" t="s">
        <v>9153</v>
      </c>
      <c r="R9115" s="10">
        <v>1.0072079438538442</v>
      </c>
      <c r="S9115" s="10">
        <v>0.05732168502853699</v>
      </c>
      <c r="T9115" s="10">
        <v>16.873334120801402</v>
      </c>
      <c r="U9115" s="11">
        <v>0.007632275569690837</v>
      </c>
      <c r="V9115" s="11">
        <v>0.5524150761894975</v>
      </c>
      <c r="W9115" s="11">
        <v>0.09017520703800212</v>
      </c>
      <c r="X9115" s="11">
        <v>0.08740547548751011</v>
      </c>
      <c r="Y9115" s="11">
        <v>0.12209833025444271</v>
      </c>
      <c r="Z9115" s="11">
        <v>0.14027363546085686</v>
      </c>
    </row>
    <row r="9116" ht="22.5" customHeight="1">
      <c r="Q9116" s="9" t="s">
        <v>9154</v>
      </c>
      <c r="R9116" s="10">
        <v>0.5271256489753565</v>
      </c>
      <c r="S9116" s="10">
        <v>0.02887105557639972</v>
      </c>
      <c r="T9116" s="10">
        <v>16.87245718073264</v>
      </c>
      <c r="U9116" s="11">
        <v>0.16177866347273323</v>
      </c>
      <c r="V9116" s="11">
        <v>0.05365455241687427</v>
      </c>
      <c r="W9116" s="11">
        <v>0.25378085065131795</v>
      </c>
      <c r="X9116" s="11">
        <v>0.049674274278908526</v>
      </c>
      <c r="Y9116" s="11">
        <v>0.16377564005439868</v>
      </c>
      <c r="Z9116" s="11">
        <v>0.3173360191257674</v>
      </c>
    </row>
    <row r="9117" ht="22.5" customHeight="1">
      <c r="Q9117" s="9" t="s">
        <v>9155</v>
      </c>
      <c r="R9117" s="10">
        <v>0.5221154401827206</v>
      </c>
      <c r="S9117" s="10">
        <v>0.028582244262452313</v>
      </c>
      <c r="T9117" s="10">
        <v>16.86765516926402</v>
      </c>
      <c r="U9117" s="11">
        <v>0.1618671728445934</v>
      </c>
      <c r="V9117" s="11">
        <v>0.04750258392915454</v>
      </c>
      <c r="W9117" s="11">
        <v>0.25090889174623676</v>
      </c>
      <c r="X9117" s="11">
        <v>0.06948833251525106</v>
      </c>
      <c r="Y9117" s="11">
        <v>0.20456175716990346</v>
      </c>
      <c r="Z9117" s="11">
        <v>0.26567126179486084</v>
      </c>
    </row>
    <row r="9118" ht="22.5" customHeight="1">
      <c r="Q9118" s="9" t="s">
        <v>9156</v>
      </c>
      <c r="R9118" s="10">
        <v>0.22105261041937768</v>
      </c>
      <c r="S9118" s="10">
        <v>0.010734725450432343</v>
      </c>
      <c r="T9118" s="10">
        <v>16.86606809418547</v>
      </c>
      <c r="U9118" s="11">
        <v>0.09117407454653664</v>
      </c>
      <c r="V9118" s="11">
        <v>0.045754605491034654</v>
      </c>
      <c r="W9118" s="11">
        <v>0.0410358143604029</v>
      </c>
      <c r="X9118" s="11">
        <v>0.008558153502129514</v>
      </c>
      <c r="Y9118" s="11">
        <v>0.23169018346769393</v>
      </c>
      <c r="Z9118" s="11">
        <v>0.5817871686322023</v>
      </c>
    </row>
    <row r="9119" ht="22.5" customHeight="1">
      <c r="Q9119" s="9" t="s">
        <v>9157</v>
      </c>
      <c r="R9119" s="10">
        <v>0.48975377527128455</v>
      </c>
      <c r="S9119" s="10">
        <v>0.026668539705462152</v>
      </c>
      <c r="T9119" s="10">
        <v>16.864582022058286</v>
      </c>
      <c r="U9119" s="11">
        <v>0.038588997673685836</v>
      </c>
      <c r="V9119" s="11">
        <v>0.25324008625458005</v>
      </c>
      <c r="W9119" s="11">
        <v>0.026171466465316238</v>
      </c>
      <c r="X9119" s="11">
        <v>0.026794345547641582</v>
      </c>
      <c r="Y9119" s="11">
        <v>0.16846083574457663</v>
      </c>
      <c r="Z9119" s="11">
        <v>0.4867442683141997</v>
      </c>
    </row>
    <row r="9120" ht="22.5" customHeight="1">
      <c r="Q9120" s="9" t="s">
        <v>9158</v>
      </c>
      <c r="R9120" s="10">
        <v>0.4059378927313967</v>
      </c>
      <c r="S9120" s="10">
        <v>0.02169906031114143</v>
      </c>
      <c r="T9120" s="10">
        <v>16.86422764323601</v>
      </c>
      <c r="U9120" s="11">
        <v>0.2856437816531209</v>
      </c>
      <c r="V9120" s="11">
        <v>0.005611904385341462</v>
      </c>
      <c r="W9120" s="11">
        <v>0.17679946322776505</v>
      </c>
      <c r="X9120" s="11">
        <v>0.19308490582788748</v>
      </c>
      <c r="Y9120" s="11">
        <v>0.3312423002929119</v>
      </c>
      <c r="Z9120" s="11">
        <v>0.007617644612973155</v>
      </c>
    </row>
    <row r="9121" ht="22.5" customHeight="1">
      <c r="Q9121" s="9" t="s">
        <v>9159</v>
      </c>
      <c r="R9121" s="10">
        <v>0.6430265656267788</v>
      </c>
      <c r="S9121" s="10">
        <v>0.03576091585031525</v>
      </c>
      <c r="T9121" s="10">
        <v>16.862727122282656</v>
      </c>
      <c r="U9121" s="11">
        <v>0.2080068894335878</v>
      </c>
      <c r="V9121" s="11">
        <v>0.07576602690779254</v>
      </c>
      <c r="W9121" s="11">
        <v>0.3186588510053144</v>
      </c>
      <c r="X9121" s="11">
        <v>0.08241753686541212</v>
      </c>
      <c r="Y9121" s="11">
        <v>0.03230996139753321</v>
      </c>
      <c r="Z9121" s="11">
        <v>0.2828407343903599</v>
      </c>
    </row>
    <row r="9122" ht="22.5" customHeight="1">
      <c r="Q9122" s="9" t="s">
        <v>9160</v>
      </c>
      <c r="R9122" s="10">
        <v>0.6247164690028832</v>
      </c>
      <c r="S9122" s="10">
        <v>0.034683657306431165</v>
      </c>
      <c r="T9122" s="10">
        <v>16.858558595389624</v>
      </c>
      <c r="U9122" s="11">
        <v>0.11461814793917395</v>
      </c>
      <c r="V9122" s="11">
        <v>0.041938138877647704</v>
      </c>
      <c r="W9122" s="11">
        <v>0.3091338433060522</v>
      </c>
      <c r="X9122" s="11">
        <v>0.27356397740343785</v>
      </c>
      <c r="Y9122" s="11">
        <v>0.18352586551624772</v>
      </c>
      <c r="Z9122" s="11">
        <v>0.07722002695744061</v>
      </c>
    </row>
    <row r="9123" ht="22.5" customHeight="1">
      <c r="Q9123" s="9" t="s">
        <v>9161</v>
      </c>
      <c r="R9123" s="10">
        <v>0.708839226950586</v>
      </c>
      <c r="S9123" s="10">
        <v>0.039676625697595426</v>
      </c>
      <c r="T9123" s="10">
        <v>16.85726079753603</v>
      </c>
      <c r="U9123" s="11">
        <v>0.10299647433380969</v>
      </c>
      <c r="V9123" s="11">
        <v>0.38195038436119094</v>
      </c>
      <c r="W9123" s="11">
        <v>0.052143653683119705</v>
      </c>
      <c r="X9123" s="11">
        <v>0.020813442963444444</v>
      </c>
      <c r="Y9123" s="11">
        <v>0.13517377990340285</v>
      </c>
      <c r="Z9123" s="11">
        <v>0.30692226475503237</v>
      </c>
    </row>
    <row r="9124" ht="22.5" customHeight="1">
      <c r="Q9124" s="9" t="s">
        <v>9162</v>
      </c>
      <c r="R9124" s="10">
        <v>0.5000457337132864</v>
      </c>
      <c r="S9124" s="10">
        <v>0.027296390894177226</v>
      </c>
      <c r="T9124" s="10">
        <v>16.853720167504704</v>
      </c>
      <c r="U9124" s="11">
        <v>0.08720376583581187</v>
      </c>
      <c r="V9124" s="11">
        <v>0.2552729587492818</v>
      </c>
      <c r="W9124" s="11">
        <v>0.006327848980136851</v>
      </c>
      <c r="X9124" s="11">
        <v>0.12756923869421521</v>
      </c>
      <c r="Y9124" s="11">
        <v>0.2937712783700015</v>
      </c>
      <c r="Z9124" s="11">
        <v>0.2298549093705528</v>
      </c>
    </row>
    <row r="9125" ht="22.5" customHeight="1">
      <c r="Q9125" s="9" t="s">
        <v>9163</v>
      </c>
      <c r="R9125" s="10">
        <v>0.5096946095900518</v>
      </c>
      <c r="S9125" s="10">
        <v>0.027874365319481637</v>
      </c>
      <c r="T9125" s="10">
        <v>16.85041450116097</v>
      </c>
      <c r="U9125" s="11">
        <v>0.25750664120285616</v>
      </c>
      <c r="V9125" s="11">
        <v>0.2620635506320443</v>
      </c>
      <c r="W9125" s="11">
        <v>9.925968491056618E-4</v>
      </c>
      <c r="X9125" s="11">
        <v>0.2507608805317217</v>
      </c>
      <c r="Y9125" s="11">
        <v>0.014990646308894582</v>
      </c>
      <c r="Z9125" s="11">
        <v>0.21368568447537756</v>
      </c>
    </row>
    <row r="9126" ht="22.5" customHeight="1">
      <c r="Q9126" s="9" t="s">
        <v>9164</v>
      </c>
      <c r="R9126" s="10">
        <v>0.6099591727357802</v>
      </c>
      <c r="S9126" s="10">
        <v>0.033824656786883324</v>
      </c>
      <c r="T9126" s="10">
        <v>16.850405203721134</v>
      </c>
      <c r="U9126" s="11">
        <v>0.10501946094687149</v>
      </c>
      <c r="V9126" s="11">
        <v>0.044472986923228</v>
      </c>
      <c r="W9126" s="11">
        <v>0.30281092254513126</v>
      </c>
      <c r="X9126" s="11">
        <v>0.2821959423877758</v>
      </c>
      <c r="Y9126" s="11">
        <v>0.07647852618261734</v>
      </c>
      <c r="Z9126" s="11">
        <v>0.18902216101437608</v>
      </c>
    </row>
    <row r="9127" ht="22.5" customHeight="1">
      <c r="Q9127" s="9" t="s">
        <v>9165</v>
      </c>
      <c r="R9127" s="10">
        <v>0.5809507400761952</v>
      </c>
      <c r="S9127" s="10">
        <v>0.032104485740598154</v>
      </c>
      <c r="T9127" s="10">
        <v>16.849693355845556</v>
      </c>
      <c r="U9127" s="11">
        <v>0.30251603820557876</v>
      </c>
      <c r="V9127" s="11">
        <v>0.3011418518466407</v>
      </c>
      <c r="W9127" s="11">
        <v>0.013374739859682709</v>
      </c>
      <c r="X9127" s="11">
        <v>0.10856713963158561</v>
      </c>
      <c r="Y9127" s="11">
        <v>0.2285455307424259</v>
      </c>
      <c r="Z9127" s="11">
        <v>0.04585469971408623</v>
      </c>
    </row>
    <row r="9128" ht="22.5" customHeight="1">
      <c r="Q9128" s="9" t="s">
        <v>9166</v>
      </c>
      <c r="R9128" s="10">
        <v>0.5047233510958048</v>
      </c>
      <c r="S9128" s="10">
        <v>0.027581594285489085</v>
      </c>
      <c r="T9128" s="10">
        <v>16.849038756990918</v>
      </c>
      <c r="U9128" s="11">
        <v>0.21121883965283378</v>
      </c>
      <c r="V9128" s="11">
        <v>0.2567701500800628</v>
      </c>
      <c r="W9128" s="11">
        <v>0.0022974624746418346</v>
      </c>
      <c r="X9128" s="11">
        <v>0.14470048143130443</v>
      </c>
      <c r="Y9128" s="11">
        <v>0.2510661787118242</v>
      </c>
      <c r="Z9128" s="11">
        <v>0.13394688764933294</v>
      </c>
    </row>
    <row r="9129" ht="22.5" customHeight="1">
      <c r="Q9129" s="9" t="s">
        <v>9167</v>
      </c>
      <c r="R9129" s="10">
        <v>0.542132568235893</v>
      </c>
      <c r="S9129" s="10">
        <v>0.029803310634319718</v>
      </c>
      <c r="T9129" s="10">
        <v>16.848214428153728</v>
      </c>
      <c r="U9129" s="11">
        <v>0.235694890224938</v>
      </c>
      <c r="V9129" s="11">
        <v>0.28040103588806453</v>
      </c>
      <c r="W9129" s="11">
        <v>0.009491840344846212</v>
      </c>
      <c r="X9129" s="11">
        <v>0.12182331035245755</v>
      </c>
      <c r="Y9129" s="11">
        <v>0.213889129935132</v>
      </c>
      <c r="Z9129" s="11">
        <v>0.1386997932545618</v>
      </c>
    </row>
    <row r="9130" ht="22.5" customHeight="1">
      <c r="Q9130" s="9" t="s">
        <v>9168</v>
      </c>
      <c r="R9130" s="10">
        <v>0.4857278075689209</v>
      </c>
      <c r="S9130" s="10">
        <v>0.026456561024541594</v>
      </c>
      <c r="T9130" s="10">
        <v>16.84753385579689</v>
      </c>
      <c r="U9130" s="11">
        <v>0.19428566844223097</v>
      </c>
      <c r="V9130" s="11">
        <v>0.03232044419912277</v>
      </c>
      <c r="W9130" s="11">
        <v>0.2335234175059111</v>
      </c>
      <c r="X9130" s="11">
        <v>0.16286264326094455</v>
      </c>
      <c r="Y9130" s="11">
        <v>0.09912916344767421</v>
      </c>
      <c r="Z9130" s="11">
        <v>0.2778786631441164</v>
      </c>
    </row>
    <row r="9131" ht="22.5" customHeight="1">
      <c r="Q9131" s="9" t="s">
        <v>9169</v>
      </c>
      <c r="R9131" s="10">
        <v>0.5026842455027621</v>
      </c>
      <c r="S9131" s="10">
        <v>0.027463415211877087</v>
      </c>
      <c r="T9131" s="10">
        <v>16.84729455288814</v>
      </c>
      <c r="U9131" s="11">
        <v>0.12119613559623336</v>
      </c>
      <c r="V9131" s="11">
        <v>0.021799779063435075</v>
      </c>
      <c r="W9131" s="11">
        <v>0.2419647725257302</v>
      </c>
      <c r="X9131" s="11">
        <v>0.2705725452042918</v>
      </c>
      <c r="Y9131" s="11">
        <v>0.16280606067681025</v>
      </c>
      <c r="Z9131" s="11">
        <v>0.18166070693349926</v>
      </c>
    </row>
    <row r="9132" ht="22.5" customHeight="1">
      <c r="Q9132" s="9" t="s">
        <v>9170</v>
      </c>
      <c r="R9132" s="10">
        <v>0.5964041333535787</v>
      </c>
      <c r="S9132" s="10">
        <v>0.0330290160308899</v>
      </c>
      <c r="T9132" s="10">
        <v>16.84591914070979</v>
      </c>
      <c r="U9132" s="11">
        <v>0.3436172371453436</v>
      </c>
      <c r="V9132" s="11">
        <v>0.044536188196789395</v>
      </c>
      <c r="W9132" s="11">
        <v>0.29406792219295624</v>
      </c>
      <c r="X9132" s="11">
        <v>0.1903167912861472</v>
      </c>
      <c r="Y9132" s="11">
        <v>0.04929389607116707</v>
      </c>
      <c r="Z9132" s="11">
        <v>0.07816796510759656</v>
      </c>
    </row>
    <row r="9133" ht="22.5" customHeight="1">
      <c r="Q9133" s="9" t="s">
        <v>9171</v>
      </c>
      <c r="R9133" s="10">
        <v>0.6857362200272487</v>
      </c>
      <c r="S9133" s="10">
        <v>0.03833370755983416</v>
      </c>
      <c r="T9133" s="10">
        <v>16.845128246969967</v>
      </c>
      <c r="U9133" s="11">
        <v>0.04338625304984179</v>
      </c>
      <c r="V9133" s="11">
        <v>0.06985198842298032</v>
      </c>
      <c r="W9133" s="11">
        <v>0.3422100389795164</v>
      </c>
      <c r="X9133" s="11">
        <v>0.16079481487375413</v>
      </c>
      <c r="Y9133" s="11">
        <v>0.20410198408689445</v>
      </c>
      <c r="Z9133" s="11">
        <v>0.17965492058701288</v>
      </c>
    </row>
    <row r="9134" ht="22.5" customHeight="1">
      <c r="Q9134" s="9" t="s">
        <v>9172</v>
      </c>
      <c r="R9134" s="10">
        <v>0.44594717064667655</v>
      </c>
      <c r="S9134" s="10">
        <v>0.024099059427417975</v>
      </c>
      <c r="T9134" s="10">
        <v>16.844938362400256</v>
      </c>
      <c r="U9134" s="11">
        <v>0.13431861410527382</v>
      </c>
      <c r="V9134" s="11">
        <v>0.014135109224862817</v>
      </c>
      <c r="W9134" s="11">
        <v>0.21036299609025977</v>
      </c>
      <c r="X9134" s="11">
        <v>0.28178324637956464</v>
      </c>
      <c r="Y9134" s="11">
        <v>0.10343290327816583</v>
      </c>
      <c r="Z9134" s="11">
        <v>0.2559671309218731</v>
      </c>
    </row>
    <row r="9135" ht="22.5" customHeight="1">
      <c r="Q9135" s="9" t="s">
        <v>9173</v>
      </c>
      <c r="R9135" s="10">
        <v>0.7187675346621992</v>
      </c>
      <c r="S9135" s="10">
        <v>0.04029840664479348</v>
      </c>
      <c r="T9135" s="10">
        <v>16.843532813719705</v>
      </c>
      <c r="U9135" s="11">
        <v>0.04195518221735471</v>
      </c>
      <c r="V9135" s="11">
        <v>0.09071713653612497</v>
      </c>
      <c r="W9135" s="11">
        <v>0.3558361549818154</v>
      </c>
      <c r="X9135" s="11">
        <v>0.031712736624580205</v>
      </c>
      <c r="Y9135" s="11">
        <v>0.28784323801560974</v>
      </c>
      <c r="Z9135" s="11">
        <v>0.1919355516245149</v>
      </c>
    </row>
    <row r="9136" ht="22.5" customHeight="1">
      <c r="Q9136" s="9" t="s">
        <v>9174</v>
      </c>
      <c r="R9136" s="10">
        <v>0.7988569995651419</v>
      </c>
      <c r="S9136" s="10">
        <v>0.04505596500403286</v>
      </c>
      <c r="T9136" s="10">
        <v>16.842542369189477</v>
      </c>
      <c r="U9136" s="11">
        <v>0.10785152065915796</v>
      </c>
      <c r="V9136" s="11">
        <v>0.08032147592097254</v>
      </c>
      <c r="W9136" s="11">
        <v>0.4054706739337727</v>
      </c>
      <c r="X9136" s="11">
        <v>0.3072187903825384</v>
      </c>
      <c r="Y9136" s="11">
        <v>0.012565964369478181</v>
      </c>
      <c r="Z9136" s="11">
        <v>0.08657157473408021</v>
      </c>
    </row>
    <row r="9137" ht="22.5" customHeight="1">
      <c r="Q9137" s="9" t="s">
        <v>9175</v>
      </c>
      <c r="R9137" s="10">
        <v>0.6322694224259672</v>
      </c>
      <c r="S9137" s="10">
        <v>0.03516628971637543</v>
      </c>
      <c r="T9137" s="10">
        <v>16.84196505240565</v>
      </c>
      <c r="U9137" s="11">
        <v>0.18132881892646038</v>
      </c>
      <c r="V9137" s="11">
        <v>0.3336456622958794</v>
      </c>
      <c r="W9137" s="11">
        <v>0.00997219805907809</v>
      </c>
      <c r="X9137" s="11">
        <v>0.23229153912807796</v>
      </c>
      <c r="Y9137" s="11">
        <v>0.1892505318107956</v>
      </c>
      <c r="Z9137" s="11">
        <v>0.05351124977970866</v>
      </c>
    </row>
    <row r="9138" ht="22.5" customHeight="1">
      <c r="Q9138" s="9" t="s">
        <v>9176</v>
      </c>
      <c r="R9138" s="10">
        <v>0.7354163926297993</v>
      </c>
      <c r="S9138" s="10">
        <v>0.041290878895586705</v>
      </c>
      <c r="T9138" s="10">
        <v>16.84188884398214</v>
      </c>
      <c r="U9138" s="11">
        <v>0.012871145297083718</v>
      </c>
      <c r="V9138" s="11">
        <v>0.099301273855105</v>
      </c>
      <c r="W9138" s="11">
        <v>0.36716818702597254</v>
      </c>
      <c r="X9138" s="11">
        <v>0.057368031327783245</v>
      </c>
      <c r="Y9138" s="11">
        <v>0.1522058991246641</v>
      </c>
      <c r="Z9138" s="11">
        <v>0.31108546336939136</v>
      </c>
    </row>
    <row r="9139" ht="22.5" customHeight="1">
      <c r="Q9139" s="9" t="s">
        <v>9177</v>
      </c>
      <c r="R9139" s="10">
        <v>0.460389075227886</v>
      </c>
      <c r="S9139" s="10">
        <v>0.02496190219099034</v>
      </c>
      <c r="T9139" s="10">
        <v>16.841227563964246</v>
      </c>
      <c r="U9139" s="11">
        <v>0.23863165778917825</v>
      </c>
      <c r="V9139" s="11">
        <v>0.014535101961493692</v>
      </c>
      <c r="W9139" s="11">
        <v>0.21614079763061886</v>
      </c>
      <c r="X9139" s="11">
        <v>0.21661157548136267</v>
      </c>
      <c r="Y9139" s="11">
        <v>0.20560497174788742</v>
      </c>
      <c r="Z9139" s="11">
        <v>0.10847589538945916</v>
      </c>
    </row>
    <row r="9140" ht="22.5" customHeight="1">
      <c r="Q9140" s="9" t="s">
        <v>9178</v>
      </c>
      <c r="R9140" s="10">
        <v>0.7640318716185241</v>
      </c>
      <c r="S9140" s="10">
        <v>0.0429930832440048</v>
      </c>
      <c r="T9140" s="10">
        <v>16.840659403498055</v>
      </c>
      <c r="U9140" s="11">
        <v>0.028589665611444187</v>
      </c>
      <c r="V9140" s="11">
        <v>0.4102781039251937</v>
      </c>
      <c r="W9140" s="11">
        <v>0.02821685242717031</v>
      </c>
      <c r="X9140" s="11">
        <v>0.23199473353032485</v>
      </c>
      <c r="Y9140" s="11">
        <v>0.2806254548462991</v>
      </c>
      <c r="Z9140" s="11">
        <v>0.02029518965956785</v>
      </c>
    </row>
    <row r="9141" ht="22.5" customHeight="1">
      <c r="Q9141" s="9" t="s">
        <v>9179</v>
      </c>
      <c r="R9141" s="10">
        <v>0.5568703387118771</v>
      </c>
      <c r="S9141" s="10">
        <v>0.030695299311638332</v>
      </c>
      <c r="T9141" s="10">
        <v>16.838745681033387</v>
      </c>
      <c r="U9141" s="11">
        <v>0.22332327275564057</v>
      </c>
      <c r="V9141" s="11">
        <v>0.023970416921181407</v>
      </c>
      <c r="W9141" s="11">
        <v>0.27223821979639945</v>
      </c>
      <c r="X9141" s="11">
        <v>0.33185183747439073</v>
      </c>
      <c r="Y9141" s="11">
        <v>0.07552230534917041</v>
      </c>
      <c r="Z9141" s="11">
        <v>0.07309394770321724</v>
      </c>
    </row>
    <row r="9142" ht="22.5" customHeight="1">
      <c r="Q9142" s="9" t="s">
        <v>9180</v>
      </c>
      <c r="R9142" s="10">
        <v>0.5539067610938339</v>
      </c>
      <c r="S9142" s="10">
        <v>0.03052053006774871</v>
      </c>
      <c r="T9142" s="10">
        <v>16.838068013664127</v>
      </c>
      <c r="U9142" s="11">
        <v>0.1947630007551434</v>
      </c>
      <c r="V9142" s="11">
        <v>0.2865523925084701</v>
      </c>
      <c r="W9142" s="11">
        <v>0.013452954348087718</v>
      </c>
      <c r="X9142" s="11">
        <v>0.08895948124752068</v>
      </c>
      <c r="Y9142" s="11">
        <v>0.2804136435807723</v>
      </c>
      <c r="Z9142" s="11">
        <v>0.13585852756000577</v>
      </c>
    </row>
    <row r="9143" ht="22.5" customHeight="1">
      <c r="Q9143" s="9" t="s">
        <v>9181</v>
      </c>
      <c r="R9143" s="10">
        <v>0.5312536015975723</v>
      </c>
      <c r="S9143" s="10">
        <v>0.02917540224905447</v>
      </c>
      <c r="T9143" s="10">
        <v>16.83793756822986</v>
      </c>
      <c r="U9143" s="11">
        <v>0.24479881210998639</v>
      </c>
      <c r="V9143" s="11">
        <v>0.03857716852623485</v>
      </c>
      <c r="W9143" s="11">
        <v>0.2495111540145965</v>
      </c>
      <c r="X9143" s="11">
        <v>0.0747749509301303</v>
      </c>
      <c r="Y9143" s="11">
        <v>0.37230977603197657</v>
      </c>
      <c r="Z9143" s="11">
        <v>0.020028138387075334</v>
      </c>
    </row>
    <row r="9144" ht="22.5" customHeight="1">
      <c r="Q9144" s="9" t="s">
        <v>9182</v>
      </c>
      <c r="R9144" s="10">
        <v>0.5104844074448861</v>
      </c>
      <c r="S9144" s="10">
        <v>0.02794243536200366</v>
      </c>
      <c r="T9144" s="10">
        <v>16.837630698598822</v>
      </c>
      <c r="U9144" s="11">
        <v>0.189133690940683</v>
      </c>
      <c r="V9144" s="11">
        <v>0.03507605632880485</v>
      </c>
      <c r="W9144" s="11">
        <v>0.24788815837076206</v>
      </c>
      <c r="X9144" s="11">
        <v>0.1824986657014882</v>
      </c>
      <c r="Y9144" s="11">
        <v>0.080404767151389</v>
      </c>
      <c r="Z9144" s="11">
        <v>0.264998661506873</v>
      </c>
    </row>
    <row r="9145" ht="22.5" customHeight="1">
      <c r="Q9145" s="9" t="s">
        <v>9183</v>
      </c>
      <c r="R9145" s="10">
        <v>0.4812421392136142</v>
      </c>
      <c r="S9145" s="10">
        <v>0.026206314114451238</v>
      </c>
      <c r="T9145" s="10">
        <v>16.83724530227985</v>
      </c>
      <c r="U9145" s="11">
        <v>0.27803081080943465</v>
      </c>
      <c r="V9145" s="11">
        <v>0.03370944940264936</v>
      </c>
      <c r="W9145" s="11">
        <v>0.2278981636726197</v>
      </c>
      <c r="X9145" s="11">
        <v>0.08504550197321714</v>
      </c>
      <c r="Y9145" s="11">
        <v>0.1908472529931974</v>
      </c>
      <c r="Z9145" s="11">
        <v>0.18446882114888158</v>
      </c>
    </row>
    <row r="9146" ht="22.5" customHeight="1">
      <c r="Q9146" s="9" t="s">
        <v>9184</v>
      </c>
      <c r="R9146" s="10">
        <v>0.3661928868134342</v>
      </c>
      <c r="S9146" s="10">
        <v>0.019373512412935293</v>
      </c>
      <c r="T9146" s="10">
        <v>16.837054626998974</v>
      </c>
      <c r="U9146" s="11">
        <v>0.2300963832326153</v>
      </c>
      <c r="V9146" s="11">
        <v>0.17151301849193906</v>
      </c>
      <c r="W9146" s="11">
        <v>0.0016642435737654658</v>
      </c>
      <c r="X9146" s="11">
        <v>0.04978523396228145</v>
      </c>
      <c r="Y9146" s="11">
        <v>0.24793677586322532</v>
      </c>
      <c r="Z9146" s="11">
        <v>0.2990043448761734</v>
      </c>
    </row>
    <row r="9147" ht="22.5" customHeight="1">
      <c r="Q9147" s="9" t="s">
        <v>9185</v>
      </c>
      <c r="R9147" s="10">
        <v>0.7785646611369837</v>
      </c>
      <c r="S9147" s="10">
        <v>0.04386794015414078</v>
      </c>
      <c r="T9147" s="10">
        <v>16.836091654676636</v>
      </c>
      <c r="U9147" s="11">
        <v>0.20953030214386084</v>
      </c>
      <c r="V9147" s="11">
        <v>0.4224033289501717</v>
      </c>
      <c r="W9147" s="11">
        <v>0.04539854825883605</v>
      </c>
      <c r="X9147" s="11">
        <v>0.13611010400461537</v>
      </c>
      <c r="Y9147" s="11">
        <v>0.059056125225387966</v>
      </c>
      <c r="Z9147" s="11">
        <v>0.1275015914171281</v>
      </c>
    </row>
    <row r="9148" ht="22.5" customHeight="1">
      <c r="Q9148" s="9" t="s">
        <v>9186</v>
      </c>
      <c r="R9148" s="10">
        <v>0.48392463132450114</v>
      </c>
      <c r="S9148" s="10">
        <v>0.02637425545953357</v>
      </c>
      <c r="T9148" s="10">
        <v>16.831740786223204</v>
      </c>
      <c r="U9148" s="11">
        <v>0.19097833636781592</v>
      </c>
      <c r="V9148" s="11">
        <v>0.03180282818489353</v>
      </c>
      <c r="W9148" s="11">
        <v>0.23141905651925065</v>
      </c>
      <c r="X9148" s="11">
        <v>0.1313214659786904</v>
      </c>
      <c r="Y9148" s="11">
        <v>0.177199493782702</v>
      </c>
      <c r="Z9148" s="11">
        <v>0.2372788191666476</v>
      </c>
    </row>
    <row r="9149" ht="22.5" customHeight="1">
      <c r="Q9149" s="9" t="s">
        <v>9187</v>
      </c>
      <c r="R9149" s="10">
        <v>0.5349999691040357</v>
      </c>
      <c r="S9149" s="10">
        <v>0.02941081763632956</v>
      </c>
      <c r="T9149" s="10">
        <v>16.83054089909386</v>
      </c>
      <c r="U9149" s="11">
        <v>0.1826736755671726</v>
      </c>
      <c r="V9149" s="11">
        <v>0.04277738262544906</v>
      </c>
      <c r="W9149" s="11">
        <v>0.26015469337886826</v>
      </c>
      <c r="X9149" s="11">
        <v>0.11890507477487587</v>
      </c>
      <c r="Y9149" s="11">
        <v>0.1699456824917807</v>
      </c>
      <c r="Z9149" s="11">
        <v>0.22554349116185354</v>
      </c>
    </row>
    <row r="9150" ht="22.5" customHeight="1">
      <c r="Q9150" s="9" t="s">
        <v>9188</v>
      </c>
      <c r="R9150" s="10">
        <v>0.5218994989053637</v>
      </c>
      <c r="S9150" s="10">
        <v>0.02863734994103923</v>
      </c>
      <c r="T9150" s="10">
        <v>16.827656885065668</v>
      </c>
      <c r="U9150" s="11">
        <v>0.2756534760836603</v>
      </c>
      <c r="V9150" s="11">
        <v>0.03858271878573042</v>
      </c>
      <c r="W9150" s="11">
        <v>0.2539111544579413</v>
      </c>
      <c r="X9150" s="11">
        <v>0.16586826598784107</v>
      </c>
      <c r="Y9150" s="11">
        <v>0.028824300716098733</v>
      </c>
      <c r="Z9150" s="11">
        <v>0.237160083968728</v>
      </c>
    </row>
    <row r="9151" ht="22.5" customHeight="1">
      <c r="Q9151" s="9" t="s">
        <v>9189</v>
      </c>
      <c r="R9151" s="10">
        <v>0.9048855712501799</v>
      </c>
      <c r="S9151" s="10">
        <v>0.051399358418880596</v>
      </c>
      <c r="T9151" s="10">
        <v>16.826777567956572</v>
      </c>
      <c r="U9151" s="11">
        <v>0.2830244820997707</v>
      </c>
      <c r="V9151" s="11">
        <v>0.1251993777976799</v>
      </c>
      <c r="W9151" s="11">
        <v>0.4576959380244272</v>
      </c>
      <c r="X9151" s="11">
        <v>0.03302262919317484</v>
      </c>
      <c r="Y9151" s="11">
        <v>0.09293727017990978</v>
      </c>
      <c r="Z9151" s="11">
        <v>0.008120302705037713</v>
      </c>
    </row>
    <row r="9152" ht="22.5" customHeight="1">
      <c r="Q9152" s="9" t="s">
        <v>9190</v>
      </c>
      <c r="R9152" s="10">
        <v>0.45787362508119234</v>
      </c>
      <c r="S9152" s="10">
        <v>0.024840456863668436</v>
      </c>
      <c r="T9152" s="10">
        <v>16.82230030528838</v>
      </c>
      <c r="U9152" s="11">
        <v>0.13857337835355177</v>
      </c>
      <c r="V9152" s="11">
        <v>0.01123244595237833</v>
      </c>
      <c r="W9152" s="11">
        <v>0.2120373562349772</v>
      </c>
      <c r="X9152" s="11">
        <v>0.2468130479160973</v>
      </c>
      <c r="Y9152" s="11">
        <v>0.3028273181224167</v>
      </c>
      <c r="Z9152" s="11">
        <v>0.08851645342057873</v>
      </c>
    </row>
    <row r="9153" ht="22.5" customHeight="1">
      <c r="Q9153" s="9" t="s">
        <v>9191</v>
      </c>
      <c r="R9153" s="10">
        <v>0.6649406668418287</v>
      </c>
      <c r="S9153" s="10">
        <v>0.03715090202412</v>
      </c>
      <c r="T9153" s="10">
        <v>16.82168218785347</v>
      </c>
      <c r="U9153" s="11">
        <v>0.10211691477032278</v>
      </c>
      <c r="V9153" s="11">
        <v>0.06369658749357314</v>
      </c>
      <c r="W9153" s="11">
        <v>0.33281552110869156</v>
      </c>
      <c r="X9153" s="11">
        <v>0.17808599874329542</v>
      </c>
      <c r="Y9153" s="11">
        <v>0.13632898193134382</v>
      </c>
      <c r="Z9153" s="11">
        <v>0.18695599595277324</v>
      </c>
    </row>
    <row r="9154" ht="22.5" customHeight="1">
      <c r="Q9154" s="9" t="s">
        <v>9192</v>
      </c>
      <c r="R9154" s="10">
        <v>0.5871512672211952</v>
      </c>
      <c r="S9154" s="10">
        <v>0.03253085852749481</v>
      </c>
      <c r="T9154" s="10">
        <v>16.819453650715904</v>
      </c>
      <c r="U9154" s="11">
        <v>0.15354476838572323</v>
      </c>
      <c r="V9154" s="11">
        <v>0.31004745469919864</v>
      </c>
      <c r="W9154" s="11">
        <v>0.010496187986804913</v>
      </c>
      <c r="X9154" s="11">
        <v>0.19609539226077752</v>
      </c>
      <c r="Y9154" s="11">
        <v>0.15331937132696874</v>
      </c>
      <c r="Z9154" s="11">
        <v>0.1764968253405269</v>
      </c>
    </row>
    <row r="9155" ht="22.5" customHeight="1">
      <c r="Q9155" s="9" t="s">
        <v>9193</v>
      </c>
      <c r="R9155" s="10">
        <v>0.4780538121362872</v>
      </c>
      <c r="S9155" s="10">
        <v>0.026045984931135413</v>
      </c>
      <c r="T9155" s="10">
        <v>16.818477523291392</v>
      </c>
      <c r="U9155" s="11">
        <v>0.09375714359147322</v>
      </c>
      <c r="V9155" s="11">
        <v>0.2405132208362335</v>
      </c>
      <c r="W9155" s="11">
        <v>0.00790011004226744</v>
      </c>
      <c r="X9155" s="11">
        <v>0.07966810318130887</v>
      </c>
      <c r="Y9155" s="11">
        <v>0.34529880711754446</v>
      </c>
      <c r="Z9155" s="11">
        <v>0.23286261523117244</v>
      </c>
    </row>
    <row r="9156" ht="22.5" customHeight="1">
      <c r="Q9156" s="9" t="s">
        <v>9194</v>
      </c>
      <c r="R9156" s="10">
        <v>0.53708369253472</v>
      </c>
      <c r="S9156" s="10">
        <v>0.02956017326389687</v>
      </c>
      <c r="T9156" s="10">
        <v>16.815993874495653</v>
      </c>
      <c r="U9156" s="11">
        <v>0.24929188882682043</v>
      </c>
      <c r="V9156" s="11">
        <v>0.031164545717098105</v>
      </c>
      <c r="W9156" s="11">
        <v>0.26281824986509245</v>
      </c>
      <c r="X9156" s="11">
        <v>0.23828630150840455</v>
      </c>
      <c r="Y9156" s="11">
        <v>0.05358783991262596</v>
      </c>
      <c r="Z9156" s="11">
        <v>0.16485117416995854</v>
      </c>
    </row>
    <row r="9157" ht="22.5" customHeight="1">
      <c r="Q9157" s="9" t="s">
        <v>9195</v>
      </c>
      <c r="R9157" s="10">
        <v>0.522331348251574</v>
      </c>
      <c r="S9157" s="10">
        <v>0.022773579139597284</v>
      </c>
      <c r="T9157" s="10">
        <v>16.812681903623677</v>
      </c>
      <c r="U9157" s="11">
        <v>0.09050308880837087</v>
      </c>
      <c r="V9157" s="11">
        <v>0.01917270822896356</v>
      </c>
      <c r="W9157" s="11">
        <v>0.19336467346766567</v>
      </c>
      <c r="X9157" s="11">
        <v>0.15096570261129877</v>
      </c>
      <c r="Y9157" s="11">
        <v>0.30279212386684184</v>
      </c>
      <c r="Z9157" s="11">
        <v>0.24320170301685945</v>
      </c>
    </row>
    <row r="9158" ht="22.5" customHeight="1">
      <c r="Q9158" s="9" t="s">
        <v>9196</v>
      </c>
      <c r="R9158" s="10">
        <v>0.4798780907399176</v>
      </c>
      <c r="S9158" s="10">
        <v>0.026165304343069143</v>
      </c>
      <c r="T9158" s="10">
        <v>16.811502934283116</v>
      </c>
      <c r="U9158" s="11">
        <v>0.03440671563868332</v>
      </c>
      <c r="V9158" s="11">
        <v>0.24522301383692788</v>
      </c>
      <c r="W9158" s="11">
        <v>0.0040208587843685376</v>
      </c>
      <c r="X9158" s="11">
        <v>0.14608580835929025</v>
      </c>
      <c r="Y9158" s="11">
        <v>0.2718956875062091</v>
      </c>
      <c r="Z9158" s="11">
        <v>0.29836791587452083</v>
      </c>
    </row>
    <row r="9159" ht="22.5" customHeight="1">
      <c r="Q9159" s="9" t="s">
        <v>9197</v>
      </c>
      <c r="R9159" s="10">
        <v>0.292823463902454</v>
      </c>
      <c r="S9159" s="10">
        <v>0.015042279308022093</v>
      </c>
      <c r="T9159" s="10">
        <v>16.80752356244459</v>
      </c>
      <c r="U9159" s="11">
        <v>0.5021775314075803</v>
      </c>
      <c r="V9159" s="11">
        <v>0.1111299689711103</v>
      </c>
      <c r="W9159" s="11">
        <v>3.532747975147738E-5</v>
      </c>
      <c r="X9159" s="11">
        <v>0.07457212943713305</v>
      </c>
      <c r="Y9159" s="11">
        <v>0.15068333151587657</v>
      </c>
      <c r="Z9159" s="11">
        <v>0.1614017111885483</v>
      </c>
    </row>
    <row r="9160" ht="22.5" customHeight="1">
      <c r="Q9160" s="9" t="s">
        <v>9198</v>
      </c>
      <c r="R9160" s="10">
        <v>0.8092788037177417</v>
      </c>
      <c r="S9160" s="10">
        <v>0.04577880255239848</v>
      </c>
      <c r="T9160" s="10">
        <v>16.80425788414243</v>
      </c>
      <c r="U9160" s="11">
        <v>0.031269265914993016</v>
      </c>
      <c r="V9160" s="11">
        <v>0.11932911988942903</v>
      </c>
      <c r="W9160" s="11">
        <v>0.4069265744268805</v>
      </c>
      <c r="X9160" s="11">
        <v>0.02562966290004041</v>
      </c>
      <c r="Y9160" s="11">
        <v>0.10926281410577333</v>
      </c>
      <c r="Z9160" s="11">
        <v>0.3075825627628837</v>
      </c>
    </row>
    <row r="9161" ht="22.5" customHeight="1">
      <c r="Q9161" s="9" t="s">
        <v>9199</v>
      </c>
      <c r="R9161" s="10">
        <v>0.25678817420935135</v>
      </c>
      <c r="S9161" s="10">
        <v>0.012901012153114674</v>
      </c>
      <c r="T9161" s="10">
        <v>16.803966358330456</v>
      </c>
      <c r="U9161" s="11">
        <v>0.3615918870108585</v>
      </c>
      <c r="V9161" s="11">
        <v>0.08654225318280763</v>
      </c>
      <c r="W9161" s="11">
        <v>0.005296761541374182</v>
      </c>
      <c r="X9161" s="11">
        <v>0.034611816864116025</v>
      </c>
      <c r="Y9161" s="11">
        <v>0.24619550432315224</v>
      </c>
      <c r="Z9161" s="11">
        <v>0.26576177707769133</v>
      </c>
    </row>
    <row r="9162" ht="22.5" customHeight="1">
      <c r="Q9162" s="9" t="s">
        <v>9200</v>
      </c>
      <c r="R9162" s="10">
        <v>0.5843775086866265</v>
      </c>
      <c r="S9162" s="10">
        <v>0.03239661765620343</v>
      </c>
      <c r="T9162" s="10">
        <v>16.803529135776525</v>
      </c>
      <c r="U9162" s="11">
        <v>0.24273035489476383</v>
      </c>
      <c r="V9162" s="11">
        <v>0.05792789508684532</v>
      </c>
      <c r="W9162" s="11">
        <v>0.2865566814247018</v>
      </c>
      <c r="X9162" s="11">
        <v>0.0537619368087236</v>
      </c>
      <c r="Y9162" s="11">
        <v>0.16314683685176734</v>
      </c>
      <c r="Z9162" s="11">
        <v>0.19587629493319797</v>
      </c>
    </row>
    <row r="9163" ht="22.5" customHeight="1">
      <c r="Q9163" s="9" t="s">
        <v>9201</v>
      </c>
      <c r="R9163" s="10">
        <v>0.4188406139298354</v>
      </c>
      <c r="S9163" s="10">
        <v>0.02254663420196948</v>
      </c>
      <c r="T9163" s="10">
        <v>16.802535160513813</v>
      </c>
      <c r="U9163" s="11">
        <v>0.27174953438312405</v>
      </c>
      <c r="V9163" s="11">
        <v>0.016225096443650684</v>
      </c>
      <c r="W9163" s="11">
        <v>0.19318426725804125</v>
      </c>
      <c r="X9163" s="11">
        <v>0.14511811714365774</v>
      </c>
      <c r="Y9163" s="11">
        <v>0.18297373199172856</v>
      </c>
      <c r="Z9163" s="11">
        <v>0.19074925277979785</v>
      </c>
    </row>
    <row r="9164" ht="22.5" customHeight="1">
      <c r="Q9164" s="9" t="s">
        <v>9202</v>
      </c>
      <c r="R9164" s="10">
        <v>0.522331348251574</v>
      </c>
      <c r="S9164" s="10">
        <v>0.030823413943936215</v>
      </c>
      <c r="T9164" s="10">
        <v>16.800239269395984</v>
      </c>
      <c r="U9164" s="11">
        <v>0.296454860849388</v>
      </c>
      <c r="V9164" s="11">
        <v>0.022112742280312625</v>
      </c>
      <c r="W9164" s="11">
        <v>0.2728898088527491</v>
      </c>
      <c r="X9164" s="11">
        <v>0.32816782563582025</v>
      </c>
      <c r="Y9164" s="11">
        <v>0.055456370369111996</v>
      </c>
      <c r="Z9164" s="11">
        <v>0.02491839201261796</v>
      </c>
    </row>
    <row r="9165" ht="22.5" customHeight="1">
      <c r="Q9165" s="9" t="s">
        <v>9203</v>
      </c>
      <c r="R9165" s="10">
        <v>0.47348193296557306</v>
      </c>
      <c r="S9165" s="10">
        <v>0.025802163222691726</v>
      </c>
      <c r="T9165" s="10">
        <v>16.800216680450543</v>
      </c>
      <c r="U9165" s="11">
        <v>0.2162302609177043</v>
      </c>
      <c r="V9165" s="11">
        <v>0.24221296525177344</v>
      </c>
      <c r="W9165" s="11">
        <v>0.006062783444983065</v>
      </c>
      <c r="X9165" s="11">
        <v>0.10472196694031902</v>
      </c>
      <c r="Y9165" s="11">
        <v>0.16338407474744643</v>
      </c>
      <c r="Z9165" s="11">
        <v>0.2673879486977736</v>
      </c>
    </row>
    <row r="9166" ht="22.5" customHeight="1">
      <c r="Q9166" s="9" t="s">
        <v>9204</v>
      </c>
      <c r="R9166" s="10">
        <v>0.5932545925991026</v>
      </c>
      <c r="S9166" s="10">
        <v>0.032932465937734905</v>
      </c>
      <c r="T9166" s="10">
        <v>16.79967098865708</v>
      </c>
      <c r="U9166" s="11">
        <v>0.17690763962497721</v>
      </c>
      <c r="V9166" s="11">
        <v>0.042344765474527965</v>
      </c>
      <c r="W9166" s="11">
        <v>0.2949213616854732</v>
      </c>
      <c r="X9166" s="11">
        <v>0.268401323644684</v>
      </c>
      <c r="Y9166" s="11">
        <v>0.018554080231696152</v>
      </c>
      <c r="Z9166" s="11">
        <v>0.19887082933864128</v>
      </c>
    </row>
    <row r="9167" ht="22.5" customHeight="1">
      <c r="Q9167" s="9" t="s">
        <v>9205</v>
      </c>
      <c r="R9167" s="10">
        <v>0.7953124701886192</v>
      </c>
      <c r="S9167" s="10">
        <v>0.04495997182282891</v>
      </c>
      <c r="T9167" s="10">
        <v>16.799665114672095</v>
      </c>
      <c r="U9167" s="11">
        <v>0.19821137550204565</v>
      </c>
      <c r="V9167" s="11">
        <v>0.4278618621710833</v>
      </c>
      <c r="W9167" s="11">
        <v>0.05030977133358164</v>
      </c>
      <c r="X9167" s="11">
        <v>0.01935204082337827</v>
      </c>
      <c r="Y9167" s="11">
        <v>0.30375846595761097</v>
      </c>
      <c r="Z9167" s="11">
        <v>5.06484212300273E-4</v>
      </c>
    </row>
    <row r="9168" ht="22.5" customHeight="1">
      <c r="Q9168" s="9" t="s">
        <v>9206</v>
      </c>
      <c r="R9168" s="10">
        <v>0.49811323520102296</v>
      </c>
      <c r="S9168" s="10">
        <v>0.027274158342863022</v>
      </c>
      <c r="T9168" s="10">
        <v>16.796603929701096</v>
      </c>
      <c r="U9168" s="11">
        <v>0.0782316199686895</v>
      </c>
      <c r="V9168" s="11">
        <v>0.24110210367217655</v>
      </c>
      <c r="W9168" s="11">
        <v>0.014462986874200934</v>
      </c>
      <c r="X9168" s="11">
        <v>0.03911290563204205</v>
      </c>
      <c r="Y9168" s="11">
        <v>0.5345517240221642</v>
      </c>
      <c r="Z9168" s="11">
        <v>0.09253865983072665</v>
      </c>
    </row>
    <row r="9169" ht="22.5" customHeight="1">
      <c r="Q9169" s="9" t="s">
        <v>9207</v>
      </c>
      <c r="R9169" s="10">
        <v>0.4101670971047185</v>
      </c>
      <c r="S9169" s="10">
        <v>0.022038655099146987</v>
      </c>
      <c r="T9169" s="10">
        <v>16.79626526389289</v>
      </c>
      <c r="U9169" s="11">
        <v>0.08272916436247191</v>
      </c>
      <c r="V9169" s="11">
        <v>0.008473660390248107</v>
      </c>
      <c r="W9169" s="11">
        <v>0.1866035283583412</v>
      </c>
      <c r="X9169" s="11">
        <v>0.23585333054973595</v>
      </c>
      <c r="Y9169" s="11">
        <v>0.27138317489506414</v>
      </c>
      <c r="Z9169" s="11">
        <v>0.21495714144413872</v>
      </c>
    </row>
    <row r="9170" ht="22.5" customHeight="1">
      <c r="Q9170" s="9" t="s">
        <v>9208</v>
      </c>
      <c r="R9170" s="10">
        <v>0.8000649782478667</v>
      </c>
      <c r="S9170" s="10">
        <v>0.04525660579954154</v>
      </c>
      <c r="T9170" s="10">
        <v>16.79456434745635</v>
      </c>
      <c r="U9170" s="11">
        <v>0.19346980722052579</v>
      </c>
      <c r="V9170" s="11">
        <v>0.4345205959881949</v>
      </c>
      <c r="W9170" s="11">
        <v>0.06007571972169701</v>
      </c>
      <c r="X9170" s="11">
        <v>5.105608242043811E-4</v>
      </c>
      <c r="Y9170" s="11">
        <v>0.16063514526724107</v>
      </c>
      <c r="Z9170" s="11">
        <v>0.15078817097813682</v>
      </c>
    </row>
    <row r="9171" ht="22.5" customHeight="1">
      <c r="Q9171" s="9" t="s">
        <v>9209</v>
      </c>
      <c r="R9171" s="10">
        <v>0.46941962992561226</v>
      </c>
      <c r="S9171" s="10">
        <v>0.025569608457057677</v>
      </c>
      <c r="T9171" s="10">
        <v>16.794141789335246</v>
      </c>
      <c r="U9171" s="11">
        <v>0.3434291631561856</v>
      </c>
      <c r="V9171" s="11">
        <v>0.23635074681751747</v>
      </c>
      <c r="W9171" s="11">
        <v>0.014958068244742401</v>
      </c>
      <c r="X9171" s="11">
        <v>0.011301655626114664</v>
      </c>
      <c r="Y9171" s="11">
        <v>0.16122846362302792</v>
      </c>
      <c r="Z9171" s="11">
        <v>0.23273190253241197</v>
      </c>
    </row>
    <row r="9172" ht="22.5" customHeight="1">
      <c r="Q9172" s="9" t="s">
        <v>9210</v>
      </c>
      <c r="R9172" s="10">
        <v>0.4606561525908493</v>
      </c>
      <c r="S9172" s="10">
        <v>0.025048080075413627</v>
      </c>
      <c r="T9172" s="10">
        <v>16.79394793231085</v>
      </c>
      <c r="U9172" s="11">
        <v>0.25707971056679974</v>
      </c>
      <c r="V9172" s="11">
        <v>0.029861341596399322</v>
      </c>
      <c r="W9172" s="11">
        <v>0.21424848256945955</v>
      </c>
      <c r="X9172" s="11">
        <v>0.06707360075081567</v>
      </c>
      <c r="Y9172" s="11">
        <v>0.27375394550989046</v>
      </c>
      <c r="Z9172" s="11">
        <v>0.15798291900663516</v>
      </c>
    </row>
    <row r="9173" ht="22.5" customHeight="1">
      <c r="Q9173" s="9" t="s">
        <v>9211</v>
      </c>
      <c r="R9173" s="10">
        <v>0.503889743576538</v>
      </c>
      <c r="S9173" s="10">
        <v>0.027623989384955867</v>
      </c>
      <c r="T9173" s="10">
        <v>16.793003252063738</v>
      </c>
      <c r="U9173" s="11">
        <v>0.34735647072298875</v>
      </c>
      <c r="V9173" s="11">
        <v>0.2514712550590915</v>
      </c>
      <c r="W9173" s="11">
        <v>0.011837626048348662</v>
      </c>
      <c r="X9173" s="11">
        <v>0.023851512622437482</v>
      </c>
      <c r="Y9173" s="11">
        <v>0.3079466784569598</v>
      </c>
      <c r="Z9173" s="11">
        <v>0.05753645709017361</v>
      </c>
    </row>
    <row r="9174" ht="22.5" customHeight="1">
      <c r="Q9174" s="9" t="s">
        <v>9212</v>
      </c>
      <c r="R9174" s="10">
        <v>0.49227208984722115</v>
      </c>
      <c r="S9174" s="10">
        <v>0.026936992035499846</v>
      </c>
      <c r="T9174" s="10">
        <v>16.789999761338564</v>
      </c>
      <c r="U9174" s="11">
        <v>0.2384996517944523</v>
      </c>
      <c r="V9174" s="11">
        <v>0.033817468526055286</v>
      </c>
      <c r="W9174" s="11">
        <v>0.23783860048108718</v>
      </c>
      <c r="X9174" s="11">
        <v>0.1428272126405824</v>
      </c>
      <c r="Y9174" s="11">
        <v>0.08831485172373857</v>
      </c>
      <c r="Z9174" s="11">
        <v>0.2587022148340841</v>
      </c>
    </row>
    <row r="9175" ht="22.5" customHeight="1">
      <c r="Q9175" s="9" t="s">
        <v>9213</v>
      </c>
      <c r="R9175" s="10">
        <v>0.4416829622696991</v>
      </c>
      <c r="S9175" s="10">
        <v>0.023924578699427004</v>
      </c>
      <c r="T9175" s="10">
        <v>16.789552172106564</v>
      </c>
      <c r="U9175" s="11">
        <v>0.22917615331891947</v>
      </c>
      <c r="V9175" s="11">
        <v>0.014564301390802106</v>
      </c>
      <c r="W9175" s="11">
        <v>0.20836906391112367</v>
      </c>
      <c r="X9175" s="11">
        <v>0.21921712647358496</v>
      </c>
      <c r="Y9175" s="11">
        <v>0.12544718387954304</v>
      </c>
      <c r="Z9175" s="11">
        <v>0.2032261710260268</v>
      </c>
    </row>
    <row r="9176" ht="22.5" customHeight="1">
      <c r="Q9176" s="9" t="s">
        <v>9214</v>
      </c>
      <c r="R9176" s="10">
        <v>0.49858540243639066</v>
      </c>
      <c r="S9176" s="10">
        <v>0.027319219883690512</v>
      </c>
      <c r="T9176" s="10">
        <v>16.786182196592105</v>
      </c>
      <c r="U9176" s="11">
        <v>0.07055266841223697</v>
      </c>
      <c r="V9176" s="11">
        <v>0.031174518637507923</v>
      </c>
      <c r="W9176" s="11">
        <v>0.24022966810848118</v>
      </c>
      <c r="X9176" s="11">
        <v>0.17595186758418868</v>
      </c>
      <c r="Y9176" s="11">
        <v>0.2212339543735078</v>
      </c>
      <c r="Z9176" s="11">
        <v>0.2608573228840775</v>
      </c>
    </row>
    <row r="9177" ht="22.5" customHeight="1">
      <c r="Q9177" s="9" t="s">
        <v>9215</v>
      </c>
      <c r="R9177" s="10">
        <v>0.9850136672994478</v>
      </c>
      <c r="S9177" s="10">
        <v>0.0562993410360045</v>
      </c>
      <c r="T9177" s="10">
        <v>16.785519153680564</v>
      </c>
      <c r="U9177" s="11">
        <v>0.15629937088356338</v>
      </c>
      <c r="V9177" s="11">
        <v>0.5429630672248722</v>
      </c>
      <c r="W9177" s="11">
        <v>0.07792809489969092</v>
      </c>
      <c r="X9177" s="11">
        <v>0.1136004947814189</v>
      </c>
      <c r="Y9177" s="11">
        <v>0.04346221975757694</v>
      </c>
      <c r="Z9177" s="11">
        <v>0.06574675245287767</v>
      </c>
    </row>
    <row r="9178" ht="22.5" customHeight="1">
      <c r="Q9178" s="9" t="s">
        <v>9216</v>
      </c>
      <c r="R9178" s="10">
        <v>0.4906852302550446</v>
      </c>
      <c r="S9178" s="10">
        <v>0.026850001277764587</v>
      </c>
      <c r="T9178" s="10">
        <v>16.78529641740735</v>
      </c>
      <c r="U9178" s="11">
        <v>0.15625341923651234</v>
      </c>
      <c r="V9178" s="11">
        <v>0.03648535960886013</v>
      </c>
      <c r="W9178" s="11">
        <v>0.23347076362698696</v>
      </c>
      <c r="X9178" s="11">
        <v>0.08264040631663022</v>
      </c>
      <c r="Y9178" s="11">
        <v>0.26470590462498755</v>
      </c>
      <c r="Z9178" s="11">
        <v>0.22644414658602274</v>
      </c>
    </row>
    <row r="9179" ht="22.5" customHeight="1">
      <c r="Q9179" s="9" t="s">
        <v>9217</v>
      </c>
      <c r="R9179" s="10">
        <v>0.6930187341358227</v>
      </c>
      <c r="S9179" s="10">
        <v>0.038906205130196526</v>
      </c>
      <c r="T9179" s="10">
        <v>16.78443662008534</v>
      </c>
      <c r="U9179" s="11">
        <v>0.08328532398675313</v>
      </c>
      <c r="V9179" s="11">
        <v>0.06369757469092469</v>
      </c>
      <c r="W9179" s="11">
        <v>0.346420631543866</v>
      </c>
      <c r="X9179" s="11">
        <v>0.16705249189668583</v>
      </c>
      <c r="Y9179" s="11">
        <v>0.2670310149715126</v>
      </c>
      <c r="Z9179" s="11">
        <v>0.0725129629102577</v>
      </c>
    </row>
    <row r="9180" ht="22.5" customHeight="1">
      <c r="Q9180" s="9" t="s">
        <v>9218</v>
      </c>
      <c r="R9180" s="10">
        <v>0.7251235063678543</v>
      </c>
      <c r="S9180" s="10">
        <v>0.040823880228198516</v>
      </c>
      <c r="T9180" s="10">
        <v>16.78242005752836</v>
      </c>
      <c r="U9180" s="11">
        <v>0.30430014441154973</v>
      </c>
      <c r="V9180" s="11">
        <v>0.08313402830230845</v>
      </c>
      <c r="W9180" s="11">
        <v>0.36323305655996274</v>
      </c>
      <c r="X9180" s="11">
        <v>0.04491336807209048</v>
      </c>
      <c r="Y9180" s="11">
        <v>0.1406182493000439</v>
      </c>
      <c r="Z9180" s="11">
        <v>0.06380115335404463</v>
      </c>
    </row>
    <row r="9181" ht="22.5" customHeight="1">
      <c r="Q9181" s="9" t="s">
        <v>9219</v>
      </c>
      <c r="R9181" s="10">
        <v>0.45721524997473856</v>
      </c>
      <c r="S9181" s="10">
        <v>0.02486250271464111</v>
      </c>
      <c r="T9181" s="10">
        <v>16.780903144117005</v>
      </c>
      <c r="U9181" s="11">
        <v>0.33090708052834467</v>
      </c>
      <c r="V9181" s="11">
        <v>0.00978434786058324</v>
      </c>
      <c r="W9181" s="11">
        <v>0.2151699567245879</v>
      </c>
      <c r="X9181" s="11">
        <v>0.25121274523317927</v>
      </c>
      <c r="Y9181" s="11">
        <v>0.12337817422521814</v>
      </c>
      <c r="Z9181" s="11">
        <v>0.06954769542808692</v>
      </c>
    </row>
    <row r="9182" ht="22.5" customHeight="1">
      <c r="Q9182" s="9" t="s">
        <v>9220</v>
      </c>
      <c r="R9182" s="10">
        <v>0.6679013525958576</v>
      </c>
      <c r="S9182" s="10">
        <v>0.037419870985080095</v>
      </c>
      <c r="T9182" s="10">
        <v>16.77989089930887</v>
      </c>
      <c r="U9182" s="11">
        <v>0.06952326506013196</v>
      </c>
      <c r="V9182" s="11">
        <v>0.3608778043583398</v>
      </c>
      <c r="W9182" s="11">
        <v>0.040420065057601345</v>
      </c>
      <c r="X9182" s="11">
        <v>0.0587361698464407</v>
      </c>
      <c r="Y9182" s="11">
        <v>0.14125013932004263</v>
      </c>
      <c r="Z9182" s="11">
        <v>0.32919255635744366</v>
      </c>
    </row>
    <row r="9183" ht="22.5" customHeight="1">
      <c r="Q9183" s="9" t="s">
        <v>9221</v>
      </c>
      <c r="R9183" s="10">
        <v>0.5615671127771461</v>
      </c>
      <c r="S9183" s="10">
        <v>0.03108820735727481</v>
      </c>
      <c r="T9183" s="10">
        <v>16.777008297170166</v>
      </c>
      <c r="U9183" s="11">
        <v>0.07813560800723214</v>
      </c>
      <c r="V9183" s="11">
        <v>0.04134753672125602</v>
      </c>
      <c r="W9183" s="11">
        <v>0.2768360473253813</v>
      </c>
      <c r="X9183" s="11">
        <v>0.1959131560727135</v>
      </c>
      <c r="Y9183" s="11">
        <v>0.1668172114677383</v>
      </c>
      <c r="Z9183" s="11">
        <v>0.24095044040567873</v>
      </c>
    </row>
    <row r="9184" ht="22.5" customHeight="1">
      <c r="Q9184" s="9" t="s">
        <v>9222</v>
      </c>
      <c r="R9184" s="10">
        <v>0.45886825307588947</v>
      </c>
      <c r="S9184" s="10">
        <v>0.024969072113121108</v>
      </c>
      <c r="T9184" s="10">
        <v>16.775483333070138</v>
      </c>
      <c r="U9184" s="11">
        <v>0.2473972689151328</v>
      </c>
      <c r="V9184" s="11">
        <v>0.03243195530596081</v>
      </c>
      <c r="W9184" s="11">
        <v>0.21717677046613848</v>
      </c>
      <c r="X9184" s="11">
        <v>0.07983609042948288</v>
      </c>
      <c r="Y9184" s="11">
        <v>0.16280803057732357</v>
      </c>
      <c r="Z9184" s="11">
        <v>0.2603498843059613</v>
      </c>
    </row>
    <row r="9185" ht="22.5" customHeight="1">
      <c r="Q9185" s="9" t="s">
        <v>9223</v>
      </c>
      <c r="R9185" s="10">
        <v>0.49010312071983053</v>
      </c>
      <c r="S9185" s="10">
        <v>0.026831194964597894</v>
      </c>
      <c r="T9185" s="10">
        <v>16.775366185282238</v>
      </c>
      <c r="U9185" s="11">
        <v>0.07233709576213185</v>
      </c>
      <c r="V9185" s="11">
        <v>0.025828417324326162</v>
      </c>
      <c r="W9185" s="11">
        <v>0.23413882384519125</v>
      </c>
      <c r="X9185" s="11">
        <v>0.19022563153835353</v>
      </c>
      <c r="Y9185" s="11">
        <v>0.2683650158986078</v>
      </c>
      <c r="Z9185" s="11">
        <v>0.2091050156313894</v>
      </c>
    </row>
    <row r="9186" ht="22.5" customHeight="1">
      <c r="Q9186" s="9" t="s">
        <v>9224</v>
      </c>
      <c r="R9186" s="10">
        <v>0.38725033927231156</v>
      </c>
      <c r="S9186" s="10">
        <v>0.02070527483870866</v>
      </c>
      <c r="T9186" s="10">
        <v>16.771105043393316</v>
      </c>
      <c r="U9186" s="11">
        <v>0.1607881622926063</v>
      </c>
      <c r="V9186" s="11">
        <v>0.03153889216638679</v>
      </c>
      <c r="W9186" s="11">
        <v>0.17241547961904444</v>
      </c>
      <c r="X9186" s="11">
        <v>0.016119978138738687</v>
      </c>
      <c r="Y9186" s="11">
        <v>0.24725120435512565</v>
      </c>
      <c r="Z9186" s="11">
        <v>0.3718862834280981</v>
      </c>
    </row>
    <row r="9187" ht="22.5" customHeight="1">
      <c r="Q9187" s="9" t="s">
        <v>9225</v>
      </c>
      <c r="R9187" s="10">
        <v>0.6375066344857199</v>
      </c>
      <c r="S9187" s="10">
        <v>0.03562760852626658</v>
      </c>
      <c r="T9187" s="10">
        <v>16.77088806129679</v>
      </c>
      <c r="U9187" s="11">
        <v>0.05878020210557162</v>
      </c>
      <c r="V9187" s="11">
        <v>0.05951801361353902</v>
      </c>
      <c r="W9187" s="11">
        <v>0.31670767383652965</v>
      </c>
      <c r="X9187" s="11">
        <v>0.1349195265750902</v>
      </c>
      <c r="Y9187" s="11">
        <v>0.2512874863152431</v>
      </c>
      <c r="Z9187" s="11">
        <v>0.17878709755402647</v>
      </c>
    </row>
    <row r="9188" ht="22.5" customHeight="1">
      <c r="Q9188" s="9" t="s">
        <v>9226</v>
      </c>
      <c r="R9188" s="10">
        <v>0.39489445394555517</v>
      </c>
      <c r="S9188" s="10">
        <v>0.021163277736057338</v>
      </c>
      <c r="T9188" s="10">
        <v>16.769352005473944</v>
      </c>
      <c r="U9188" s="11">
        <v>0.2526995878946874</v>
      </c>
      <c r="V9188" s="11">
        <v>0.013316145510127842</v>
      </c>
      <c r="W9188" s="11">
        <v>0.1799157006520922</v>
      </c>
      <c r="X9188" s="11">
        <v>0.14437853165688025</v>
      </c>
      <c r="Y9188" s="11">
        <v>0.18053929341296027</v>
      </c>
      <c r="Z9188" s="11">
        <v>0.229150740873252</v>
      </c>
    </row>
    <row r="9189" ht="22.5" customHeight="1">
      <c r="Q9189" s="9" t="s">
        <v>9227</v>
      </c>
      <c r="R9189" s="10">
        <v>0.6297116684576938</v>
      </c>
      <c r="S9189" s="10">
        <v>0.03516776118398001</v>
      </c>
      <c r="T9189" s="10">
        <v>16.768530284672355</v>
      </c>
      <c r="U9189" s="11">
        <v>0.291334177830467</v>
      </c>
      <c r="V9189" s="11">
        <v>0.051894356941645</v>
      </c>
      <c r="W9189" s="11">
        <v>0.31250320141106275</v>
      </c>
      <c r="X9189" s="11">
        <v>0.12717446980217822</v>
      </c>
      <c r="Y9189" s="11">
        <v>0.18112230324673484</v>
      </c>
      <c r="Z9189" s="11">
        <v>0.0359714907679121</v>
      </c>
    </row>
    <row r="9190" ht="22.5" customHeight="1">
      <c r="Q9190" s="9" t="s">
        <v>9228</v>
      </c>
      <c r="R9190" s="10">
        <v>0.6770977024560307</v>
      </c>
      <c r="S9190" s="10">
        <v>0.03799744366691245</v>
      </c>
      <c r="T9190" s="10">
        <v>16.766856950716527</v>
      </c>
      <c r="U9190" s="11">
        <v>0.037509132098619495</v>
      </c>
      <c r="V9190" s="11">
        <v>0.05365578193994008</v>
      </c>
      <c r="W9190" s="11">
        <v>0.33784902104174075</v>
      </c>
      <c r="X9190" s="11">
        <v>0.23142873403029218</v>
      </c>
      <c r="Y9190" s="11">
        <v>0.2843688270984177</v>
      </c>
      <c r="Z9190" s="11">
        <v>0.0551885037909897</v>
      </c>
    </row>
    <row r="9191" ht="22.5" customHeight="1">
      <c r="Q9191" s="9" t="s">
        <v>9229</v>
      </c>
      <c r="R9191" s="10">
        <v>0.4659511601396985</v>
      </c>
      <c r="S9191" s="10">
        <v>0.025406483882108956</v>
      </c>
      <c r="T9191" s="10">
        <v>16.765450981576006</v>
      </c>
      <c r="U9191" s="11">
        <v>0.228898907822558</v>
      </c>
      <c r="V9191" s="11">
        <v>0.02801851871426263</v>
      </c>
      <c r="W9191" s="11">
        <v>0.22378515656587183</v>
      </c>
      <c r="X9191" s="11">
        <v>0.18389061740683804</v>
      </c>
      <c r="Y9191" s="11">
        <v>0.030806587300797397</v>
      </c>
      <c r="Z9191" s="11">
        <v>0.30460021218967215</v>
      </c>
    </row>
    <row r="9192" ht="22.5" customHeight="1">
      <c r="Q9192" s="9" t="s">
        <v>9230</v>
      </c>
      <c r="R9192" s="10">
        <v>0.65302540998393</v>
      </c>
      <c r="S9192" s="10">
        <v>0.03656865433366299</v>
      </c>
      <c r="T9192" s="10">
        <v>16.763685214952364</v>
      </c>
      <c r="U9192" s="11">
        <v>0.12262007487020966</v>
      </c>
      <c r="V9192" s="11">
        <v>0.07007429389774568</v>
      </c>
      <c r="W9192" s="11">
        <v>0.3230945758504062</v>
      </c>
      <c r="X9192" s="11">
        <v>0.047097317528900416</v>
      </c>
      <c r="Y9192" s="11">
        <v>0.2817668874445939</v>
      </c>
      <c r="Z9192" s="11">
        <v>0.15534685040814422</v>
      </c>
    </row>
    <row r="9193" ht="22.5" customHeight="1">
      <c r="Q9193" s="9" t="s">
        <v>9231</v>
      </c>
      <c r="R9193" s="10">
        <v>0.5753330033936406</v>
      </c>
      <c r="S9193" s="10">
        <v>0.031945798921151604</v>
      </c>
      <c r="T9193" s="10">
        <v>16.757540004397626</v>
      </c>
      <c r="U9193" s="11">
        <v>0.24616711579563377</v>
      </c>
      <c r="V9193" s="11">
        <v>0.044764982572833636</v>
      </c>
      <c r="W9193" s="11">
        <v>0.28549593167979537</v>
      </c>
      <c r="X9193" s="11">
        <v>0.18493192658992333</v>
      </c>
      <c r="Y9193" s="11">
        <v>0.03332485244032066</v>
      </c>
      <c r="Z9193" s="11">
        <v>0.20531519092149336</v>
      </c>
    </row>
    <row r="9194" ht="22.5" customHeight="1">
      <c r="Q9194" s="9" t="s">
        <v>9232</v>
      </c>
      <c r="R9194" s="10">
        <v>0.522331348251574</v>
      </c>
      <c r="S9194" s="10">
        <v>0.03219927763652791</v>
      </c>
      <c r="T9194" s="10">
        <v>16.756492467616486</v>
      </c>
      <c r="U9194" s="11">
        <v>0.1526885221074166</v>
      </c>
      <c r="V9194" s="11">
        <v>0.03602499819371392</v>
      </c>
      <c r="W9194" s="11">
        <v>0.28762541793744206</v>
      </c>
      <c r="X9194" s="11">
        <v>0.2523991601106384</v>
      </c>
      <c r="Y9194" s="11">
        <v>0.1181282140810962</v>
      </c>
      <c r="Z9194" s="11">
        <v>0.15313368756969284</v>
      </c>
    </row>
    <row r="9195" ht="22.5" customHeight="1">
      <c r="Q9195" s="9" t="s">
        <v>9233</v>
      </c>
      <c r="R9195" s="10">
        <v>0.2203543991838441</v>
      </c>
      <c r="S9195" s="10">
        <v>0.01076346551010341</v>
      </c>
      <c r="T9195" s="10">
        <v>16.756164547055008</v>
      </c>
      <c r="U9195" s="11">
        <v>0.48319466271647094</v>
      </c>
      <c r="V9195" s="11">
        <v>0.02782592565891663</v>
      </c>
      <c r="W9195" s="11">
        <v>0.03112338477696302</v>
      </c>
      <c r="X9195" s="11">
        <v>0.09151633279202076</v>
      </c>
      <c r="Y9195" s="11">
        <v>0.17461786867733622</v>
      </c>
      <c r="Z9195" s="11">
        <v>0.19172182537829247</v>
      </c>
    </row>
    <row r="9196" ht="22.5" customHeight="1">
      <c r="Q9196" s="9" t="s">
        <v>9234</v>
      </c>
      <c r="R9196" s="10">
        <v>0.522331348251574</v>
      </c>
      <c r="S9196" s="10">
        <v>0.02989788785013284</v>
      </c>
      <c r="T9196" s="10">
        <v>16.75596425438485</v>
      </c>
      <c r="U9196" s="11">
        <v>0.21763701313270348</v>
      </c>
      <c r="V9196" s="11">
        <v>0.28473735499291086</v>
      </c>
      <c r="W9196" s="11">
        <v>0.009107473169264302</v>
      </c>
      <c r="X9196" s="11">
        <v>0.19814989837031505</v>
      </c>
      <c r="Y9196" s="11">
        <v>0.019300857919990706</v>
      </c>
      <c r="Z9196" s="11">
        <v>0.27106740241481553</v>
      </c>
    </row>
    <row r="9197" ht="22.5" customHeight="1">
      <c r="Q9197" s="9" t="s">
        <v>9235</v>
      </c>
      <c r="R9197" s="10">
        <v>0.44840479596122035</v>
      </c>
      <c r="S9197" s="10">
        <v>0.024378740949421274</v>
      </c>
      <c r="T9197" s="10">
        <v>16.75249746525222</v>
      </c>
      <c r="U9197" s="11">
        <v>0.14584148611966852</v>
      </c>
      <c r="V9197" s="11">
        <v>0.021294809664345243</v>
      </c>
      <c r="W9197" s="11">
        <v>0.20583211194625645</v>
      </c>
      <c r="X9197" s="11">
        <v>0.1274026964267762</v>
      </c>
      <c r="Y9197" s="11">
        <v>0.36071333797362437</v>
      </c>
      <c r="Z9197" s="11">
        <v>0.1389155578693292</v>
      </c>
    </row>
    <row r="9198" ht="22.5" customHeight="1">
      <c r="Q9198" s="9" t="s">
        <v>9236</v>
      </c>
      <c r="R9198" s="10">
        <v>0.48083451774265423</v>
      </c>
      <c r="S9198" s="10">
        <v>0.026316960317996956</v>
      </c>
      <c r="T9198" s="10">
        <v>16.750966388819148</v>
      </c>
      <c r="U9198" s="11">
        <v>0.1540350007837418</v>
      </c>
      <c r="V9198" s="11">
        <v>0.2442560754283445</v>
      </c>
      <c r="W9198" s="11">
        <v>0.0045685245219233015</v>
      </c>
      <c r="X9198" s="11">
        <v>0.09238208510060304</v>
      </c>
      <c r="Y9198" s="11">
        <v>0.2971529294347476</v>
      </c>
      <c r="Z9198" s="11">
        <v>0.20760538473063977</v>
      </c>
    </row>
    <row r="9199" ht="22.5" customHeight="1">
      <c r="Q9199" s="9" t="s">
        <v>9237</v>
      </c>
      <c r="R9199" s="10">
        <v>0.5194595796395682</v>
      </c>
      <c r="S9199" s="10">
        <v>0.028626316850309797</v>
      </c>
      <c r="T9199" s="10">
        <v>16.74890912955082</v>
      </c>
      <c r="U9199" s="11">
        <v>0.0828820150249196</v>
      </c>
      <c r="V9199" s="11">
        <v>0.27020051882896334</v>
      </c>
      <c r="W9199" s="11">
        <v>0.003518085405833411</v>
      </c>
      <c r="X9199" s="11">
        <v>0.16826148913752406</v>
      </c>
      <c r="Y9199" s="11">
        <v>0.24231502354207413</v>
      </c>
      <c r="Z9199" s="11">
        <v>0.23282286806068547</v>
      </c>
    </row>
    <row r="9200" ht="22.5" customHeight="1">
      <c r="Q9200" s="9" t="s">
        <v>9238</v>
      </c>
      <c r="R9200" s="10">
        <v>0.4099842137622967</v>
      </c>
      <c r="S9200" s="10">
        <v>0.022091276088771233</v>
      </c>
      <c r="T9200" s="10">
        <v>16.747978354693412</v>
      </c>
      <c r="U9200" s="11">
        <v>0.3612495737191521</v>
      </c>
      <c r="V9200" s="11">
        <v>0.20137682263901108</v>
      </c>
      <c r="W9200" s="11">
        <v>0.004812158751366854</v>
      </c>
      <c r="X9200" s="11">
        <v>0.07308856705912631</v>
      </c>
      <c r="Y9200" s="11">
        <v>0.07735502535684062</v>
      </c>
      <c r="Z9200" s="11">
        <v>0.28211785247450305</v>
      </c>
    </row>
    <row r="9201" ht="22.5" customHeight="1">
      <c r="Q9201" s="9" t="s">
        <v>9239</v>
      </c>
      <c r="R9201" s="10">
        <v>0.5082219063158707</v>
      </c>
      <c r="S9201" s="10">
        <v>0.027957858768320628</v>
      </c>
      <c r="T9201" s="10">
        <v>16.747416538437427</v>
      </c>
      <c r="U9201" s="11">
        <v>0.13084466109694695</v>
      </c>
      <c r="V9201" s="11">
        <v>0.03008951621698601</v>
      </c>
      <c r="W9201" s="11">
        <v>0.24774090820428496</v>
      </c>
      <c r="X9201" s="11">
        <v>0.19695602913218777</v>
      </c>
      <c r="Y9201" s="11">
        <v>0.14801952191190768</v>
      </c>
      <c r="Z9201" s="11">
        <v>0.24634936343768646</v>
      </c>
    </row>
    <row r="9202" ht="22.5" customHeight="1">
      <c r="Q9202" s="9" t="s">
        <v>9240</v>
      </c>
      <c r="R9202" s="10">
        <v>0.39361640555464034</v>
      </c>
      <c r="S9202" s="10">
        <v>0.02111528766374933</v>
      </c>
      <c r="T9202" s="10">
        <v>16.746937630488837</v>
      </c>
      <c r="U9202" s="11">
        <v>0.19732010473603756</v>
      </c>
      <c r="V9202" s="11">
        <v>0.0014358256845977586</v>
      </c>
      <c r="W9202" s="11">
        <v>0.1742447588799716</v>
      </c>
      <c r="X9202" s="11">
        <v>0.2290271739342157</v>
      </c>
      <c r="Y9202" s="11">
        <v>0.30201159391438287</v>
      </c>
      <c r="Z9202" s="11">
        <v>0.09596054285079435</v>
      </c>
    </row>
    <row r="9203" ht="22.5" customHeight="1">
      <c r="Q9203" s="9" t="s">
        <v>9241</v>
      </c>
      <c r="R9203" s="10">
        <v>0.5383938824029348</v>
      </c>
      <c r="S9203" s="10">
        <v>0.029763998954263123</v>
      </c>
      <c r="T9203" s="10">
        <v>16.744856199222163</v>
      </c>
      <c r="U9203" s="11">
        <v>0.03434400373204069</v>
      </c>
      <c r="V9203" s="11">
        <v>0.055857380505809226</v>
      </c>
      <c r="W9203" s="11">
        <v>0.2623607762337505</v>
      </c>
      <c r="X9203" s="11">
        <v>0.06532731695091125</v>
      </c>
      <c r="Y9203" s="11">
        <v>0.19436136828753175</v>
      </c>
      <c r="Z9203" s="11">
        <v>0.38774915428995665</v>
      </c>
    </row>
    <row r="9204" ht="22.5" customHeight="1">
      <c r="Q9204" s="9" t="s">
        <v>9242</v>
      </c>
      <c r="R9204" s="10">
        <v>0.6448648544385085</v>
      </c>
      <c r="S9204" s="10">
        <v>0.03612340242180858</v>
      </c>
      <c r="T9204" s="10">
        <v>16.744404288820167</v>
      </c>
      <c r="U9204" s="11">
        <v>0.10724968137469806</v>
      </c>
      <c r="V9204" s="11">
        <v>0.3434584233038849</v>
      </c>
      <c r="W9204" s="11">
        <v>0.004440886009567498</v>
      </c>
      <c r="X9204" s="11">
        <v>0.368247075976052</v>
      </c>
      <c r="Y9204" s="11">
        <v>0.057557118288118055</v>
      </c>
      <c r="Z9204" s="11">
        <v>0.11904681504767954</v>
      </c>
    </row>
    <row r="9205" ht="22.5" customHeight="1">
      <c r="Q9205" s="9" t="s">
        <v>9243</v>
      </c>
      <c r="R9205" s="10">
        <v>0.8246566583263479</v>
      </c>
      <c r="S9205" s="10">
        <v>0.04686208556374651</v>
      </c>
      <c r="T9205" s="10">
        <v>16.743955137442168</v>
      </c>
      <c r="U9205" s="11">
        <v>0.18449973376574716</v>
      </c>
      <c r="V9205" s="11">
        <v>0.08433329510358781</v>
      </c>
      <c r="W9205" s="11">
        <v>0.42219982903280895</v>
      </c>
      <c r="X9205" s="11">
        <v>0.2474820694014465</v>
      </c>
      <c r="Y9205" s="11">
        <v>0.0382327668957296</v>
      </c>
      <c r="Z9205" s="11">
        <v>0.02325230580068019</v>
      </c>
    </row>
    <row r="9206" ht="22.5" customHeight="1">
      <c r="Q9206" s="9" t="s">
        <v>9244</v>
      </c>
      <c r="R9206" s="10">
        <v>0.3434116847797183</v>
      </c>
      <c r="S9206" s="10">
        <v>0.0181227081630136</v>
      </c>
      <c r="T9206" s="10">
        <v>16.74207199335402</v>
      </c>
      <c r="U9206" s="11">
        <v>0.26829484411044136</v>
      </c>
      <c r="V9206" s="11">
        <v>0.021911765791646234</v>
      </c>
      <c r="W9206" s="11">
        <v>0.14421132956328372</v>
      </c>
      <c r="X9206" s="11">
        <v>0.01785908373320649</v>
      </c>
      <c r="Y9206" s="11">
        <v>0.24657312230762493</v>
      </c>
      <c r="Z9206" s="11">
        <v>0.3011498544937972</v>
      </c>
    </row>
    <row r="9207" ht="22.5" customHeight="1">
      <c r="Q9207" s="9" t="s">
        <v>9245</v>
      </c>
      <c r="R9207" s="10">
        <v>0.499011818659804</v>
      </c>
      <c r="S9207" s="10">
        <v>0.0274268531978262</v>
      </c>
      <c r="T9207" s="10">
        <v>16.735854286637025</v>
      </c>
      <c r="U9207" s="11">
        <v>0.2622983814477744</v>
      </c>
      <c r="V9207" s="11">
        <v>0.03806920405693184</v>
      </c>
      <c r="W9207" s="11">
        <v>0.24162702720645238</v>
      </c>
      <c r="X9207" s="11">
        <v>0.09623236123752944</v>
      </c>
      <c r="Y9207" s="11">
        <v>0.11081603234514661</v>
      </c>
      <c r="Z9207" s="11">
        <v>0.25095699370616537</v>
      </c>
    </row>
    <row r="9208" ht="22.5" customHeight="1">
      <c r="Q9208" s="9" t="s">
        <v>9246</v>
      </c>
      <c r="R9208" s="10">
        <v>0.6945361651093218</v>
      </c>
      <c r="S9208" s="10">
        <v>0.03912198109111991</v>
      </c>
      <c r="T9208" s="10">
        <v>16.730649799784587</v>
      </c>
      <c r="U9208" s="11">
        <v>0.172672732228218</v>
      </c>
      <c r="V9208" s="11">
        <v>0.09452231694646802</v>
      </c>
      <c r="W9208" s="11">
        <v>0.34802229257297895</v>
      </c>
      <c r="X9208" s="11">
        <v>0.01922712432083587</v>
      </c>
      <c r="Y9208" s="11">
        <v>0.022057290004649236</v>
      </c>
      <c r="Z9208" s="11">
        <v>0.3434982439268499</v>
      </c>
    </row>
    <row r="9209" ht="22.5" customHeight="1">
      <c r="Q9209" s="9" t="s">
        <v>9247</v>
      </c>
      <c r="R9209" s="10">
        <v>0.43058983213211305</v>
      </c>
      <c r="S9209" s="10">
        <v>0.02334619222638688</v>
      </c>
      <c r="T9209" s="10">
        <v>16.730344218216942</v>
      </c>
      <c r="U9209" s="11">
        <v>0.3208257864217787</v>
      </c>
      <c r="V9209" s="11">
        <v>0.015222183783709363</v>
      </c>
      <c r="W9209" s="11">
        <v>0.19704772347182567</v>
      </c>
      <c r="X9209" s="11">
        <v>0.12549983511048973</v>
      </c>
      <c r="Y9209" s="11">
        <v>0.26214982844843815</v>
      </c>
      <c r="Z9209" s="11">
        <v>0.07925464276375828</v>
      </c>
    </row>
    <row r="9210" ht="22.5" customHeight="1">
      <c r="Q9210" s="9" t="s">
        <v>9248</v>
      </c>
      <c r="R9210" s="10">
        <v>0.6956269927337919</v>
      </c>
      <c r="S9210" s="10">
        <v>0.039188387075485435</v>
      </c>
      <c r="T9210" s="10">
        <v>16.730134656241667</v>
      </c>
      <c r="U9210" s="11">
        <v>0.05706680846458141</v>
      </c>
      <c r="V9210" s="11">
        <v>0.09235357676308747</v>
      </c>
      <c r="W9210" s="11">
        <v>0.34901836123941155</v>
      </c>
      <c r="X9210" s="11">
        <v>0.039827832000059994</v>
      </c>
      <c r="Y9210" s="11">
        <v>0.09871692738793493</v>
      </c>
      <c r="Z9210" s="11">
        <v>0.36301649414492465</v>
      </c>
    </row>
    <row r="9211" ht="22.5" customHeight="1">
      <c r="Q9211" s="9" t="s">
        <v>9249</v>
      </c>
      <c r="R9211" s="10">
        <v>0.5462540744502282</v>
      </c>
      <c r="S9211" s="10">
        <v>0.03026146994772377</v>
      </c>
      <c r="T9211" s="10">
        <v>16.729328592589006</v>
      </c>
      <c r="U9211" s="11">
        <v>0.12116292740976471</v>
      </c>
      <c r="V9211" s="11">
        <v>0.030545133465008794</v>
      </c>
      <c r="W9211" s="11">
        <v>0.26977893220153576</v>
      </c>
      <c r="X9211" s="11">
        <v>0.2679595742918878</v>
      </c>
      <c r="Y9211" s="11">
        <v>0.10056616905777009</v>
      </c>
      <c r="Z9211" s="11">
        <v>0.20998726357403288</v>
      </c>
    </row>
    <row r="9212" ht="22.5" customHeight="1">
      <c r="Q9212" s="9" t="s">
        <v>9250</v>
      </c>
      <c r="R9212" s="10">
        <v>0.774158040706246</v>
      </c>
      <c r="S9212" s="10">
        <v>0.04389339006551395</v>
      </c>
      <c r="T9212" s="10">
        <v>16.725936174227233</v>
      </c>
      <c r="U9212" s="11">
        <v>0.09263089189646079</v>
      </c>
      <c r="V9212" s="11">
        <v>0.42282923725539495</v>
      </c>
      <c r="W9212" s="11">
        <v>0.02980998974187477</v>
      </c>
      <c r="X9212" s="11">
        <v>0.2533291406336269</v>
      </c>
      <c r="Y9212" s="11">
        <v>0.09428649071325398</v>
      </c>
      <c r="Z9212" s="11">
        <v>0.1071142497593887</v>
      </c>
    </row>
    <row r="9213" ht="22.5" customHeight="1">
      <c r="Q9213" s="9" t="s">
        <v>9251</v>
      </c>
      <c r="R9213" s="10">
        <v>0.773616549335661</v>
      </c>
      <c r="S9213" s="10">
        <v>0.043866544978542435</v>
      </c>
      <c r="T9213" s="10">
        <v>16.723827912467545</v>
      </c>
      <c r="U9213" s="11">
        <v>0.23922387460836853</v>
      </c>
      <c r="V9213" s="11">
        <v>0.09101930481988778</v>
      </c>
      <c r="W9213" s="11">
        <v>0.39118121955780394</v>
      </c>
      <c r="X9213" s="11">
        <v>0.04738767396698324</v>
      </c>
      <c r="Y9213" s="11">
        <v>0.17738937716923994</v>
      </c>
      <c r="Z9213" s="11">
        <v>0.05379854987771652</v>
      </c>
    </row>
    <row r="9214" ht="22.5" customHeight="1">
      <c r="Q9214" s="9" t="s">
        <v>9252</v>
      </c>
      <c r="R9214" s="10">
        <v>0.5543278372648839</v>
      </c>
      <c r="S9214" s="10">
        <v>0.03076364100228389</v>
      </c>
      <c r="T9214" s="10">
        <v>16.7186919528381</v>
      </c>
      <c r="U9214" s="11">
        <v>0.32585830417338596</v>
      </c>
      <c r="V9214" s="11">
        <v>0.032413353655753936</v>
      </c>
      <c r="W9214" s="11">
        <v>0.27321555002651443</v>
      </c>
      <c r="X9214" s="11">
        <v>0.1987765173803578</v>
      </c>
      <c r="Y9214" s="11">
        <v>0.08242431334306222</v>
      </c>
      <c r="Z9214" s="11">
        <v>0.08731196142092575</v>
      </c>
    </row>
    <row r="9215" ht="22.5" customHeight="1">
      <c r="Q9215" s="9" t="s">
        <v>9253</v>
      </c>
      <c r="R9215" s="10">
        <v>0.6744284284285552</v>
      </c>
      <c r="S9215" s="10">
        <v>0.037947497748662705</v>
      </c>
      <c r="T9215" s="10">
        <v>16.718583992825003</v>
      </c>
      <c r="U9215" s="11">
        <v>0.020628192981171363</v>
      </c>
      <c r="V9215" s="11">
        <v>0.05655976484958027</v>
      </c>
      <c r="W9215" s="11">
        <v>0.3410911062532913</v>
      </c>
      <c r="X9215" s="11">
        <v>0.29094295707628537</v>
      </c>
      <c r="Y9215" s="11">
        <v>0.07547443014921715</v>
      </c>
      <c r="Z9215" s="11">
        <v>0.2153035486904546</v>
      </c>
    </row>
    <row r="9216" ht="22.5" customHeight="1">
      <c r="Q9216" s="9" t="s">
        <v>9254</v>
      </c>
      <c r="R9216" s="10">
        <v>0.606211628615361</v>
      </c>
      <c r="S9216" s="10">
        <v>0.033871741849469963</v>
      </c>
      <c r="T9216" s="10">
        <v>16.716342228033994</v>
      </c>
      <c r="U9216" s="11">
        <v>0.013380837407157021</v>
      </c>
      <c r="V9216" s="11">
        <v>0.32410550854396103</v>
      </c>
      <c r="W9216" s="11">
        <v>0.015438109749694147</v>
      </c>
      <c r="X9216" s="11">
        <v>0.1678636590571066</v>
      </c>
      <c r="Y9216" s="11">
        <v>0.23158153567436449</v>
      </c>
      <c r="Z9216" s="11">
        <v>0.24763034956771673</v>
      </c>
    </row>
    <row r="9217" ht="22.5" customHeight="1">
      <c r="Q9217" s="9" t="s">
        <v>9255</v>
      </c>
      <c r="R9217" s="10">
        <v>0.5088425528989817</v>
      </c>
      <c r="S9217" s="10">
        <v>0.028047541043293163</v>
      </c>
      <c r="T9217" s="10">
        <v>16.71599489507096</v>
      </c>
      <c r="U9217" s="11">
        <v>0.26307969422542804</v>
      </c>
      <c r="V9217" s="11">
        <v>0.02478090561882785</v>
      </c>
      <c r="W9217" s="11">
        <v>0.24863956754245184</v>
      </c>
      <c r="X9217" s="11">
        <v>0.24845811476532753</v>
      </c>
      <c r="Y9217" s="11">
        <v>0.025901078093335972</v>
      </c>
      <c r="Z9217" s="11">
        <v>0.18914063975462864</v>
      </c>
    </row>
    <row r="9218" ht="22.5" customHeight="1">
      <c r="Q9218" s="9" t="s">
        <v>9256</v>
      </c>
      <c r="R9218" s="10">
        <v>0.36884257687093425</v>
      </c>
      <c r="S9218" s="10">
        <v>0.019672718703693335</v>
      </c>
      <c r="T9218" s="10">
        <v>16.71566507018665</v>
      </c>
      <c r="U9218" s="11">
        <v>0.10530810173268802</v>
      </c>
      <c r="V9218" s="11">
        <v>0.003503046663621421</v>
      </c>
      <c r="W9218" s="11">
        <v>0.1640086533786446</v>
      </c>
      <c r="X9218" s="11">
        <v>0.22343770397119792</v>
      </c>
      <c r="Y9218" s="11">
        <v>0.24150955367712365</v>
      </c>
      <c r="Z9218" s="11">
        <v>0.26223294057672436</v>
      </c>
    </row>
    <row r="9219" ht="22.5" customHeight="1">
      <c r="Q9219" s="9" t="s">
        <v>9257</v>
      </c>
      <c r="R9219" s="10">
        <v>0.7000961517491536</v>
      </c>
      <c r="S9219" s="10">
        <v>0.03949149648194499</v>
      </c>
      <c r="T9219" s="10">
        <v>16.714893345481126</v>
      </c>
      <c r="U9219" s="11">
        <v>0.1607086948541397</v>
      </c>
      <c r="V9219" s="11">
        <v>0.06768323291385733</v>
      </c>
      <c r="W9219" s="11">
        <v>0.3498629348040826</v>
      </c>
      <c r="X9219" s="11">
        <v>0.09405046891696564</v>
      </c>
      <c r="Y9219" s="11">
        <v>0.3098806975873005</v>
      </c>
      <c r="Z9219" s="11">
        <v>0.01781397092365418</v>
      </c>
    </row>
    <row r="9220" ht="22.5" customHeight="1">
      <c r="Q9220" s="9" t="s">
        <v>9258</v>
      </c>
      <c r="R9220" s="10">
        <v>0.6210663220961442</v>
      </c>
      <c r="S9220" s="10">
        <v>0.03476368194810419</v>
      </c>
      <c r="T9220" s="10">
        <v>16.714751992138513</v>
      </c>
      <c r="U9220" s="11">
        <v>0.14467751084284236</v>
      </c>
      <c r="V9220" s="11">
        <v>0.05729527139747731</v>
      </c>
      <c r="W9220" s="11">
        <v>0.31211105227806224</v>
      </c>
      <c r="X9220" s="11">
        <v>0.19851296529663243</v>
      </c>
      <c r="Y9220" s="11">
        <v>7.028299161942955E-4</v>
      </c>
      <c r="Z9220" s="11">
        <v>0.28670037026879136</v>
      </c>
    </row>
    <row r="9221" ht="22.5" customHeight="1">
      <c r="Q9221" s="9" t="s">
        <v>9259</v>
      </c>
      <c r="R9221" s="10">
        <v>0.6079138099667222</v>
      </c>
      <c r="S9221" s="10">
        <v>0.03397965964522862</v>
      </c>
      <c r="T9221" s="10">
        <v>16.71334603984086</v>
      </c>
      <c r="U9221" s="11">
        <v>0.1758029104592559</v>
      </c>
      <c r="V9221" s="11">
        <v>0.045053896412317204</v>
      </c>
      <c r="W9221" s="11">
        <v>0.302952834509413</v>
      </c>
      <c r="X9221" s="11">
        <v>0.17249385890547284</v>
      </c>
      <c r="Y9221" s="11">
        <v>0.19339720681211398</v>
      </c>
      <c r="Z9221" s="11">
        <v>0.1102992929014271</v>
      </c>
    </row>
    <row r="9222" ht="22.5" customHeight="1">
      <c r="Q9222" s="9" t="s">
        <v>9260</v>
      </c>
      <c r="R9222" s="10">
        <v>0.7845897484934694</v>
      </c>
      <c r="S9222" s="10">
        <v>0.04455350789607579</v>
      </c>
      <c r="T9222" s="10">
        <v>16.712258667269875</v>
      </c>
      <c r="U9222" s="11">
        <v>0.09358063683683089</v>
      </c>
      <c r="V9222" s="11">
        <v>0.426582884974467</v>
      </c>
      <c r="W9222" s="11">
        <v>0.01971354184637607</v>
      </c>
      <c r="X9222" s="11">
        <v>0.3706279947163769</v>
      </c>
      <c r="Y9222" s="11">
        <v>0.06841722536471963</v>
      </c>
      <c r="Z9222" s="11">
        <v>0.02107771626122937</v>
      </c>
    </row>
    <row r="9223" ht="22.5" customHeight="1">
      <c r="Q9223" s="9" t="s">
        <v>9261</v>
      </c>
      <c r="R9223" s="10">
        <v>0.5955825296412594</v>
      </c>
      <c r="S9223" s="10">
        <v>0.033246323137671174</v>
      </c>
      <c r="T9223" s="10">
        <v>16.711096963734093</v>
      </c>
      <c r="U9223" s="11">
        <v>0.32873151294185404</v>
      </c>
      <c r="V9223" s="11">
        <v>0.05529082798937855</v>
      </c>
      <c r="W9223" s="11">
        <v>0.293887550996468</v>
      </c>
      <c r="X9223" s="11">
        <v>0.049997201305444126</v>
      </c>
      <c r="Y9223" s="11">
        <v>0.15656363634478165</v>
      </c>
      <c r="Z9223" s="11">
        <v>0.11552927042207363</v>
      </c>
    </row>
    <row r="9224" ht="22.5" customHeight="1">
      <c r="Q9224" s="9" t="s">
        <v>9262</v>
      </c>
      <c r="R9224" s="10">
        <v>0.4871055540713268</v>
      </c>
      <c r="S9224" s="10">
        <v>0.02675784366613217</v>
      </c>
      <c r="T9224" s="10">
        <v>16.709326792174792</v>
      </c>
      <c r="U9224" s="11">
        <v>0.32709281373327287</v>
      </c>
      <c r="V9224" s="11">
        <v>0.2442055607700399</v>
      </c>
      <c r="W9224" s="11">
        <v>0.005260983381783972</v>
      </c>
      <c r="X9224" s="11">
        <v>0.056350582742940594</v>
      </c>
      <c r="Y9224" s="11">
        <v>0.2888213417590315</v>
      </c>
      <c r="Z9224" s="11">
        <v>0.078268717612931</v>
      </c>
    </row>
    <row r="9225" ht="22.5" customHeight="1">
      <c r="Q9225" s="9" t="s">
        <v>9263</v>
      </c>
      <c r="R9225" s="10">
        <v>0.6001789596027296</v>
      </c>
      <c r="S9225" s="10">
        <v>0.03352540414724278</v>
      </c>
      <c r="T9225" s="10">
        <v>16.709088938717542</v>
      </c>
      <c r="U9225" s="11">
        <v>0.1359813594392188</v>
      </c>
      <c r="V9225" s="11">
        <v>0.05091086530070767</v>
      </c>
      <c r="W9225" s="11">
        <v>0.29992722161411955</v>
      </c>
      <c r="X9225" s="11">
        <v>0.15593605341959546</v>
      </c>
      <c r="Y9225" s="11">
        <v>0.1327473599123896</v>
      </c>
      <c r="Z9225" s="11">
        <v>0.22449714031396886</v>
      </c>
    </row>
    <row r="9226" ht="22.5" customHeight="1">
      <c r="Q9226" s="9" t="s">
        <v>9264</v>
      </c>
      <c r="R9226" s="10">
        <v>0.5851281047621163</v>
      </c>
      <c r="S9226" s="10">
        <v>0.032634959632940115</v>
      </c>
      <c r="T9226" s="10">
        <v>16.703808152159958</v>
      </c>
      <c r="U9226" s="11">
        <v>0.3045381828483578</v>
      </c>
      <c r="V9226" s="11">
        <v>0.06289281115334759</v>
      </c>
      <c r="W9226" s="11">
        <v>0.28858200932312744</v>
      </c>
      <c r="X9226" s="11">
        <v>0.020674178532291986</v>
      </c>
      <c r="Y9226" s="11">
        <v>0.08638883253463604</v>
      </c>
      <c r="Z9226" s="11">
        <v>0.2369239856082392</v>
      </c>
    </row>
    <row r="9227" ht="22.5" customHeight="1">
      <c r="Q9227" s="9" t="s">
        <v>9265</v>
      </c>
      <c r="R9227" s="10">
        <v>0.5279924929336679</v>
      </c>
      <c r="S9227" s="10">
        <v>0.029218065876408822</v>
      </c>
      <c r="T9227" s="10">
        <v>16.701738403830543</v>
      </c>
      <c r="U9227" s="11">
        <v>0.1676312805213445</v>
      </c>
      <c r="V9227" s="11">
        <v>0.03903548138067843</v>
      </c>
      <c r="W9227" s="11">
        <v>0.25628219141637004</v>
      </c>
      <c r="X9227" s="11">
        <v>0.09397632355252074</v>
      </c>
      <c r="Y9227" s="11">
        <v>0.26268244117945727</v>
      </c>
      <c r="Z9227" s="11">
        <v>0.180392281949629</v>
      </c>
    </row>
    <row r="9228" ht="22.5" customHeight="1">
      <c r="Q9228" s="9" t="s">
        <v>9266</v>
      </c>
      <c r="R9228" s="10">
        <v>0.6504044497590638</v>
      </c>
      <c r="S9228" s="10">
        <v>0.03654838212139328</v>
      </c>
      <c r="T9228" s="10">
        <v>16.70127141966617</v>
      </c>
      <c r="U9228" s="11">
        <v>0.3627507451020573</v>
      </c>
      <c r="V9228" s="11">
        <v>0.34882191614043545</v>
      </c>
      <c r="W9228" s="11">
        <v>0.037455987380916156</v>
      </c>
      <c r="X9228" s="11">
        <v>0.03225711694956025</v>
      </c>
      <c r="Y9228" s="11">
        <v>0.009270847552316873</v>
      </c>
      <c r="Z9228" s="11">
        <v>0.20944338687471406</v>
      </c>
    </row>
    <row r="9229" ht="22.5" customHeight="1">
      <c r="Q9229" s="9" t="s">
        <v>9267</v>
      </c>
      <c r="R9229" s="10">
        <v>0.731710287012945</v>
      </c>
      <c r="S9229" s="10">
        <v>0.0414257470098657</v>
      </c>
      <c r="T9229" s="10">
        <v>16.697593572620708</v>
      </c>
      <c r="U9229" s="11">
        <v>0.14151447598530686</v>
      </c>
      <c r="V9229" s="11">
        <v>0.3958439182337744</v>
      </c>
      <c r="W9229" s="11">
        <v>0.027554258097369465</v>
      </c>
      <c r="X9229" s="11">
        <v>0.13658230693391055</v>
      </c>
      <c r="Y9229" s="11">
        <v>0.2619022550521733</v>
      </c>
      <c r="Z9229" s="11">
        <v>0.03660278569746559</v>
      </c>
    </row>
    <row r="9230" ht="22.5" customHeight="1">
      <c r="Q9230" s="9" t="s">
        <v>9268</v>
      </c>
      <c r="R9230" s="10">
        <v>0.5467126766935743</v>
      </c>
      <c r="S9230" s="10">
        <v>0.03035218196784251</v>
      </c>
      <c r="T9230" s="10">
        <v>16.694439866973173</v>
      </c>
      <c r="U9230" s="11">
        <v>0.07081220232178428</v>
      </c>
      <c r="V9230" s="11">
        <v>0.032971606391082604</v>
      </c>
      <c r="W9230" s="11">
        <v>0.2705851071549324</v>
      </c>
      <c r="X9230" s="11">
        <v>0.3176875342256564</v>
      </c>
      <c r="Y9230" s="11">
        <v>0.0059605254020611</v>
      </c>
      <c r="Z9230" s="11">
        <v>0.30198302450448333</v>
      </c>
    </row>
    <row r="9231" ht="22.5" customHeight="1">
      <c r="Q9231" s="9" t="s">
        <v>9269</v>
      </c>
      <c r="R9231" s="10">
        <v>0.7394359571655544</v>
      </c>
      <c r="S9231" s="10">
        <v>0.04189862803428941</v>
      </c>
      <c r="T9231" s="10">
        <v>16.693528881020715</v>
      </c>
      <c r="U9231" s="11">
        <v>0.3045864126972839</v>
      </c>
      <c r="V9231" s="11">
        <v>0.0764931325111416</v>
      </c>
      <c r="W9231" s="11">
        <v>0.3759236256656971</v>
      </c>
      <c r="X9231" s="11">
        <v>0.12635581812252522</v>
      </c>
      <c r="Y9231" s="11">
        <v>0.05753766626643028</v>
      </c>
      <c r="Z9231" s="11">
        <v>0.05910334473692184</v>
      </c>
    </row>
    <row r="9232" ht="22.5" customHeight="1">
      <c r="Q9232" s="9" t="s">
        <v>9270</v>
      </c>
      <c r="R9232" s="10">
        <v>0.5250508956829113</v>
      </c>
      <c r="S9232" s="10">
        <v>0.029058455365862344</v>
      </c>
      <c r="T9232" s="10">
        <v>16.69224635569396</v>
      </c>
      <c r="U9232" s="11">
        <v>0.19834903718737637</v>
      </c>
      <c r="V9232" s="11">
        <v>0.040006218589635385</v>
      </c>
      <c r="W9232" s="11">
        <v>0.2574497256827238</v>
      </c>
      <c r="X9232" s="11">
        <v>0.11120546749134104</v>
      </c>
      <c r="Y9232" s="11">
        <v>0.14897290609912198</v>
      </c>
      <c r="Z9232" s="11">
        <v>0.24401664494980135</v>
      </c>
    </row>
    <row r="9233" ht="22.5" customHeight="1">
      <c r="Q9233" s="9" t="s">
        <v>9271</v>
      </c>
      <c r="R9233" s="10">
        <v>0.6638679206155913</v>
      </c>
      <c r="S9233" s="10">
        <v>0.0373748885883693</v>
      </c>
      <c r="T9233" s="10">
        <v>16.6921680352442</v>
      </c>
      <c r="U9233" s="11">
        <v>0.05452673238840096</v>
      </c>
      <c r="V9233" s="11">
        <v>0.065502372168001</v>
      </c>
      <c r="W9233" s="11">
        <v>0.3321786842176924</v>
      </c>
      <c r="X9233" s="11">
        <v>0.10601596758953663</v>
      </c>
      <c r="Y9233" s="11">
        <v>0.27526429787101714</v>
      </c>
      <c r="Z9233" s="11">
        <v>0.16651194576535183</v>
      </c>
    </row>
    <row r="9234" ht="22.5" customHeight="1">
      <c r="Q9234" s="9" t="s">
        <v>9272</v>
      </c>
      <c r="R9234" s="10">
        <v>0.47102079168405736</v>
      </c>
      <c r="S9234" s="10">
        <v>0.02582277027328421</v>
      </c>
      <c r="T9234" s="10">
        <v>16.69150083908635</v>
      </c>
      <c r="U9234" s="11">
        <v>0.05037041159324329</v>
      </c>
      <c r="V9234" s="11">
        <v>0.00547412928926931</v>
      </c>
      <c r="W9234" s="11">
        <v>0.22350559378022394</v>
      </c>
      <c r="X9234" s="11">
        <v>0.39786277522707103</v>
      </c>
      <c r="Y9234" s="11">
        <v>0.15066070272823928</v>
      </c>
      <c r="Z9234" s="11">
        <v>0.17212638738195324</v>
      </c>
    </row>
    <row r="9235" ht="22.5" customHeight="1">
      <c r="Q9235" s="9" t="s">
        <v>9273</v>
      </c>
      <c r="R9235" s="10">
        <v>0.6686693973582611</v>
      </c>
      <c r="S9235" s="10">
        <v>0.03766849267561956</v>
      </c>
      <c r="T9235" s="10">
        <v>16.689528906081215</v>
      </c>
      <c r="U9235" s="11">
        <v>0.16021882161543333</v>
      </c>
      <c r="V9235" s="11">
        <v>0.04025435051249267</v>
      </c>
      <c r="W9235" s="11">
        <v>0.337949177856955</v>
      </c>
      <c r="X9235" s="11">
        <v>0.3653791648652798</v>
      </c>
      <c r="Y9235" s="11">
        <v>0.05469542530607886</v>
      </c>
      <c r="Z9235" s="11">
        <v>0.0415030598437604</v>
      </c>
    </row>
    <row r="9236" ht="22.5" customHeight="1">
      <c r="Q9236" s="9" t="s">
        <v>9274</v>
      </c>
      <c r="R9236" s="10">
        <v>0.5768642643742222</v>
      </c>
      <c r="S9236" s="10">
        <v>0.03217137389323969</v>
      </c>
      <c r="T9236" s="10">
        <v>16.68763871122818</v>
      </c>
      <c r="U9236" s="11">
        <v>0.38798548477286576</v>
      </c>
      <c r="V9236" s="11">
        <v>0.03395836475566718</v>
      </c>
      <c r="W9236" s="11">
        <v>0.2860956336186474</v>
      </c>
      <c r="X9236" s="11">
        <v>0.23315001900960133</v>
      </c>
      <c r="Y9236" s="11">
        <v>0.0021526039317890312</v>
      </c>
      <c r="Z9236" s="11">
        <v>0.05665789391142939</v>
      </c>
    </row>
    <row r="9237" ht="22.5" customHeight="1">
      <c r="Q9237" s="9" t="s">
        <v>9275</v>
      </c>
      <c r="R9237" s="10">
        <v>0.5722402041861567</v>
      </c>
      <c r="S9237" s="10">
        <v>0.03190262830950691</v>
      </c>
      <c r="T9237" s="10">
        <v>16.683271328699597</v>
      </c>
      <c r="U9237" s="11">
        <v>0.1455130331377564</v>
      </c>
      <c r="V9237" s="11">
        <v>0.03900612708731025</v>
      </c>
      <c r="W9237" s="11">
        <v>0.28366804641493876</v>
      </c>
      <c r="X9237" s="11">
        <v>0.17267085926762263</v>
      </c>
      <c r="Y9237" s="11">
        <v>0.20684634318819145</v>
      </c>
      <c r="Z9237" s="11">
        <v>0.15229559090418057</v>
      </c>
    </row>
    <row r="9238" ht="22.5" customHeight="1">
      <c r="Q9238" s="9" t="s">
        <v>9276</v>
      </c>
      <c r="R9238" s="10">
        <v>0.5205933055321537</v>
      </c>
      <c r="S9238" s="10">
        <v>0.02881083481438319</v>
      </c>
      <c r="T9238" s="10">
        <v>16.680992016664085</v>
      </c>
      <c r="U9238" s="11">
        <v>0.23656275027617854</v>
      </c>
      <c r="V9238" s="11">
        <v>0.024971298584429945</v>
      </c>
      <c r="W9238" s="11">
        <v>0.2502088570634386</v>
      </c>
      <c r="X9238" s="11">
        <v>0.1592104781897994</v>
      </c>
      <c r="Y9238" s="11">
        <v>0.30256457499847905</v>
      </c>
      <c r="Z9238" s="11">
        <v>0.026482040887674512</v>
      </c>
    </row>
    <row r="9239" ht="22.5" customHeight="1">
      <c r="Q9239" s="9" t="s">
        <v>9277</v>
      </c>
      <c r="R9239" s="10">
        <v>0.33048667953968686</v>
      </c>
      <c r="S9239" s="10">
        <v>0.017414444349852162</v>
      </c>
      <c r="T9239" s="10">
        <v>16.680789447189735</v>
      </c>
      <c r="U9239" s="11">
        <v>0.26792563277800757</v>
      </c>
      <c r="V9239" s="11">
        <v>1.35168853181463E-4</v>
      </c>
      <c r="W9239" s="11">
        <v>0.14154314993349792</v>
      </c>
      <c r="X9239" s="11">
        <v>0.18852195977994643</v>
      </c>
      <c r="Y9239" s="11">
        <v>0.15388132154813902</v>
      </c>
      <c r="Z9239" s="11">
        <v>0.2479927671072277</v>
      </c>
    </row>
    <row r="9240" ht="22.5" customHeight="1">
      <c r="Q9240" s="9" t="s">
        <v>9278</v>
      </c>
      <c r="R9240" s="10">
        <v>0.6055069692289404</v>
      </c>
      <c r="S9240" s="10">
        <v>0.03390331260685266</v>
      </c>
      <c r="T9240" s="10">
        <v>16.67999159216784</v>
      </c>
      <c r="U9240" s="11">
        <v>0.16073468128665172</v>
      </c>
      <c r="V9240" s="11">
        <v>0.063442685660364</v>
      </c>
      <c r="W9240" s="11">
        <v>0.3022061611250146</v>
      </c>
      <c r="X9240" s="11">
        <v>0.06640463267415231</v>
      </c>
      <c r="Y9240" s="11">
        <v>0.12064669433582251</v>
      </c>
      <c r="Z9240" s="11">
        <v>0.28656514491799495</v>
      </c>
    </row>
    <row r="9241" ht="22.5" customHeight="1">
      <c r="Q9241" s="9" t="s">
        <v>9279</v>
      </c>
      <c r="R9241" s="10">
        <v>0.5132711946554191</v>
      </c>
      <c r="S9241" s="10">
        <v>0.028373900886274585</v>
      </c>
      <c r="T9241" s="10">
        <v>16.679807142216262</v>
      </c>
      <c r="U9241" s="11">
        <v>0.19730700449291513</v>
      </c>
      <c r="V9241" s="11">
        <v>0.031977032364283085</v>
      </c>
      <c r="W9241" s="11">
        <v>0.25160295631313145</v>
      </c>
      <c r="X9241" s="11">
        <v>0.16043081087131564</v>
      </c>
      <c r="Y9241" s="11">
        <v>0.13635213924553047</v>
      </c>
      <c r="Z9241" s="11">
        <v>0.2223300567128242</v>
      </c>
    </row>
    <row r="9242" ht="22.5" customHeight="1">
      <c r="Q9242" s="9" t="s">
        <v>9280</v>
      </c>
      <c r="R9242" s="10">
        <v>0.671175142144183</v>
      </c>
      <c r="S9242" s="10">
        <v>0.0378441687072793</v>
      </c>
      <c r="T9242" s="10">
        <v>16.678266789957966</v>
      </c>
      <c r="U9242" s="11">
        <v>0.0033861491160213286</v>
      </c>
      <c r="V9242" s="11">
        <v>0.07257682773414527</v>
      </c>
      <c r="W9242" s="11">
        <v>0.3367589276761111</v>
      </c>
      <c r="X9242" s="11">
        <v>0.09173123702501763</v>
      </c>
      <c r="Y9242" s="11">
        <v>0.24882496093358009</v>
      </c>
      <c r="Z9242" s="11">
        <v>0.2467218975151246</v>
      </c>
    </row>
    <row r="9243" ht="22.5" customHeight="1">
      <c r="Q9243" s="9" t="s">
        <v>9281</v>
      </c>
      <c r="R9243" s="10">
        <v>0.5173034600755058</v>
      </c>
      <c r="S9243" s="10">
        <v>0.028621922480009273</v>
      </c>
      <c r="T9243" s="10">
        <v>16.676149563638646</v>
      </c>
      <c r="U9243" s="11">
        <v>0.2677939161625598</v>
      </c>
      <c r="V9243" s="11">
        <v>0.02092944417839472</v>
      </c>
      <c r="W9243" s="11">
        <v>0.2532193229642664</v>
      </c>
      <c r="X9243" s="11">
        <v>0.24444544553583428</v>
      </c>
      <c r="Y9243" s="11">
        <v>0.10749424969258514</v>
      </c>
      <c r="Z9243" s="11">
        <v>0.10611762146635963</v>
      </c>
    </row>
    <row r="9244" ht="22.5" customHeight="1">
      <c r="Q9244" s="9" t="s">
        <v>9282</v>
      </c>
      <c r="R9244" s="10">
        <v>0.5332892637116752</v>
      </c>
      <c r="S9244" s="10">
        <v>0.02959446666301149</v>
      </c>
      <c r="T9244" s="10">
        <v>16.66829374993301</v>
      </c>
      <c r="U9244" s="11">
        <v>0.14142884900629427</v>
      </c>
      <c r="V9244" s="11">
        <v>0.023807619858061388</v>
      </c>
      <c r="W9244" s="11">
        <v>0.25923447138122346</v>
      </c>
      <c r="X9244" s="11">
        <v>0.21789237524206048</v>
      </c>
      <c r="Y9244" s="11">
        <v>0.2871455262988854</v>
      </c>
      <c r="Z9244" s="11">
        <v>0.07049115821347497</v>
      </c>
    </row>
    <row r="9245" ht="22.5" customHeight="1">
      <c r="Q9245" s="9" t="s">
        <v>9283</v>
      </c>
      <c r="R9245" s="10">
        <v>0.7866445176795506</v>
      </c>
      <c r="S9245" s="10">
        <v>0.044794746875835394</v>
      </c>
      <c r="T9245" s="10">
        <v>16.66812672809921</v>
      </c>
      <c r="U9245" s="11">
        <v>0.04445313152315638</v>
      </c>
      <c r="V9245" s="11">
        <v>0.09276569725570742</v>
      </c>
      <c r="W9245" s="11">
        <v>0.39805657319587534</v>
      </c>
      <c r="X9245" s="11">
        <v>0.061040883992078354</v>
      </c>
      <c r="Y9245" s="11">
        <v>0.3091343330479307</v>
      </c>
      <c r="Z9245" s="11">
        <v>0.09454938098525185</v>
      </c>
    </row>
    <row r="9246" ht="22.5" customHeight="1">
      <c r="Q9246" s="9" t="s">
        <v>9284</v>
      </c>
      <c r="R9246" s="10">
        <v>0.19968974979641152</v>
      </c>
      <c r="S9246" s="10">
        <v>0.00958057550863849</v>
      </c>
      <c r="T9246" s="10">
        <v>16.66807486172668</v>
      </c>
      <c r="U9246" s="11">
        <v>0.2800101469535442</v>
      </c>
      <c r="V9246" s="11">
        <v>0.01367948267407007</v>
      </c>
      <c r="W9246" s="11">
        <v>0.01406205067051858</v>
      </c>
      <c r="X9246" s="11">
        <v>0.24261513291506076</v>
      </c>
      <c r="Y9246" s="11">
        <v>0.27754431513266914</v>
      </c>
      <c r="Z9246" s="11">
        <v>0.1720888716541373</v>
      </c>
    </row>
    <row r="9247" ht="22.5" customHeight="1">
      <c r="Q9247" s="9" t="s">
        <v>9285</v>
      </c>
      <c r="R9247" s="10">
        <v>0.6301083105263408</v>
      </c>
      <c r="S9247" s="10">
        <v>0.03540490168576159</v>
      </c>
      <c r="T9247" s="10">
        <v>16.66741842030473</v>
      </c>
      <c r="U9247" s="11">
        <v>0.1364487565600027</v>
      </c>
      <c r="V9247" s="11">
        <v>0.04728454468458909</v>
      </c>
      <c r="W9247" s="11">
        <v>0.3142098531650796</v>
      </c>
      <c r="X9247" s="11">
        <v>0.16178691225969927</v>
      </c>
      <c r="Y9247" s="11">
        <v>0.27966461666571774</v>
      </c>
      <c r="Z9247" s="11">
        <v>0.06060531666491169</v>
      </c>
    </row>
    <row r="9248" ht="22.5" customHeight="1">
      <c r="Q9248" s="9" t="s">
        <v>9286</v>
      </c>
      <c r="R9248" s="10">
        <v>0.6082930275946807</v>
      </c>
      <c r="S9248" s="10">
        <v>0.0341029570752264</v>
      </c>
      <c r="T9248" s="10">
        <v>16.664039612198586</v>
      </c>
      <c r="U9248" s="11">
        <v>0.12091549720341724</v>
      </c>
      <c r="V9248" s="11">
        <v>0.049666635965261045</v>
      </c>
      <c r="W9248" s="11">
        <v>0.3058577988854307</v>
      </c>
      <c r="X9248" s="11">
        <v>0.1833409130667597</v>
      </c>
      <c r="Y9248" s="11">
        <v>0.11234306288628569</v>
      </c>
      <c r="Z9248" s="11">
        <v>0.2278760919928457</v>
      </c>
    </row>
    <row r="9249" ht="22.5" customHeight="1">
      <c r="Q9249" s="9" t="s">
        <v>9287</v>
      </c>
      <c r="R9249" s="10">
        <v>0.48886156577447054</v>
      </c>
      <c r="S9249" s="10">
        <v>0.026945912463498756</v>
      </c>
      <c r="T9249" s="10">
        <v>16.657872186829955</v>
      </c>
      <c r="U9249" s="11">
        <v>0.35879753269523285</v>
      </c>
      <c r="V9249" s="11">
        <v>0.2465489977771407</v>
      </c>
      <c r="W9249" s="11">
        <v>0.008805079302921539</v>
      </c>
      <c r="X9249" s="11">
        <v>0.023703429655269524</v>
      </c>
      <c r="Y9249" s="11">
        <v>0.26055614772243435</v>
      </c>
      <c r="Z9249" s="11">
        <v>0.1015888128470011</v>
      </c>
    </row>
    <row r="9250" ht="22.5" customHeight="1">
      <c r="Q9250" s="9" t="s">
        <v>9288</v>
      </c>
      <c r="R9250" s="10">
        <v>0.6039369816948087</v>
      </c>
      <c r="S9250" s="10">
        <v>0.03385415817349091</v>
      </c>
      <c r="T9250" s="10">
        <v>16.65783502294831</v>
      </c>
      <c r="U9250" s="11">
        <v>0.2937831629165378</v>
      </c>
      <c r="V9250" s="11">
        <v>0.043352451725094304</v>
      </c>
      <c r="W9250" s="11">
        <v>0.30226829984399406</v>
      </c>
      <c r="X9250" s="11">
        <v>0.16469783739064675</v>
      </c>
      <c r="Y9250" s="11">
        <v>0.1137976493712685</v>
      </c>
      <c r="Z9250" s="11">
        <v>0.08210059875245876</v>
      </c>
    </row>
    <row r="9251" ht="22.5" customHeight="1">
      <c r="Q9251" s="9" t="s">
        <v>9289</v>
      </c>
      <c r="R9251" s="10">
        <v>0.7516750200778496</v>
      </c>
      <c r="S9251" s="10">
        <v>0.04273992581828792</v>
      </c>
      <c r="T9251" s="10">
        <v>16.651292824035085</v>
      </c>
      <c r="U9251" s="11">
        <v>0.1943627878887689</v>
      </c>
      <c r="V9251" s="11">
        <v>0.08436369295888739</v>
      </c>
      <c r="W9251" s="11">
        <v>0.383315159028352</v>
      </c>
      <c r="X9251" s="11">
        <v>0.0871248509353032</v>
      </c>
      <c r="Y9251" s="11">
        <v>0.12029869004167279</v>
      </c>
      <c r="Z9251" s="11">
        <v>0.1305348191470157</v>
      </c>
    </row>
    <row r="9252" ht="22.5" customHeight="1">
      <c r="Q9252" s="9" t="s">
        <v>9290</v>
      </c>
      <c r="R9252" s="10">
        <v>0.5051704249233004</v>
      </c>
      <c r="S9252" s="10">
        <v>0.027939895029680136</v>
      </c>
      <c r="T9252" s="10">
        <v>16.648968238039433</v>
      </c>
      <c r="U9252" s="11">
        <v>0.24371445917739679</v>
      </c>
      <c r="V9252" s="11">
        <v>0.04431083905643556</v>
      </c>
      <c r="W9252" s="11">
        <v>0.2425308361602142</v>
      </c>
      <c r="X9252" s="11">
        <v>0.009160931392149359</v>
      </c>
      <c r="Y9252" s="11">
        <v>0.24370740042638508</v>
      </c>
      <c r="Z9252" s="11">
        <v>0.2165755337874189</v>
      </c>
    </row>
    <row r="9253" ht="22.5" customHeight="1">
      <c r="Q9253" s="9" t="s">
        <v>9291</v>
      </c>
      <c r="R9253" s="10">
        <v>0.3909345256131013</v>
      </c>
      <c r="S9253" s="10">
        <v>0.02108358542479408</v>
      </c>
      <c r="T9253" s="10">
        <v>16.64491681763036</v>
      </c>
      <c r="U9253" s="11">
        <v>0.14497371843686285</v>
      </c>
      <c r="V9253" s="11">
        <v>3.1510131850421153E-5</v>
      </c>
      <c r="W9253" s="11">
        <v>0.17657582240480213</v>
      </c>
      <c r="X9253" s="11">
        <v>0.25399196903667</v>
      </c>
      <c r="Y9253" s="11">
        <v>0.25660688721068764</v>
      </c>
      <c r="Z9253" s="11">
        <v>0.16782009277912702</v>
      </c>
    </row>
    <row r="9254" ht="22.5" customHeight="1">
      <c r="Q9254" s="9" t="s">
        <v>9292</v>
      </c>
      <c r="R9254" s="10">
        <v>0.7743258432756545</v>
      </c>
      <c r="S9254" s="10">
        <v>0.04412401805779132</v>
      </c>
      <c r="T9254" s="10">
        <v>16.642315808906456</v>
      </c>
      <c r="U9254" s="11">
        <v>0.07233464287652269</v>
      </c>
      <c r="V9254" s="11">
        <v>0.0874675035226939</v>
      </c>
      <c r="W9254" s="11">
        <v>0.39641960242446506</v>
      </c>
      <c r="X9254" s="11">
        <v>0.12903786521879787</v>
      </c>
      <c r="Y9254" s="11">
        <v>0.1386982047008757</v>
      </c>
      <c r="Z9254" s="11">
        <v>0.17604218125664475</v>
      </c>
    </row>
    <row r="9255" ht="22.5" customHeight="1">
      <c r="Q9255" s="9" t="s">
        <v>9293</v>
      </c>
      <c r="R9255" s="10">
        <v>0.516936612600396</v>
      </c>
      <c r="S9255" s="10">
        <v>0.028660451004405726</v>
      </c>
      <c r="T9255" s="10">
        <v>16.64093187253336</v>
      </c>
      <c r="U9255" s="11">
        <v>0.24478169011943318</v>
      </c>
      <c r="V9255" s="11">
        <v>0.042580583739505705</v>
      </c>
      <c r="W9255" s="11">
        <v>0.25256109201579097</v>
      </c>
      <c r="X9255" s="11">
        <v>0.06063765034069161</v>
      </c>
      <c r="Y9255" s="11">
        <v>0.1550834005947847</v>
      </c>
      <c r="Z9255" s="11">
        <v>0.24435558318979375</v>
      </c>
    </row>
    <row r="9256" ht="22.5" customHeight="1">
      <c r="Q9256" s="9" t="s">
        <v>9294</v>
      </c>
      <c r="R9256" s="10">
        <v>0.5772270410407648</v>
      </c>
      <c r="S9256" s="10">
        <v>0.03228621699216042</v>
      </c>
      <c r="T9256" s="10">
        <v>16.63951652097276</v>
      </c>
      <c r="U9256" s="11">
        <v>0.22131082993722367</v>
      </c>
      <c r="V9256" s="11">
        <v>0.30315828301140313</v>
      </c>
      <c r="W9256" s="11">
        <v>0.002204052130119742</v>
      </c>
      <c r="X9256" s="11">
        <v>0.17234714863930792</v>
      </c>
      <c r="Y9256" s="11">
        <v>0.2585790871117006</v>
      </c>
      <c r="Z9256" s="11">
        <v>0.04240059917024489</v>
      </c>
    </row>
    <row r="9257" ht="22.5" customHeight="1">
      <c r="Q9257" s="9" t="s">
        <v>9295</v>
      </c>
      <c r="R9257" s="10">
        <v>0.41630946517004025</v>
      </c>
      <c r="S9257" s="10">
        <v>0.02261635982493419</v>
      </c>
      <c r="T9257" s="10">
        <v>16.638816683273888</v>
      </c>
      <c r="U9257" s="11">
        <v>0.563611623602695</v>
      </c>
      <c r="V9257" s="11">
        <v>0.016086639033245188</v>
      </c>
      <c r="W9257" s="11">
        <v>0.18692306784872095</v>
      </c>
      <c r="X9257" s="11">
        <v>0.11085535441730546</v>
      </c>
      <c r="Y9257" s="11">
        <v>0.09092533409248033</v>
      </c>
      <c r="Z9257" s="11">
        <v>0.031597981005553076</v>
      </c>
    </row>
    <row r="9258" ht="22.5" customHeight="1">
      <c r="Q9258" s="9" t="s">
        <v>9296</v>
      </c>
      <c r="R9258" s="10">
        <v>0.6919979558186451</v>
      </c>
      <c r="S9258" s="10">
        <v>0.039188470189237115</v>
      </c>
      <c r="T9258" s="10">
        <v>16.63749446381075</v>
      </c>
      <c r="U9258" s="11">
        <v>0.31961888311444747</v>
      </c>
      <c r="V9258" s="11">
        <v>0.37571490174075534</v>
      </c>
      <c r="W9258" s="11">
        <v>0.03962352264797627</v>
      </c>
      <c r="X9258" s="11">
        <v>0.029103623630725706</v>
      </c>
      <c r="Y9258" s="11">
        <v>0.05024234896758972</v>
      </c>
      <c r="Z9258" s="11">
        <v>0.1856967198985055</v>
      </c>
    </row>
    <row r="9259" ht="22.5" customHeight="1">
      <c r="Q9259" s="9" t="s">
        <v>9297</v>
      </c>
      <c r="R9259" s="10">
        <v>0.4928172296996903</v>
      </c>
      <c r="S9259" s="10">
        <v>0.02721838553104637</v>
      </c>
      <c r="T9259" s="10">
        <v>16.636447050953443</v>
      </c>
      <c r="U9259" s="11">
        <v>0.4157460247069602</v>
      </c>
      <c r="V9259" s="11">
        <v>0.025684467609160443</v>
      </c>
      <c r="W9259" s="11">
        <v>0.23810169472362888</v>
      </c>
      <c r="X9259" s="11">
        <v>0.14712897528740942</v>
      </c>
      <c r="Y9259" s="11">
        <v>0.0673780893381937</v>
      </c>
      <c r="Z9259" s="11">
        <v>0.10596074833464722</v>
      </c>
    </row>
    <row r="9260" ht="22.5" customHeight="1">
      <c r="Q9260" s="9" t="s">
        <v>9298</v>
      </c>
      <c r="R9260" s="10">
        <v>0.5044193819258366</v>
      </c>
      <c r="S9260" s="10">
        <v>0.027928101305243938</v>
      </c>
      <c r="T9260" s="10">
        <v>16.629106893086018</v>
      </c>
      <c r="U9260" s="11">
        <v>0.053909851678463086</v>
      </c>
      <c r="V9260" s="11">
        <v>0.026330215382268245</v>
      </c>
      <c r="W9260" s="11">
        <v>0.24755312031860907</v>
      </c>
      <c r="X9260" s="11">
        <v>0.23599040595353754</v>
      </c>
      <c r="Y9260" s="11">
        <v>0.15207083105713037</v>
      </c>
      <c r="Z9260" s="11">
        <v>0.28414557560999154</v>
      </c>
    </row>
    <row r="9261" ht="22.5" customHeight="1">
      <c r="Q9261" s="9" t="s">
        <v>9299</v>
      </c>
      <c r="R9261" s="10">
        <v>0.56431028592947</v>
      </c>
      <c r="S9261" s="10">
        <v>0.03152982899206039</v>
      </c>
      <c r="T9261" s="10">
        <v>16.62902409212235</v>
      </c>
      <c r="U9261" s="11">
        <v>0.3618851610032551</v>
      </c>
      <c r="V9261" s="11">
        <v>0.046428132457524925</v>
      </c>
      <c r="W9261" s="11">
        <v>0.27643235547889483</v>
      </c>
      <c r="X9261" s="11">
        <v>0.03946714238966907</v>
      </c>
      <c r="Y9261" s="11">
        <v>0.2021046011151749</v>
      </c>
      <c r="Z9261" s="11">
        <v>0.07368260755548116</v>
      </c>
    </row>
    <row r="9262" ht="22.5" customHeight="1">
      <c r="Q9262" s="9" t="s">
        <v>9300</v>
      </c>
      <c r="R9262" s="10">
        <v>0.5010729007507267</v>
      </c>
      <c r="S9262" s="10">
        <v>0.027729098535541754</v>
      </c>
      <c r="T9262" s="10">
        <v>16.62776379692787</v>
      </c>
      <c r="U9262" s="11">
        <v>0.24797320082050156</v>
      </c>
      <c r="V9262" s="11">
        <v>0.03700657792678054</v>
      </c>
      <c r="W9262" s="11">
        <v>0.24047089288799095</v>
      </c>
      <c r="X9262" s="11">
        <v>0.04353824813672967</v>
      </c>
      <c r="Y9262" s="11">
        <v>0.26941660415982366</v>
      </c>
      <c r="Z9262" s="11">
        <v>0.16159447606817356</v>
      </c>
    </row>
    <row r="9263" ht="22.5" customHeight="1">
      <c r="Q9263" s="9" t="s">
        <v>9301</v>
      </c>
      <c r="R9263" s="10">
        <v>0.39969211005030136</v>
      </c>
      <c r="S9263" s="10">
        <v>0.021632984010600566</v>
      </c>
      <c r="T9263" s="10">
        <v>16.627022415125232</v>
      </c>
      <c r="U9263" s="11">
        <v>0.051118212225066635</v>
      </c>
      <c r="V9263" s="11">
        <v>0.007275284419692767</v>
      </c>
      <c r="W9263" s="11">
        <v>0.1849251775115826</v>
      </c>
      <c r="X9263" s="11">
        <v>0.2495094820791908</v>
      </c>
      <c r="Y9263" s="11">
        <v>0.2046592011427548</v>
      </c>
      <c r="Z9263" s="11">
        <v>0.3025126426217125</v>
      </c>
    </row>
    <row r="9264" ht="22.5" customHeight="1">
      <c r="Q9264" s="9" t="s">
        <v>9302</v>
      </c>
      <c r="R9264" s="10">
        <v>0.5531545596256283</v>
      </c>
      <c r="S9264" s="10">
        <v>0.030865700782175758</v>
      </c>
      <c r="T9264" s="10">
        <v>16.625397986167332</v>
      </c>
      <c r="U9264" s="11">
        <v>0.03254825210250451</v>
      </c>
      <c r="V9264" s="11">
        <v>0.06339863463013366</v>
      </c>
      <c r="W9264" s="11">
        <v>0.2709091608444586</v>
      </c>
      <c r="X9264" s="11">
        <v>0.005485854271529461</v>
      </c>
      <c r="Y9264" s="11">
        <v>0.22855141637992726</v>
      </c>
      <c r="Z9264" s="11">
        <v>0.3991066817714464</v>
      </c>
    </row>
    <row r="9265" ht="22.5" customHeight="1">
      <c r="Q9265" s="9" t="s">
        <v>9303</v>
      </c>
      <c r="R9265" s="10">
        <v>0.6100751468055625</v>
      </c>
      <c r="S9265" s="10">
        <v>0.03428975728243684</v>
      </c>
      <c r="T9265" s="10">
        <v>16.625231322286265</v>
      </c>
      <c r="U9265" s="11">
        <v>0.13604294183942287</v>
      </c>
      <c r="V9265" s="11">
        <v>0.050200428751637605</v>
      </c>
      <c r="W9265" s="11">
        <v>0.30824972477132706</v>
      </c>
      <c r="X9265" s="11">
        <v>0.21687534218644702</v>
      </c>
      <c r="Y9265" s="11">
        <v>0.01748799596305982</v>
      </c>
      <c r="Z9265" s="11">
        <v>0.2711435664881056</v>
      </c>
    </row>
    <row r="9266" ht="22.5" customHeight="1">
      <c r="Q9266" s="9" t="s">
        <v>9304</v>
      </c>
      <c r="R9266" s="10">
        <v>0.4993363888851079</v>
      </c>
      <c r="S9266" s="10">
        <v>0.027629403845940204</v>
      </c>
      <c r="T9266" s="10">
        <v>16.62491132441143</v>
      </c>
      <c r="U9266" s="11">
        <v>0.12592266052829018</v>
      </c>
      <c r="V9266" s="11">
        <v>0.24935781475879698</v>
      </c>
      <c r="W9266" s="11">
        <v>0.013282674113264828</v>
      </c>
      <c r="X9266" s="11">
        <v>0.007965952659366187</v>
      </c>
      <c r="Y9266" s="11">
        <v>0.46608653299392305</v>
      </c>
      <c r="Z9266" s="11">
        <v>0.13738436494635878</v>
      </c>
    </row>
    <row r="9267" ht="22.5" customHeight="1">
      <c r="Q9267" s="9" t="s">
        <v>9305</v>
      </c>
      <c r="R9267" s="10">
        <v>0.3635248571726936</v>
      </c>
      <c r="S9267" s="10">
        <v>0.019460739451426606</v>
      </c>
      <c r="T9267" s="10">
        <v>16.62448942293285</v>
      </c>
      <c r="U9267" s="11">
        <v>0.2423732390441196</v>
      </c>
      <c r="V9267" s="11">
        <v>0.0033298844496413875</v>
      </c>
      <c r="W9267" s="11">
        <v>0.1640245632860181</v>
      </c>
      <c r="X9267" s="11">
        <v>0.207894169134422</v>
      </c>
      <c r="Y9267" s="11">
        <v>0.11692559510098624</v>
      </c>
      <c r="Z9267" s="11">
        <v>0.2654525489848127</v>
      </c>
    </row>
    <row r="9268" ht="22.5" customHeight="1">
      <c r="Q9268" s="9" t="s">
        <v>9306</v>
      </c>
      <c r="R9268" s="10">
        <v>0.6617619518758191</v>
      </c>
      <c r="S9268" s="10">
        <v>0.03740053156342729</v>
      </c>
      <c r="T9268" s="10">
        <v>16.62441483809869</v>
      </c>
      <c r="U9268" s="11">
        <v>0.1120300377309916</v>
      </c>
      <c r="V9268" s="11">
        <v>0.35542571959708924</v>
      </c>
      <c r="W9268" s="11">
        <v>0.0015018279385127435</v>
      </c>
      <c r="X9268" s="11">
        <v>0.3824514823396951</v>
      </c>
      <c r="Y9268" s="11">
        <v>0.06659915258571457</v>
      </c>
      <c r="Z9268" s="11">
        <v>0.08199177980799695</v>
      </c>
    </row>
    <row r="9269" ht="22.5" customHeight="1">
      <c r="Q9269" s="9" t="s">
        <v>9307</v>
      </c>
      <c r="R9269" s="10">
        <v>0.6207006088264005</v>
      </c>
      <c r="S9269" s="10">
        <v>0.0349357460623078</v>
      </c>
      <c r="T9269" s="10">
        <v>16.621961007809098</v>
      </c>
      <c r="U9269" s="11">
        <v>0.2078835052983986</v>
      </c>
      <c r="V9269" s="11">
        <v>0.3324819444168801</v>
      </c>
      <c r="W9269" s="11">
        <v>0.025664460206731604</v>
      </c>
      <c r="X9269" s="11">
        <v>0.021792965516549065</v>
      </c>
      <c r="Y9269" s="11">
        <v>0.23987728108531198</v>
      </c>
      <c r="Z9269" s="11">
        <v>0.1722998434761286</v>
      </c>
    </row>
    <row r="9270" ht="22.5" customHeight="1">
      <c r="Q9270" s="9" t="s">
        <v>9308</v>
      </c>
      <c r="R9270" s="10">
        <v>0.5246786390890356</v>
      </c>
      <c r="S9270" s="10">
        <v>0.029158997252202914</v>
      </c>
      <c r="T9270" s="10">
        <v>16.621924097627154</v>
      </c>
      <c r="U9270" s="11">
        <v>0.19437536858946636</v>
      </c>
      <c r="V9270" s="11">
        <v>0.2754523336233013</v>
      </c>
      <c r="W9270" s="11">
        <v>0.01770728841405039</v>
      </c>
      <c r="X9270" s="11">
        <v>0.012964799669265453</v>
      </c>
      <c r="Y9270" s="11">
        <v>0.22650767832609026</v>
      </c>
      <c r="Z9270" s="11">
        <v>0.27299253137782625</v>
      </c>
    </row>
    <row r="9271" ht="22.5" customHeight="1">
      <c r="Q9271" s="9" t="s">
        <v>9309</v>
      </c>
      <c r="R9271" s="10">
        <v>0.5165544977511052</v>
      </c>
      <c r="S9271" s="10">
        <v>0.028681650060320918</v>
      </c>
      <c r="T9271" s="10">
        <v>16.61530967530998</v>
      </c>
      <c r="U9271" s="11">
        <v>0.2026258980923613</v>
      </c>
      <c r="V9271" s="11">
        <v>0.036811294246493875</v>
      </c>
      <c r="W9271" s="11">
        <v>0.25363129674832563</v>
      </c>
      <c r="X9271" s="11">
        <v>0.10422049725207344</v>
      </c>
      <c r="Y9271" s="11">
        <v>0.17105037778751184</v>
      </c>
      <c r="Z9271" s="11">
        <v>0.23166063587323388</v>
      </c>
    </row>
    <row r="9272" ht="22.5" customHeight="1">
      <c r="Q9272" s="9" t="s">
        <v>9310</v>
      </c>
      <c r="R9272" s="10">
        <v>0.28262650462958483</v>
      </c>
      <c r="S9272" s="10">
        <v>0.014603094632504351</v>
      </c>
      <c r="T9272" s="10">
        <v>16.614732064362148</v>
      </c>
      <c r="U9272" s="11">
        <v>0.109202352552727</v>
      </c>
      <c r="V9272" s="11">
        <v>0.02053729085765304</v>
      </c>
      <c r="W9272" s="11">
        <v>0.09737061231626544</v>
      </c>
      <c r="X9272" s="11">
        <v>0.027153493653224534</v>
      </c>
      <c r="Y9272" s="11">
        <v>0.39577294687117426</v>
      </c>
      <c r="Z9272" s="11">
        <v>0.3499633037489558</v>
      </c>
    </row>
    <row r="9273" ht="22.5" customHeight="1">
      <c r="Q9273" s="9" t="s">
        <v>9311</v>
      </c>
      <c r="R9273" s="10">
        <v>0.4534555515910186</v>
      </c>
      <c r="S9273" s="10">
        <v>0.024885936401001486</v>
      </c>
      <c r="T9273" s="10">
        <v>16.614024279768707</v>
      </c>
      <c r="U9273" s="11">
        <v>0.1373442418605385</v>
      </c>
      <c r="V9273" s="11">
        <v>1.4453784259806158E-4</v>
      </c>
      <c r="W9273" s="11">
        <v>0.21137009367961812</v>
      </c>
      <c r="X9273" s="11">
        <v>0.32616519099362046</v>
      </c>
      <c r="Y9273" s="11">
        <v>0.2824912210105151</v>
      </c>
      <c r="Z9273" s="11">
        <v>0.042484714613109625</v>
      </c>
    </row>
    <row r="9274" ht="22.5" customHeight="1">
      <c r="Q9274" s="9" t="s">
        <v>9312</v>
      </c>
      <c r="R9274" s="10">
        <v>0.5156447063848906</v>
      </c>
      <c r="S9274" s="10">
        <v>0.028631420051826523</v>
      </c>
      <c r="T9274" s="10">
        <v>16.61268304275209</v>
      </c>
      <c r="U9274" s="11">
        <v>0.1828834152480594</v>
      </c>
      <c r="V9274" s="11">
        <v>0.03257275322055234</v>
      </c>
      <c r="W9274" s="11">
        <v>0.255138787148946</v>
      </c>
      <c r="X9274" s="11">
        <v>0.22253237878126195</v>
      </c>
      <c r="Y9274" s="11">
        <v>7.103417484550072E-4</v>
      </c>
      <c r="Z9274" s="11">
        <v>0.3061623238527254</v>
      </c>
    </row>
    <row r="9275" ht="22.5" customHeight="1">
      <c r="Q9275" s="9" t="s">
        <v>9313</v>
      </c>
      <c r="R9275" s="10">
        <v>0.46907097953584065</v>
      </c>
      <c r="S9275" s="10">
        <v>0.025828665629577304</v>
      </c>
      <c r="T9275" s="10">
        <v>16.612200788433164</v>
      </c>
      <c r="U9275" s="11">
        <v>0.2619844437669894</v>
      </c>
      <c r="V9275" s="11">
        <v>0.2380047743920897</v>
      </c>
      <c r="W9275" s="11">
        <v>0.007822623824011448</v>
      </c>
      <c r="X9275" s="11">
        <v>0.022715476306328666</v>
      </c>
      <c r="Y9275" s="11">
        <v>0.2710814043890485</v>
      </c>
      <c r="Z9275" s="11">
        <v>0.1983912773215322</v>
      </c>
    </row>
    <row r="9276" ht="22.5" customHeight="1">
      <c r="Q9276" s="9" t="s">
        <v>9314</v>
      </c>
      <c r="R9276" s="10">
        <v>0.5247663305652928</v>
      </c>
      <c r="S9276" s="10">
        <v>0.029185693652222892</v>
      </c>
      <c r="T9276" s="10">
        <v>16.60972448836662</v>
      </c>
      <c r="U9276" s="11">
        <v>0.09890611220179467</v>
      </c>
      <c r="V9276" s="11">
        <v>0.018922294208617116</v>
      </c>
      <c r="W9276" s="11">
        <v>0.2571568259178741</v>
      </c>
      <c r="X9276" s="11">
        <v>0.27626452150687547</v>
      </c>
      <c r="Y9276" s="11">
        <v>0.22482151421781646</v>
      </c>
      <c r="Z9276" s="11">
        <v>0.12392873194702227</v>
      </c>
    </row>
    <row r="9277" ht="22.5" customHeight="1">
      <c r="Q9277" s="9" t="s">
        <v>9315</v>
      </c>
      <c r="R9277" s="10">
        <v>0.5375343893318193</v>
      </c>
      <c r="S9277" s="10">
        <v>0.02996629231272465</v>
      </c>
      <c r="T9277" s="10">
        <v>16.603134753529392</v>
      </c>
      <c r="U9277" s="11">
        <v>0.04304839823650554</v>
      </c>
      <c r="V9277" s="11">
        <v>0.019685359005208587</v>
      </c>
      <c r="W9277" s="11">
        <v>0.2613000894859825</v>
      </c>
      <c r="X9277" s="11">
        <v>0.2788719420897795</v>
      </c>
      <c r="Y9277" s="11">
        <v>0.32241741248227523</v>
      </c>
      <c r="Z9277" s="11">
        <v>0.07467679870024871</v>
      </c>
    </row>
    <row r="9278" ht="22.5" customHeight="1">
      <c r="Q9278" s="9" t="s">
        <v>9316</v>
      </c>
      <c r="R9278" s="10">
        <v>0.716183423919625</v>
      </c>
      <c r="S9278" s="10">
        <v>0.04072935785758795</v>
      </c>
      <c r="T9278" s="10">
        <v>16.601868025612653</v>
      </c>
      <c r="U9278" s="11">
        <v>0.03730519456290715</v>
      </c>
      <c r="V9278" s="11">
        <v>0.051615226712083</v>
      </c>
      <c r="W9278" s="11">
        <v>0.36575534336518845</v>
      </c>
      <c r="X9278" s="11">
        <v>0.3150818083975285</v>
      </c>
      <c r="Y9278" s="11">
        <v>0.17301741716189162</v>
      </c>
      <c r="Z9278" s="11">
        <v>0.057225009800401454</v>
      </c>
    </row>
    <row r="9279" ht="22.5" customHeight="1">
      <c r="Q9279" s="9" t="s">
        <v>9317</v>
      </c>
      <c r="R9279" s="10">
        <v>0.472438931757265</v>
      </c>
      <c r="S9279" s="10">
        <v>0.026047718081983053</v>
      </c>
      <c r="T9279" s="10">
        <v>16.601797147688675</v>
      </c>
      <c r="U9279" s="11">
        <v>0.009392332587453147</v>
      </c>
      <c r="V9279" s="11">
        <v>0.012945839788989413</v>
      </c>
      <c r="W9279" s="11">
        <v>0.2263787668143063</v>
      </c>
      <c r="X9279" s="11">
        <v>0.29037918168514165</v>
      </c>
      <c r="Y9279" s="11">
        <v>0.24523256303466673</v>
      </c>
      <c r="Z9279" s="11">
        <v>0.21567131608944282</v>
      </c>
    </row>
    <row r="9280" ht="22.5" customHeight="1">
      <c r="Q9280" s="9" t="s">
        <v>9318</v>
      </c>
      <c r="R9280" s="10">
        <v>0.5984644674218051</v>
      </c>
      <c r="S9280" s="10">
        <v>0.03364477116729911</v>
      </c>
      <c r="T9280" s="10">
        <v>16.598848737737953</v>
      </c>
      <c r="U9280" s="11">
        <v>0.031821253783371486</v>
      </c>
      <c r="V9280" s="11">
        <v>0.0638847877641906</v>
      </c>
      <c r="W9280" s="11">
        <v>0.2986364687425297</v>
      </c>
      <c r="X9280" s="11">
        <v>0.0543054175910613</v>
      </c>
      <c r="Y9280" s="11">
        <v>0.21001347311530502</v>
      </c>
      <c r="Z9280" s="11">
        <v>0.3413385990035419</v>
      </c>
    </row>
    <row r="9281" ht="22.5" customHeight="1">
      <c r="Q9281" s="9" t="s">
        <v>9319</v>
      </c>
      <c r="R9281" s="10">
        <v>0.7725677873344402</v>
      </c>
      <c r="S9281" s="10">
        <v>0.04413580555332527</v>
      </c>
      <c r="T9281" s="10">
        <v>16.598038217504502</v>
      </c>
      <c r="U9281" s="11">
        <v>0.3350935126482245</v>
      </c>
      <c r="V9281" s="11">
        <v>0.42231966182336034</v>
      </c>
      <c r="W9281" s="11">
        <v>0.04306262210039721</v>
      </c>
      <c r="X9281" s="11">
        <v>0.024896558792667684</v>
      </c>
      <c r="Y9281" s="11">
        <v>0.14169695754561357</v>
      </c>
      <c r="Z9281" s="11">
        <v>0.03293068708973659</v>
      </c>
    </row>
    <row r="9282" ht="22.5" customHeight="1">
      <c r="Q9282" s="9" t="s">
        <v>9320</v>
      </c>
      <c r="R9282" s="10">
        <v>0.5560400803461241</v>
      </c>
      <c r="S9282" s="10">
        <v>0.031091728420202618</v>
      </c>
      <c r="T9282" s="10">
        <v>16.5973429772664</v>
      </c>
      <c r="U9282" s="11">
        <v>0.10484408312989413</v>
      </c>
      <c r="V9282" s="11">
        <v>0.04222565986375223</v>
      </c>
      <c r="W9282" s="11">
        <v>0.2770688359172661</v>
      </c>
      <c r="X9282" s="11">
        <v>0.14173470271373248</v>
      </c>
      <c r="Y9282" s="11">
        <v>0.17455370943540327</v>
      </c>
      <c r="Z9282" s="11">
        <v>0.2595730089399519</v>
      </c>
    </row>
    <row r="9283" ht="22.5" customHeight="1">
      <c r="Q9283" s="9" t="s">
        <v>9321</v>
      </c>
      <c r="R9283" s="10">
        <v>0.6615589964552082</v>
      </c>
      <c r="S9283" s="10">
        <v>0.03745590817026065</v>
      </c>
      <c r="T9283" s="10">
        <v>16.594417992211852</v>
      </c>
      <c r="U9283" s="11">
        <v>0.1113278648389699</v>
      </c>
      <c r="V9283" s="11">
        <v>0.0661416588750151</v>
      </c>
      <c r="W9283" s="11">
        <v>0.33688683318191337</v>
      </c>
      <c r="X9283" s="11">
        <v>0.14431714144329963</v>
      </c>
      <c r="Y9283" s="11">
        <v>0.06647610137558017</v>
      </c>
      <c r="Z9283" s="11">
        <v>0.2748504002852218</v>
      </c>
    </row>
    <row r="9284" ht="22.5" customHeight="1">
      <c r="Q9284" s="9" t="s">
        <v>9322</v>
      </c>
      <c r="R9284" s="10">
        <v>0.2201631119438371</v>
      </c>
      <c r="S9284" s="10">
        <v>0.01085688550452468</v>
      </c>
      <c r="T9284" s="10">
        <v>16.594364181951892</v>
      </c>
      <c r="U9284" s="11">
        <v>0.187367808594068</v>
      </c>
      <c r="V9284" s="11">
        <v>0.04145097947933385</v>
      </c>
      <c r="W9284" s="11">
        <v>0.001330457530594598</v>
      </c>
      <c r="X9284" s="11">
        <v>0.20774357760033824</v>
      </c>
      <c r="Y9284" s="11">
        <v>0.3916503092950977</v>
      </c>
      <c r="Z9284" s="11">
        <v>0.17045686750056768</v>
      </c>
    </row>
    <row r="9285" ht="22.5" customHeight="1">
      <c r="Q9285" s="9" t="s">
        <v>9323</v>
      </c>
      <c r="R9285" s="10">
        <v>0.4831334231041487</v>
      </c>
      <c r="S9285" s="10">
        <v>0.0267057031532737</v>
      </c>
      <c r="T9285" s="10">
        <v>16.593213088636745</v>
      </c>
      <c r="U9285" s="11">
        <v>0.22562080321830622</v>
      </c>
      <c r="V9285" s="11">
        <v>0.007460789325637506</v>
      </c>
      <c r="W9285" s="11">
        <v>0.23137797933232077</v>
      </c>
      <c r="X9285" s="11">
        <v>0.27145739705091143</v>
      </c>
      <c r="Y9285" s="11">
        <v>0.23719685904825188</v>
      </c>
      <c r="Z9285" s="11">
        <v>0.026886172024572212</v>
      </c>
    </row>
    <row r="9286" ht="22.5" customHeight="1">
      <c r="Q9286" s="9" t="s">
        <v>9324</v>
      </c>
      <c r="R9286" s="10">
        <v>0.7888332643581872</v>
      </c>
      <c r="S9286" s="10">
        <v>0.04513247521611164</v>
      </c>
      <c r="T9286" s="10">
        <v>16.591894434605805</v>
      </c>
      <c r="U9286" s="11">
        <v>0.31754696570620056</v>
      </c>
      <c r="V9286" s="11">
        <v>0.09198179458278877</v>
      </c>
      <c r="W9286" s="11">
        <v>0.4024936265824702</v>
      </c>
      <c r="X9286" s="11">
        <v>0.015164449645529566</v>
      </c>
      <c r="Y9286" s="11">
        <v>0.16283190132153186</v>
      </c>
      <c r="Z9286" s="11">
        <v>0.009981262161479149</v>
      </c>
    </row>
    <row r="9287" ht="22.5" customHeight="1">
      <c r="Q9287" s="9" t="s">
        <v>9325</v>
      </c>
      <c r="R9287" s="10">
        <v>0.6439520554783944</v>
      </c>
      <c r="S9287" s="10">
        <v>0.036404622874121544</v>
      </c>
      <c r="T9287" s="10">
        <v>16.58998247466306</v>
      </c>
      <c r="U9287" s="11">
        <v>0.26052608692802687</v>
      </c>
      <c r="V9287" s="11">
        <v>0.34936599609929603</v>
      </c>
      <c r="W9287" s="11">
        <v>0.026740943285368336</v>
      </c>
      <c r="X9287" s="11">
        <v>0.07023687690532732</v>
      </c>
      <c r="Y9287" s="11">
        <v>0.08945430679516175</v>
      </c>
      <c r="Z9287" s="11">
        <v>0.2036757899868198</v>
      </c>
    </row>
    <row r="9288" ht="22.5" customHeight="1">
      <c r="Q9288" s="9" t="s">
        <v>9326</v>
      </c>
      <c r="R9288" s="10">
        <v>0.3574440786773479</v>
      </c>
      <c r="S9288" s="10">
        <v>0.019137565802786864</v>
      </c>
      <c r="T9288" s="10">
        <v>16.587484633553597</v>
      </c>
      <c r="U9288" s="11">
        <v>0.09641524033628589</v>
      </c>
      <c r="V9288" s="11">
        <v>0.0042761316476113975</v>
      </c>
      <c r="W9288" s="11">
        <v>0.15760277806366998</v>
      </c>
      <c r="X9288" s="11">
        <v>0.18579250608556125</v>
      </c>
      <c r="Y9288" s="11">
        <v>0.2786069485429849</v>
      </c>
      <c r="Z9288" s="11">
        <v>0.2773063953238865</v>
      </c>
    </row>
    <row r="9289" ht="22.5" customHeight="1">
      <c r="Q9289" s="9" t="s">
        <v>9327</v>
      </c>
      <c r="R9289" s="10">
        <v>0.45613313197092425</v>
      </c>
      <c r="S9289" s="10">
        <v>0.02508891593939602</v>
      </c>
      <c r="T9289" s="10">
        <v>16.58633370115003</v>
      </c>
      <c r="U9289" s="11">
        <v>0.22068036514793266</v>
      </c>
      <c r="V9289" s="11">
        <v>0.009370328619400067</v>
      </c>
      <c r="W9289" s="11">
        <v>0.2187137504425869</v>
      </c>
      <c r="X9289" s="11">
        <v>0.24305242575624156</v>
      </c>
      <c r="Y9289" s="11">
        <v>0.1667494047678195</v>
      </c>
      <c r="Z9289" s="11">
        <v>0.1414337252660194</v>
      </c>
    </row>
    <row r="9290" ht="22.5" customHeight="1">
      <c r="Q9290" s="9" t="s">
        <v>9328</v>
      </c>
      <c r="R9290" s="10">
        <v>0.5812231337945268</v>
      </c>
      <c r="S9290" s="10">
        <v>0.03263546064760666</v>
      </c>
      <c r="T9290" s="10">
        <v>16.58389748619092</v>
      </c>
      <c r="U9290" s="11">
        <v>0.2013603411720592</v>
      </c>
      <c r="V9290" s="11">
        <v>0.3051547027813315</v>
      </c>
      <c r="W9290" s="11">
        <v>0.01567778692979104</v>
      </c>
      <c r="X9290" s="11">
        <v>0.033826809458334724</v>
      </c>
      <c r="Y9290" s="11">
        <v>0.35385324043504734</v>
      </c>
      <c r="Z9290" s="11">
        <v>0.09012711922343628</v>
      </c>
    </row>
    <row r="9291" ht="22.5" customHeight="1">
      <c r="Q9291" s="9" t="s">
        <v>9329</v>
      </c>
      <c r="R9291" s="10">
        <v>0.6113065966420913</v>
      </c>
      <c r="S9291" s="10">
        <v>0.0344503842638576</v>
      </c>
      <c r="T9291" s="10">
        <v>16.583460790057348</v>
      </c>
      <c r="U9291" s="11">
        <v>0.27232696224071984</v>
      </c>
      <c r="V9291" s="11">
        <v>0.06778435987398546</v>
      </c>
      <c r="W9291" s="11">
        <v>0.30664299362622494</v>
      </c>
      <c r="X9291" s="11">
        <v>0.031229306876418624</v>
      </c>
      <c r="Y9291" s="11">
        <v>0.03752737769586026</v>
      </c>
      <c r="Z9291" s="11">
        <v>0.28448899968679087</v>
      </c>
    </row>
    <row r="9292" ht="22.5" customHeight="1">
      <c r="Q9292" s="9" t="s">
        <v>9330</v>
      </c>
      <c r="R9292" s="10">
        <v>0.4088178341436799</v>
      </c>
      <c r="S9292" s="10">
        <v>0.022240110993469595</v>
      </c>
      <c r="T9292" s="10">
        <v>16.583452944635777</v>
      </c>
      <c r="U9292" s="11">
        <v>0.018975163832056347</v>
      </c>
      <c r="V9292" s="11">
        <v>0.20427163872216467</v>
      </c>
      <c r="W9292" s="11">
        <v>0.012928428106158489</v>
      </c>
      <c r="X9292" s="11">
        <v>0.003854397287210441</v>
      </c>
      <c r="Y9292" s="11">
        <v>0.2937520357296803</v>
      </c>
      <c r="Z9292" s="11">
        <v>0.4662183363227298</v>
      </c>
    </row>
    <row r="9293" ht="22.5" customHeight="1">
      <c r="Q9293" s="9" t="s">
        <v>9331</v>
      </c>
      <c r="R9293" s="10">
        <v>0.3895557429154266</v>
      </c>
      <c r="S9293" s="10">
        <v>0.021085647818849806</v>
      </c>
      <c r="T9293" s="10">
        <v>16.577899143460815</v>
      </c>
      <c r="U9293" s="11">
        <v>0.21989534014666806</v>
      </c>
      <c r="V9293" s="11">
        <v>0.005726416247696843</v>
      </c>
      <c r="W9293" s="11">
        <v>0.18015333539314937</v>
      </c>
      <c r="X9293" s="11">
        <v>0.20043267512812946</v>
      </c>
      <c r="Y9293" s="11">
        <v>0.15440994062634586</v>
      </c>
      <c r="Z9293" s="11">
        <v>0.23938229245801046</v>
      </c>
    </row>
    <row r="9294" ht="22.5" customHeight="1">
      <c r="Q9294" s="9" t="s">
        <v>9332</v>
      </c>
      <c r="R9294" s="10">
        <v>0.5729201578933071</v>
      </c>
      <c r="S9294" s="10">
        <v>0.03215258932234974</v>
      </c>
      <c r="T9294" s="10">
        <v>16.574719769858984</v>
      </c>
      <c r="U9294" s="11">
        <v>0.08384719838396591</v>
      </c>
      <c r="V9294" s="11">
        <v>0.03561875254838432</v>
      </c>
      <c r="W9294" s="11">
        <v>0.28730719402830246</v>
      </c>
      <c r="X9294" s="11">
        <v>0.22246234584941732</v>
      </c>
      <c r="Y9294" s="11">
        <v>0.16740714885920288</v>
      </c>
      <c r="Z9294" s="11">
        <v>0.20335736033072713</v>
      </c>
    </row>
    <row r="9295" ht="22.5" customHeight="1">
      <c r="Q9295" s="9" t="s">
        <v>9333</v>
      </c>
      <c r="R9295" s="10">
        <v>0.404924831639509</v>
      </c>
      <c r="S9295" s="10">
        <v>0.022019119902372507</v>
      </c>
      <c r="T9295" s="10">
        <v>16.573088899896913</v>
      </c>
      <c r="U9295" s="11">
        <v>0.26306815022663693</v>
      </c>
      <c r="V9295" s="11">
        <v>0.020669116107863178</v>
      </c>
      <c r="W9295" s="11">
        <v>0.1857503778949604</v>
      </c>
      <c r="X9295" s="11">
        <v>0.058814538466365404</v>
      </c>
      <c r="Y9295" s="11">
        <v>0.24485091640321005</v>
      </c>
      <c r="Z9295" s="11">
        <v>0.22684690090096413</v>
      </c>
    </row>
    <row r="9296" ht="22.5" customHeight="1">
      <c r="Q9296" s="9" t="s">
        <v>9334</v>
      </c>
      <c r="R9296" s="10">
        <v>0.5675342776520584</v>
      </c>
      <c r="S9296" s="10">
        <v>0.031830984197350386</v>
      </c>
      <c r="T9296" s="10">
        <v>16.572980413718103</v>
      </c>
      <c r="U9296" s="11">
        <v>0.1418951773836373</v>
      </c>
      <c r="V9296" s="11">
        <v>0.30623440404440583</v>
      </c>
      <c r="W9296" s="11">
        <v>0.0192701345863582</v>
      </c>
      <c r="X9296" s="11">
        <v>0.09773203235578415</v>
      </c>
      <c r="Y9296" s="11">
        <v>0.0790859838576601</v>
      </c>
      <c r="Z9296" s="11">
        <v>0.3557822677721546</v>
      </c>
    </row>
    <row r="9297" ht="22.5" customHeight="1">
      <c r="Q9297" s="9" t="s">
        <v>9335</v>
      </c>
      <c r="R9297" s="10">
        <v>0.435937788043472</v>
      </c>
      <c r="S9297" s="10">
        <v>0.023896197157204854</v>
      </c>
      <c r="T9297" s="10">
        <v>16.569071029952323</v>
      </c>
      <c r="U9297" s="11">
        <v>0.14162409126652592</v>
      </c>
      <c r="V9297" s="11">
        <v>0.22410013992713074</v>
      </c>
      <c r="W9297" s="11">
        <v>0.003438093479155262</v>
      </c>
      <c r="X9297" s="11">
        <v>0.08186504074602562</v>
      </c>
      <c r="Y9297" s="11">
        <v>0.1783974058967349</v>
      </c>
      <c r="Z9297" s="11">
        <v>0.3705752286844275</v>
      </c>
    </row>
    <row r="9298" ht="22.5" customHeight="1">
      <c r="Q9298" s="9" t="s">
        <v>9336</v>
      </c>
      <c r="R9298" s="10">
        <v>0.5337612558231586</v>
      </c>
      <c r="S9298" s="10">
        <v>0.02980245981559086</v>
      </c>
      <c r="T9298" s="10">
        <v>16.567802083398913</v>
      </c>
      <c r="U9298" s="11">
        <v>0.4200018692488229</v>
      </c>
      <c r="V9298" s="11">
        <v>0.27896924247155813</v>
      </c>
      <c r="W9298" s="11">
        <v>0.015191093869674141</v>
      </c>
      <c r="X9298" s="11">
        <v>0.03481328133521126</v>
      </c>
      <c r="Y9298" s="11">
        <v>0.09443277629723558</v>
      </c>
      <c r="Z9298" s="11">
        <v>0.15659173677749796</v>
      </c>
    </row>
    <row r="9299" ht="22.5" customHeight="1">
      <c r="Q9299" s="9" t="s">
        <v>9337</v>
      </c>
      <c r="R9299" s="10">
        <v>0.5609212496750526</v>
      </c>
      <c r="S9299" s="10">
        <v>0.031443778189744594</v>
      </c>
      <c r="T9299" s="10">
        <v>16.56675118783758</v>
      </c>
      <c r="U9299" s="11">
        <v>0.12870292710074538</v>
      </c>
      <c r="V9299" s="11">
        <v>0.3011814798455331</v>
      </c>
      <c r="W9299" s="11">
        <v>0.005924668609374698</v>
      </c>
      <c r="X9299" s="11">
        <v>0.21728232273042591</v>
      </c>
      <c r="Y9299" s="11">
        <v>0.058796340982297794</v>
      </c>
      <c r="Z9299" s="11">
        <v>0.28811226073162305</v>
      </c>
    </row>
    <row r="9300" ht="22.5" customHeight="1">
      <c r="Q9300" s="9" t="s">
        <v>9338</v>
      </c>
      <c r="R9300" s="10">
        <v>0.46451078063780166</v>
      </c>
      <c r="S9300" s="10">
        <v>0.02563219421365488</v>
      </c>
      <c r="T9300" s="10">
        <v>16.561624693513547</v>
      </c>
      <c r="U9300" s="11">
        <v>0.09355059862333127</v>
      </c>
      <c r="V9300" s="11">
        <v>0.24102903179986207</v>
      </c>
      <c r="W9300" s="11">
        <v>0.003119479586150453</v>
      </c>
      <c r="X9300" s="11">
        <v>0.09724983753683968</v>
      </c>
      <c r="Y9300" s="11">
        <v>0.23503294462431354</v>
      </c>
      <c r="Z9300" s="11">
        <v>0.33001810782950297</v>
      </c>
    </row>
    <row r="9301" ht="22.5" customHeight="1">
      <c r="Q9301" s="9" t="s">
        <v>9339</v>
      </c>
      <c r="R9301" s="10">
        <v>0.682628214536444</v>
      </c>
      <c r="S9301" s="10">
        <v>0.03880278533366929</v>
      </c>
      <c r="T9301" s="10">
        <v>16.561393956913538</v>
      </c>
      <c r="U9301" s="11">
        <v>0.14248488618367117</v>
      </c>
      <c r="V9301" s="11">
        <v>0.047415337378917115</v>
      </c>
      <c r="W9301" s="11">
        <v>0.34940157054431387</v>
      </c>
      <c r="X9301" s="11">
        <v>0.27899037033326834</v>
      </c>
      <c r="Y9301" s="11">
        <v>0.1069114720397208</v>
      </c>
      <c r="Z9301" s="11">
        <v>0.07479636352010872</v>
      </c>
    </row>
    <row r="9302" ht="22.5" customHeight="1">
      <c r="Q9302" s="9" t="s">
        <v>9340</v>
      </c>
      <c r="R9302" s="10">
        <v>0.39147121333994017</v>
      </c>
      <c r="S9302" s="10">
        <v>0.021223996982042397</v>
      </c>
      <c r="T9302" s="10">
        <v>16.560085908291434</v>
      </c>
      <c r="U9302" s="11">
        <v>0.23767017424716885</v>
      </c>
      <c r="V9302" s="11">
        <v>0.0034224940883206055</v>
      </c>
      <c r="W9302" s="11">
        <v>0.18183165275381832</v>
      </c>
      <c r="X9302" s="11">
        <v>0.24066532469386648</v>
      </c>
      <c r="Y9302" s="11">
        <v>0.09713009414678021</v>
      </c>
      <c r="Z9302" s="11">
        <v>0.2392802600700454</v>
      </c>
    </row>
    <row r="9303" ht="22.5" customHeight="1">
      <c r="Q9303" s="9" t="s">
        <v>9341</v>
      </c>
      <c r="R9303" s="10">
        <v>0.5593940591243594</v>
      </c>
      <c r="S9303" s="10">
        <v>0.03136525450269011</v>
      </c>
      <c r="T9303" s="10">
        <v>16.55953593744353</v>
      </c>
      <c r="U9303" s="11">
        <v>0.15636877887581915</v>
      </c>
      <c r="V9303" s="11">
        <v>0.050092642782047093</v>
      </c>
      <c r="W9303" s="11">
        <v>0.27571193531822247</v>
      </c>
      <c r="X9303" s="11">
        <v>0.03299472524418795</v>
      </c>
      <c r="Y9303" s="11">
        <v>0.2743331086531131</v>
      </c>
      <c r="Z9303" s="11">
        <v>0.21049880912661023</v>
      </c>
    </row>
    <row r="9304" ht="22.5" customHeight="1">
      <c r="Q9304" s="9" t="s">
        <v>9342</v>
      </c>
      <c r="R9304" s="10">
        <v>0.6546088027988195</v>
      </c>
      <c r="S9304" s="10">
        <v>0.03712501896452496</v>
      </c>
      <c r="T9304" s="10">
        <v>16.55511081047831</v>
      </c>
      <c r="U9304" s="11">
        <v>0.06979541837783208</v>
      </c>
      <c r="V9304" s="11">
        <v>0.055808513074508175</v>
      </c>
      <c r="W9304" s="11">
        <v>0.33423904608543303</v>
      </c>
      <c r="X9304" s="11">
        <v>0.20143663616058552</v>
      </c>
      <c r="Y9304" s="11">
        <v>0.10741199868788542</v>
      </c>
      <c r="Z9304" s="11">
        <v>0.23130838761375574</v>
      </c>
    </row>
    <row r="9305" ht="22.5" customHeight="1">
      <c r="Q9305" s="9" t="s">
        <v>9343</v>
      </c>
      <c r="R9305" s="10">
        <v>0.5980753260538271</v>
      </c>
      <c r="S9305" s="10">
        <v>0.033710237404482146</v>
      </c>
      <c r="T9305" s="10">
        <v>16.555069587840542</v>
      </c>
      <c r="U9305" s="11">
        <v>0.20204092903132717</v>
      </c>
      <c r="V9305" s="11">
        <v>0.3187635076509006</v>
      </c>
      <c r="W9305" s="11">
        <v>0.015958067706856417</v>
      </c>
      <c r="X9305" s="11">
        <v>0.05351468493077528</v>
      </c>
      <c r="Y9305" s="11">
        <v>0.2879717489472493</v>
      </c>
      <c r="Z9305" s="11">
        <v>0.12175106173289124</v>
      </c>
    </row>
    <row r="9306" ht="22.5" customHeight="1">
      <c r="Q9306" s="9" t="s">
        <v>9344</v>
      </c>
      <c r="R9306" s="10">
        <v>0.42835589111340505</v>
      </c>
      <c r="S9306" s="10">
        <v>0.023461884408650994</v>
      </c>
      <c r="T9306" s="10">
        <v>16.55262997418095</v>
      </c>
      <c r="U9306" s="11">
        <v>0.14173239466195706</v>
      </c>
      <c r="V9306" s="11">
        <v>0.006275642283846933</v>
      </c>
      <c r="W9306" s="11">
        <v>0.2023514821356297</v>
      </c>
      <c r="X9306" s="11">
        <v>0.2421742163244312</v>
      </c>
      <c r="Y9306" s="11">
        <v>0.21541378196724037</v>
      </c>
      <c r="Z9306" s="11">
        <v>0.1920524826268947</v>
      </c>
    </row>
    <row r="9307" ht="22.5" customHeight="1">
      <c r="Q9307" s="9" t="s">
        <v>9345</v>
      </c>
      <c r="R9307" s="10">
        <v>0.6676660692685263</v>
      </c>
      <c r="S9307" s="10">
        <v>0.037923812962285045</v>
      </c>
      <c r="T9307" s="10">
        <v>16.55071102404011</v>
      </c>
      <c r="U9307" s="11">
        <v>0.050591669669040565</v>
      </c>
      <c r="V9307" s="11">
        <v>0.04007935871807795</v>
      </c>
      <c r="W9307" s="11">
        <v>0.3400863848333081</v>
      </c>
      <c r="X9307" s="11">
        <v>0.3308957463986493</v>
      </c>
      <c r="Y9307" s="11">
        <v>0.162260607664253</v>
      </c>
      <c r="Z9307" s="11">
        <v>0.07608623271667105</v>
      </c>
    </row>
    <row r="9308" ht="22.5" customHeight="1">
      <c r="Q9308" s="9" t="s">
        <v>9346</v>
      </c>
      <c r="R9308" s="10">
        <v>0.6582836820107782</v>
      </c>
      <c r="S9308" s="10">
        <v>0.03736777291024647</v>
      </c>
      <c r="T9308" s="10">
        <v>16.54590664249196</v>
      </c>
      <c r="U9308" s="11">
        <v>0.05661020409507519</v>
      </c>
      <c r="V9308" s="11">
        <v>0.03557100393132921</v>
      </c>
      <c r="W9308" s="11">
        <v>0.334131481811454</v>
      </c>
      <c r="X9308" s="11">
        <v>0.3406064636801095</v>
      </c>
      <c r="Y9308" s="11">
        <v>0.19165987877399124</v>
      </c>
      <c r="Z9308" s="11">
        <v>0.041420967708041004</v>
      </c>
    </row>
    <row r="9309" ht="22.5" customHeight="1">
      <c r="Q9309" s="9" t="s">
        <v>9347</v>
      </c>
      <c r="R9309" s="10">
        <v>0.5937280921067933</v>
      </c>
      <c r="S9309" s="10">
        <v>0.033466608531629194</v>
      </c>
      <c r="T9309" s="10">
        <v>16.545688864273966</v>
      </c>
      <c r="U9309" s="11">
        <v>0.10762392084869406</v>
      </c>
      <c r="V9309" s="11">
        <v>0.3198655908410733</v>
      </c>
      <c r="W9309" s="11">
        <v>0.002168671703980626</v>
      </c>
      <c r="X9309" s="11">
        <v>0.275139212049226</v>
      </c>
      <c r="Y9309" s="11">
        <v>0.08221461504954042</v>
      </c>
      <c r="Z9309" s="11">
        <v>0.21298798950748563</v>
      </c>
    </row>
    <row r="9310" ht="22.5" customHeight="1">
      <c r="Q9310" s="9" t="s">
        <v>9348</v>
      </c>
      <c r="R9310" s="10">
        <v>0.6262541833201366</v>
      </c>
      <c r="S9310" s="10">
        <v>0.03543262951091441</v>
      </c>
      <c r="T9310" s="10">
        <v>16.54560193280465</v>
      </c>
      <c r="U9310" s="11">
        <v>0.2842371264290565</v>
      </c>
      <c r="V9310" s="11">
        <v>0.046403949966409945</v>
      </c>
      <c r="W9310" s="11">
        <v>0.3139810532099471</v>
      </c>
      <c r="X9310" s="11">
        <v>0.10535640036065758</v>
      </c>
      <c r="Y9310" s="11">
        <v>0.2499796424128007</v>
      </c>
      <c r="Z9310" s="11">
        <v>4.182762112834818E-5</v>
      </c>
    </row>
    <row r="9311" ht="22.5" customHeight="1">
      <c r="Q9311" s="9" t="s">
        <v>9349</v>
      </c>
      <c r="R9311" s="10">
        <v>0.5337060646133824</v>
      </c>
      <c r="S9311" s="10">
        <v>0.02983921235835335</v>
      </c>
      <c r="T9311" s="10">
        <v>16.545546131855982</v>
      </c>
      <c r="U9311" s="11">
        <v>0.09589419009544947</v>
      </c>
      <c r="V9311" s="11">
        <v>0.0353683787311546</v>
      </c>
      <c r="W9311" s="11">
        <v>0.26425043810053944</v>
      </c>
      <c r="X9311" s="11">
        <v>0.14050925459425018</v>
      </c>
      <c r="Y9311" s="11">
        <v>0.23218058301340427</v>
      </c>
      <c r="Z9311" s="11">
        <v>0.23179715546520202</v>
      </c>
    </row>
    <row r="9312" ht="22.5" customHeight="1">
      <c r="Q9312" s="9" t="s">
        <v>9350</v>
      </c>
      <c r="R9312" s="10">
        <v>0.5109929784838434</v>
      </c>
      <c r="S9312" s="10">
        <v>0.02846989389388082</v>
      </c>
      <c r="T9312" s="10">
        <v>16.543545270643822</v>
      </c>
      <c r="U9312" s="11">
        <v>0.12351181142727687</v>
      </c>
      <c r="V9312" s="11">
        <v>0.02441583600424381</v>
      </c>
      <c r="W9312" s="11">
        <v>0.2517671419646792</v>
      </c>
      <c r="X9312" s="11">
        <v>0.19704535093206316</v>
      </c>
      <c r="Y9312" s="11">
        <v>0.20752099665899698</v>
      </c>
      <c r="Z9312" s="11">
        <v>0.19573886301273996</v>
      </c>
    </row>
    <row r="9313" ht="22.5" customHeight="1">
      <c r="Q9313" s="9" t="s">
        <v>9351</v>
      </c>
      <c r="R9313" s="10">
        <v>0.5568430423753162</v>
      </c>
      <c r="S9313" s="10">
        <v>0.031242684241418208</v>
      </c>
      <c r="T9313" s="10">
        <v>16.54285010793474</v>
      </c>
      <c r="U9313" s="11">
        <v>0.16729171981627908</v>
      </c>
      <c r="V9313" s="11">
        <v>0.29678887676143256</v>
      </c>
      <c r="W9313" s="11">
        <v>0.019414460918168768</v>
      </c>
      <c r="X9313" s="11">
        <v>0.014667303775569086</v>
      </c>
      <c r="Y9313" s="11">
        <v>0.23780884293172852</v>
      </c>
      <c r="Z9313" s="11">
        <v>0.26402879579682176</v>
      </c>
    </row>
    <row r="9314" ht="22.5" customHeight="1">
      <c r="Q9314" s="9" t="s">
        <v>9352</v>
      </c>
      <c r="R9314" s="10">
        <v>0.4489192203183019</v>
      </c>
      <c r="S9314" s="10">
        <v>0.02471904801145164</v>
      </c>
      <c r="T9314" s="10">
        <v>16.542676729656463</v>
      </c>
      <c r="U9314" s="11">
        <v>0.1868522719638368</v>
      </c>
      <c r="V9314" s="11">
        <v>0.03679165785157536</v>
      </c>
      <c r="W9314" s="11">
        <v>0.21625860296114222</v>
      </c>
      <c r="X9314" s="11">
        <v>0.06562262936373879</v>
      </c>
      <c r="Y9314" s="11">
        <v>0.08367229214596808</v>
      </c>
      <c r="Z9314" s="11">
        <v>0.41080254571373886</v>
      </c>
    </row>
    <row r="9315" ht="22.5" customHeight="1">
      <c r="Q9315" s="9" t="s">
        <v>9353</v>
      </c>
      <c r="R9315" s="10">
        <v>0.53370952178624</v>
      </c>
      <c r="S9315" s="10">
        <v>0.02984799219052685</v>
      </c>
      <c r="T9315" s="10">
        <v>16.54079506034357</v>
      </c>
      <c r="U9315" s="11">
        <v>0.13559527539016397</v>
      </c>
      <c r="V9315" s="11">
        <v>0.011789628916914196</v>
      </c>
      <c r="W9315" s="11">
        <v>0.2635533240862643</v>
      </c>
      <c r="X9315" s="11">
        <v>0.41192655861443184</v>
      </c>
      <c r="Y9315" s="11">
        <v>0.05473241071387958</v>
      </c>
      <c r="Z9315" s="11">
        <v>0.122402802278346</v>
      </c>
    </row>
    <row r="9316" ht="22.5" customHeight="1">
      <c r="Q9316" s="9" t="s">
        <v>9354</v>
      </c>
      <c r="R9316" s="10">
        <v>0.6195922644160203</v>
      </c>
      <c r="S9316" s="10">
        <v>0.03504049308990868</v>
      </c>
      <c r="T9316" s="10">
        <v>16.54064236279076</v>
      </c>
      <c r="U9316" s="11">
        <v>0.3427612417304513</v>
      </c>
      <c r="V9316" s="11">
        <v>0.04662080944950025</v>
      </c>
      <c r="W9316" s="11">
        <v>0.3116117804645789</v>
      </c>
      <c r="X9316" s="11">
        <v>0.1057828507999959</v>
      </c>
      <c r="Y9316" s="11">
        <v>0.168003172366293</v>
      </c>
      <c r="Z9316" s="11">
        <v>0.025220145189180854</v>
      </c>
    </row>
    <row r="9317" ht="22.5" customHeight="1">
      <c r="Q9317" s="9" t="s">
        <v>9355</v>
      </c>
      <c r="R9317" s="10">
        <v>0.7230849988961434</v>
      </c>
      <c r="S9317" s="10">
        <v>0.041298524404265666</v>
      </c>
      <c r="T9317" s="10">
        <v>16.540179310270673</v>
      </c>
      <c r="U9317" s="11">
        <v>0.030232895787846197</v>
      </c>
      <c r="V9317" s="11">
        <v>0.09260164862662944</v>
      </c>
      <c r="W9317" s="11">
        <v>0.3700330076841737</v>
      </c>
      <c r="X9317" s="11">
        <v>0.06458738138072503</v>
      </c>
      <c r="Y9317" s="11">
        <v>0.059027699844889654</v>
      </c>
      <c r="Z9317" s="11">
        <v>0.38351736667573605</v>
      </c>
    </row>
    <row r="9318" ht="22.5" customHeight="1">
      <c r="Q9318" s="9" t="s">
        <v>9356</v>
      </c>
      <c r="R9318" s="10">
        <v>0.3816999110444073</v>
      </c>
      <c r="S9318" s="10">
        <v>0.020661338374481808</v>
      </c>
      <c r="T9318" s="10">
        <v>16.538130534004058</v>
      </c>
      <c r="U9318" s="11">
        <v>0.044611667245882815</v>
      </c>
      <c r="V9318" s="11">
        <v>0.1840137065063471</v>
      </c>
      <c r="W9318" s="11">
        <v>0.0029916853158579427</v>
      </c>
      <c r="X9318" s="11">
        <v>0.04085452636903102</v>
      </c>
      <c r="Y9318" s="11">
        <v>0.3605537051538473</v>
      </c>
      <c r="Z9318" s="11">
        <v>0.3669747094090338</v>
      </c>
    </row>
    <row r="9319" ht="22.5" customHeight="1">
      <c r="Q9319" s="9" t="s">
        <v>9357</v>
      </c>
      <c r="R9319" s="10">
        <v>0.6265339333403491</v>
      </c>
      <c r="S9319" s="10">
        <v>0.03547775230649917</v>
      </c>
      <c r="T9319" s="10">
        <v>16.532443438726585</v>
      </c>
      <c r="U9319" s="11">
        <v>0.32561156686618853</v>
      </c>
      <c r="V9319" s="11">
        <v>0.057131775390659584</v>
      </c>
      <c r="W9319" s="11">
        <v>0.31429205548513983</v>
      </c>
      <c r="X9319" s="11">
        <v>0.03241021445950912</v>
      </c>
      <c r="Y9319" s="11">
        <v>0.19722413720652818</v>
      </c>
      <c r="Z9319" s="11">
        <v>0.07333025059197464</v>
      </c>
    </row>
    <row r="9320" ht="22.5" customHeight="1">
      <c r="Q9320" s="9" t="s">
        <v>9358</v>
      </c>
      <c r="R9320" s="10">
        <v>0.6458710527246704</v>
      </c>
      <c r="S9320" s="10">
        <v>0.03665344521485956</v>
      </c>
      <c r="T9320" s="10">
        <v>16.52971635198554</v>
      </c>
      <c r="U9320" s="11">
        <v>0.006137129833681186</v>
      </c>
      <c r="V9320" s="11">
        <v>0.0447364539073119</v>
      </c>
      <c r="W9320" s="11">
        <v>0.3256522331525389</v>
      </c>
      <c r="X9320" s="11">
        <v>0.2182194824362577</v>
      </c>
      <c r="Y9320" s="11">
        <v>0.3121500913560572</v>
      </c>
      <c r="Z9320" s="11">
        <v>0.09310460931415307</v>
      </c>
    </row>
    <row r="9321" ht="22.5" customHeight="1">
      <c r="Q9321" s="9" t="s">
        <v>9359</v>
      </c>
      <c r="R9321" s="10">
        <v>1.0002986763136412</v>
      </c>
      <c r="S9321" s="10">
        <v>0.0580973820144904</v>
      </c>
      <c r="T9321" s="10">
        <v>16.529121330701745</v>
      </c>
      <c r="U9321" s="11">
        <v>0.05264817386640744</v>
      </c>
      <c r="V9321" s="11">
        <v>0.15056590239742124</v>
      </c>
      <c r="W9321" s="11">
        <v>0.5198124380605464</v>
      </c>
      <c r="X9321" s="11">
        <v>0.01722918458092172</v>
      </c>
      <c r="Y9321" s="11">
        <v>0.040399559852861415</v>
      </c>
      <c r="Z9321" s="11">
        <v>0.21934474124184175</v>
      </c>
    </row>
    <row r="9322" ht="22.5" customHeight="1">
      <c r="Q9322" s="9" t="s">
        <v>9360</v>
      </c>
      <c r="R9322" s="10">
        <v>0.47646942736794884</v>
      </c>
      <c r="S9322" s="10">
        <v>0.026407793447516086</v>
      </c>
      <c r="T9322" s="10">
        <v>16.528053668528035</v>
      </c>
      <c r="U9322" s="11">
        <v>0.10789077511989573</v>
      </c>
      <c r="V9322" s="11">
        <v>0.017384915452847493</v>
      </c>
      <c r="W9322" s="11">
        <v>0.23203302312344487</v>
      </c>
      <c r="X9322" s="11">
        <v>0.21685486635230372</v>
      </c>
      <c r="Y9322" s="11">
        <v>0.20603446707045378</v>
      </c>
      <c r="Z9322" s="11">
        <v>0.2198019528810545</v>
      </c>
    </row>
    <row r="9323" ht="22.5" customHeight="1">
      <c r="Q9323" s="9" t="s">
        <v>9361</v>
      </c>
      <c r="R9323" s="10">
        <v>0.7247232621702984</v>
      </c>
      <c r="S9323" s="10">
        <v>0.04143793623332727</v>
      </c>
      <c r="T9323" s="10">
        <v>16.52406766386199</v>
      </c>
      <c r="U9323" s="11">
        <v>0.24448260226400714</v>
      </c>
      <c r="V9323" s="11">
        <v>0.3997380122216221</v>
      </c>
      <c r="W9323" s="11">
        <v>0.03075903307155806</v>
      </c>
      <c r="X9323" s="11">
        <v>0.13253331891939638</v>
      </c>
      <c r="Y9323" s="11">
        <v>0.022987796421500055</v>
      </c>
      <c r="Z9323" s="11">
        <v>0.16949923710191625</v>
      </c>
    </row>
    <row r="9324" ht="22.5" customHeight="1">
      <c r="Q9324" s="9" t="s">
        <v>9362</v>
      </c>
      <c r="R9324" s="10">
        <v>0.40712340049070744</v>
      </c>
      <c r="S9324" s="10">
        <v>0.022218251884062158</v>
      </c>
      <c r="T9324" s="10">
        <v>16.52350519772694</v>
      </c>
      <c r="U9324" s="11">
        <v>0.09067666932254823</v>
      </c>
      <c r="V9324" s="11">
        <v>0.0070342569548606</v>
      </c>
      <c r="W9324" s="11">
        <v>0.192167229447185</v>
      </c>
      <c r="X9324" s="11">
        <v>0.29721949682090043</v>
      </c>
      <c r="Y9324" s="11">
        <v>0.06747113736971147</v>
      </c>
      <c r="Z9324" s="11">
        <v>0.3454312100847942</v>
      </c>
    </row>
    <row r="9325" ht="22.5" customHeight="1">
      <c r="Q9325" s="9" t="s">
        <v>9363</v>
      </c>
      <c r="R9325" s="10">
        <v>0.5622760154841663</v>
      </c>
      <c r="S9325" s="10">
        <v>0.031608945677585175</v>
      </c>
      <c r="T9325" s="10">
        <v>16.52304448276892</v>
      </c>
      <c r="U9325" s="11">
        <v>0.011643773997935912</v>
      </c>
      <c r="V9325" s="11">
        <v>0.03036690372903073</v>
      </c>
      <c r="W9325" s="11">
        <v>0.2810928302576247</v>
      </c>
      <c r="X9325" s="11">
        <v>0.2547028511682664</v>
      </c>
      <c r="Y9325" s="11">
        <v>0.21524644196967327</v>
      </c>
      <c r="Z9325" s="11">
        <v>0.20694719887746899</v>
      </c>
    </row>
    <row r="9326" ht="22.5" customHeight="1">
      <c r="Q9326" s="9" t="s">
        <v>9364</v>
      </c>
      <c r="R9326" s="10">
        <v>0.545328915925487</v>
      </c>
      <c r="S9326" s="10">
        <v>0.030593978783671635</v>
      </c>
      <c r="T9326" s="10">
        <v>16.51726699226146</v>
      </c>
      <c r="U9326" s="11">
        <v>0.04185587918455922</v>
      </c>
      <c r="V9326" s="11">
        <v>0.036005245106004335</v>
      </c>
      <c r="W9326" s="11">
        <v>0.26932905477277513</v>
      </c>
      <c r="X9326" s="11">
        <v>0.14311473682512546</v>
      </c>
      <c r="Y9326" s="11">
        <v>0.3059450802191807</v>
      </c>
      <c r="Z9326" s="11">
        <v>0.20375000389235526</v>
      </c>
    </row>
    <row r="9327" ht="22.5" customHeight="1">
      <c r="Q9327" s="9" t="s">
        <v>9365</v>
      </c>
      <c r="R9327" s="10">
        <v>0.7458063167461412</v>
      </c>
      <c r="S9327" s="10">
        <v>0.04273165842407606</v>
      </c>
      <c r="T9327" s="10">
        <v>16.517175854529267</v>
      </c>
      <c r="U9327" s="11">
        <v>0.019936047091732537</v>
      </c>
      <c r="V9327" s="11">
        <v>0.41321350516477273</v>
      </c>
      <c r="W9327" s="11">
        <v>0.024600388901002447</v>
      </c>
      <c r="X9327" s="11">
        <v>0.2885034964562142</v>
      </c>
      <c r="Y9327" s="11">
        <v>0.007869269153340679</v>
      </c>
      <c r="Z9327" s="11">
        <v>0.24587729323293742</v>
      </c>
    </row>
    <row r="9328" ht="22.5" customHeight="1">
      <c r="Q9328" s="9" t="s">
        <v>9366</v>
      </c>
      <c r="R9328" s="10">
        <v>0.5898865550139404</v>
      </c>
      <c r="S9328" s="10">
        <v>0.03329189567088053</v>
      </c>
      <c r="T9328" s="10">
        <v>16.51712958763446</v>
      </c>
      <c r="U9328" s="11">
        <v>0.013611829331385458</v>
      </c>
      <c r="V9328" s="11">
        <v>0.3217796519990785</v>
      </c>
      <c r="W9328" s="11">
        <v>0.023366452591246634</v>
      </c>
      <c r="X9328" s="11">
        <v>0.1012183610986123</v>
      </c>
      <c r="Y9328" s="11">
        <v>0.11395515846042183</v>
      </c>
      <c r="Z9328" s="11">
        <v>0.4260685465192553</v>
      </c>
    </row>
    <row r="9329" ht="22.5" customHeight="1">
      <c r="Q9329" s="9" t="s">
        <v>9367</v>
      </c>
      <c r="R9329" s="10">
        <v>0.531655888463869</v>
      </c>
      <c r="S9329" s="10">
        <v>0.02976855543845988</v>
      </c>
      <c r="T9329" s="10">
        <v>16.515947153709302</v>
      </c>
      <c r="U9329" s="11">
        <v>0.30326669015854046</v>
      </c>
      <c r="V9329" s="11">
        <v>0.02964137511663816</v>
      </c>
      <c r="W9329" s="11">
        <v>0.26499094751158453</v>
      </c>
      <c r="X9329" s="11">
        <v>0.18014439794011602</v>
      </c>
      <c r="Y9329" s="11">
        <v>0.05724986305939645</v>
      </c>
      <c r="Z9329" s="11">
        <v>0.1647067262137244</v>
      </c>
    </row>
    <row r="9330" ht="22.5" customHeight="1">
      <c r="Q9330" s="9" t="s">
        <v>9368</v>
      </c>
      <c r="R9330" s="10">
        <v>0.3852036542212175</v>
      </c>
      <c r="S9330" s="10">
        <v>0.020902917883886915</v>
      </c>
      <c r="T9330" s="10">
        <v>16.514615621550085</v>
      </c>
      <c r="U9330" s="11">
        <v>0.23772077732781427</v>
      </c>
      <c r="V9330" s="11">
        <v>0.009115963212796317</v>
      </c>
      <c r="W9330" s="11">
        <v>0.17934412501781444</v>
      </c>
      <c r="X9330" s="11">
        <v>0.17926328608462208</v>
      </c>
      <c r="Y9330" s="11">
        <v>0.09851508665598936</v>
      </c>
      <c r="Z9330" s="11">
        <v>0.2960407617009635</v>
      </c>
    </row>
    <row r="9331" ht="22.5" customHeight="1">
      <c r="Q9331" s="9" t="s">
        <v>9369</v>
      </c>
      <c r="R9331" s="10">
        <v>0.8229630559372287</v>
      </c>
      <c r="S9331" s="10">
        <v>0.04741571133777586</v>
      </c>
      <c r="T9331" s="10">
        <v>16.51273457355992</v>
      </c>
      <c r="U9331" s="11">
        <v>0.016740530250730606</v>
      </c>
      <c r="V9331" s="11">
        <v>0.0921825545806213</v>
      </c>
      <c r="W9331" s="11">
        <v>0.42567923223293985</v>
      </c>
      <c r="X9331" s="11">
        <v>0.11838532891806637</v>
      </c>
      <c r="Y9331" s="11">
        <v>0.22138608193402526</v>
      </c>
      <c r="Z9331" s="11">
        <v>0.12562627208361646</v>
      </c>
    </row>
    <row r="9332" ht="22.5" customHeight="1">
      <c r="Q9332" s="9" t="s">
        <v>9370</v>
      </c>
      <c r="R9332" s="10">
        <v>0.41048171567311537</v>
      </c>
      <c r="S9332" s="10">
        <v>0.022437225520148294</v>
      </c>
      <c r="T9332" s="10">
        <v>16.511921910328365</v>
      </c>
      <c r="U9332" s="11">
        <v>0.15658539277594247</v>
      </c>
      <c r="V9332" s="11">
        <v>0.20585136802091347</v>
      </c>
      <c r="W9332" s="11">
        <v>0.00670890885639427</v>
      </c>
      <c r="X9332" s="11">
        <v>0.00937658879812519</v>
      </c>
      <c r="Y9332" s="11">
        <v>0.2605552775649099</v>
      </c>
      <c r="Z9332" s="11">
        <v>0.3609224639837145</v>
      </c>
    </row>
    <row r="9333" ht="22.5" customHeight="1">
      <c r="Q9333" s="9" t="s">
        <v>9371</v>
      </c>
      <c r="R9333" s="10">
        <v>0.522331348251574</v>
      </c>
      <c r="S9333" s="10">
        <v>0.012202478929998631</v>
      </c>
      <c r="T9333" s="10">
        <v>16.511119589102787</v>
      </c>
      <c r="U9333" s="11">
        <v>0.23438286036985984</v>
      </c>
      <c r="V9333" s="11">
        <v>0.09065882366701732</v>
      </c>
      <c r="W9333" s="11">
        <v>0.0014573629808736011</v>
      </c>
      <c r="X9333" s="11">
        <v>0.11814916914969124</v>
      </c>
      <c r="Y9333" s="11">
        <v>0.027512771240103814</v>
      </c>
      <c r="Z9333" s="11">
        <v>0.5278390125924541</v>
      </c>
    </row>
    <row r="9334" ht="22.5" customHeight="1">
      <c r="Q9334" s="9" t="s">
        <v>9372</v>
      </c>
      <c r="R9334" s="10">
        <v>0.18671012895023953</v>
      </c>
      <c r="S9334" s="10">
        <v>0.008885725900139998</v>
      </c>
      <c r="T9334" s="10">
        <v>16.510764635214333</v>
      </c>
      <c r="U9334" s="11">
        <v>0.2759315669818536</v>
      </c>
      <c r="V9334" s="11">
        <v>0.009433147015337949</v>
      </c>
      <c r="W9334" s="11">
        <v>0.015580344683518915</v>
      </c>
      <c r="X9334" s="11">
        <v>0.3072716640633331</v>
      </c>
      <c r="Y9334" s="11">
        <v>0.07210899263647554</v>
      </c>
      <c r="Z9334" s="11">
        <v>0.31967428461948083</v>
      </c>
    </row>
    <row r="9335" ht="22.5" customHeight="1">
      <c r="Q9335" s="9" t="s">
        <v>9373</v>
      </c>
      <c r="R9335" s="10">
        <v>0.5578420183638841</v>
      </c>
      <c r="S9335" s="10">
        <v>0.031364940005053826</v>
      </c>
      <c r="T9335" s="10">
        <v>16.510218679852226</v>
      </c>
      <c r="U9335" s="11">
        <v>0.17423999027692502</v>
      </c>
      <c r="V9335" s="11">
        <v>0.025388904670060556</v>
      </c>
      <c r="W9335" s="11">
        <v>0.27920320263332943</v>
      </c>
      <c r="X9335" s="11">
        <v>0.2374878751165501</v>
      </c>
      <c r="Y9335" s="11">
        <v>0.1785610290164414</v>
      </c>
      <c r="Z9335" s="11">
        <v>0.1051189982866935</v>
      </c>
    </row>
    <row r="9336" ht="22.5" customHeight="1">
      <c r="Q9336" s="9" t="s">
        <v>9374</v>
      </c>
      <c r="R9336" s="10">
        <v>0.5411637570347917</v>
      </c>
      <c r="S9336" s="10">
        <v>0.030355661104992087</v>
      </c>
      <c r="T9336" s="10">
        <v>16.50972961192974</v>
      </c>
      <c r="U9336" s="11">
        <v>0.06853981798222299</v>
      </c>
      <c r="V9336" s="11">
        <v>0.02691958210957732</v>
      </c>
      <c r="W9336" s="11">
        <v>0.2710798567928189</v>
      </c>
      <c r="X9336" s="11">
        <v>0.3101885534419114</v>
      </c>
      <c r="Y9336" s="11">
        <v>0.04553497752748129</v>
      </c>
      <c r="Z9336" s="11">
        <v>0.2777372121459884</v>
      </c>
    </row>
    <row r="9337" ht="22.5" customHeight="1">
      <c r="Q9337" s="9" t="s">
        <v>9375</v>
      </c>
      <c r="R9337" s="10">
        <v>0.40119913041211985</v>
      </c>
      <c r="S9337" s="10">
        <v>0.02188046779398426</v>
      </c>
      <c r="T9337" s="10">
        <v>16.507834010359993</v>
      </c>
      <c r="U9337" s="11">
        <v>0.09504288515230003</v>
      </c>
      <c r="V9337" s="11">
        <v>1.7809345300213944E-5</v>
      </c>
      <c r="W9337" s="11">
        <v>0.17315750058012053</v>
      </c>
      <c r="X9337" s="11">
        <v>0.2489600252326273</v>
      </c>
      <c r="Y9337" s="11">
        <v>0.4529840334233671</v>
      </c>
      <c r="Z9337" s="11">
        <v>0.029837746266284878</v>
      </c>
    </row>
    <row r="9338" ht="22.5" customHeight="1">
      <c r="Q9338" s="9" t="s">
        <v>9376</v>
      </c>
      <c r="R9338" s="10">
        <v>0.20267973124187666</v>
      </c>
      <c r="S9338" s="10">
        <v>0.009855965613741913</v>
      </c>
      <c r="T9338" s="10">
        <v>16.50571213591255</v>
      </c>
      <c r="U9338" s="11">
        <v>0.2840481554575984</v>
      </c>
      <c r="V9338" s="11">
        <v>0.012424794891217856</v>
      </c>
      <c r="W9338" s="11">
        <v>0.03230149103554281</v>
      </c>
      <c r="X9338" s="11">
        <v>0.13398158028956242</v>
      </c>
      <c r="Y9338" s="11">
        <v>0.27184245641864985</v>
      </c>
      <c r="Z9338" s="11">
        <v>0.2654015219074288</v>
      </c>
    </row>
    <row r="9339" ht="22.5" customHeight="1">
      <c r="Q9339" s="9" t="s">
        <v>9377</v>
      </c>
      <c r="R9339" s="10">
        <v>0.5445511079592642</v>
      </c>
      <c r="S9339" s="10">
        <v>0.030570017037604535</v>
      </c>
      <c r="T9339" s="10">
        <v>16.50477025703355</v>
      </c>
      <c r="U9339" s="11">
        <v>0.2568872960183293</v>
      </c>
      <c r="V9339" s="11">
        <v>0.022305953329619016</v>
      </c>
      <c r="W9339" s="11">
        <v>0.2702035340755071</v>
      </c>
      <c r="X9339" s="11">
        <v>0.20745851590409534</v>
      </c>
      <c r="Y9339" s="11">
        <v>0.2054764884585609</v>
      </c>
      <c r="Z9339" s="11">
        <v>0.03766821221388826</v>
      </c>
    </row>
    <row r="9340" ht="22.5" customHeight="1">
      <c r="Q9340" s="9" t="s">
        <v>9378</v>
      </c>
      <c r="R9340" s="10">
        <v>0.5040877785298833</v>
      </c>
      <c r="S9340" s="10">
        <v>0.028122374677421274</v>
      </c>
      <c r="T9340" s="10">
        <v>16.502439209107308</v>
      </c>
      <c r="U9340" s="11">
        <v>0.13671400123051458</v>
      </c>
      <c r="V9340" s="11">
        <v>0.018166790102477157</v>
      </c>
      <c r="W9340" s="11">
        <v>0.24827683886489305</v>
      </c>
      <c r="X9340" s="11">
        <v>0.23263851346897538</v>
      </c>
      <c r="Y9340" s="11">
        <v>0.2005396506480301</v>
      </c>
      <c r="Z9340" s="11">
        <v>0.16366420568510978</v>
      </c>
    </row>
    <row r="9341" ht="22.5" customHeight="1">
      <c r="Q9341" s="9" t="s">
        <v>9379</v>
      </c>
      <c r="R9341" s="10">
        <v>0.5589954918751323</v>
      </c>
      <c r="S9341" s="10">
        <v>0.031450050184478634</v>
      </c>
      <c r="T9341" s="10">
        <v>16.502215062641433</v>
      </c>
      <c r="U9341" s="11">
        <v>0.2029365582568949</v>
      </c>
      <c r="V9341" s="11">
        <v>0.29969415595926246</v>
      </c>
      <c r="W9341" s="11">
        <v>0.018505015843395367</v>
      </c>
      <c r="X9341" s="11">
        <v>0.024322486376813824</v>
      </c>
      <c r="Y9341" s="11">
        <v>0.18614013274750807</v>
      </c>
      <c r="Z9341" s="11">
        <v>0.2684016508161254</v>
      </c>
    </row>
    <row r="9342" ht="22.5" customHeight="1">
      <c r="Q9342" s="9" t="s">
        <v>9380</v>
      </c>
      <c r="R9342" s="10">
        <v>0.7181373283622882</v>
      </c>
      <c r="S9342" s="10">
        <v>0.0410948055037223</v>
      </c>
      <c r="T9342" s="10">
        <v>16.50177729399069</v>
      </c>
      <c r="U9342" s="11">
        <v>0.10423513937236539</v>
      </c>
      <c r="V9342" s="11">
        <v>0.39373078087324664</v>
      </c>
      <c r="W9342" s="11">
        <v>0.027133528420401832</v>
      </c>
      <c r="X9342" s="11">
        <v>0.08428298119890484</v>
      </c>
      <c r="Y9342" s="11">
        <v>0.28458922186263513</v>
      </c>
      <c r="Z9342" s="11">
        <v>0.10602834827244609</v>
      </c>
    </row>
    <row r="9343" ht="22.5" customHeight="1">
      <c r="Q9343" s="9" t="s">
        <v>9381</v>
      </c>
      <c r="R9343" s="10">
        <v>0.4236958823881479</v>
      </c>
      <c r="S9343" s="10">
        <v>0.023259730785403384</v>
      </c>
      <c r="T9343" s="10">
        <v>16.49614459978771</v>
      </c>
      <c r="U9343" s="11">
        <v>0.21404603201871109</v>
      </c>
      <c r="V9343" s="11">
        <v>0.01642973642103088</v>
      </c>
      <c r="W9343" s="11">
        <v>0.20253552368543162</v>
      </c>
      <c r="X9343" s="11">
        <v>0.14901718769924893</v>
      </c>
      <c r="Y9343" s="11">
        <v>0.1368690634238232</v>
      </c>
      <c r="Z9343" s="11">
        <v>0.2811024567517543</v>
      </c>
    </row>
    <row r="9344" ht="22.5" customHeight="1">
      <c r="Q9344" s="9" t="s">
        <v>9382</v>
      </c>
      <c r="R9344" s="10">
        <v>0.462006362467538</v>
      </c>
      <c r="S9344" s="10">
        <v>0.025584679264825973</v>
      </c>
      <c r="T9344" s="10">
        <v>16.494494931883544</v>
      </c>
      <c r="U9344" s="11">
        <v>0.10741173780498664</v>
      </c>
      <c r="V9344" s="11">
        <v>0.24345641447061106</v>
      </c>
      <c r="W9344" s="11">
        <v>0.01797982237679318</v>
      </c>
      <c r="X9344" s="11">
        <v>0.05872777702340116</v>
      </c>
      <c r="Y9344" s="11">
        <v>0.03212716277108998</v>
      </c>
      <c r="Z9344" s="11">
        <v>0.5402970855531181</v>
      </c>
    </row>
    <row r="9345" ht="22.5" customHeight="1">
      <c r="Q9345" s="9" t="s">
        <v>9383</v>
      </c>
      <c r="R9345" s="10">
        <v>0.5360634943360207</v>
      </c>
      <c r="S9345" s="10">
        <v>0.030075288095932125</v>
      </c>
      <c r="T9345" s="10">
        <v>16.494056274829717</v>
      </c>
      <c r="U9345" s="11">
        <v>0.015471673485805448</v>
      </c>
      <c r="V9345" s="11">
        <v>0.05191624055139928</v>
      </c>
      <c r="W9345" s="11">
        <v>0.25897095002590664</v>
      </c>
      <c r="X9345" s="11">
        <v>0.005241283459035889</v>
      </c>
      <c r="Y9345" s="11">
        <v>0.3974395446447357</v>
      </c>
      <c r="Z9345" s="11">
        <v>0.2709603078331171</v>
      </c>
    </row>
    <row r="9346" ht="22.5" customHeight="1">
      <c r="Q9346" s="9" t="s">
        <v>9384</v>
      </c>
      <c r="R9346" s="10">
        <v>0.6168925632386302</v>
      </c>
      <c r="S9346" s="10">
        <v>0.03497863568020921</v>
      </c>
      <c r="T9346" s="10">
        <v>16.492711966036858</v>
      </c>
      <c r="U9346" s="11">
        <v>0.22383123558489063</v>
      </c>
      <c r="V9346" s="11">
        <v>0.030667654795717852</v>
      </c>
      <c r="W9346" s="11">
        <v>0.3139576228254036</v>
      </c>
      <c r="X9346" s="11">
        <v>0.3148035305380932</v>
      </c>
      <c r="Y9346" s="11">
        <v>0.044161192944983295</v>
      </c>
      <c r="Z9346" s="11">
        <v>0.07257876331091155</v>
      </c>
    </row>
    <row r="9347" ht="22.5" customHeight="1">
      <c r="Q9347" s="9" t="s">
        <v>9385</v>
      </c>
      <c r="R9347" s="10">
        <v>0.5187240590759336</v>
      </c>
      <c r="S9347" s="10">
        <v>0.029031718564429525</v>
      </c>
      <c r="T9347" s="10">
        <v>16.489690681366678</v>
      </c>
      <c r="U9347" s="11">
        <v>0.10447001857992821</v>
      </c>
      <c r="V9347" s="11">
        <v>0.2726469580414463</v>
      </c>
      <c r="W9347" s="11">
        <v>8.234770560562075E-4</v>
      </c>
      <c r="X9347" s="11">
        <v>0.12581482276448774</v>
      </c>
      <c r="Y9347" s="11">
        <v>0.29812363301776973</v>
      </c>
      <c r="Z9347" s="11">
        <v>0.1981210905403119</v>
      </c>
    </row>
    <row r="9348" ht="22.5" customHeight="1">
      <c r="Q9348" s="9" t="s">
        <v>9386</v>
      </c>
      <c r="R9348" s="10">
        <v>0.41464913630473577</v>
      </c>
      <c r="S9348" s="10">
        <v>0.022724152875295323</v>
      </c>
      <c r="T9348" s="10">
        <v>16.486825201393426</v>
      </c>
      <c r="U9348" s="11">
        <v>0.29410666883250086</v>
      </c>
      <c r="V9348" s="11">
        <v>0.023752267446508116</v>
      </c>
      <c r="W9348" s="11">
        <v>0.19035069549784425</v>
      </c>
      <c r="X9348" s="11">
        <v>0.023740340609889696</v>
      </c>
      <c r="Y9348" s="11">
        <v>0.27662646589835455</v>
      </c>
      <c r="Z9348" s="11">
        <v>0.19142356171490246</v>
      </c>
    </row>
    <row r="9349" ht="22.5" customHeight="1">
      <c r="Q9349" s="9" t="s">
        <v>9387</v>
      </c>
      <c r="R9349" s="10">
        <v>0.6216251777210323</v>
      </c>
      <c r="S9349" s="10">
        <v>0.035279490367640665</v>
      </c>
      <c r="T9349" s="10">
        <v>16.486212574502357</v>
      </c>
      <c r="U9349" s="11">
        <v>0.2540493394616869</v>
      </c>
      <c r="V9349" s="11">
        <v>0.04469765958296234</v>
      </c>
      <c r="W9349" s="11">
        <v>0.31746176403243076</v>
      </c>
      <c r="X9349" s="11">
        <v>0.20344359669889533</v>
      </c>
      <c r="Y9349" s="11">
        <v>0.02365878514125754</v>
      </c>
      <c r="Z9349" s="11">
        <v>0.15668885508276703</v>
      </c>
    </row>
    <row r="9350" ht="22.5" customHeight="1">
      <c r="Q9350" s="9" t="s">
        <v>9388</v>
      </c>
      <c r="R9350" s="10">
        <v>0.7718050645326098</v>
      </c>
      <c r="S9350" s="10">
        <v>0.044392147052493114</v>
      </c>
      <c r="T9350" s="10">
        <v>16.48501172216924</v>
      </c>
      <c r="U9350" s="11">
        <v>0.3472492542904734</v>
      </c>
      <c r="V9350" s="11">
        <v>0.4258007904067275</v>
      </c>
      <c r="W9350" s="11">
        <v>0.041342847084258526</v>
      </c>
      <c r="X9350" s="11">
        <v>0.02332511523919541</v>
      </c>
      <c r="Y9350" s="11">
        <v>0.10145332368600879</v>
      </c>
      <c r="Z9350" s="11">
        <v>0.0608286692933364</v>
      </c>
    </row>
    <row r="9351" ht="22.5" customHeight="1">
      <c r="Q9351" s="9" t="s">
        <v>9389</v>
      </c>
      <c r="R9351" s="10">
        <v>0.5707788655661389</v>
      </c>
      <c r="S9351" s="10">
        <v>0.03220087667931519</v>
      </c>
      <c r="T9351" s="10">
        <v>16.483366923581126</v>
      </c>
      <c r="U9351" s="11">
        <v>0.27657902670403284</v>
      </c>
      <c r="V9351" s="11">
        <v>0.30200683563673114</v>
      </c>
      <c r="W9351" s="11">
        <v>0.009058018910315543</v>
      </c>
      <c r="X9351" s="11">
        <v>0.06118369124753631</v>
      </c>
      <c r="Y9351" s="11">
        <v>0.2785616745527152</v>
      </c>
      <c r="Z9351" s="11">
        <v>0.07261075294866876</v>
      </c>
    </row>
    <row r="9352" ht="22.5" customHeight="1">
      <c r="Q9352" s="9" t="s">
        <v>9390</v>
      </c>
      <c r="R9352" s="10">
        <v>0.6723981210141593</v>
      </c>
      <c r="S9352" s="10">
        <v>0.03836874797485435</v>
      </c>
      <c r="T9352" s="10">
        <v>16.48211511693352</v>
      </c>
      <c r="U9352" s="11">
        <v>0.3201304404600643</v>
      </c>
      <c r="V9352" s="11">
        <v>0.36857839284510197</v>
      </c>
      <c r="W9352" s="11">
        <v>0.02796116847048824</v>
      </c>
      <c r="X9352" s="11">
        <v>0.08927304928116639</v>
      </c>
      <c r="Y9352" s="11">
        <v>0.004462292213918634</v>
      </c>
      <c r="Z9352" s="11">
        <v>0.18959465672926062</v>
      </c>
    </row>
    <row r="9353" ht="22.5" customHeight="1">
      <c r="Q9353" s="9" t="s">
        <v>9391</v>
      </c>
      <c r="R9353" s="10">
        <v>0.5520877527171181</v>
      </c>
      <c r="S9353" s="10">
        <v>0.0310859620175543</v>
      </c>
      <c r="T9353" s="10">
        <v>16.473279882023313</v>
      </c>
      <c r="U9353" s="11">
        <v>0.034443233369727815</v>
      </c>
      <c r="V9353" s="11">
        <v>0.025376205728225742</v>
      </c>
      <c r="W9353" s="11">
        <v>0.2774468988988954</v>
      </c>
      <c r="X9353" s="11">
        <v>0.3159676577151648</v>
      </c>
      <c r="Y9353" s="11">
        <v>0.10533252494419792</v>
      </c>
      <c r="Z9353" s="11">
        <v>0.24143347934378837</v>
      </c>
    </row>
    <row r="9354" ht="22.5" customHeight="1">
      <c r="Q9354" s="9" t="s">
        <v>9392</v>
      </c>
      <c r="R9354" s="10">
        <v>0.41641656249982395</v>
      </c>
      <c r="S9354" s="10">
        <v>0.022850227470802075</v>
      </c>
      <c r="T9354" s="10">
        <v>16.4732085481778</v>
      </c>
      <c r="U9354" s="11">
        <v>0.09709214203013092</v>
      </c>
      <c r="V9354" s="11">
        <v>0.014404385397138066</v>
      </c>
      <c r="W9354" s="11">
        <v>0.19589484810352298</v>
      </c>
      <c r="X9354" s="11">
        <v>0.14959207705884184</v>
      </c>
      <c r="Y9354" s="11">
        <v>0.2691532166858162</v>
      </c>
      <c r="Z9354" s="11">
        <v>0.27386333072455005</v>
      </c>
    </row>
    <row r="9355" ht="22.5" customHeight="1">
      <c r="Q9355" s="9" t="s">
        <v>9393</v>
      </c>
      <c r="R9355" s="10">
        <v>0.7386220539886614</v>
      </c>
      <c r="S9355" s="10">
        <v>0.04241068662259872</v>
      </c>
      <c r="T9355" s="10">
        <v>16.472783386072265</v>
      </c>
      <c r="U9355" s="11">
        <v>0.1093047926168288</v>
      </c>
      <c r="V9355" s="11">
        <v>0.05675864304384171</v>
      </c>
      <c r="W9355" s="11">
        <v>0.3824213666424579</v>
      </c>
      <c r="X9355" s="11">
        <v>0.2554302043242322</v>
      </c>
      <c r="Y9355" s="11">
        <v>0.15281328996405638</v>
      </c>
      <c r="Z9355" s="11">
        <v>0.04327170340858295</v>
      </c>
    </row>
    <row r="9356" ht="22.5" customHeight="1">
      <c r="Q9356" s="9" t="s">
        <v>9394</v>
      </c>
      <c r="R9356" s="10">
        <v>0.2457331326153938</v>
      </c>
      <c r="S9356" s="10">
        <v>0.01248973044226606</v>
      </c>
      <c r="T9356" s="10">
        <v>16.47218357244761</v>
      </c>
      <c r="U9356" s="11">
        <v>0.3158668094726528</v>
      </c>
      <c r="V9356" s="11">
        <v>0.006688865449732773</v>
      </c>
      <c r="W9356" s="11">
        <v>0.08088641514918433</v>
      </c>
      <c r="X9356" s="11">
        <v>0.07751108424194501</v>
      </c>
      <c r="Y9356" s="11">
        <v>0.2030227042138634</v>
      </c>
      <c r="Z9356" s="11">
        <v>0.3160241214726217</v>
      </c>
    </row>
    <row r="9357" ht="22.5" customHeight="1">
      <c r="Q9357" s="9" t="s">
        <v>9395</v>
      </c>
      <c r="R9357" s="10">
        <v>0.4666375003385921</v>
      </c>
      <c r="S9357" s="10">
        <v>0.02590210076995651</v>
      </c>
      <c r="T9357" s="10">
        <v>16.471154371904966</v>
      </c>
      <c r="U9357" s="11">
        <v>0.23478916871786695</v>
      </c>
      <c r="V9357" s="11">
        <v>0.02950590551295355</v>
      </c>
      <c r="W9357" s="11">
        <v>0.2277342448332134</v>
      </c>
      <c r="X9357" s="11">
        <v>0.09101284619882966</v>
      </c>
      <c r="Y9357" s="11">
        <v>0.12765827791597376</v>
      </c>
      <c r="Z9357" s="11">
        <v>0.28929955682116265</v>
      </c>
    </row>
    <row r="9358" ht="22.5" customHeight="1">
      <c r="Q9358" s="9" t="s">
        <v>9396</v>
      </c>
      <c r="R9358" s="10">
        <v>0.522331348251574</v>
      </c>
      <c r="S9358" s="10">
        <v>0.030445925387453374</v>
      </c>
      <c r="T9358" s="10">
        <v>16.466929306725305</v>
      </c>
      <c r="U9358" s="11">
        <v>0.1527636381432203</v>
      </c>
      <c r="V9358" s="11">
        <v>0.026760370019675427</v>
      </c>
      <c r="W9358" s="11">
        <v>0.27220818728492413</v>
      </c>
      <c r="X9358" s="11">
        <v>0.23920030186002392</v>
      </c>
      <c r="Y9358" s="11">
        <v>0.10138388645068377</v>
      </c>
      <c r="Z9358" s="11">
        <v>0.2076836162414724</v>
      </c>
    </row>
    <row r="9359" ht="22.5" customHeight="1">
      <c r="Q9359" s="9" t="s">
        <v>9397</v>
      </c>
      <c r="R9359" s="10">
        <v>0.47992637133144583</v>
      </c>
      <c r="S9359" s="10">
        <v>0.026720241642121143</v>
      </c>
      <c r="T9359" s="10">
        <v>16.46416141079939</v>
      </c>
      <c r="U9359" s="11">
        <v>0.22708902318731108</v>
      </c>
      <c r="V9359" s="11">
        <v>0.028959437355626522</v>
      </c>
      <c r="W9359" s="11">
        <v>0.23293260899905907</v>
      </c>
      <c r="X9359" s="11">
        <v>0.07121986750679764</v>
      </c>
      <c r="Y9359" s="11">
        <v>0.24000842872265396</v>
      </c>
      <c r="Z9359" s="11">
        <v>0.19979063422855173</v>
      </c>
    </row>
    <row r="9360" ht="22.5" customHeight="1">
      <c r="Q9360" s="9" t="s">
        <v>9398</v>
      </c>
      <c r="R9360" s="10">
        <v>0.6374034610837512</v>
      </c>
      <c r="S9360" s="10">
        <v>0.03628717496778548</v>
      </c>
      <c r="T9360" s="10">
        <v>16.463212184858854</v>
      </c>
      <c r="U9360" s="11">
        <v>0.003891169309951373</v>
      </c>
      <c r="V9360" s="11">
        <v>0.052654702923207494</v>
      </c>
      <c r="W9360" s="11">
        <v>0.32450688988501875</v>
      </c>
      <c r="X9360" s="11">
        <v>0.15795279103136284</v>
      </c>
      <c r="Y9360" s="11">
        <v>0.2408118805898024</v>
      </c>
      <c r="Z9360" s="11">
        <v>0.22018256626065727</v>
      </c>
    </row>
    <row r="9361" ht="22.5" customHeight="1">
      <c r="Q9361" s="9" t="s">
        <v>9399</v>
      </c>
      <c r="R9361" s="10">
        <v>0.6453093753987056</v>
      </c>
      <c r="S9361" s="10">
        <v>0.03676864542482879</v>
      </c>
      <c r="T9361" s="10">
        <v>16.462650946340215</v>
      </c>
      <c r="U9361" s="11">
        <v>0.36464979131235364</v>
      </c>
      <c r="V9361" s="11">
        <v>0.0487826386048513</v>
      </c>
      <c r="W9361" s="11">
        <v>0.32986828176891436</v>
      </c>
      <c r="X9361" s="11">
        <v>0.15587792923810054</v>
      </c>
      <c r="Y9361" s="11">
        <v>0.03861264131410221</v>
      </c>
      <c r="Z9361" s="11">
        <v>0.062208717761678065</v>
      </c>
    </row>
    <row r="9362" ht="22.5" customHeight="1">
      <c r="Q9362" s="9" t="s">
        <v>9400</v>
      </c>
      <c r="R9362" s="10">
        <v>0.426497863048049</v>
      </c>
      <c r="S9362" s="10">
        <v>0.02347969656907208</v>
      </c>
      <c r="T9362" s="10">
        <v>16.460939429564505</v>
      </c>
      <c r="U9362" s="11">
        <v>0.2539397805196442</v>
      </c>
      <c r="V9362" s="11">
        <v>0.0013517995001954255</v>
      </c>
      <c r="W9362" s="11">
        <v>0.20278937752566867</v>
      </c>
      <c r="X9362" s="11">
        <v>0.26725097469405057</v>
      </c>
      <c r="Y9362" s="11">
        <v>0.13225695395263204</v>
      </c>
      <c r="Z9362" s="11">
        <v>0.1424111138078092</v>
      </c>
    </row>
    <row r="9363" ht="22.5" customHeight="1">
      <c r="Q9363" s="9" t="s">
        <v>9401</v>
      </c>
      <c r="R9363" s="10">
        <v>0.8786983605408797</v>
      </c>
      <c r="S9363" s="10">
        <v>0.05095767734911773</v>
      </c>
      <c r="T9363" s="10">
        <v>16.45872426238832</v>
      </c>
      <c r="U9363" s="11">
        <v>0.1365967359189163</v>
      </c>
      <c r="V9363" s="11">
        <v>0.4924044745974285</v>
      </c>
      <c r="W9363" s="11">
        <v>0.03707962808456282</v>
      </c>
      <c r="X9363" s="11">
        <v>0.21200475395314317</v>
      </c>
      <c r="Y9363" s="11">
        <v>0.09182781257927335</v>
      </c>
      <c r="Z9363" s="11">
        <v>0.03008659486667585</v>
      </c>
    </row>
    <row r="9364" ht="22.5" customHeight="1">
      <c r="Q9364" s="9" t="s">
        <v>9402</v>
      </c>
      <c r="R9364" s="10">
        <v>0.5558681823352927</v>
      </c>
      <c r="S9364" s="10">
        <v>0.03134599190333495</v>
      </c>
      <c r="T9364" s="10">
        <v>16.457229489694615</v>
      </c>
      <c r="U9364" s="11">
        <v>0.3458002057800059</v>
      </c>
      <c r="V9364" s="11">
        <v>0.04923582760514048</v>
      </c>
      <c r="W9364" s="11">
        <v>0.2770672895037166</v>
      </c>
      <c r="X9364" s="11">
        <v>0.023851997135274035</v>
      </c>
      <c r="Y9364" s="11">
        <v>0.10872012115124063</v>
      </c>
      <c r="Z9364" s="11">
        <v>0.19532455882462238</v>
      </c>
    </row>
    <row r="9365" ht="22.5" customHeight="1">
      <c r="Q9365" s="9" t="s">
        <v>9403</v>
      </c>
      <c r="R9365" s="10">
        <v>0.28630755751875153</v>
      </c>
      <c r="S9365" s="10">
        <v>0.014968857110241426</v>
      </c>
      <c r="T9365" s="10">
        <v>16.454666893054398</v>
      </c>
      <c r="U9365" s="11">
        <v>0.19412370933254042</v>
      </c>
      <c r="V9365" s="11">
        <v>0.014998446622917154</v>
      </c>
      <c r="W9365" s="11">
        <v>0.08413152204392718</v>
      </c>
      <c r="X9365" s="11">
        <v>0.0885876091912031</v>
      </c>
      <c r="Y9365" s="11">
        <v>0.5178171015561371</v>
      </c>
      <c r="Z9365" s="11">
        <v>0.10034161125327488</v>
      </c>
    </row>
    <row r="9366" ht="22.5" customHeight="1">
      <c r="Q9366" s="9" t="s">
        <v>9404</v>
      </c>
      <c r="R9366" s="10">
        <v>0.6068540618130225</v>
      </c>
      <c r="S9366" s="10">
        <v>0.03445088204584722</v>
      </c>
      <c r="T9366" s="10">
        <v>16.453978190127422</v>
      </c>
      <c r="U9366" s="11">
        <v>0.12803009209731825</v>
      </c>
      <c r="V9366" s="11">
        <v>0.3238405340187048</v>
      </c>
      <c r="W9366" s="11">
        <v>0.0012803963366094626</v>
      </c>
      <c r="X9366" s="11">
        <v>0.17516780761282408</v>
      </c>
      <c r="Y9366" s="11">
        <v>0.3367677445264631</v>
      </c>
      <c r="Z9366" s="11">
        <v>0.03491342540808015</v>
      </c>
    </row>
    <row r="9367" ht="22.5" customHeight="1">
      <c r="Q9367" s="9" t="s">
        <v>9405</v>
      </c>
      <c r="R9367" s="10">
        <v>0.40091983013673366</v>
      </c>
      <c r="S9367" s="10">
        <v>0.021943850544228864</v>
      </c>
      <c r="T9367" s="10">
        <v>16.447424731100988</v>
      </c>
      <c r="U9367" s="11">
        <v>0.18489109254457714</v>
      </c>
      <c r="V9367" s="11">
        <v>0.0031951624092387623</v>
      </c>
      <c r="W9367" s="11">
        <v>0.18945302515252838</v>
      </c>
      <c r="X9367" s="11">
        <v>0.27102569975099305</v>
      </c>
      <c r="Y9367" s="11">
        <v>0.075075395182273</v>
      </c>
      <c r="Z9367" s="11">
        <v>0.2763596249603898</v>
      </c>
    </row>
    <row r="9368" ht="22.5" customHeight="1">
      <c r="Q9368" s="9" t="s">
        <v>9406</v>
      </c>
      <c r="R9368" s="10">
        <v>0.522331348251574</v>
      </c>
      <c r="S9368" s="10">
        <v>0.027453963947889976</v>
      </c>
      <c r="T9368" s="10">
        <v>16.447052112329576</v>
      </c>
      <c r="U9368" s="11">
        <v>0.195035158918048</v>
      </c>
      <c r="V9368" s="11">
        <v>0.013897963609432589</v>
      </c>
      <c r="W9368" s="11">
        <v>0.23726175147356263</v>
      </c>
      <c r="X9368" s="11">
        <v>0.19087377127270905</v>
      </c>
      <c r="Y9368" s="11">
        <v>0.31890935561520317</v>
      </c>
      <c r="Z9368" s="11">
        <v>0.04402199911104463</v>
      </c>
    </row>
    <row r="9369" ht="22.5" customHeight="1">
      <c r="Q9369" s="9" t="s">
        <v>9407</v>
      </c>
      <c r="R9369" s="10">
        <v>0.6064472232241744</v>
      </c>
      <c r="S9369" s="10">
        <v>0.03444338218489471</v>
      </c>
      <c r="T9369" s="10">
        <v>16.4457491480785</v>
      </c>
      <c r="U9369" s="11">
        <v>0.37981844433292516</v>
      </c>
      <c r="V9369" s="11">
        <v>0.327697843433733</v>
      </c>
      <c r="W9369" s="11">
        <v>0.023374578322634586</v>
      </c>
      <c r="X9369" s="11">
        <v>0.02554661953018323</v>
      </c>
      <c r="Y9369" s="11">
        <v>0.06189699851181121</v>
      </c>
      <c r="Z9369" s="11">
        <v>0.18166551586871285</v>
      </c>
    </row>
    <row r="9370" ht="22.5" customHeight="1">
      <c r="Q9370" s="9" t="s">
        <v>9408</v>
      </c>
      <c r="R9370" s="10">
        <v>0.46134767864746495</v>
      </c>
      <c r="S9370" s="10">
        <v>0.025620669254552517</v>
      </c>
      <c r="T9370" s="10">
        <v>16.44561562624271</v>
      </c>
      <c r="U9370" s="11">
        <v>0.07759876254068514</v>
      </c>
      <c r="V9370" s="11">
        <v>0.020233214558871088</v>
      </c>
      <c r="W9370" s="11">
        <v>0.22109948606888807</v>
      </c>
      <c r="X9370" s="11">
        <v>0.1419075889769777</v>
      </c>
      <c r="Y9370" s="11">
        <v>0.3217637388328649</v>
      </c>
      <c r="Z9370" s="11">
        <v>0.21739720902171308</v>
      </c>
    </row>
    <row r="9371" ht="22.5" customHeight="1">
      <c r="Q9371" s="9" t="s">
        <v>9409</v>
      </c>
      <c r="R9371" s="10">
        <v>0.563593769040319</v>
      </c>
      <c r="S9371" s="10">
        <v>0.031841585643217034</v>
      </c>
      <c r="T9371" s="10">
        <v>16.443709019618378</v>
      </c>
      <c r="U9371" s="11">
        <v>0.0827026523806045</v>
      </c>
      <c r="V9371" s="11">
        <v>0.03257140154687574</v>
      </c>
      <c r="W9371" s="11">
        <v>0.2857094467741701</v>
      </c>
      <c r="X9371" s="11">
        <v>0.26624454380813617</v>
      </c>
      <c r="Y9371" s="11">
        <v>0.06002160892083084</v>
      </c>
      <c r="Z9371" s="11">
        <v>0.27275034656938263</v>
      </c>
    </row>
    <row r="9372" ht="22.5" customHeight="1">
      <c r="Q9372" s="9" t="s">
        <v>9410</v>
      </c>
      <c r="R9372" s="10">
        <v>0.2138790155552189</v>
      </c>
      <c r="S9372" s="10">
        <v>0.01057441134374484</v>
      </c>
      <c r="T9372" s="10">
        <v>16.443375418535695</v>
      </c>
      <c r="U9372" s="11">
        <v>0.33792499803846</v>
      </c>
      <c r="V9372" s="11">
        <v>0.02939068283621975</v>
      </c>
      <c r="W9372" s="11">
        <v>0.009378791704652436</v>
      </c>
      <c r="X9372" s="11">
        <v>0.1772432716297457</v>
      </c>
      <c r="Y9372" s="11">
        <v>0.3353519598095394</v>
      </c>
      <c r="Z9372" s="11">
        <v>0.11071029598138274</v>
      </c>
    </row>
    <row r="9373" ht="22.5" customHeight="1">
      <c r="Q9373" s="9" t="s">
        <v>9411</v>
      </c>
      <c r="R9373" s="10">
        <v>0.5062299412972059</v>
      </c>
      <c r="S9373" s="10">
        <v>0.028365468798963726</v>
      </c>
      <c r="T9373" s="10">
        <v>16.436532200526813</v>
      </c>
      <c r="U9373" s="11">
        <v>0.21279310946323657</v>
      </c>
      <c r="V9373" s="11">
        <v>0.26778328005438057</v>
      </c>
      <c r="W9373" s="11">
        <v>0.002851793607902554</v>
      </c>
      <c r="X9373" s="11">
        <v>0.09142938065405777</v>
      </c>
      <c r="Y9373" s="11">
        <v>0.1968565106765337</v>
      </c>
      <c r="Z9373" s="11">
        <v>0.22828592554388863</v>
      </c>
    </row>
    <row r="9374" ht="22.5" customHeight="1">
      <c r="Q9374" s="9" t="s">
        <v>9412</v>
      </c>
      <c r="R9374" s="10">
        <v>0.21055777069742457</v>
      </c>
      <c r="S9374" s="10">
        <v>0.0103768454054619</v>
      </c>
      <c r="T9374" s="10">
        <v>16.436379654230052</v>
      </c>
      <c r="U9374" s="11">
        <v>0.41182503766131695</v>
      </c>
      <c r="V9374" s="11">
        <v>0.03706244177911608</v>
      </c>
      <c r="W9374" s="11">
        <v>0.006699484282730601</v>
      </c>
      <c r="X9374" s="11">
        <v>0.1427683356580246</v>
      </c>
      <c r="Y9374" s="11">
        <v>0.23664548904055033</v>
      </c>
      <c r="Z9374" s="11">
        <v>0.16499921157826147</v>
      </c>
    </row>
    <row r="9375" ht="22.5" customHeight="1">
      <c r="Q9375" s="9" t="s">
        <v>9413</v>
      </c>
      <c r="R9375" s="10">
        <v>0.5330949824590713</v>
      </c>
      <c r="S9375" s="10">
        <v>0.030002946718108665</v>
      </c>
      <c r="T9375" s="10">
        <v>16.434885116182855</v>
      </c>
      <c r="U9375" s="11">
        <v>0.08513398582915266</v>
      </c>
      <c r="V9375" s="11">
        <v>0.026047270248473274</v>
      </c>
      <c r="W9375" s="11">
        <v>0.2681980632830909</v>
      </c>
      <c r="X9375" s="11">
        <v>0.2862064254496122</v>
      </c>
      <c r="Y9375" s="11">
        <v>0.04771421212370974</v>
      </c>
      <c r="Z9375" s="11">
        <v>0.2867000430659612</v>
      </c>
    </row>
    <row r="9376" ht="22.5" customHeight="1">
      <c r="Q9376" s="9" t="s">
        <v>9414</v>
      </c>
      <c r="R9376" s="10">
        <v>0.4851729651879809</v>
      </c>
      <c r="S9376" s="10">
        <v>0.027087678347416207</v>
      </c>
      <c r="T9376" s="10">
        <v>16.434519026635012</v>
      </c>
      <c r="U9376" s="11">
        <v>0.24158448275846917</v>
      </c>
      <c r="V9376" s="11">
        <v>0.25647381036177</v>
      </c>
      <c r="W9376" s="11">
        <v>8.782458949802778E-4</v>
      </c>
      <c r="X9376" s="11">
        <v>0.15205078463502958</v>
      </c>
      <c r="Y9376" s="11">
        <v>0.04209844350359019</v>
      </c>
      <c r="Z9376" s="11">
        <v>0.3069142328461609</v>
      </c>
    </row>
    <row r="9377" ht="22.5" customHeight="1">
      <c r="Q9377" s="9" t="s">
        <v>9415</v>
      </c>
      <c r="R9377" s="10">
        <v>0.1917300700910503</v>
      </c>
      <c r="S9377" s="10">
        <v>0.009239199490192293</v>
      </c>
      <c r="T9377" s="10">
        <v>16.422426017764487</v>
      </c>
      <c r="U9377" s="11">
        <v>0.07313349184800406</v>
      </c>
      <c r="V9377" s="11">
        <v>0.020132243860697823</v>
      </c>
      <c r="W9377" s="11">
        <v>0.0014091485523656771</v>
      </c>
      <c r="X9377" s="11">
        <v>0.399914698298757</v>
      </c>
      <c r="Y9377" s="11">
        <v>0.1441481197148556</v>
      </c>
      <c r="Z9377" s="11">
        <v>0.3612622977253199</v>
      </c>
    </row>
    <row r="9378" ht="22.5" customHeight="1">
      <c r="Q9378" s="9" t="s">
        <v>9416</v>
      </c>
      <c r="R9378" s="10">
        <v>0.5206151590581402</v>
      </c>
      <c r="S9378" s="10">
        <v>0.029267073005749097</v>
      </c>
      <c r="T9378" s="10">
        <v>16.421702264648406</v>
      </c>
      <c r="U9378" s="11">
        <v>0.23891521672226845</v>
      </c>
      <c r="V9378" s="11">
        <v>0.02137316652086001</v>
      </c>
      <c r="W9378" s="11">
        <v>0.26093354356239307</v>
      </c>
      <c r="X9378" s="11">
        <v>0.2626084447346207</v>
      </c>
      <c r="Y9378" s="11">
        <v>0.01735484107684544</v>
      </c>
      <c r="Z9378" s="11">
        <v>0.19881478738301248</v>
      </c>
    </row>
    <row r="9379" ht="22.5" customHeight="1">
      <c r="Q9379" s="9" t="s">
        <v>9417</v>
      </c>
      <c r="R9379" s="10">
        <v>0.609999545977755</v>
      </c>
      <c r="S9379" s="10">
        <v>0.034715751278551574</v>
      </c>
      <c r="T9379" s="10">
        <v>16.419046829901607</v>
      </c>
      <c r="U9379" s="11">
        <v>0.22205273054094246</v>
      </c>
      <c r="V9379" s="11">
        <v>0.059093398444958874</v>
      </c>
      <c r="W9379" s="11">
        <v>0.31100835643399427</v>
      </c>
      <c r="X9379" s="11">
        <v>0.06349698272463813</v>
      </c>
      <c r="Y9379" s="11">
        <v>0.06775841161902421</v>
      </c>
      <c r="Z9379" s="11">
        <v>0.2765901202364422</v>
      </c>
    </row>
    <row r="9380" ht="22.5" customHeight="1">
      <c r="Q9380" s="9" t="s">
        <v>9418</v>
      </c>
      <c r="R9380" s="10">
        <v>0.7379654311925601</v>
      </c>
      <c r="S9380" s="10">
        <v>0.04251084985337338</v>
      </c>
      <c r="T9380" s="10">
        <v>16.418524531971315</v>
      </c>
      <c r="U9380" s="11">
        <v>0.21360364870032386</v>
      </c>
      <c r="V9380" s="11">
        <v>0.08531397648453229</v>
      </c>
      <c r="W9380" s="11">
        <v>0.3814482168589421</v>
      </c>
      <c r="X9380" s="11">
        <v>0.020626226754238943</v>
      </c>
      <c r="Y9380" s="11">
        <v>0.1014162728755602</v>
      </c>
      <c r="Z9380" s="11">
        <v>0.19759165832640263</v>
      </c>
    </row>
    <row r="9381" ht="22.5" customHeight="1">
      <c r="Q9381" s="9" t="s">
        <v>9419</v>
      </c>
      <c r="R9381" s="10">
        <v>0.6241890958019641</v>
      </c>
      <c r="S9381" s="10">
        <v>0.035584655624739635</v>
      </c>
      <c r="T9381" s="10">
        <v>16.41688209554616</v>
      </c>
      <c r="U9381" s="11">
        <v>0.24420063715239013</v>
      </c>
      <c r="V9381" s="11">
        <v>0.06130553917231802</v>
      </c>
      <c r="W9381" s="11">
        <v>0.31848200068483323</v>
      </c>
      <c r="X9381" s="11">
        <v>0.046285188703209905</v>
      </c>
      <c r="Y9381" s="11">
        <v>0.09167421419979416</v>
      </c>
      <c r="Z9381" s="11">
        <v>0.2380524200874546</v>
      </c>
    </row>
    <row r="9382" ht="22.5" customHeight="1">
      <c r="Q9382" s="9" t="s">
        <v>9420</v>
      </c>
      <c r="R9382" s="10">
        <v>0.6362611679502825</v>
      </c>
      <c r="S9382" s="10">
        <v>0.0363211294338865</v>
      </c>
      <c r="T9382" s="10">
        <v>16.416371881706663</v>
      </c>
      <c r="U9382" s="11">
        <v>0.016381843669676335</v>
      </c>
      <c r="V9382" s="11">
        <v>0.032117897056700664</v>
      </c>
      <c r="W9382" s="11">
        <v>0.32390765323217846</v>
      </c>
      <c r="X9382" s="11">
        <v>0.308027064689523</v>
      </c>
      <c r="Y9382" s="11">
        <v>0.2486453343045658</v>
      </c>
      <c r="Z9382" s="11">
        <v>0.07092020704735567</v>
      </c>
    </row>
    <row r="9383" ht="22.5" customHeight="1">
      <c r="Q9383" s="9" t="s">
        <v>9421</v>
      </c>
      <c r="R9383" s="10">
        <v>0.6282196032457762</v>
      </c>
      <c r="S9383" s="10">
        <v>0.03583663348248098</v>
      </c>
      <c r="T9383" s="10">
        <v>16.413919112500675</v>
      </c>
      <c r="U9383" s="11">
        <v>0.15394347259410993</v>
      </c>
      <c r="V9383" s="11">
        <v>0.03789403685443187</v>
      </c>
      <c r="W9383" s="11">
        <v>0.32303667843714906</v>
      </c>
      <c r="X9383" s="11">
        <v>0.2804821070215958</v>
      </c>
      <c r="Y9383" s="11">
        <v>0.0450305982718912</v>
      </c>
      <c r="Z9383" s="11">
        <v>0.15961310682082222</v>
      </c>
    </row>
    <row r="9384" ht="22.5" customHeight="1">
      <c r="Q9384" s="9" t="s">
        <v>9422</v>
      </c>
      <c r="R9384" s="10">
        <v>0.6644982290754081</v>
      </c>
      <c r="S9384" s="10">
        <v>0.03804762383143572</v>
      </c>
      <c r="T9384" s="10">
        <v>16.413593443894253</v>
      </c>
      <c r="U9384" s="11">
        <v>0.03678753548902322</v>
      </c>
      <c r="V9384" s="11">
        <v>0.05438266192381171</v>
      </c>
      <c r="W9384" s="11">
        <v>0.3431548034082314</v>
      </c>
      <c r="X9384" s="11">
        <v>0.20722691352633743</v>
      </c>
      <c r="Y9384" s="11">
        <v>0.11947996160032594</v>
      </c>
      <c r="Z9384" s="11">
        <v>0.23896812405227022</v>
      </c>
    </row>
    <row r="9385" ht="22.5" customHeight="1">
      <c r="Q9385" s="9" t="s">
        <v>9423</v>
      </c>
      <c r="R9385" s="10">
        <v>0.522331348251574</v>
      </c>
      <c r="S9385" s="10">
        <v>0.035562757303434944</v>
      </c>
      <c r="T9385" s="10">
        <v>16.413512345018255</v>
      </c>
      <c r="U9385" s="11">
        <v>0.29502475150570284</v>
      </c>
      <c r="V9385" s="11">
        <v>0.3402971878271663</v>
      </c>
      <c r="W9385" s="11">
        <v>0.010073361444331241</v>
      </c>
      <c r="X9385" s="11">
        <v>0.17425976597564444</v>
      </c>
      <c r="Y9385" s="11">
        <v>0.027977335522192302</v>
      </c>
      <c r="Z9385" s="11">
        <v>0.15236759772496292</v>
      </c>
    </row>
    <row r="9386" ht="22.5" customHeight="1">
      <c r="Q9386" s="9" t="s">
        <v>9424</v>
      </c>
      <c r="R9386" s="10">
        <v>0.5094870003581193</v>
      </c>
      <c r="S9386" s="10">
        <v>0.028605232548543056</v>
      </c>
      <c r="T9386" s="10">
        <v>16.412626590656107</v>
      </c>
      <c r="U9386" s="11">
        <v>0.011437217998595626</v>
      </c>
      <c r="V9386" s="11">
        <v>0.030843974173958656</v>
      </c>
      <c r="W9386" s="11">
        <v>0.2528082594495843</v>
      </c>
      <c r="X9386" s="11">
        <v>0.15927147322161384</v>
      </c>
      <c r="Y9386" s="11">
        <v>0.2381604173105623</v>
      </c>
      <c r="Z9386" s="11">
        <v>0.3074786578456854</v>
      </c>
    </row>
    <row r="9387" ht="22.5" customHeight="1">
      <c r="Q9387" s="9" t="s">
        <v>9425</v>
      </c>
      <c r="R9387" s="10">
        <v>0.6259491537265642</v>
      </c>
      <c r="S9387" s="10">
        <v>0.03570419073926886</v>
      </c>
      <c r="T9387" s="10">
        <v>16.411215086920162</v>
      </c>
      <c r="U9387" s="11">
        <v>0.3205634423609543</v>
      </c>
      <c r="V9387" s="11">
        <v>0.06168999994548785</v>
      </c>
      <c r="W9387" s="11">
        <v>0.3191954162039042</v>
      </c>
      <c r="X9387" s="11">
        <v>0.04536519131636896</v>
      </c>
      <c r="Y9387" s="11">
        <v>0.039116993823689127</v>
      </c>
      <c r="Z9387" s="11">
        <v>0.2140689563495957</v>
      </c>
    </row>
    <row r="9388" ht="22.5" customHeight="1">
      <c r="Q9388" s="9" t="s">
        <v>9426</v>
      </c>
      <c r="R9388" s="10">
        <v>0.24180260928009215</v>
      </c>
      <c r="S9388" s="10">
        <v>0.012297123660954094</v>
      </c>
      <c r="T9388" s="10">
        <v>16.4105537883511</v>
      </c>
      <c r="U9388" s="11">
        <v>0.4044578668669659</v>
      </c>
      <c r="V9388" s="11">
        <v>0.0037443161868835942</v>
      </c>
      <c r="W9388" s="11">
        <v>0.07867968491702704</v>
      </c>
      <c r="X9388" s="11">
        <v>0.13037297878886395</v>
      </c>
      <c r="Y9388" s="11">
        <v>0.07356379809147238</v>
      </c>
      <c r="Z9388" s="11">
        <v>0.3091813551487872</v>
      </c>
    </row>
    <row r="9389" ht="22.5" customHeight="1">
      <c r="Q9389" s="9" t="s">
        <v>9427</v>
      </c>
      <c r="R9389" s="10">
        <v>0.5298876408929319</v>
      </c>
      <c r="S9389" s="10">
        <v>0.029864556730039404</v>
      </c>
      <c r="T9389" s="10">
        <v>16.403646815228843</v>
      </c>
      <c r="U9389" s="11">
        <v>0.04422367324192091</v>
      </c>
      <c r="V9389" s="11">
        <v>0.0452372524794462</v>
      </c>
      <c r="W9389" s="11">
        <v>0.26398274644930775</v>
      </c>
      <c r="X9389" s="11">
        <v>0.06411418743113047</v>
      </c>
      <c r="Y9389" s="11">
        <v>0.2337879660582454</v>
      </c>
      <c r="Z9389" s="11">
        <v>0.3486541743399492</v>
      </c>
    </row>
    <row r="9390" ht="22.5" customHeight="1">
      <c r="Q9390" s="9" t="s">
        <v>9428</v>
      </c>
      <c r="R9390" s="10">
        <v>0.42721294089539913</v>
      </c>
      <c r="S9390" s="10">
        <v>0.023606809731703503</v>
      </c>
      <c r="T9390" s="10">
        <v>16.402595068802515</v>
      </c>
      <c r="U9390" s="11">
        <v>0.09692727542469948</v>
      </c>
      <c r="V9390" s="11">
        <v>0.006334510418737679</v>
      </c>
      <c r="W9390" s="11">
        <v>0.20353413852286528</v>
      </c>
      <c r="X9390" s="11">
        <v>0.22948583431286093</v>
      </c>
      <c r="Y9390" s="11">
        <v>0.24334721891733357</v>
      </c>
      <c r="Z9390" s="11">
        <v>0.2203710224035031</v>
      </c>
    </row>
    <row r="9391" ht="22.5" customHeight="1">
      <c r="Q9391" s="9" t="s">
        <v>9429</v>
      </c>
      <c r="R9391" s="10">
        <v>0.3019301682697913</v>
      </c>
      <c r="S9391" s="10">
        <v>0.015971009881730662</v>
      </c>
      <c r="T9391" s="10">
        <v>16.40035102410242</v>
      </c>
      <c r="U9391" s="11">
        <v>0.24332220342232966</v>
      </c>
      <c r="V9391" s="11">
        <v>0.003814491528539548</v>
      </c>
      <c r="W9391" s="11">
        <v>0.11311007214302717</v>
      </c>
      <c r="X9391" s="11">
        <v>0.0979307078327459</v>
      </c>
      <c r="Y9391" s="11">
        <v>0.3859191301026319</v>
      </c>
      <c r="Z9391" s="11">
        <v>0.15590339497072572</v>
      </c>
    </row>
    <row r="9392" ht="22.5" customHeight="1">
      <c r="Q9392" s="9" t="s">
        <v>9430</v>
      </c>
      <c r="R9392" s="10">
        <v>0.45340043576702294</v>
      </c>
      <c r="S9392" s="10">
        <v>0.02521526871322964</v>
      </c>
      <c r="T9392" s="10">
        <v>16.39484553857342</v>
      </c>
      <c r="U9392" s="11">
        <v>0.16747733293406927</v>
      </c>
      <c r="V9392" s="11">
        <v>0.007517431304701539</v>
      </c>
      <c r="W9392" s="11">
        <v>0.22122606439788475</v>
      </c>
      <c r="X9392" s="11">
        <v>0.2670634589920851</v>
      </c>
      <c r="Y9392" s="11">
        <v>0.12716643097419766</v>
      </c>
      <c r="Z9392" s="11">
        <v>0.2095492813970616</v>
      </c>
    </row>
    <row r="9393" ht="22.5" customHeight="1">
      <c r="Q9393" s="9" t="s">
        <v>9431</v>
      </c>
      <c r="R9393" s="10">
        <v>0.6136848645550756</v>
      </c>
      <c r="S9393" s="10">
        <v>0.03499863071308426</v>
      </c>
      <c r="T9393" s="10">
        <v>16.39163741170603</v>
      </c>
      <c r="U9393" s="11">
        <v>0.20479294889268262</v>
      </c>
      <c r="V9393" s="11">
        <v>0.03633283044033755</v>
      </c>
      <c r="W9393" s="11">
        <v>0.31149379093586865</v>
      </c>
      <c r="X9393" s="11">
        <v>0.16241631962080133</v>
      </c>
      <c r="Y9393" s="11">
        <v>0.25669977261665705</v>
      </c>
      <c r="Z9393" s="11">
        <v>0.0282643374936526</v>
      </c>
    </row>
    <row r="9394" ht="22.5" customHeight="1">
      <c r="Q9394" s="9" t="s">
        <v>9432</v>
      </c>
      <c r="R9394" s="10">
        <v>0.2407310080763434</v>
      </c>
      <c r="S9394" s="10">
        <v>0.012247140528596366</v>
      </c>
      <c r="T9394" s="10">
        <v>16.390030604094733</v>
      </c>
      <c r="U9394" s="11">
        <v>0.31292713364877384</v>
      </c>
      <c r="V9394" s="11">
        <v>0.010617540880163971</v>
      </c>
      <c r="W9394" s="11">
        <v>0.08112430326019494</v>
      </c>
      <c r="X9394" s="11">
        <v>0.0883203217595813</v>
      </c>
      <c r="Y9394" s="11">
        <v>0.07558494123435719</v>
      </c>
      <c r="Z9394" s="11">
        <v>0.4314257592169287</v>
      </c>
    </row>
    <row r="9395" ht="22.5" customHeight="1">
      <c r="Q9395" s="9" t="s">
        <v>9433</v>
      </c>
      <c r="R9395" s="10">
        <v>0.600243544245959</v>
      </c>
      <c r="S9395" s="10">
        <v>0.034182037261856466</v>
      </c>
      <c r="T9395" s="10">
        <v>16.38999864034235</v>
      </c>
      <c r="U9395" s="11">
        <v>0.3599257399644113</v>
      </c>
      <c r="V9395" s="11">
        <v>0.32548085353038797</v>
      </c>
      <c r="W9395" s="11">
        <v>0.009287372317338831</v>
      </c>
      <c r="X9395" s="11">
        <v>0.15392500135835877</v>
      </c>
      <c r="Y9395" s="11">
        <v>0.004053155376420328</v>
      </c>
      <c r="Z9395" s="11">
        <v>0.1473278774530827</v>
      </c>
    </row>
    <row r="9396" ht="22.5" customHeight="1">
      <c r="Q9396" s="9" t="s">
        <v>9434</v>
      </c>
      <c r="R9396" s="10">
        <v>0.2919632370224052</v>
      </c>
      <c r="S9396" s="10">
        <v>0.015374202319388146</v>
      </c>
      <c r="T9396" s="10">
        <v>16.38870308768206</v>
      </c>
      <c r="U9396" s="11">
        <v>0.4173233503690703</v>
      </c>
      <c r="V9396" s="11">
        <v>0.122212471807796</v>
      </c>
      <c r="W9396" s="11">
        <v>0.0016624708422557067</v>
      </c>
      <c r="X9396" s="11">
        <v>0.026765482908243612</v>
      </c>
      <c r="Y9396" s="11">
        <v>0.11119961284808103</v>
      </c>
      <c r="Z9396" s="11">
        <v>0.32083661122455326</v>
      </c>
    </row>
    <row r="9397" ht="22.5" customHeight="1">
      <c r="Q9397" s="9" t="s">
        <v>9435</v>
      </c>
      <c r="R9397" s="10">
        <v>0.6154829515923141</v>
      </c>
      <c r="S9397" s="10">
        <v>0.035116632438300974</v>
      </c>
      <c r="T9397" s="10">
        <v>16.38776020461025</v>
      </c>
      <c r="U9397" s="11">
        <v>0.25472150843200286</v>
      </c>
      <c r="V9397" s="11">
        <v>0.06230345973480891</v>
      </c>
      <c r="W9397" s="11">
        <v>0.3145916994868335</v>
      </c>
      <c r="X9397" s="11">
        <v>0.060319310999834494</v>
      </c>
      <c r="Y9397" s="11">
        <v>0.009500638702626761</v>
      </c>
      <c r="Z9397" s="11">
        <v>0.29856338264389365</v>
      </c>
    </row>
    <row r="9398" ht="22.5" customHeight="1">
      <c r="Q9398" s="9" t="s">
        <v>9436</v>
      </c>
      <c r="R9398" s="10">
        <v>0.522331348251574</v>
      </c>
      <c r="S9398" s="10">
        <v>0.02763463089235487</v>
      </c>
      <c r="T9398" s="10">
        <v>16.38377046419563</v>
      </c>
      <c r="U9398" s="11">
        <v>0.24041854773977428</v>
      </c>
      <c r="V9398" s="11">
        <v>0.015507943210665807</v>
      </c>
      <c r="W9398" s="11">
        <v>0.23884603099917703</v>
      </c>
      <c r="X9398" s="11">
        <v>0.1572716062381142</v>
      </c>
      <c r="Y9398" s="11">
        <v>0.31415219538436845</v>
      </c>
      <c r="Z9398" s="11">
        <v>0.03380367642790032</v>
      </c>
    </row>
    <row r="9399" ht="22.5" customHeight="1">
      <c r="Q9399" s="9" t="s">
        <v>9437</v>
      </c>
      <c r="R9399" s="10">
        <v>0.41347407214241</v>
      </c>
      <c r="S9399" s="10">
        <v>0.022796915113292546</v>
      </c>
      <c r="T9399" s="10">
        <v>16.382658367870256</v>
      </c>
      <c r="U9399" s="11">
        <v>0.30654795329672774</v>
      </c>
      <c r="V9399" s="11">
        <v>0.006104536538539148</v>
      </c>
      <c r="W9399" s="11">
        <v>0.1911433507443919</v>
      </c>
      <c r="X9399" s="11">
        <v>0.1405873121943694</v>
      </c>
      <c r="Y9399" s="11">
        <v>0.28440575760793113</v>
      </c>
      <c r="Z9399" s="11">
        <v>0.07121108961804068</v>
      </c>
    </row>
    <row r="9400" ht="22.5" customHeight="1">
      <c r="Q9400" s="9" t="s">
        <v>9438</v>
      </c>
      <c r="R9400" s="10">
        <v>0.6111247524374108</v>
      </c>
      <c r="S9400" s="10">
        <v>0.034867267903839726</v>
      </c>
      <c r="T9400" s="10">
        <v>16.379968571455414</v>
      </c>
      <c r="U9400" s="11">
        <v>0.1763038895552765</v>
      </c>
      <c r="V9400" s="11">
        <v>0.03276900674277625</v>
      </c>
      <c r="W9400" s="11">
        <v>0.3135504430454362</v>
      </c>
      <c r="X9400" s="11">
        <v>0.25509528351511407</v>
      </c>
      <c r="Y9400" s="11">
        <v>0.10588179985331758</v>
      </c>
      <c r="Z9400" s="11">
        <v>0.11639957728807929</v>
      </c>
    </row>
    <row r="9401" ht="22.5" customHeight="1">
      <c r="Q9401" s="9" t="s">
        <v>9439</v>
      </c>
      <c r="R9401" s="10">
        <v>0.5533065295229792</v>
      </c>
      <c r="S9401" s="10">
        <v>0.03133885825715036</v>
      </c>
      <c r="T9401" s="10">
        <v>16.37923517541874</v>
      </c>
      <c r="U9401" s="11">
        <v>0.15040271166456595</v>
      </c>
      <c r="V9401" s="11">
        <v>0.3003533444346952</v>
      </c>
      <c r="W9401" s="11">
        <v>0.00490159172821056</v>
      </c>
      <c r="X9401" s="11">
        <v>0.151833600949564</v>
      </c>
      <c r="Y9401" s="11">
        <v>0.11144482170208767</v>
      </c>
      <c r="Z9401" s="11">
        <v>0.28106392952087655</v>
      </c>
    </row>
    <row r="9402" ht="22.5" customHeight="1">
      <c r="Q9402" s="9" t="s">
        <v>9440</v>
      </c>
      <c r="R9402" s="10">
        <v>0.4939217729138186</v>
      </c>
      <c r="S9402" s="10">
        <v>0.027713555563601427</v>
      </c>
      <c r="T9402" s="10">
        <v>16.379052188813795</v>
      </c>
      <c r="U9402" s="11">
        <v>0.1659213035967197</v>
      </c>
      <c r="V9402" s="11">
        <v>0.024383166602758275</v>
      </c>
      <c r="W9402" s="11">
        <v>0.24609701286387686</v>
      </c>
      <c r="X9402" s="11">
        <v>0.16429741791057506</v>
      </c>
      <c r="Y9402" s="11">
        <v>0.14204132768655642</v>
      </c>
      <c r="Z9402" s="11">
        <v>0.25725977133951367</v>
      </c>
    </row>
    <row r="9403" ht="22.5" customHeight="1">
      <c r="Q9403" s="9" t="s">
        <v>9441</v>
      </c>
      <c r="R9403" s="10">
        <v>0.6920953520274022</v>
      </c>
      <c r="S9403" s="10">
        <v>0.039816776514089526</v>
      </c>
      <c r="T9403" s="10">
        <v>16.37740191742173</v>
      </c>
      <c r="U9403" s="11">
        <v>0.08329883130244402</v>
      </c>
      <c r="V9403" s="11">
        <v>0.058882834983484365</v>
      </c>
      <c r="W9403" s="11">
        <v>0.3580171740094868</v>
      </c>
      <c r="X9403" s="11">
        <v>0.1442616863958055</v>
      </c>
      <c r="Y9403" s="11">
        <v>0.20998651989283598</v>
      </c>
      <c r="Z9403" s="11">
        <v>0.14555295341594326</v>
      </c>
    </row>
    <row r="9404" ht="22.5" customHeight="1">
      <c r="Q9404" s="9" t="s">
        <v>9442</v>
      </c>
      <c r="R9404" s="10">
        <v>0.5787353707204266</v>
      </c>
      <c r="S9404" s="10">
        <v>0.03290787599054897</v>
      </c>
      <c r="T9404" s="10">
        <v>16.371016193058143</v>
      </c>
      <c r="U9404" s="11">
        <v>0.25726991584591125</v>
      </c>
      <c r="V9404" s="11">
        <v>0.30814726715073626</v>
      </c>
      <c r="W9404" s="11">
        <v>0.007018986588911138</v>
      </c>
      <c r="X9404" s="11">
        <v>0.0588582169138234</v>
      </c>
      <c r="Y9404" s="11">
        <v>0.3169852213002331</v>
      </c>
      <c r="Z9404" s="11">
        <v>0.0517203922003848</v>
      </c>
    </row>
    <row r="9405" ht="22.5" customHeight="1">
      <c r="Q9405" s="9" t="s">
        <v>9443</v>
      </c>
      <c r="R9405" s="10">
        <v>0.7011576738070586</v>
      </c>
      <c r="S9405" s="10">
        <v>0.04039478176675453</v>
      </c>
      <c r="T9405" s="10">
        <v>16.367403037963694</v>
      </c>
      <c r="U9405" s="11">
        <v>0.02009284406907894</v>
      </c>
      <c r="V9405" s="11">
        <v>0.07902060665683437</v>
      </c>
      <c r="W9405" s="11">
        <v>0.3640113651178882</v>
      </c>
      <c r="X9405" s="11">
        <v>0.12363992463682491</v>
      </c>
      <c r="Y9405" s="11">
        <v>0.015134056490856272</v>
      </c>
      <c r="Z9405" s="11">
        <v>0.39810120302851715</v>
      </c>
    </row>
    <row r="9406" ht="22.5" customHeight="1">
      <c r="Q9406" s="9" t="s">
        <v>9444</v>
      </c>
      <c r="R9406" s="10">
        <v>0.6601195630809205</v>
      </c>
      <c r="S9406" s="10">
        <v>0.03788852138606957</v>
      </c>
      <c r="T9406" s="10">
        <v>16.366950738513623</v>
      </c>
      <c r="U9406" s="11">
        <v>0.2430711327717184</v>
      </c>
      <c r="V9406" s="11">
        <v>0.3585362952627833</v>
      </c>
      <c r="W9406" s="11">
        <v>0.016613071914012168</v>
      </c>
      <c r="X9406" s="11">
        <v>0.04647214260762247</v>
      </c>
      <c r="Y9406" s="11">
        <v>0.3152732908915885</v>
      </c>
      <c r="Z9406" s="11">
        <v>0.02003406655227513</v>
      </c>
    </row>
    <row r="9407" ht="22.5" customHeight="1">
      <c r="Q9407" s="9" t="s">
        <v>9445</v>
      </c>
      <c r="R9407" s="10">
        <v>0.5112097917064401</v>
      </c>
      <c r="S9407" s="10">
        <v>0.028796693125581373</v>
      </c>
      <c r="T9407" s="10">
        <v>16.363329971657187</v>
      </c>
      <c r="U9407" s="11">
        <v>0.027863003626759433</v>
      </c>
      <c r="V9407" s="11">
        <v>0.020280343883061092</v>
      </c>
      <c r="W9407" s="11">
        <v>0.2556088024477844</v>
      </c>
      <c r="X9407" s="11">
        <v>0.2594881752883186</v>
      </c>
      <c r="Y9407" s="11">
        <v>0.17350897296693105</v>
      </c>
      <c r="Z9407" s="11">
        <v>0.26325070178714544</v>
      </c>
    </row>
    <row r="9408" ht="22.5" customHeight="1">
      <c r="Q9408" s="9" t="s">
        <v>9446</v>
      </c>
      <c r="R9408" s="10">
        <v>0.515157294049558</v>
      </c>
      <c r="S9408" s="10">
        <v>0.029043688982584723</v>
      </c>
      <c r="T9408" s="10">
        <v>16.36008753345601</v>
      </c>
      <c r="U9408" s="11">
        <v>0.09741879797894307</v>
      </c>
      <c r="V9408" s="11">
        <v>0.032049865562196966</v>
      </c>
      <c r="W9408" s="11">
        <v>0.2523754860233481</v>
      </c>
      <c r="X9408" s="11">
        <v>0.08327481191969478</v>
      </c>
      <c r="Y9408" s="11">
        <v>0.3587498993068745</v>
      </c>
      <c r="Z9408" s="11">
        <v>0.1761311392089425</v>
      </c>
    </row>
    <row r="9409" ht="22.5" customHeight="1">
      <c r="Q9409" s="9" t="s">
        <v>9447</v>
      </c>
      <c r="R9409" s="10">
        <v>0.5659944379628254</v>
      </c>
      <c r="S9409" s="10">
        <v>0.03215358823601842</v>
      </c>
      <c r="T9409" s="10">
        <v>16.358809912655627</v>
      </c>
      <c r="U9409" s="11">
        <v>0.02412960648028003</v>
      </c>
      <c r="V9409" s="11">
        <v>0.012755903145744612</v>
      </c>
      <c r="W9409" s="11">
        <v>0.2836674797656879</v>
      </c>
      <c r="X9409" s="11">
        <v>0.4954542412606509</v>
      </c>
      <c r="Y9409" s="11">
        <v>0.021115123107192657</v>
      </c>
      <c r="Z9409" s="11">
        <v>0.16287764624044396</v>
      </c>
    </row>
    <row r="9410" ht="22.5" customHeight="1">
      <c r="Q9410" s="9" t="s">
        <v>9448</v>
      </c>
      <c r="R9410" s="10">
        <v>0.5406814011035064</v>
      </c>
      <c r="S9410" s="10">
        <v>0.03060857824760887</v>
      </c>
      <c r="T9410" s="10">
        <v>16.35755169852162</v>
      </c>
      <c r="U9410" s="11">
        <v>0.21491788196136485</v>
      </c>
      <c r="V9410" s="11">
        <v>0.03768286410737592</v>
      </c>
      <c r="W9410" s="11">
        <v>0.26879156142107363</v>
      </c>
      <c r="X9410" s="11">
        <v>0.050688284731484845</v>
      </c>
      <c r="Y9410" s="11">
        <v>0.2827834445670024</v>
      </c>
      <c r="Z9410" s="11">
        <v>0.14513596321169836</v>
      </c>
    </row>
    <row r="9411" ht="22.5" customHeight="1">
      <c r="Q9411" s="9" t="s">
        <v>9449</v>
      </c>
      <c r="R9411" s="10">
        <v>0.6822698022436097</v>
      </c>
      <c r="S9411" s="10">
        <v>0.03927807753630669</v>
      </c>
      <c r="T9411" s="10">
        <v>16.35186451398818</v>
      </c>
      <c r="U9411" s="11">
        <v>0.15701334436057968</v>
      </c>
      <c r="V9411" s="11">
        <v>0.05209935983591359</v>
      </c>
      <c r="W9411" s="11">
        <v>0.35305035711182314</v>
      </c>
      <c r="X9411" s="11">
        <v>0.152852105038575</v>
      </c>
      <c r="Y9411" s="11">
        <v>0.2058449355216822</v>
      </c>
      <c r="Z9411" s="11">
        <v>0.07913989813142648</v>
      </c>
    </row>
    <row r="9412" ht="22.5" customHeight="1">
      <c r="Q9412" s="9" t="s">
        <v>9450</v>
      </c>
      <c r="R9412" s="10">
        <v>0.6152491131798369</v>
      </c>
      <c r="S9412" s="10">
        <v>0.03517967094933103</v>
      </c>
      <c r="T9412" s="10">
        <v>16.351747974231003</v>
      </c>
      <c r="U9412" s="11">
        <v>0.3564169514143988</v>
      </c>
      <c r="V9412" s="11">
        <v>0.33649570966180653</v>
      </c>
      <c r="W9412" s="11">
        <v>0.02249982453375941</v>
      </c>
      <c r="X9412" s="11">
        <v>0.053479830595469756</v>
      </c>
      <c r="Y9412" s="11">
        <v>0.002613510839605225</v>
      </c>
      <c r="Z9412" s="11">
        <v>0.22849417295496033</v>
      </c>
    </row>
    <row r="9413" ht="22.5" customHeight="1">
      <c r="Q9413" s="9" t="s">
        <v>9451</v>
      </c>
      <c r="R9413" s="10">
        <v>0.5221064632231575</v>
      </c>
      <c r="S9413" s="10">
        <v>0.029484978576164427</v>
      </c>
      <c r="T9413" s="10">
        <v>16.35091787425923</v>
      </c>
      <c r="U9413" s="11">
        <v>0.24595059410980563</v>
      </c>
      <c r="V9413" s="11">
        <v>0.036454925888708745</v>
      </c>
      <c r="W9413" s="11">
        <v>0.2613242580168591</v>
      </c>
      <c r="X9413" s="11">
        <v>0.06931632757390525</v>
      </c>
      <c r="Y9413" s="11">
        <v>0.158500787259581</v>
      </c>
      <c r="Z9413" s="11">
        <v>0.22845310715114028</v>
      </c>
    </row>
    <row r="9414" ht="22.5" customHeight="1">
      <c r="Q9414" s="9" t="s">
        <v>9452</v>
      </c>
      <c r="R9414" s="10">
        <v>0.5943181406091771</v>
      </c>
      <c r="S9414" s="10">
        <v>0.03390424843759039</v>
      </c>
      <c r="T9414" s="10">
        <v>16.349518604712447</v>
      </c>
      <c r="U9414" s="11">
        <v>0.11873400181214588</v>
      </c>
      <c r="V9414" s="11">
        <v>0.02531000469547555</v>
      </c>
      <c r="W9414" s="11">
        <v>0.2997482157785093</v>
      </c>
      <c r="X9414" s="11">
        <v>0.23500627247149783</v>
      </c>
      <c r="Y9414" s="11">
        <v>0.3117000325564304</v>
      </c>
      <c r="Z9414" s="11">
        <v>0.009501472685940975</v>
      </c>
    </row>
    <row r="9415" ht="22.5" customHeight="1">
      <c r="Q9415" s="9" t="s">
        <v>9453</v>
      </c>
      <c r="R9415" s="10">
        <v>0.8122034478908119</v>
      </c>
      <c r="S9415" s="10">
        <v>0.0472376751355617</v>
      </c>
      <c r="T9415" s="10">
        <v>16.347194176571104</v>
      </c>
      <c r="U9415" s="11">
        <v>0.2612740048703129</v>
      </c>
      <c r="V9415" s="11">
        <v>0.09681057023650991</v>
      </c>
      <c r="W9415" s="11">
        <v>0.4254065342843</v>
      </c>
      <c r="X9415" s="11">
        <v>0.03697486908830016</v>
      </c>
      <c r="Y9415" s="11">
        <v>0.017667131259795976</v>
      </c>
      <c r="Z9415" s="11">
        <v>0.16186689026078097</v>
      </c>
    </row>
    <row r="9416" ht="22.5" customHeight="1">
      <c r="Q9416" s="9" t="s">
        <v>9454</v>
      </c>
      <c r="R9416" s="10">
        <v>0.6651964963742375</v>
      </c>
      <c r="S9416" s="10">
        <v>0.03824622928647395</v>
      </c>
      <c r="T9416" s="10">
        <v>16.346617902940373</v>
      </c>
      <c r="U9416" s="11">
        <v>0.02092320284532966</v>
      </c>
      <c r="V9416" s="11">
        <v>0.038072812611915835</v>
      </c>
      <c r="W9416" s="11">
        <v>0.34389078840464765</v>
      </c>
      <c r="X9416" s="11">
        <v>0.3136247625434147</v>
      </c>
      <c r="Y9416" s="11">
        <v>0.16778476303732245</v>
      </c>
      <c r="Z9416" s="11">
        <v>0.1157036705573696</v>
      </c>
    </row>
    <row r="9417" ht="22.5" customHeight="1">
      <c r="Q9417" s="9" t="s">
        <v>9455</v>
      </c>
      <c r="R9417" s="10">
        <v>0.7522633971555265</v>
      </c>
      <c r="S9417" s="10">
        <v>0.0435789872042913</v>
      </c>
      <c r="T9417" s="10">
        <v>16.344193448474375</v>
      </c>
      <c r="U9417" s="11">
        <v>0.29280573284202527</v>
      </c>
      <c r="V9417" s="11">
        <v>0.061780071377622835</v>
      </c>
      <c r="W9417" s="11">
        <v>0.39421036004729804</v>
      </c>
      <c r="X9417" s="11">
        <v>0.2012162563271455</v>
      </c>
      <c r="Y9417" s="11">
        <v>0.01978914292448115</v>
      </c>
      <c r="Z9417" s="11">
        <v>0.030198436481427237</v>
      </c>
    </row>
    <row r="9418" ht="22.5" customHeight="1">
      <c r="Q9418" s="9" t="s">
        <v>9456</v>
      </c>
      <c r="R9418" s="10">
        <v>0.47307600523502613</v>
      </c>
      <c r="S9418" s="10">
        <v>0.02649799124057868</v>
      </c>
      <c r="T9418" s="10">
        <v>16.34372965494151</v>
      </c>
      <c r="U9418" s="11">
        <v>0.043070573049791734</v>
      </c>
      <c r="V9418" s="11">
        <v>0.027615883947095837</v>
      </c>
      <c r="W9418" s="11">
        <v>0.229110695510468</v>
      </c>
      <c r="X9418" s="11">
        <v>0.09372604062412625</v>
      </c>
      <c r="Y9418" s="11">
        <v>0.33807251479598827</v>
      </c>
      <c r="Z9418" s="11">
        <v>0.26840429207252997</v>
      </c>
    </row>
    <row r="9419" ht="22.5" customHeight="1">
      <c r="Q9419" s="9" t="s">
        <v>9457</v>
      </c>
      <c r="R9419" s="10">
        <v>0.53500583988304</v>
      </c>
      <c r="S9419" s="10">
        <v>0.030293329805509767</v>
      </c>
      <c r="T9419" s="10">
        <v>16.340423553999933</v>
      </c>
      <c r="U9419" s="11">
        <v>0.10342199102107819</v>
      </c>
      <c r="V9419" s="11">
        <v>0.025534752975953603</v>
      </c>
      <c r="W9419" s="11">
        <v>0.2670769255667209</v>
      </c>
      <c r="X9419" s="11">
        <v>0.16735553312228907</v>
      </c>
      <c r="Y9419" s="11">
        <v>0.29302310937179044</v>
      </c>
      <c r="Z9419" s="11">
        <v>0.14358768794216772</v>
      </c>
    </row>
    <row r="9420" ht="22.5" customHeight="1">
      <c r="Q9420" s="9" t="s">
        <v>9458</v>
      </c>
      <c r="R9420" s="10">
        <v>0.522331348251574</v>
      </c>
      <c r="S9420" s="10">
        <v>0.03010401472848097</v>
      </c>
      <c r="T9420" s="10">
        <v>16.33913819459754</v>
      </c>
      <c r="U9420" s="11">
        <v>0.25012939710039744</v>
      </c>
      <c r="V9420" s="11">
        <v>0.28540167216738077</v>
      </c>
      <c r="W9420" s="11">
        <v>0.010555352730598681</v>
      </c>
      <c r="X9420" s="11">
        <v>0.029592797876420995</v>
      </c>
      <c r="Y9420" s="11">
        <v>0.18217257029993997</v>
      </c>
      <c r="Z9420" s="11">
        <v>0.24214820982526222</v>
      </c>
    </row>
    <row r="9421" ht="22.5" customHeight="1">
      <c r="Q9421" s="9" t="s">
        <v>9459</v>
      </c>
      <c r="R9421" s="10">
        <v>0.7006069212319577</v>
      </c>
      <c r="S9421" s="10">
        <v>0.04044188728340417</v>
      </c>
      <c r="T9421" s="10">
        <v>16.334720400228353</v>
      </c>
      <c r="U9421" s="11">
        <v>0.17807464440083715</v>
      </c>
      <c r="V9421" s="11">
        <v>0.04738821776079931</v>
      </c>
      <c r="W9421" s="11">
        <v>0.36597628747362493</v>
      </c>
      <c r="X9421" s="11">
        <v>0.2850529459470956</v>
      </c>
      <c r="Y9421" s="11">
        <v>0.024265655915524764</v>
      </c>
      <c r="Z9421" s="11">
        <v>0.09924224850211817</v>
      </c>
    </row>
    <row r="9422" ht="22.5" customHeight="1">
      <c r="Q9422" s="9" t="s">
        <v>9460</v>
      </c>
      <c r="R9422" s="10">
        <v>0.4368467949783433</v>
      </c>
      <c r="S9422" s="10">
        <v>0.024296861910657837</v>
      </c>
      <c r="T9422" s="10">
        <v>16.33325309406587</v>
      </c>
      <c r="U9422" s="11">
        <v>0.15628414206664165</v>
      </c>
      <c r="V9422" s="11">
        <v>0.034225908252433</v>
      </c>
      <c r="W9422" s="11">
        <v>0.2098135071397822</v>
      </c>
      <c r="X9422" s="11">
        <v>0.008718566219895061</v>
      </c>
      <c r="Y9422" s="11">
        <v>0.21364727963584976</v>
      </c>
      <c r="Z9422" s="11">
        <v>0.3773105966853983</v>
      </c>
    </row>
    <row r="9423" ht="22.5" customHeight="1">
      <c r="Q9423" s="9" t="s">
        <v>9461</v>
      </c>
      <c r="R9423" s="10">
        <v>0.25827223491490575</v>
      </c>
      <c r="S9423" s="10">
        <v>0.013364984857446032</v>
      </c>
      <c r="T9423" s="10">
        <v>16.331648501142876</v>
      </c>
      <c r="U9423" s="11">
        <v>0.277174008571565</v>
      </c>
      <c r="V9423" s="11">
        <v>0.009753758794906687</v>
      </c>
      <c r="W9423" s="11">
        <v>0.0737708469951648</v>
      </c>
      <c r="X9423" s="11">
        <v>0.07683640699499104</v>
      </c>
      <c r="Y9423" s="11">
        <v>0.412340232726316</v>
      </c>
      <c r="Z9423" s="11">
        <v>0.15012474591705652</v>
      </c>
    </row>
    <row r="9424" ht="22.5" customHeight="1">
      <c r="Q9424" s="9" t="s">
        <v>9462</v>
      </c>
      <c r="R9424" s="10">
        <v>0.5818555980645768</v>
      </c>
      <c r="S9424" s="10">
        <v>0.03317933388923224</v>
      </c>
      <c r="T9424" s="10">
        <v>16.331117432120188</v>
      </c>
      <c r="U9424" s="11">
        <v>0.21332749749656463</v>
      </c>
      <c r="V9424" s="11">
        <v>0.03417480438659151</v>
      </c>
      <c r="W9424" s="11">
        <v>0.29494397439762665</v>
      </c>
      <c r="X9424" s="11">
        <v>0.13107221294793478</v>
      </c>
      <c r="Y9424" s="11">
        <v>0.244429838016963</v>
      </c>
      <c r="Z9424" s="11">
        <v>0.08205167275431957</v>
      </c>
    </row>
    <row r="9425" ht="22.5" customHeight="1">
      <c r="Q9425" s="9" t="s">
        <v>9463</v>
      </c>
      <c r="R9425" s="10">
        <v>0.4823611626765955</v>
      </c>
      <c r="S9425" s="10">
        <v>0.027089078425773207</v>
      </c>
      <c r="T9425" s="10">
        <v>16.329871239020164</v>
      </c>
      <c r="U9425" s="11">
        <v>0.1195631719905916</v>
      </c>
      <c r="V9425" s="11">
        <v>0.025086791740544706</v>
      </c>
      <c r="W9425" s="11">
        <v>0.23449162060081943</v>
      </c>
      <c r="X9425" s="11">
        <v>0.0940397503096819</v>
      </c>
      <c r="Y9425" s="11">
        <v>0.33687518494258506</v>
      </c>
      <c r="Z9425" s="11">
        <v>0.1899434804157773</v>
      </c>
    </row>
    <row r="9426" ht="22.5" customHeight="1">
      <c r="Q9426" s="9" t="s">
        <v>9464</v>
      </c>
      <c r="R9426" s="10">
        <v>0.5695063840667961</v>
      </c>
      <c r="S9426" s="10">
        <v>0.0324267740312312</v>
      </c>
      <c r="T9426" s="10">
        <v>16.32929577135279</v>
      </c>
      <c r="U9426" s="11">
        <v>0.06423075936924151</v>
      </c>
      <c r="V9426" s="11">
        <v>0.040445399144494576</v>
      </c>
      <c r="W9426" s="11">
        <v>0.29116790709745144</v>
      </c>
      <c r="X9426" s="11">
        <v>0.16812744841960753</v>
      </c>
      <c r="Y9426" s="11">
        <v>0.12491368819119578</v>
      </c>
      <c r="Z9426" s="11">
        <v>0.31111479777800927</v>
      </c>
    </row>
    <row r="9427" ht="22.5" customHeight="1">
      <c r="Q9427" s="9" t="s">
        <v>9465</v>
      </c>
      <c r="R9427" s="10">
        <v>0.6584219404393761</v>
      </c>
      <c r="S9427" s="10">
        <v>0.03787389662903394</v>
      </c>
      <c r="T9427" s="10">
        <v>16.328447703616977</v>
      </c>
      <c r="U9427" s="11">
        <v>0.17189200492971068</v>
      </c>
      <c r="V9427" s="11">
        <v>0.3627164481041527</v>
      </c>
      <c r="W9427" s="11">
        <v>0.01242606099890735</v>
      </c>
      <c r="X9427" s="11">
        <v>0.11450174582096523</v>
      </c>
      <c r="Y9427" s="11">
        <v>0.22408057279780455</v>
      </c>
      <c r="Z9427" s="11">
        <v>0.11438316734845941</v>
      </c>
    </row>
    <row r="9428" ht="22.5" customHeight="1">
      <c r="Q9428" s="9" t="s">
        <v>9466</v>
      </c>
      <c r="R9428" s="10">
        <v>0.4895060992858456</v>
      </c>
      <c r="S9428" s="10">
        <v>0.027530129084087626</v>
      </c>
      <c r="T9428" s="10">
        <v>16.327787563686343</v>
      </c>
      <c r="U9428" s="11">
        <v>0.1585403832271074</v>
      </c>
      <c r="V9428" s="11">
        <v>0.04804153430532075</v>
      </c>
      <c r="W9428" s="11">
        <v>0.24252248878540697</v>
      </c>
      <c r="X9428" s="11">
        <v>0.016559841929848586</v>
      </c>
      <c r="Y9428" s="11">
        <v>0.0824994274252588</v>
      </c>
      <c r="Z9428" s="11">
        <v>0.4518363243270576</v>
      </c>
    </row>
    <row r="9429" ht="22.5" customHeight="1">
      <c r="Q9429" s="9" t="s">
        <v>9467</v>
      </c>
      <c r="R9429" s="10">
        <v>0.522331348251574</v>
      </c>
      <c r="S9429" s="10">
        <v>0.02644812556689069</v>
      </c>
      <c r="T9429" s="10">
        <v>16.327040281420523</v>
      </c>
      <c r="U9429" s="11">
        <v>0.11553764938224792</v>
      </c>
      <c r="V9429" s="11">
        <v>0.01735202495530942</v>
      </c>
      <c r="W9429" s="11">
        <v>0.23215489145934995</v>
      </c>
      <c r="X9429" s="11">
        <v>0.1716837728813373</v>
      </c>
      <c r="Y9429" s="11">
        <v>0.23487297183833555</v>
      </c>
      <c r="Z9429" s="11">
        <v>0.22839868948341974</v>
      </c>
    </row>
    <row r="9430" ht="22.5" customHeight="1">
      <c r="Q9430" s="9" t="s">
        <v>9468</v>
      </c>
      <c r="R9430" s="10">
        <v>0.7122379406213277</v>
      </c>
      <c r="S9430" s="10">
        <v>0.041176973488234306</v>
      </c>
      <c r="T9430" s="10">
        <v>16.325579168984078</v>
      </c>
      <c r="U9430" s="11">
        <v>0.31070852568165525</v>
      </c>
      <c r="V9430" s="11">
        <v>0.06189919735198585</v>
      </c>
      <c r="W9430" s="11">
        <v>0.3709842951682971</v>
      </c>
      <c r="X9430" s="11">
        <v>0.11012736782372706</v>
      </c>
      <c r="Y9430" s="11">
        <v>0.08575083923867292</v>
      </c>
      <c r="Z9430" s="11">
        <v>0.06052977473566162</v>
      </c>
    </row>
    <row r="9431" ht="22.5" customHeight="1">
      <c r="Q9431" s="9" t="s">
        <v>9469</v>
      </c>
      <c r="R9431" s="10">
        <v>0.8939834976605261</v>
      </c>
      <c r="S9431" s="10">
        <v>0.05231195424033186</v>
      </c>
      <c r="T9431" s="10">
        <v>16.32482498621922</v>
      </c>
      <c r="U9431" s="11">
        <v>0.07888706745648394</v>
      </c>
      <c r="V9431" s="11">
        <v>0.11651719323803113</v>
      </c>
      <c r="W9431" s="11">
        <v>0.470601261291798</v>
      </c>
      <c r="X9431" s="11">
        <v>0.01663613894562319</v>
      </c>
      <c r="Y9431" s="11">
        <v>0.1129443914596939</v>
      </c>
      <c r="Z9431" s="11">
        <v>0.20441394760836984</v>
      </c>
    </row>
    <row r="9432" ht="22.5" customHeight="1">
      <c r="Q9432" s="9" t="s">
        <v>9470</v>
      </c>
      <c r="R9432" s="10">
        <v>0.7300879018528479</v>
      </c>
      <c r="S9432" s="10">
        <v>0.04227248594472618</v>
      </c>
      <c r="T9432" s="10">
        <v>16.324753239144236</v>
      </c>
      <c r="U9432" s="11">
        <v>0.012941940162926525</v>
      </c>
      <c r="V9432" s="11">
        <v>0.055482278292965884</v>
      </c>
      <c r="W9432" s="11">
        <v>0.37923964585795167</v>
      </c>
      <c r="X9432" s="11">
        <v>0.20949435297655167</v>
      </c>
      <c r="Y9432" s="11">
        <v>0.28413314073145146</v>
      </c>
      <c r="Z9432" s="11">
        <v>0.05870864197815271</v>
      </c>
    </row>
    <row r="9433" ht="22.5" customHeight="1">
      <c r="Q9433" s="9" t="s">
        <v>9471</v>
      </c>
      <c r="R9433" s="10">
        <v>0.3578610836827423</v>
      </c>
      <c r="S9433" s="10">
        <v>0.01947645718632798</v>
      </c>
      <c r="T9433" s="10">
        <v>16.320272246734554</v>
      </c>
      <c r="U9433" s="11">
        <v>0.2270645766906588</v>
      </c>
      <c r="V9433" s="11">
        <v>0.014542269932262139</v>
      </c>
      <c r="W9433" s="11">
        <v>0.16062801868119117</v>
      </c>
      <c r="X9433" s="11">
        <v>0.0489999045852823</v>
      </c>
      <c r="Y9433" s="11">
        <v>0.24708524650279587</v>
      </c>
      <c r="Z9433" s="11">
        <v>0.3016799836078098</v>
      </c>
    </row>
    <row r="9434" ht="22.5" customHeight="1">
      <c r="Q9434" s="9" t="s">
        <v>9472</v>
      </c>
      <c r="R9434" s="10">
        <v>0.522331348251574</v>
      </c>
      <c r="S9434" s="10">
        <v>0.025866051395307316</v>
      </c>
      <c r="T9434" s="10">
        <v>16.31893239125612</v>
      </c>
      <c r="U9434" s="11">
        <v>0.23603298404201148</v>
      </c>
      <c r="V9434" s="11">
        <v>0.008338842695800878</v>
      </c>
      <c r="W9434" s="11">
        <v>0.22563173673203615</v>
      </c>
      <c r="X9434" s="11">
        <v>0.20401738535312675</v>
      </c>
      <c r="Y9434" s="11">
        <v>0.20700616282635304</v>
      </c>
      <c r="Z9434" s="11">
        <v>0.11897288835067162</v>
      </c>
    </row>
    <row r="9435" ht="22.5" customHeight="1">
      <c r="Q9435" s="9" t="s">
        <v>9473</v>
      </c>
      <c r="R9435" s="10">
        <v>0.23909298891657504</v>
      </c>
      <c r="S9435" s="10">
        <v>0.012200340883251778</v>
      </c>
      <c r="T9435" s="10">
        <v>16.3186414889344</v>
      </c>
      <c r="U9435" s="11">
        <v>0.4476148344135448</v>
      </c>
      <c r="V9435" s="11">
        <v>0.07114538323838197</v>
      </c>
      <c r="W9435" s="11">
        <v>0.008957690116685854</v>
      </c>
      <c r="X9435" s="11">
        <v>0.022624527984986664</v>
      </c>
      <c r="Y9435" s="11">
        <v>0.19698322928462114</v>
      </c>
      <c r="Z9435" s="11">
        <v>0.2526743349617796</v>
      </c>
    </row>
    <row r="9436" ht="22.5" customHeight="1">
      <c r="Q9436" s="9" t="s">
        <v>9474</v>
      </c>
      <c r="R9436" s="10">
        <v>0.5323559475960797</v>
      </c>
      <c r="S9436" s="10">
        <v>0.030178321649903302</v>
      </c>
      <c r="T9436" s="10">
        <v>16.314888326390985</v>
      </c>
      <c r="U9436" s="11">
        <v>0.14107373427198905</v>
      </c>
      <c r="V9436" s="11">
        <v>0.28525910995708476</v>
      </c>
      <c r="W9436" s="11">
        <v>0.010220794801150183</v>
      </c>
      <c r="X9436" s="11">
        <v>0.023177708886529477</v>
      </c>
      <c r="Y9436" s="11">
        <v>0.286301776018952</v>
      </c>
      <c r="Z9436" s="11">
        <v>0.25396687606429447</v>
      </c>
    </row>
    <row r="9437" ht="22.5" customHeight="1">
      <c r="Q9437" s="9" t="s">
        <v>9475</v>
      </c>
      <c r="R9437" s="10">
        <v>0.5326599210196097</v>
      </c>
      <c r="S9437" s="10">
        <v>0.030203213697245646</v>
      </c>
      <c r="T9437" s="10">
        <v>16.311506648199405</v>
      </c>
      <c r="U9437" s="11">
        <v>0.057783377989575155</v>
      </c>
      <c r="V9437" s="11">
        <v>0.2858146354528904</v>
      </c>
      <c r="W9437" s="11">
        <v>0.008127059270314048</v>
      </c>
      <c r="X9437" s="11">
        <v>0.05543475909356713</v>
      </c>
      <c r="Y9437" s="11">
        <v>0.3129209820476166</v>
      </c>
      <c r="Z9437" s="11">
        <v>0.2799191861460367</v>
      </c>
    </row>
    <row r="9438" ht="22.5" customHeight="1">
      <c r="Q9438" s="9" t="s">
        <v>9476</v>
      </c>
      <c r="R9438" s="10">
        <v>0.6831777148880722</v>
      </c>
      <c r="S9438" s="10">
        <v>0.039446919802866465</v>
      </c>
      <c r="T9438" s="10">
        <v>16.30489067593396</v>
      </c>
      <c r="U9438" s="11">
        <v>0.2531774689620162</v>
      </c>
      <c r="V9438" s="11">
        <v>0.37811971012261286</v>
      </c>
      <c r="W9438" s="11">
        <v>0.01730172647601511</v>
      </c>
      <c r="X9438" s="11">
        <v>0.08501318139756094</v>
      </c>
      <c r="Y9438" s="11">
        <v>0.17915983086253978</v>
      </c>
      <c r="Z9438" s="11">
        <v>0.08722808217925515</v>
      </c>
    </row>
    <row r="9439" ht="22.5" customHeight="1">
      <c r="Q9439" s="9" t="s">
        <v>9477</v>
      </c>
      <c r="R9439" s="10">
        <v>0.3423070299715396</v>
      </c>
      <c r="S9439" s="10">
        <v>0.018542048943018006</v>
      </c>
      <c r="T9439" s="10">
        <v>16.30386323003279</v>
      </c>
      <c r="U9439" s="11">
        <v>0.2622634859035744</v>
      </c>
      <c r="V9439" s="11">
        <v>0.010126819903188453</v>
      </c>
      <c r="W9439" s="11">
        <v>0.15268383886734294</v>
      </c>
      <c r="X9439" s="11">
        <v>0.07552327166871829</v>
      </c>
      <c r="Y9439" s="11">
        <v>0.18788916340986855</v>
      </c>
      <c r="Z9439" s="11">
        <v>0.3115134202473074</v>
      </c>
    </row>
    <row r="9440" ht="22.5" customHeight="1">
      <c r="Q9440" s="9" t="s">
        <v>9478</v>
      </c>
      <c r="R9440" s="10">
        <v>0.4017309350198726</v>
      </c>
      <c r="S9440" s="10">
        <v>0.022186832677447862</v>
      </c>
      <c r="T9440" s="10">
        <v>16.30385644849431</v>
      </c>
      <c r="U9440" s="11">
        <v>0.26162789894226673</v>
      </c>
      <c r="V9440" s="11">
        <v>0.20510891880794116</v>
      </c>
      <c r="W9440" s="11">
        <v>0.0077607158905893744</v>
      </c>
      <c r="X9440" s="11">
        <v>0.00925634946145347</v>
      </c>
      <c r="Y9440" s="11">
        <v>0.09106434973862576</v>
      </c>
      <c r="Z9440" s="11">
        <v>0.4251817671591234</v>
      </c>
    </row>
    <row r="9441" ht="22.5" customHeight="1">
      <c r="Q9441" s="9" t="s">
        <v>9479</v>
      </c>
      <c r="R9441" s="10">
        <v>0.731731746696044</v>
      </c>
      <c r="S9441" s="10">
        <v>0.04242778642059373</v>
      </c>
      <c r="T9441" s="10">
        <v>16.303743491088404</v>
      </c>
      <c r="U9441" s="11">
        <v>0.11411783745298777</v>
      </c>
      <c r="V9441" s="11">
        <v>0.41136904325616774</v>
      </c>
      <c r="W9441" s="11">
        <v>0.024414857798141967</v>
      </c>
      <c r="X9441" s="11">
        <v>0.1518994736840194</v>
      </c>
      <c r="Y9441" s="11">
        <v>0.07479126877788472</v>
      </c>
      <c r="Z9441" s="11">
        <v>0.22340751903079822</v>
      </c>
    </row>
    <row r="9442" ht="22.5" customHeight="1">
      <c r="Q9442" s="9" t="s">
        <v>9480</v>
      </c>
      <c r="R9442" s="10">
        <v>0.7237515080162126</v>
      </c>
      <c r="S9442" s="10">
        <v>0.04193937782618408</v>
      </c>
      <c r="T9442" s="10">
        <v>16.303329793064428</v>
      </c>
      <c r="U9442" s="11">
        <v>0.1131929465939745</v>
      </c>
      <c r="V9442" s="11">
        <v>0.08168982541493457</v>
      </c>
      <c r="W9442" s="11">
        <v>0.37660853860292887</v>
      </c>
      <c r="X9442" s="11">
        <v>0.018213679541359804</v>
      </c>
      <c r="Y9442" s="11">
        <v>0.1554494033555814</v>
      </c>
      <c r="Z9442" s="11">
        <v>0.2548456064912209</v>
      </c>
    </row>
    <row r="9443" ht="22.5" customHeight="1">
      <c r="Q9443" s="9" t="s">
        <v>9481</v>
      </c>
      <c r="R9443" s="10">
        <v>0.30464643700468835</v>
      </c>
      <c r="S9443" s="10">
        <v>0.016232854267339288</v>
      </c>
      <c r="T9443" s="10">
        <v>16.30313638293177</v>
      </c>
      <c r="U9443" s="11">
        <v>0.5887851739840815</v>
      </c>
      <c r="V9443" s="11">
        <v>0.1201504133587077</v>
      </c>
      <c r="W9443" s="11">
        <v>0.005408635804536387</v>
      </c>
      <c r="X9443" s="11">
        <v>0.013506584983092006</v>
      </c>
      <c r="Y9443" s="11">
        <v>0.1140978962095092</v>
      </c>
      <c r="Z9443" s="11">
        <v>0.15805129566007303</v>
      </c>
    </row>
    <row r="9444" ht="22.5" customHeight="1">
      <c r="Q9444" s="9" t="s">
        <v>9482</v>
      </c>
      <c r="R9444" s="10">
        <v>1.0151904916097665</v>
      </c>
      <c r="S9444" s="10">
        <v>0.05981753418679409</v>
      </c>
      <c r="T9444" s="10">
        <v>16.302753111897065</v>
      </c>
      <c r="U9444" s="11">
        <v>0.053519160199659056</v>
      </c>
      <c r="V9444" s="11">
        <v>0.5797400739414302</v>
      </c>
      <c r="W9444" s="11">
        <v>0.04784109808583255</v>
      </c>
      <c r="X9444" s="11">
        <v>0.24778673950836264</v>
      </c>
      <c r="Y9444" s="11">
        <v>0.061950397738150344</v>
      </c>
      <c r="Z9444" s="11">
        <v>0.00916253052656526</v>
      </c>
    </row>
    <row r="9445" ht="22.5" customHeight="1">
      <c r="Q9445" s="9" t="s">
        <v>9483</v>
      </c>
      <c r="R9445" s="10">
        <v>0.7588145183950539</v>
      </c>
      <c r="S9445" s="10">
        <v>0.04410413211943292</v>
      </c>
      <c r="T9445" s="10">
        <v>16.2981218278714</v>
      </c>
      <c r="U9445" s="11">
        <v>0.2290813956841335</v>
      </c>
      <c r="V9445" s="11">
        <v>0.06481816928992955</v>
      </c>
      <c r="W9445" s="11">
        <v>0.3995492069558471</v>
      </c>
      <c r="X9445" s="11">
        <v>0.18883078388101182</v>
      </c>
      <c r="Y9445" s="11">
        <v>0.03912389037488638</v>
      </c>
      <c r="Z9445" s="11">
        <v>0.07859655381419171</v>
      </c>
    </row>
    <row r="9446" ht="22.5" customHeight="1">
      <c r="Q9446" s="9" t="s">
        <v>9484</v>
      </c>
      <c r="R9446" s="10">
        <v>0.6918347786803255</v>
      </c>
      <c r="S9446" s="10">
        <v>0.03999924121091114</v>
      </c>
      <c r="T9446" s="10">
        <v>16.296178601070952</v>
      </c>
      <c r="U9446" s="11">
        <v>0.1003202959748239</v>
      </c>
      <c r="V9446" s="11">
        <v>0.3884842489395509</v>
      </c>
      <c r="W9446" s="11">
        <v>0.029254358692214485</v>
      </c>
      <c r="X9446" s="11">
        <v>0.09585597194271253</v>
      </c>
      <c r="Y9446" s="11">
        <v>0.04806218184402633</v>
      </c>
      <c r="Z9446" s="11">
        <v>0.33802294260667193</v>
      </c>
    </row>
    <row r="9447" ht="22.5" customHeight="1">
      <c r="Q9447" s="9" t="s">
        <v>9485</v>
      </c>
      <c r="R9447" s="10">
        <v>0.7938494655394773</v>
      </c>
      <c r="S9447" s="10">
        <v>0.046265788111653855</v>
      </c>
      <c r="T9447" s="10">
        <v>16.293885748151574</v>
      </c>
      <c r="U9447" s="11">
        <v>0.013256852741010234</v>
      </c>
      <c r="V9447" s="11">
        <v>0.08567917079478361</v>
      </c>
      <c r="W9447" s="11">
        <v>0.41219154455380896</v>
      </c>
      <c r="X9447" s="11">
        <v>0.03283338181424435</v>
      </c>
      <c r="Y9447" s="11">
        <v>0.36480150345366597</v>
      </c>
      <c r="Z9447" s="11">
        <v>0.09123754664248698</v>
      </c>
    </row>
    <row r="9448" ht="22.5" customHeight="1">
      <c r="Q9448" s="9" t="s">
        <v>9486</v>
      </c>
      <c r="R9448" s="10">
        <v>0.5553485322713374</v>
      </c>
      <c r="S9448" s="10">
        <v>0.03163543809128912</v>
      </c>
      <c r="T9448" s="10">
        <v>16.290229039478344</v>
      </c>
      <c r="U9448" s="11">
        <v>0.19364186292886698</v>
      </c>
      <c r="V9448" s="11">
        <v>0.02537505455079284</v>
      </c>
      <c r="W9448" s="11">
        <v>0.28396990487449764</v>
      </c>
      <c r="X9448" s="11">
        <v>0.2546934471219413</v>
      </c>
      <c r="Y9448" s="11">
        <v>0.04275938636288906</v>
      </c>
      <c r="Z9448" s="11">
        <v>0.199560344161012</v>
      </c>
    </row>
    <row r="9449" ht="22.5" customHeight="1">
      <c r="Q9449" s="9" t="s">
        <v>9487</v>
      </c>
      <c r="R9449" s="10">
        <v>0.5814911139110537</v>
      </c>
      <c r="S9449" s="10">
        <v>0.03324069214467143</v>
      </c>
      <c r="T9449" s="10">
        <v>16.290007186202832</v>
      </c>
      <c r="U9449" s="11">
        <v>0.292190278335288</v>
      </c>
      <c r="V9449" s="11">
        <v>0.031374770816201845</v>
      </c>
      <c r="W9449" s="11">
        <v>0.2962109113124116</v>
      </c>
      <c r="X9449" s="11">
        <v>0.14235310385934635</v>
      </c>
      <c r="Y9449" s="11">
        <v>0.18446526597869184</v>
      </c>
      <c r="Z9449" s="11">
        <v>0.05340566969806029</v>
      </c>
    </row>
    <row r="9450" ht="22.5" customHeight="1">
      <c r="Q9450" s="9" t="s">
        <v>9488</v>
      </c>
      <c r="R9450" s="10">
        <v>0.5447120884850949</v>
      </c>
      <c r="S9450" s="10">
        <v>0.030991396324934365</v>
      </c>
      <c r="T9450" s="10">
        <v>16.285554971236483</v>
      </c>
      <c r="U9450" s="11">
        <v>0.3125456863049389</v>
      </c>
      <c r="V9450" s="11">
        <v>0.28957899990793184</v>
      </c>
      <c r="W9450" s="11">
        <v>6.739754143999651E-4</v>
      </c>
      <c r="X9450" s="11">
        <v>0.07595592624028094</v>
      </c>
      <c r="Y9450" s="11">
        <v>0.25539044242736586</v>
      </c>
      <c r="Z9450" s="11">
        <v>0.0658549697050827</v>
      </c>
    </row>
    <row r="9451" ht="22.5" customHeight="1">
      <c r="Q9451" s="9" t="s">
        <v>9489</v>
      </c>
      <c r="R9451" s="10">
        <v>0.5980798859829096</v>
      </c>
      <c r="S9451" s="10">
        <v>0.03426878761924494</v>
      </c>
      <c r="T9451" s="10">
        <v>16.28537000443805</v>
      </c>
      <c r="U9451" s="11">
        <v>0.3139626225365895</v>
      </c>
      <c r="V9451" s="11">
        <v>0.05726128141928448</v>
      </c>
      <c r="W9451" s="11">
        <v>0.3054702321994816</v>
      </c>
      <c r="X9451" s="11">
        <v>0.009754288269835546</v>
      </c>
      <c r="Y9451" s="11">
        <v>0.07967716221187635</v>
      </c>
      <c r="Z9451" s="11">
        <v>0.23387441336293258</v>
      </c>
    </row>
    <row r="9452" ht="22.5" customHeight="1">
      <c r="Q9452" s="9" t="s">
        <v>9490</v>
      </c>
      <c r="R9452" s="10">
        <v>0.6444283172838976</v>
      </c>
      <c r="S9452" s="10">
        <v>0.037114828242521096</v>
      </c>
      <c r="T9452" s="10">
        <v>16.285359407683483</v>
      </c>
      <c r="U9452" s="11">
        <v>0.0531642690955713</v>
      </c>
      <c r="V9452" s="11">
        <v>0.3565883045024154</v>
      </c>
      <c r="W9452" s="11">
        <v>0.006231418824282703</v>
      </c>
      <c r="X9452" s="11">
        <v>0.19082204891352883</v>
      </c>
      <c r="Y9452" s="11">
        <v>0.20457588559229312</v>
      </c>
      <c r="Z9452" s="11">
        <v>0.18861807307190842</v>
      </c>
    </row>
    <row r="9453" ht="22.5" customHeight="1">
      <c r="Q9453" s="9" t="s">
        <v>9491</v>
      </c>
      <c r="R9453" s="10">
        <v>0.54819510594574</v>
      </c>
      <c r="S9453" s="10">
        <v>0.03121741646497312</v>
      </c>
      <c r="T9453" s="10">
        <v>16.279217292563274</v>
      </c>
      <c r="U9453" s="11">
        <v>0.10324175030677786</v>
      </c>
      <c r="V9453" s="11">
        <v>0.02221230671545624</v>
      </c>
      <c r="W9453" s="11">
        <v>0.2797358906487641</v>
      </c>
      <c r="X9453" s="11">
        <v>0.2940021775863551</v>
      </c>
      <c r="Y9453" s="11">
        <v>0.06931251337126089</v>
      </c>
      <c r="Z9453" s="11">
        <v>0.23149536137138574</v>
      </c>
    </row>
    <row r="9454" ht="22.5" customHeight="1">
      <c r="Q9454" s="9" t="s">
        <v>9492</v>
      </c>
      <c r="R9454" s="10">
        <v>1.0259025397187513</v>
      </c>
      <c r="S9454" s="10">
        <v>0.060562888798563794</v>
      </c>
      <c r="T9454" s="10">
        <v>16.278987995403075</v>
      </c>
      <c r="U9454" s="11">
        <v>0.035199535729453474</v>
      </c>
      <c r="V9454" s="11">
        <v>0.12555959455536173</v>
      </c>
      <c r="W9454" s="11">
        <v>0.5481843119914928</v>
      </c>
      <c r="X9454" s="11">
        <v>0.15914908130007466</v>
      </c>
      <c r="Y9454" s="11">
        <v>0.02274864792952121</v>
      </c>
      <c r="Z9454" s="11">
        <v>0.10915882849409606</v>
      </c>
    </row>
    <row r="9455" ht="22.5" customHeight="1">
      <c r="Q9455" s="9" t="s">
        <v>9493</v>
      </c>
      <c r="R9455" s="10">
        <v>0.30083295428862256</v>
      </c>
      <c r="S9455" s="10">
        <v>0.016025084428620724</v>
      </c>
      <c r="T9455" s="10">
        <v>16.276541658824346</v>
      </c>
      <c r="U9455" s="11">
        <v>0.1388062410107245</v>
      </c>
      <c r="V9455" s="11">
        <v>0.02723426288893352</v>
      </c>
      <c r="W9455" s="11">
        <v>0.07384366897913791</v>
      </c>
      <c r="X9455" s="11">
        <v>0.10193489542812843</v>
      </c>
      <c r="Y9455" s="11">
        <v>0.6457004079694424</v>
      </c>
      <c r="Z9455" s="11">
        <v>0.012480523723633114</v>
      </c>
    </row>
    <row r="9456" ht="22.5" customHeight="1">
      <c r="Q9456" s="9" t="s">
        <v>9494</v>
      </c>
      <c r="R9456" s="10">
        <v>0.40076903861258967</v>
      </c>
      <c r="S9456" s="10">
        <v>0.022166534931650946</v>
      </c>
      <c r="T9456" s="10">
        <v>16.275391698567113</v>
      </c>
      <c r="U9456" s="11">
        <v>0.1279188460308874</v>
      </c>
      <c r="V9456" s="11">
        <v>0.021370977679874018</v>
      </c>
      <c r="W9456" s="11">
        <v>0.1865779442016367</v>
      </c>
      <c r="X9456" s="11">
        <v>0.042420991766805694</v>
      </c>
      <c r="Y9456" s="11">
        <v>0.31194023793140196</v>
      </c>
      <c r="Z9456" s="11">
        <v>0.30977100238939426</v>
      </c>
    </row>
    <row r="9457" ht="22.5" customHeight="1">
      <c r="Q9457" s="9" t="s">
        <v>9495</v>
      </c>
      <c r="R9457" s="10">
        <v>0.5298995435868443</v>
      </c>
      <c r="S9457" s="10">
        <v>0.030101450435974616</v>
      </c>
      <c r="T9457" s="10">
        <v>16.274948100220424</v>
      </c>
      <c r="U9457" s="11">
        <v>0.2543338889574396</v>
      </c>
      <c r="V9457" s="11">
        <v>0.01489650203995375</v>
      </c>
      <c r="W9457" s="11">
        <v>0.26468773735276774</v>
      </c>
      <c r="X9457" s="11">
        <v>0.20253761686614974</v>
      </c>
      <c r="Y9457" s="11">
        <v>0.2505502048225737</v>
      </c>
      <c r="Z9457" s="11">
        <v>0.01299404996111556</v>
      </c>
    </row>
    <row r="9458" ht="22.5" customHeight="1">
      <c r="Q9458" s="9" t="s">
        <v>9496</v>
      </c>
      <c r="R9458" s="10">
        <v>0.7538802768660299</v>
      </c>
      <c r="S9458" s="10">
        <v>0.043878830105360776</v>
      </c>
      <c r="T9458" s="10">
        <v>16.269355293928253</v>
      </c>
      <c r="U9458" s="11">
        <v>0.342851036884225</v>
      </c>
      <c r="V9458" s="11">
        <v>0.06298139735797709</v>
      </c>
      <c r="W9458" s="11">
        <v>0.39680962440922524</v>
      </c>
      <c r="X9458" s="11">
        <v>0.1693760349534446</v>
      </c>
      <c r="Y9458" s="11">
        <v>0.0043152776638822</v>
      </c>
      <c r="Z9458" s="11">
        <v>0.023666628731245847</v>
      </c>
    </row>
    <row r="9459" ht="22.5" customHeight="1">
      <c r="Q9459" s="9" t="s">
        <v>9497</v>
      </c>
      <c r="R9459" s="10">
        <v>0.9886678829618823</v>
      </c>
      <c r="S9459" s="10">
        <v>0.05831519718171172</v>
      </c>
      <c r="T9459" s="10">
        <v>16.267935783631284</v>
      </c>
      <c r="U9459" s="11">
        <v>0.1193460154594321</v>
      </c>
      <c r="V9459" s="11">
        <v>0.5657449363500107</v>
      </c>
      <c r="W9459" s="11">
        <v>0.050369030881979006</v>
      </c>
      <c r="X9459" s="11">
        <v>0.16772237554399716</v>
      </c>
      <c r="Y9459" s="11">
        <v>0.0586204750293378</v>
      </c>
      <c r="Z9459" s="11">
        <v>0.03819716673524349</v>
      </c>
    </row>
    <row r="9460" ht="22.5" customHeight="1">
      <c r="Q9460" s="9" t="s">
        <v>9498</v>
      </c>
      <c r="R9460" s="10">
        <v>0.6982436574802335</v>
      </c>
      <c r="S9460" s="10">
        <v>0.04046643625767427</v>
      </c>
      <c r="T9460" s="10">
        <v>16.266410347795343</v>
      </c>
      <c r="U9460" s="11">
        <v>0.040261381430219303</v>
      </c>
      <c r="V9460" s="11">
        <v>0.06322097138571069</v>
      </c>
      <c r="W9460" s="11">
        <v>0.3660813867221262</v>
      </c>
      <c r="X9460" s="11">
        <v>0.16689234616349183</v>
      </c>
      <c r="Y9460" s="11">
        <v>0.09011851982551085</v>
      </c>
      <c r="Z9460" s="11">
        <v>0.27342539447294095</v>
      </c>
    </row>
    <row r="9461" ht="22.5" customHeight="1">
      <c r="Q9461" s="9" t="s">
        <v>9499</v>
      </c>
      <c r="R9461" s="10">
        <v>0.7273865666127427</v>
      </c>
      <c r="S9461" s="10">
        <v>0.04226129776894945</v>
      </c>
      <c r="T9461" s="10">
        <v>16.265155186923405</v>
      </c>
      <c r="U9461" s="11">
        <v>0.1229490246556929</v>
      </c>
      <c r="V9461" s="11">
        <v>0.40957951411184806</v>
      </c>
      <c r="W9461" s="11">
        <v>0.03851525915114347</v>
      </c>
      <c r="X9461" s="11">
        <v>0.0029047378714788675</v>
      </c>
      <c r="Y9461" s="11">
        <v>0.12964637861958705</v>
      </c>
      <c r="Z9461" s="11">
        <v>0.2964050855902496</v>
      </c>
    </row>
    <row r="9462" ht="22.5" customHeight="1">
      <c r="Q9462" s="9" t="s">
        <v>9500</v>
      </c>
      <c r="R9462" s="10">
        <v>0.5968366115592678</v>
      </c>
      <c r="S9462" s="10">
        <v>0.03423927907265102</v>
      </c>
      <c r="T9462" s="10">
        <v>16.26309392723303</v>
      </c>
      <c r="U9462" s="11">
        <v>0.16319820345200617</v>
      </c>
      <c r="V9462" s="11">
        <v>0.32431931030513245</v>
      </c>
      <c r="W9462" s="11">
        <v>0.011814791282523133</v>
      </c>
      <c r="X9462" s="11">
        <v>0.032667348328984255</v>
      </c>
      <c r="Y9462" s="11">
        <v>0.319348577212691</v>
      </c>
      <c r="Z9462" s="11">
        <v>0.14865176941866304</v>
      </c>
    </row>
    <row r="9463" ht="22.5" customHeight="1">
      <c r="Q9463" s="9" t="s">
        <v>9501</v>
      </c>
      <c r="R9463" s="10">
        <v>0.5146415332233512</v>
      </c>
      <c r="S9463" s="10">
        <v>0.02918569096556863</v>
      </c>
      <c r="T9463" s="10">
        <v>16.26281638434746</v>
      </c>
      <c r="U9463" s="11">
        <v>0.12958603128276625</v>
      </c>
      <c r="V9463" s="11">
        <v>0.02772833577935946</v>
      </c>
      <c r="W9463" s="11">
        <v>0.25676492988974253</v>
      </c>
      <c r="X9463" s="11">
        <v>0.10819954609074464</v>
      </c>
      <c r="Y9463" s="11">
        <v>0.28617975730832873</v>
      </c>
      <c r="Z9463" s="11">
        <v>0.19154139964905836</v>
      </c>
    </row>
    <row r="9464" ht="22.5" customHeight="1">
      <c r="Q9464" s="9" t="s">
        <v>9502</v>
      </c>
      <c r="R9464" s="10">
        <v>0.4189469293694979</v>
      </c>
      <c r="S9464" s="10">
        <v>0.023301781029594064</v>
      </c>
      <c r="T9464" s="10">
        <v>16.26257361564862</v>
      </c>
      <c r="U9464" s="11">
        <v>0.298187611795297</v>
      </c>
      <c r="V9464" s="11">
        <v>0.021265234901229647</v>
      </c>
      <c r="W9464" s="11">
        <v>0.18916355110428745</v>
      </c>
      <c r="X9464" s="11">
        <v>0.006214116309778388</v>
      </c>
      <c r="Y9464" s="11">
        <v>0.4006940869166952</v>
      </c>
      <c r="Z9464" s="11">
        <v>0.08447539897271232</v>
      </c>
    </row>
    <row r="9465" ht="22.5" customHeight="1">
      <c r="Q9465" s="9" t="s">
        <v>9503</v>
      </c>
      <c r="R9465" s="10">
        <v>0.49000333660661627</v>
      </c>
      <c r="S9465" s="10">
        <v>0.0276718032662665</v>
      </c>
      <c r="T9465" s="10">
        <v>16.26216160459611</v>
      </c>
      <c r="U9465" s="11">
        <v>0.3135750637615003</v>
      </c>
      <c r="V9465" s="11">
        <v>0.02245607600925823</v>
      </c>
      <c r="W9465" s="11">
        <v>0.2447973861630188</v>
      </c>
      <c r="X9465" s="11">
        <v>0.13145274606913454</v>
      </c>
      <c r="Y9465" s="11">
        <v>0.09837349824798886</v>
      </c>
      <c r="Z9465" s="11">
        <v>0.18934522974909923</v>
      </c>
    </row>
    <row r="9466" ht="22.5" customHeight="1">
      <c r="Q9466" s="9" t="s">
        <v>9504</v>
      </c>
      <c r="R9466" s="10">
        <v>0.6740451718488405</v>
      </c>
      <c r="S9466" s="10">
        <v>0.038995617473367265</v>
      </c>
      <c r="T9466" s="10">
        <v>16.259395617517086</v>
      </c>
      <c r="U9466" s="11">
        <v>0.059136331146912385</v>
      </c>
      <c r="V9466" s="11">
        <v>0.3764341359580178</v>
      </c>
      <c r="W9466" s="11">
        <v>0.030456373695643985</v>
      </c>
      <c r="X9466" s="11">
        <v>0.002275431170439393</v>
      </c>
      <c r="Y9466" s="11">
        <v>0.22690676039790084</v>
      </c>
      <c r="Z9466" s="11">
        <v>0.3047909676310855</v>
      </c>
    </row>
    <row r="9467" ht="22.5" customHeight="1">
      <c r="Q9467" s="9" t="s">
        <v>9505</v>
      </c>
      <c r="R9467" s="10">
        <v>0.522331348251574</v>
      </c>
      <c r="S9467" s="10">
        <v>0.020577993632919848</v>
      </c>
      <c r="T9467" s="10">
        <v>16.25919874806498</v>
      </c>
      <c r="U9467" s="11">
        <v>0.08584959073979402</v>
      </c>
      <c r="V9467" s="11">
        <v>0.0046696617007976685</v>
      </c>
      <c r="W9467" s="11">
        <v>0.16156767072798647</v>
      </c>
      <c r="X9467" s="11">
        <v>0.15357740726034108</v>
      </c>
      <c r="Y9467" s="11">
        <v>0.45784655227621823</v>
      </c>
      <c r="Z9467" s="11">
        <v>0.13648911729486243</v>
      </c>
    </row>
    <row r="9468" ht="22.5" customHeight="1">
      <c r="Q9468" s="9" t="s">
        <v>9506</v>
      </c>
      <c r="R9468" s="10">
        <v>0.3912308956315168</v>
      </c>
      <c r="S9468" s="10">
        <v>0.021608548027722024</v>
      </c>
      <c r="T9468" s="10">
        <v>16.25425711995623</v>
      </c>
      <c r="U9468" s="11">
        <v>0.191227552771518</v>
      </c>
      <c r="V9468" s="11">
        <v>0.0035267135473422587</v>
      </c>
      <c r="W9468" s="11">
        <v>0.1864662026811321</v>
      </c>
      <c r="X9468" s="11">
        <v>0.2659910190240979</v>
      </c>
      <c r="Y9468" s="11">
        <v>0.018153418115301745</v>
      </c>
      <c r="Z9468" s="11">
        <v>0.33463509386060797</v>
      </c>
    </row>
    <row r="9469" ht="22.5" customHeight="1">
      <c r="Q9469" s="9" t="s">
        <v>9507</v>
      </c>
      <c r="R9469" s="10">
        <v>0.5547120413964989</v>
      </c>
      <c r="S9469" s="10">
        <v>0.031670850230856494</v>
      </c>
      <c r="T9469" s="10">
        <v>16.251917382850102</v>
      </c>
      <c r="U9469" s="11">
        <v>0.03213081673693433</v>
      </c>
      <c r="V9469" s="11">
        <v>0.024008168491133554</v>
      </c>
      <c r="W9469" s="11">
        <v>0.2837082365105852</v>
      </c>
      <c r="X9469" s="11">
        <v>0.2961125483297322</v>
      </c>
      <c r="Y9469" s="11">
        <v>0.10379208492095643</v>
      </c>
      <c r="Z9469" s="11">
        <v>0.2602481450106582</v>
      </c>
    </row>
    <row r="9470" ht="22.5" customHeight="1">
      <c r="Q9470" s="9" t="s">
        <v>9508</v>
      </c>
      <c r="R9470" s="10">
        <v>0.20709645318214617</v>
      </c>
      <c r="S9470" s="10">
        <v>0.010282927904595337</v>
      </c>
      <c r="T9470" s="10">
        <v>16.249890569345766</v>
      </c>
      <c r="U9470" s="11">
        <v>0.3053521399790701</v>
      </c>
      <c r="V9470" s="11">
        <v>0.02437270073928091</v>
      </c>
      <c r="W9470" s="11">
        <v>0.018488550233172914</v>
      </c>
      <c r="X9470" s="11">
        <v>0.12608271975837104</v>
      </c>
      <c r="Y9470" s="11">
        <v>0.33224170177012874</v>
      </c>
      <c r="Z9470" s="11">
        <v>0.19346218751997624</v>
      </c>
    </row>
    <row r="9471" ht="22.5" customHeight="1">
      <c r="Q9471" s="9" t="s">
        <v>9509</v>
      </c>
      <c r="R9471" s="10">
        <v>0.5093890638344953</v>
      </c>
      <c r="S9471" s="10">
        <v>0.028891686082991547</v>
      </c>
      <c r="T9471" s="10">
        <v>16.24650989513635</v>
      </c>
      <c r="U9471" s="11">
        <v>0.16614826659739912</v>
      </c>
      <c r="V9471" s="11">
        <v>0.02548017113585227</v>
      </c>
      <c r="W9471" s="11">
        <v>0.25714046902194004</v>
      </c>
      <c r="X9471" s="11">
        <v>0.14581058696785917</v>
      </c>
      <c r="Y9471" s="11">
        <v>0.16463916476772036</v>
      </c>
      <c r="Z9471" s="11">
        <v>0.24078134150922917</v>
      </c>
    </row>
    <row r="9472" ht="22.5" customHeight="1">
      <c r="Q9472" s="9" t="s">
        <v>9510</v>
      </c>
      <c r="R9472" s="10">
        <v>0.4884794677464704</v>
      </c>
      <c r="S9472" s="10">
        <v>0.027605736580065474</v>
      </c>
      <c r="T9472" s="10">
        <v>16.24587941878444</v>
      </c>
      <c r="U9472" s="11">
        <v>0.03303221768598424</v>
      </c>
      <c r="V9472" s="11">
        <v>0.014736713002601027</v>
      </c>
      <c r="W9472" s="11">
        <v>0.24271390816127664</v>
      </c>
      <c r="X9472" s="11">
        <v>0.22976132824840698</v>
      </c>
      <c r="Y9472" s="11">
        <v>0.2509203118695456</v>
      </c>
      <c r="Z9472" s="11">
        <v>0.2288355210321855</v>
      </c>
    </row>
    <row r="9473" ht="22.5" customHeight="1">
      <c r="Q9473" s="9" t="s">
        <v>9511</v>
      </c>
      <c r="R9473" s="10">
        <v>0.4774585272510851</v>
      </c>
      <c r="S9473" s="10">
        <v>0.026929500802655482</v>
      </c>
      <c r="T9473" s="10">
        <v>16.244583605795913</v>
      </c>
      <c r="U9473" s="11">
        <v>0.07715094362761933</v>
      </c>
      <c r="V9473" s="11">
        <v>0.025753634689853814</v>
      </c>
      <c r="W9473" s="11">
        <v>0.2374558122560568</v>
      </c>
      <c r="X9473" s="11">
        <v>0.12038274873666725</v>
      </c>
      <c r="Y9473" s="11">
        <v>0.22090323520705812</v>
      </c>
      <c r="Z9473" s="11">
        <v>0.31835362548274465</v>
      </c>
    </row>
    <row r="9474" ht="22.5" customHeight="1">
      <c r="Q9474" s="9" t="s">
        <v>9512</v>
      </c>
      <c r="R9474" s="10">
        <v>0.522331348251574</v>
      </c>
      <c r="S9474" s="10">
        <v>0.030257475286553235</v>
      </c>
      <c r="T9474" s="10">
        <v>16.243851768068062</v>
      </c>
      <c r="U9474" s="11">
        <v>0.25857443571922417</v>
      </c>
      <c r="V9474" s="11">
        <v>0.037802520916194904</v>
      </c>
      <c r="W9474" s="11">
        <v>0.26380790650622166</v>
      </c>
      <c r="X9474" s="11">
        <v>0.008244302397297409</v>
      </c>
      <c r="Y9474" s="11">
        <v>0.30185737014484665</v>
      </c>
      <c r="Z9474" s="11">
        <v>0.12971346431621508</v>
      </c>
    </row>
    <row r="9475" ht="22.5" customHeight="1">
      <c r="Q9475" s="9" t="s">
        <v>9513</v>
      </c>
      <c r="R9475" s="10">
        <v>0.6192977997347296</v>
      </c>
      <c r="S9475" s="10">
        <v>0.03566879687471469</v>
      </c>
      <c r="T9475" s="10">
        <v>16.24102438244529</v>
      </c>
      <c r="U9475" s="11">
        <v>0.02464950292789853</v>
      </c>
      <c r="V9475" s="11">
        <v>0.03326727139165764</v>
      </c>
      <c r="W9475" s="11">
        <v>0.3185459551909739</v>
      </c>
      <c r="X9475" s="11">
        <v>0.22891446203021557</v>
      </c>
      <c r="Y9475" s="11">
        <v>0.2730901125272951</v>
      </c>
      <c r="Z9475" s="11">
        <v>0.12153269593195924</v>
      </c>
    </row>
    <row r="9476" ht="22.5" customHeight="1">
      <c r="Q9476" s="9" t="s">
        <v>9514</v>
      </c>
      <c r="R9476" s="10">
        <v>0.2737137898335611</v>
      </c>
      <c r="S9476" s="10">
        <v>0.01439113752253052</v>
      </c>
      <c r="T9476" s="10">
        <v>16.240119272549702</v>
      </c>
      <c r="U9476" s="11">
        <v>0.38087758204334105</v>
      </c>
      <c r="V9476" s="11">
        <v>0.016615406294447924</v>
      </c>
      <c r="W9476" s="11">
        <v>0.07488371085589347</v>
      </c>
      <c r="X9476" s="11">
        <v>0.04102476311494156</v>
      </c>
      <c r="Y9476" s="11">
        <v>0.44248903706454423</v>
      </c>
      <c r="Z9476" s="11">
        <v>0.04410950062683178</v>
      </c>
    </row>
    <row r="9477" ht="22.5" customHeight="1">
      <c r="Q9477" s="9" t="s">
        <v>9515</v>
      </c>
      <c r="R9477" s="10">
        <v>0.6627939318946863</v>
      </c>
      <c r="S9477" s="10">
        <v>0.03835064914634826</v>
      </c>
      <c r="T9477" s="10">
        <v>16.23946258427254</v>
      </c>
      <c r="U9477" s="11">
        <v>0.43305466466716913</v>
      </c>
      <c r="V9477" s="11">
        <v>0.06562070738825143</v>
      </c>
      <c r="W9477" s="11">
        <v>0.34226275258955857</v>
      </c>
      <c r="X9477" s="11">
        <v>0.004120804004420952</v>
      </c>
      <c r="Y9477" s="11">
        <v>0.03010149324694975</v>
      </c>
      <c r="Z9477" s="11">
        <v>0.12483957810365011</v>
      </c>
    </row>
    <row r="9478" ht="22.5" customHeight="1">
      <c r="Q9478" s="9" t="s">
        <v>9516</v>
      </c>
      <c r="R9478" s="10">
        <v>0.5272681521156538</v>
      </c>
      <c r="S9478" s="10">
        <v>0.030008434146517035</v>
      </c>
      <c r="T9478" s="10">
        <v>16.237706697275613</v>
      </c>
      <c r="U9478" s="11">
        <v>0.12600149157235044</v>
      </c>
      <c r="V9478" s="11">
        <v>0.020258190854497538</v>
      </c>
      <c r="W9478" s="11">
        <v>0.268561861229633</v>
      </c>
      <c r="X9478" s="11">
        <v>0.28832951958619873</v>
      </c>
      <c r="Y9478" s="11">
        <v>0.03292101899682584</v>
      </c>
      <c r="Z9478" s="11">
        <v>0.2639279177604945</v>
      </c>
    </row>
    <row r="9479" ht="22.5" customHeight="1">
      <c r="Q9479" s="9" t="s">
        <v>9517</v>
      </c>
      <c r="R9479" s="10">
        <v>0.4434822483918699</v>
      </c>
      <c r="S9479" s="10">
        <v>0.024851257691200418</v>
      </c>
      <c r="T9479" s="10">
        <v>16.2358884771751</v>
      </c>
      <c r="U9479" s="11">
        <v>0.16406221981754376</v>
      </c>
      <c r="V9479" s="11">
        <v>0.008150329591788824</v>
      </c>
      <c r="W9479" s="11">
        <v>0.2185995462564922</v>
      </c>
      <c r="X9479" s="11">
        <v>0.238510080365763</v>
      </c>
      <c r="Y9479" s="11">
        <v>0.10887765055144139</v>
      </c>
      <c r="Z9479" s="11">
        <v>0.2618001734169707</v>
      </c>
    </row>
    <row r="9480" ht="22.5" customHeight="1">
      <c r="Q9480" s="9" t="s">
        <v>9518</v>
      </c>
      <c r="R9480" s="10">
        <v>0.5701528696012949</v>
      </c>
      <c r="S9480" s="10">
        <v>0.03265386785685815</v>
      </c>
      <c r="T9480" s="10">
        <v>16.235530563340266</v>
      </c>
      <c r="U9480" s="11">
        <v>0.1544127594510147</v>
      </c>
      <c r="V9480" s="11">
        <v>0.01554942652681858</v>
      </c>
      <c r="W9480" s="11">
        <v>0.2911781855354217</v>
      </c>
      <c r="X9480" s="11">
        <v>0.30649031840378643</v>
      </c>
      <c r="Y9480" s="11">
        <v>0.16862179452673265</v>
      </c>
      <c r="Z9480" s="11">
        <v>0.06374751555622599</v>
      </c>
    </row>
    <row r="9481" ht="22.5" customHeight="1">
      <c r="Q9481" s="9" t="s">
        <v>9519</v>
      </c>
      <c r="R9481" s="10">
        <v>0.5559509155337795</v>
      </c>
      <c r="S9481" s="10">
        <v>0.03178490361747752</v>
      </c>
      <c r="T9481" s="10">
        <v>16.232577633177858</v>
      </c>
      <c r="U9481" s="11">
        <v>0.05137215005473525</v>
      </c>
      <c r="V9481" s="11">
        <v>0.03277283971883531</v>
      </c>
      <c r="W9481" s="11">
        <v>0.2851554090752589</v>
      </c>
      <c r="X9481" s="11">
        <v>0.1922103799239812</v>
      </c>
      <c r="Y9481" s="11">
        <v>0.14626076264211035</v>
      </c>
      <c r="Z9481" s="11">
        <v>0.29222845858507895</v>
      </c>
    </row>
    <row r="9482" ht="22.5" customHeight="1">
      <c r="Q9482" s="9" t="s">
        <v>9520</v>
      </c>
      <c r="R9482" s="10">
        <v>0.6396314888497848</v>
      </c>
      <c r="S9482" s="10">
        <v>0.03696270317835707</v>
      </c>
      <c r="T9482" s="10">
        <v>16.222609205727398</v>
      </c>
      <c r="U9482" s="11">
        <v>0.16915182079468838</v>
      </c>
      <c r="V9482" s="11">
        <v>0.3572977680314613</v>
      </c>
      <c r="W9482" s="11">
        <v>0.013097383371872395</v>
      </c>
      <c r="X9482" s="11">
        <v>0.16943269655254445</v>
      </c>
      <c r="Y9482" s="11">
        <v>0.005338750000721912</v>
      </c>
      <c r="Z9482" s="11">
        <v>0.2856815812487117</v>
      </c>
    </row>
    <row r="9483" ht="22.5" customHeight="1">
      <c r="Q9483" s="9" t="s">
        <v>9521</v>
      </c>
      <c r="R9483" s="10">
        <v>0.5870394829695373</v>
      </c>
      <c r="S9483" s="10">
        <v>0.033724469252281924</v>
      </c>
      <c r="T9483" s="10">
        <v>16.22084780274259</v>
      </c>
      <c r="U9483" s="11">
        <v>0.03973747002009287</v>
      </c>
      <c r="V9483" s="11">
        <v>0.017672347312415244</v>
      </c>
      <c r="W9483" s="11">
        <v>0.30070701924531035</v>
      </c>
      <c r="X9483" s="11">
        <v>0.3495589950021486</v>
      </c>
      <c r="Y9483" s="11">
        <v>0.18437463969818627</v>
      </c>
      <c r="Z9483" s="11">
        <v>0.10794952872184664</v>
      </c>
    </row>
    <row r="9484" ht="22.5" customHeight="1">
      <c r="Q9484" s="9" t="s">
        <v>9522</v>
      </c>
      <c r="R9484" s="10">
        <v>0.784118578579493</v>
      </c>
      <c r="S9484" s="10">
        <v>0.04588112137218017</v>
      </c>
      <c r="T9484" s="10">
        <v>16.218404352921638</v>
      </c>
      <c r="U9484" s="11">
        <v>0.30789633739265215</v>
      </c>
      <c r="V9484" s="11">
        <v>0.08333348255504275</v>
      </c>
      <c r="W9484" s="11">
        <v>0.41361697316335516</v>
      </c>
      <c r="X9484" s="11">
        <v>0.03298405274441546</v>
      </c>
      <c r="Y9484" s="11">
        <v>0.062101819511286516</v>
      </c>
      <c r="Z9484" s="11">
        <v>0.10006733463324809</v>
      </c>
    </row>
    <row r="9485" ht="22.5" customHeight="1">
      <c r="Q9485" s="9" t="s">
        <v>9523</v>
      </c>
      <c r="R9485" s="10">
        <v>0.5765300597507893</v>
      </c>
      <c r="S9485" s="10">
        <v>0.033084103791763145</v>
      </c>
      <c r="T9485" s="10">
        <v>16.217155620348635</v>
      </c>
      <c r="U9485" s="11">
        <v>0.09338654553688913</v>
      </c>
      <c r="V9485" s="11">
        <v>0.02554144650460184</v>
      </c>
      <c r="W9485" s="11">
        <v>0.29740066881093724</v>
      </c>
      <c r="X9485" s="11">
        <v>0.27971861922990887</v>
      </c>
      <c r="Y9485" s="11">
        <v>0.09870852770295016</v>
      </c>
      <c r="Z9485" s="11">
        <v>0.2052441922147127</v>
      </c>
    </row>
    <row r="9486" ht="22.5" customHeight="1">
      <c r="Q9486" s="9" t="s">
        <v>9524</v>
      </c>
      <c r="R9486" s="10">
        <v>0.717667200956615</v>
      </c>
      <c r="S9486" s="10">
        <v>0.04178736556285789</v>
      </c>
      <c r="T9486" s="10">
        <v>16.217035743429346</v>
      </c>
      <c r="U9486" s="11">
        <v>0.18118359022694838</v>
      </c>
      <c r="V9486" s="11">
        <v>0.40063169695022083</v>
      </c>
      <c r="W9486" s="11">
        <v>0.001886141862090177</v>
      </c>
      <c r="X9486" s="11">
        <v>0.30675920293873926</v>
      </c>
      <c r="Y9486" s="11">
        <v>0.06242756216034206</v>
      </c>
      <c r="Z9486" s="11">
        <v>0.047111805861659264</v>
      </c>
    </row>
    <row r="9487" ht="22.5" customHeight="1">
      <c r="Q9487" s="9" t="s">
        <v>9525</v>
      </c>
      <c r="R9487" s="10">
        <v>0.6666660112441488</v>
      </c>
      <c r="S9487" s="10">
        <v>0.03864452151643669</v>
      </c>
      <c r="T9487" s="10">
        <v>16.216166914567918</v>
      </c>
      <c r="U9487" s="11">
        <v>0.189861426926933</v>
      </c>
      <c r="V9487" s="11">
        <v>0.03049890898185397</v>
      </c>
      <c r="W9487" s="11">
        <v>0.34871366641467766</v>
      </c>
      <c r="X9487" s="11">
        <v>0.35338373141486246</v>
      </c>
      <c r="Y9487" s="11">
        <v>0.027279818340880734</v>
      </c>
      <c r="Z9487" s="11">
        <v>0.05026244792079202</v>
      </c>
    </row>
    <row r="9488" ht="22.5" customHeight="1">
      <c r="Q9488" s="9" t="s">
        <v>9526</v>
      </c>
      <c r="R9488" s="10">
        <v>0.4664216502196126</v>
      </c>
      <c r="S9488" s="10">
        <v>0.026305723289943253</v>
      </c>
      <c r="T9488" s="10">
        <v>16.210223361645212</v>
      </c>
      <c r="U9488" s="11">
        <v>0.11020136751210342</v>
      </c>
      <c r="V9488" s="11">
        <v>0.02886929407143617</v>
      </c>
      <c r="W9488" s="11">
        <v>0.23101752268654024</v>
      </c>
      <c r="X9488" s="11">
        <v>0.07115636072345888</v>
      </c>
      <c r="Y9488" s="11">
        <v>0.21850751309334027</v>
      </c>
      <c r="Z9488" s="11">
        <v>0.3402479419131211</v>
      </c>
    </row>
    <row r="9489" ht="22.5" customHeight="1">
      <c r="Q9489" s="9" t="s">
        <v>9527</v>
      </c>
      <c r="R9489" s="10">
        <v>0.522331348251574</v>
      </c>
      <c r="S9489" s="10">
        <v>0.029007632038117875</v>
      </c>
      <c r="T9489" s="10">
        <v>16.210138063492824</v>
      </c>
      <c r="U9489" s="11">
        <v>0.24498368310659124</v>
      </c>
      <c r="V9489" s="11">
        <v>0.27619502891793934</v>
      </c>
      <c r="W9489" s="11">
        <v>0.003439807201430388</v>
      </c>
      <c r="X9489" s="11">
        <v>0.08898023861415381</v>
      </c>
      <c r="Y9489" s="11">
        <v>0.08891720179972978</v>
      </c>
      <c r="Z9489" s="11">
        <v>0.29748404036015547</v>
      </c>
    </row>
    <row r="9490" ht="22.5" customHeight="1">
      <c r="Q9490" s="9" t="s">
        <v>9528</v>
      </c>
      <c r="R9490" s="10">
        <v>0.7422193011938882</v>
      </c>
      <c r="S9490" s="10">
        <v>0.043326615833698255</v>
      </c>
      <c r="T9490" s="10">
        <v>16.207573282188388</v>
      </c>
      <c r="U9490" s="11">
        <v>0.1935730489752007</v>
      </c>
      <c r="V9490" s="11">
        <v>0.07331074046371473</v>
      </c>
      <c r="W9490" s="11">
        <v>0.38718820891002703</v>
      </c>
      <c r="X9490" s="11">
        <v>0.005042552788153667</v>
      </c>
      <c r="Y9490" s="11">
        <v>0.28121047570102836</v>
      </c>
      <c r="Z9490" s="11">
        <v>0.05967497316187546</v>
      </c>
    </row>
    <row r="9491" ht="22.5" customHeight="1">
      <c r="Q9491" s="9" t="s">
        <v>9529</v>
      </c>
      <c r="R9491" s="10">
        <v>0.630483389335794</v>
      </c>
      <c r="S9491" s="10">
        <v>0.03643256277260765</v>
      </c>
      <c r="T9491" s="10">
        <v>16.207572138728526</v>
      </c>
      <c r="U9491" s="11">
        <v>0.05420758554722369</v>
      </c>
      <c r="V9491" s="11">
        <v>0.3495856778963982</v>
      </c>
      <c r="W9491" s="11">
        <v>0.0017008173790407637</v>
      </c>
      <c r="X9491" s="11">
        <v>0.20309925930410133</v>
      </c>
      <c r="Y9491" s="11">
        <v>0.20339768343595965</v>
      </c>
      <c r="Z9491" s="11">
        <v>0.18800897643727632</v>
      </c>
    </row>
    <row r="9492" ht="22.5" customHeight="1">
      <c r="Q9492" s="9" t="s">
        <v>9530</v>
      </c>
      <c r="R9492" s="10">
        <v>0.4443880052394109</v>
      </c>
      <c r="S9492" s="10">
        <v>0.024955111281001467</v>
      </c>
      <c r="T9492" s="10">
        <v>16.204616388438023</v>
      </c>
      <c r="U9492" s="11">
        <v>0.2072654674234638</v>
      </c>
      <c r="V9492" s="11">
        <v>0.02176880918341388</v>
      </c>
      <c r="W9492" s="11">
        <v>0.21556482193706947</v>
      </c>
      <c r="X9492" s="11">
        <v>0.056510443790969506</v>
      </c>
      <c r="Y9492" s="11">
        <v>0.26443115144760976</v>
      </c>
      <c r="Z9492" s="11">
        <v>0.23445930621747352</v>
      </c>
    </row>
    <row r="9493" ht="22.5" customHeight="1">
      <c r="Q9493" s="9" t="s">
        <v>9531</v>
      </c>
      <c r="R9493" s="10">
        <v>0.4125106154204475</v>
      </c>
      <c r="S9493" s="10">
        <v>0.022990862821824946</v>
      </c>
      <c r="T9493" s="10">
        <v>16.20255047874183</v>
      </c>
      <c r="U9493" s="11">
        <v>0.2021373902196411</v>
      </c>
      <c r="V9493" s="11">
        <v>0.014490269673174929</v>
      </c>
      <c r="W9493" s="11">
        <v>0.20044205131153014</v>
      </c>
      <c r="X9493" s="11">
        <v>0.12959558257827009</v>
      </c>
      <c r="Y9493" s="11">
        <v>0.12506549906024197</v>
      </c>
      <c r="Z9493" s="11">
        <v>0.32826920715714175</v>
      </c>
    </row>
    <row r="9494" ht="22.5" customHeight="1">
      <c r="Q9494" s="9" t="s">
        <v>9532</v>
      </c>
      <c r="R9494" s="10">
        <v>0.5271087368507049</v>
      </c>
      <c r="S9494" s="10">
        <v>0.030067159677482466</v>
      </c>
      <c r="T9494" s="10">
        <v>16.20069012423227</v>
      </c>
      <c r="U9494" s="11">
        <v>0.07435408023198618</v>
      </c>
      <c r="V9494" s="11">
        <v>0.012231801196833328</v>
      </c>
      <c r="W9494" s="11">
        <v>0.2675444423071415</v>
      </c>
      <c r="X9494" s="11">
        <v>0.329611426278765</v>
      </c>
      <c r="Y9494" s="11">
        <v>0.12324622867130137</v>
      </c>
      <c r="Z9494" s="11">
        <v>0.19301202131397255</v>
      </c>
    </row>
    <row r="9495" ht="22.5" customHeight="1">
      <c r="Q9495" s="9" t="s">
        <v>9533</v>
      </c>
      <c r="R9495" s="10">
        <v>0.5360924396798646</v>
      </c>
      <c r="S9495" s="10">
        <v>0.030623201496335618</v>
      </c>
      <c r="T9495" s="10">
        <v>16.199888171040094</v>
      </c>
      <c r="U9495" s="11">
        <v>0.20412205983437626</v>
      </c>
      <c r="V9495" s="11">
        <v>0.00622691772495285</v>
      </c>
      <c r="W9495" s="11">
        <v>0.2707922032695753</v>
      </c>
      <c r="X9495" s="11">
        <v>0.32288350447214825</v>
      </c>
      <c r="Y9495" s="11">
        <v>0.17129264415044695</v>
      </c>
      <c r="Z9495" s="11">
        <v>0.024682670548500225</v>
      </c>
    </row>
    <row r="9496" ht="22.5" customHeight="1">
      <c r="Q9496" s="9" t="s">
        <v>9534</v>
      </c>
      <c r="R9496" s="10">
        <v>0.5329189926718167</v>
      </c>
      <c r="S9496" s="10">
        <v>0.030433646670194204</v>
      </c>
      <c r="T9496" s="10">
        <v>16.196514272953255</v>
      </c>
      <c r="U9496" s="11">
        <v>0.1102028956856542</v>
      </c>
      <c r="V9496" s="11">
        <v>0.0014525711320307754</v>
      </c>
      <c r="W9496" s="11">
        <v>0.26774514959673107</v>
      </c>
      <c r="X9496" s="11">
        <v>0.4514907174116758</v>
      </c>
      <c r="Y9496" s="11">
        <v>0.08433579945494352</v>
      </c>
      <c r="Z9496" s="11">
        <v>0.0847728667189646</v>
      </c>
    </row>
    <row r="9497" ht="22.5" customHeight="1">
      <c r="Q9497" s="9" t="s">
        <v>9535</v>
      </c>
      <c r="R9497" s="10">
        <v>0.5330457713206251</v>
      </c>
      <c r="S9497" s="10">
        <v>0.03044348498103349</v>
      </c>
      <c r="T9497" s="10">
        <v>16.19544449749417</v>
      </c>
      <c r="U9497" s="11">
        <v>0.16824968286567116</v>
      </c>
      <c r="V9497" s="11">
        <v>0.03041197205425283</v>
      </c>
      <c r="W9497" s="11">
        <v>0.27276301279186055</v>
      </c>
      <c r="X9497" s="11">
        <v>0.14847791482403971</v>
      </c>
      <c r="Y9497" s="11">
        <v>0.1120723469488998</v>
      </c>
      <c r="Z9497" s="11">
        <v>0.2680250705152759</v>
      </c>
    </row>
    <row r="9498" ht="22.5" customHeight="1">
      <c r="Q9498" s="9" t="s">
        <v>9536</v>
      </c>
      <c r="R9498" s="10">
        <v>0.5587003742457711</v>
      </c>
      <c r="S9498" s="10">
        <v>0.03202973358056475</v>
      </c>
      <c r="T9498" s="10">
        <v>16.194339329769267</v>
      </c>
      <c r="U9498" s="11">
        <v>0.2853768178840127</v>
      </c>
      <c r="V9498" s="11">
        <v>0.03992644359968717</v>
      </c>
      <c r="W9498" s="11">
        <v>0.28720614477266354</v>
      </c>
      <c r="X9498" s="11">
        <v>0.11474141180120428</v>
      </c>
      <c r="Y9498" s="11">
        <v>0.011094350916388072</v>
      </c>
      <c r="Z9498" s="11">
        <v>0.26165483102604437</v>
      </c>
    </row>
    <row r="9499" ht="22.5" customHeight="1">
      <c r="Q9499" s="9" t="s">
        <v>9537</v>
      </c>
      <c r="R9499" s="10">
        <v>0.6669395018235523</v>
      </c>
      <c r="S9499" s="10">
        <v>0.038715935578158354</v>
      </c>
      <c r="T9499" s="10">
        <v>16.193319171066115</v>
      </c>
      <c r="U9499" s="11">
        <v>0.011267742212874389</v>
      </c>
      <c r="V9499" s="11">
        <v>0.06193242779306173</v>
      </c>
      <c r="W9499" s="11">
        <v>0.3429631802991578</v>
      </c>
      <c r="X9499" s="11">
        <v>0.03246040507368469</v>
      </c>
      <c r="Y9499" s="11">
        <v>0.37645665784560817</v>
      </c>
      <c r="Z9499" s="11">
        <v>0.17491958677561334</v>
      </c>
    </row>
    <row r="9500" ht="22.5" customHeight="1">
      <c r="Q9500" s="9" t="s">
        <v>9538</v>
      </c>
      <c r="R9500" s="10">
        <v>0.544542595468041</v>
      </c>
      <c r="S9500" s="10">
        <v>0.031175369725136248</v>
      </c>
      <c r="T9500" s="10">
        <v>16.184013210314408</v>
      </c>
      <c r="U9500" s="11">
        <v>0.16180155864164528</v>
      </c>
      <c r="V9500" s="11">
        <v>0.02251894851912923</v>
      </c>
      <c r="W9500" s="11">
        <v>0.27529707007547305</v>
      </c>
      <c r="X9500" s="11">
        <v>0.15891324792048278</v>
      </c>
      <c r="Y9500" s="11">
        <v>0.2919884427279613</v>
      </c>
      <c r="Z9500" s="11">
        <v>0.08948073211530823</v>
      </c>
    </row>
    <row r="9501" ht="22.5" customHeight="1">
      <c r="Q9501" s="9" t="s">
        <v>9539</v>
      </c>
      <c r="R9501" s="10">
        <v>0.493079799396122</v>
      </c>
      <c r="S9501" s="10">
        <v>0.027995521149351534</v>
      </c>
      <c r="T9501" s="10">
        <v>16.184010184308242</v>
      </c>
      <c r="U9501" s="11">
        <v>0.19344383808664944</v>
      </c>
      <c r="V9501" s="11">
        <v>0.022755880355649915</v>
      </c>
      <c r="W9501" s="11">
        <v>0.249882591732758</v>
      </c>
      <c r="X9501" s="11">
        <v>0.18604101580732588</v>
      </c>
      <c r="Y9501" s="11">
        <v>0.045068013611220696</v>
      </c>
      <c r="Z9501" s="11">
        <v>0.3028086604063961</v>
      </c>
    </row>
    <row r="9502" ht="22.5" customHeight="1">
      <c r="Q9502" s="9" t="s">
        <v>9540</v>
      </c>
      <c r="R9502" s="10">
        <v>0.5410837842965007</v>
      </c>
      <c r="S9502" s="10">
        <v>0.030973187619050747</v>
      </c>
      <c r="T9502" s="10">
        <v>16.177985632589458</v>
      </c>
      <c r="U9502" s="11">
        <v>0.14999882884484503</v>
      </c>
      <c r="V9502" s="11">
        <v>0.007594315577717288</v>
      </c>
      <c r="W9502" s="11">
        <v>0.27397950980457403</v>
      </c>
      <c r="X9502" s="11">
        <v>0.3204943675784219</v>
      </c>
      <c r="Y9502" s="11">
        <v>0.2028979187024812</v>
      </c>
      <c r="Z9502" s="11">
        <v>0.04503505949196072</v>
      </c>
    </row>
    <row r="9503" ht="22.5" customHeight="1">
      <c r="Q9503" s="9" t="s">
        <v>9541</v>
      </c>
      <c r="R9503" s="10">
        <v>0.5106269875781762</v>
      </c>
      <c r="S9503" s="10">
        <v>0.029091226693618442</v>
      </c>
      <c r="T9503" s="10">
        <v>16.17762607726042</v>
      </c>
      <c r="U9503" s="11">
        <v>0.028938448106339158</v>
      </c>
      <c r="V9503" s="11">
        <v>0.015837344524393015</v>
      </c>
      <c r="W9503" s="11">
        <v>0.25900819706696726</v>
      </c>
      <c r="X9503" s="11">
        <v>0.32656255199087975</v>
      </c>
      <c r="Y9503" s="11">
        <v>0.06164839210913449</v>
      </c>
      <c r="Z9503" s="11">
        <v>0.3080050662022864</v>
      </c>
    </row>
    <row r="9504" ht="22.5" customHeight="1">
      <c r="Q9504" s="9" t="s">
        <v>9542</v>
      </c>
      <c r="R9504" s="10">
        <v>0.4385923298047879</v>
      </c>
      <c r="S9504" s="10">
        <v>0.024645677413137092</v>
      </c>
      <c r="T9504" s="10">
        <v>16.172910288614055</v>
      </c>
      <c r="U9504" s="11">
        <v>0.2965774728540348</v>
      </c>
      <c r="V9504" s="11">
        <v>0.22897113585157233</v>
      </c>
      <c r="W9504" s="11">
        <v>0.0013998314734696253</v>
      </c>
      <c r="X9504" s="11">
        <v>0.023133065843508115</v>
      </c>
      <c r="Y9504" s="11">
        <v>0.15531707575386172</v>
      </c>
      <c r="Z9504" s="11">
        <v>0.2946014182235534</v>
      </c>
    </row>
    <row r="9505" ht="22.5" customHeight="1">
      <c r="Q9505" s="9" t="s">
        <v>9543</v>
      </c>
      <c r="R9505" s="10">
        <v>0.8214315232948587</v>
      </c>
      <c r="S9505" s="10">
        <v>0.048319781068481074</v>
      </c>
      <c r="T9505" s="10">
        <v>16.1720832755301</v>
      </c>
      <c r="U9505" s="11">
        <v>0.1367037966808296</v>
      </c>
      <c r="V9505" s="11">
        <v>0.05916498964622404</v>
      </c>
      <c r="W9505" s="11">
        <v>0.43891598930039977</v>
      </c>
      <c r="X9505" s="11">
        <v>0.3399368900801685</v>
      </c>
      <c r="Y9505" s="11">
        <v>0.004977433051650318</v>
      </c>
      <c r="Z9505" s="11">
        <v>0.020300901240727903</v>
      </c>
    </row>
    <row r="9506" ht="22.5" customHeight="1">
      <c r="Q9506" s="9" t="s">
        <v>9544</v>
      </c>
      <c r="R9506" s="10">
        <v>0.2197052658629056</v>
      </c>
      <c r="S9506" s="10">
        <v>0.011116899185291382</v>
      </c>
      <c r="T9506" s="10">
        <v>16.16505312026857</v>
      </c>
      <c r="U9506" s="11">
        <v>0.23562605425764535</v>
      </c>
      <c r="V9506" s="11">
        <v>0.009837387688328123</v>
      </c>
      <c r="W9506" s="11">
        <v>0.046075643562705264</v>
      </c>
      <c r="X9506" s="11">
        <v>0.11042753877244166</v>
      </c>
      <c r="Y9506" s="11">
        <v>0.3710027085783456</v>
      </c>
      <c r="Z9506" s="11">
        <v>0.2270306671405339</v>
      </c>
    </row>
    <row r="9507" ht="22.5" customHeight="1">
      <c r="Q9507" s="9" t="s">
        <v>9545</v>
      </c>
      <c r="R9507" s="10">
        <v>0.5040772189792432</v>
      </c>
      <c r="S9507" s="10">
        <v>0.028711059075366818</v>
      </c>
      <c r="T9507" s="10">
        <v>16.163709522558392</v>
      </c>
      <c r="U9507" s="11">
        <v>0.05276319270622335</v>
      </c>
      <c r="V9507" s="11">
        <v>0.008863660775847337</v>
      </c>
      <c r="W9507" s="11">
        <v>0.25237926016301937</v>
      </c>
      <c r="X9507" s="11">
        <v>0.2799310125582378</v>
      </c>
      <c r="Y9507" s="11">
        <v>0.2537434043636778</v>
      </c>
      <c r="Z9507" s="11">
        <v>0.1523194694329944</v>
      </c>
    </row>
    <row r="9508" ht="22.5" customHeight="1">
      <c r="Q9508" s="9" t="s">
        <v>9546</v>
      </c>
      <c r="R9508" s="10">
        <v>0.4589710272022564</v>
      </c>
      <c r="S9508" s="10">
        <v>0.025921934259791928</v>
      </c>
      <c r="T9508" s="10">
        <v>16.162799542784562</v>
      </c>
      <c r="U9508" s="11">
        <v>0.3013175915028191</v>
      </c>
      <c r="V9508" s="11">
        <v>0.005692996995000798</v>
      </c>
      <c r="W9508" s="11">
        <v>0.22405770594429833</v>
      </c>
      <c r="X9508" s="11">
        <v>0.17374187937085758</v>
      </c>
      <c r="Y9508" s="11">
        <v>0.24171889734674007</v>
      </c>
      <c r="Z9508" s="11">
        <v>0.05347092884028423</v>
      </c>
    </row>
    <row r="9509" ht="22.5" customHeight="1">
      <c r="Q9509" s="9" t="s">
        <v>9547</v>
      </c>
      <c r="R9509" s="10">
        <v>0.6190015591995349</v>
      </c>
      <c r="S9509" s="10">
        <v>0.03582685447431137</v>
      </c>
      <c r="T9509" s="10">
        <v>16.161105061977782</v>
      </c>
      <c r="U9509" s="11">
        <v>0.07716170837429463</v>
      </c>
      <c r="V9509" s="11">
        <v>0.025500275459949217</v>
      </c>
      <c r="W9509" s="11">
        <v>0.3224074793819774</v>
      </c>
      <c r="X9509" s="11">
        <v>0.32230312780559073</v>
      </c>
      <c r="Y9509" s="11">
        <v>0.11922659945839852</v>
      </c>
      <c r="Z9509" s="11">
        <v>0.13340080951978958</v>
      </c>
    </row>
    <row r="9510" ht="22.5" customHeight="1">
      <c r="Q9510" s="9" t="s">
        <v>9548</v>
      </c>
      <c r="R9510" s="10">
        <v>0.7404116072802178</v>
      </c>
      <c r="S9510" s="10">
        <v>0.04334062171020054</v>
      </c>
      <c r="T9510" s="10">
        <v>16.16062667406016</v>
      </c>
      <c r="U9510" s="11">
        <v>0.12135875249979741</v>
      </c>
      <c r="V9510" s="11">
        <v>0.06713821925154184</v>
      </c>
      <c r="W9510" s="11">
        <v>0.3934935518465218</v>
      </c>
      <c r="X9510" s="11">
        <v>0.17669168581872616</v>
      </c>
      <c r="Y9510" s="11">
        <v>0.005600248628775306</v>
      </c>
      <c r="Z9510" s="11">
        <v>0.23571754195463754</v>
      </c>
    </row>
    <row r="9511" ht="22.5" customHeight="1">
      <c r="Q9511" s="9" t="s">
        <v>9549</v>
      </c>
      <c r="R9511" s="10">
        <v>0.7190706213164564</v>
      </c>
      <c r="S9511" s="10">
        <v>0.04203125112358249</v>
      </c>
      <c r="T9511" s="10">
        <v>16.156326618016134</v>
      </c>
      <c r="U9511" s="11">
        <v>0.11918076713319668</v>
      </c>
      <c r="V9511" s="11">
        <v>0.4059206276478419</v>
      </c>
      <c r="W9511" s="11">
        <v>0.013448290474872483</v>
      </c>
      <c r="X9511" s="11">
        <v>0.15570751694780896</v>
      </c>
      <c r="Y9511" s="11">
        <v>0.16462606562154833</v>
      </c>
      <c r="Z9511" s="11">
        <v>0.1411167321747317</v>
      </c>
    </row>
    <row r="9512" ht="22.5" customHeight="1">
      <c r="Q9512" s="9" t="s">
        <v>9550</v>
      </c>
      <c r="R9512" s="10">
        <v>0.6372885767105496</v>
      </c>
      <c r="S9512" s="10">
        <v>0.03697608628204218</v>
      </c>
      <c r="T9512" s="10">
        <v>16.15337470154674</v>
      </c>
      <c r="U9512" s="11">
        <v>0.22709707542075078</v>
      </c>
      <c r="V9512" s="11">
        <v>0.3527539491658255</v>
      </c>
      <c r="W9512" s="11">
        <v>0.012410756393373723</v>
      </c>
      <c r="X9512" s="11">
        <v>0.038364568948416757</v>
      </c>
      <c r="Y9512" s="11">
        <v>0.2525921057854542</v>
      </c>
      <c r="Z9512" s="11">
        <v>0.11678154428617922</v>
      </c>
    </row>
    <row r="9513" ht="22.5" customHeight="1">
      <c r="Q9513" s="9" t="s">
        <v>9551</v>
      </c>
      <c r="R9513" s="10">
        <v>0.542822272425077</v>
      </c>
      <c r="S9513" s="10">
        <v>0.031143976248301015</v>
      </c>
      <c r="T9513" s="10">
        <v>16.145089131080596</v>
      </c>
      <c r="U9513" s="11">
        <v>0.2648411581463055</v>
      </c>
      <c r="V9513" s="11">
        <v>0.03958174155539362</v>
      </c>
      <c r="W9513" s="11">
        <v>0.2749533821494866</v>
      </c>
      <c r="X9513" s="11">
        <v>0.012108127337760012</v>
      </c>
      <c r="Y9513" s="11">
        <v>0.22631880467025345</v>
      </c>
      <c r="Z9513" s="11">
        <v>0.1821967861408009</v>
      </c>
    </row>
    <row r="9514" ht="22.5" customHeight="1">
      <c r="Q9514" s="9" t="s">
        <v>9552</v>
      </c>
      <c r="R9514" s="10">
        <v>0.5167539361261673</v>
      </c>
      <c r="S9514" s="10">
        <v>0.029531490756729246</v>
      </c>
      <c r="T9514" s="10">
        <v>16.14391701568709</v>
      </c>
      <c r="U9514" s="11">
        <v>0.2990193708517328</v>
      </c>
      <c r="V9514" s="11">
        <v>0.025586430556031308</v>
      </c>
      <c r="W9514" s="11">
        <v>0.26192005413045466</v>
      </c>
      <c r="X9514" s="11">
        <v>0.10121347699169735</v>
      </c>
      <c r="Y9514" s="11">
        <v>0.15470998191814708</v>
      </c>
      <c r="Z9514" s="11">
        <v>0.15755068555193674</v>
      </c>
    </row>
    <row r="9515" ht="22.5" customHeight="1">
      <c r="Q9515" s="9" t="s">
        <v>9553</v>
      </c>
      <c r="R9515" s="10">
        <v>0.7968776563634052</v>
      </c>
      <c r="S9515" s="10">
        <v>0.046883488393246416</v>
      </c>
      <c r="T9515" s="10">
        <v>16.143799924078042</v>
      </c>
      <c r="U9515" s="11">
        <v>0.040885408655391045</v>
      </c>
      <c r="V9515" s="11">
        <v>0.09960883871363602</v>
      </c>
      <c r="W9515" s="11">
        <v>0.4229064998198933</v>
      </c>
      <c r="X9515" s="11">
        <v>0.023489599302365338</v>
      </c>
      <c r="Y9515" s="11">
        <v>0.04576455494781259</v>
      </c>
      <c r="Z9515" s="11">
        <v>0.3673450985609018</v>
      </c>
    </row>
    <row r="9516" ht="22.5" customHeight="1">
      <c r="Q9516" s="9" t="s">
        <v>9554</v>
      </c>
      <c r="R9516" s="10">
        <v>0.6451816946692084</v>
      </c>
      <c r="S9516" s="10">
        <v>0.037490965902973156</v>
      </c>
      <c r="T9516" s="10">
        <v>16.142067297903772</v>
      </c>
      <c r="U9516" s="11">
        <v>0.042520109467020915</v>
      </c>
      <c r="V9516" s="11">
        <v>0.3632260359820227</v>
      </c>
      <c r="W9516" s="11">
        <v>0.014519261072551717</v>
      </c>
      <c r="X9516" s="11">
        <v>0.11539258336113928</v>
      </c>
      <c r="Y9516" s="11">
        <v>0.1494210960668174</v>
      </c>
      <c r="Z9516" s="11">
        <v>0.3149209140504481</v>
      </c>
    </row>
    <row r="9517" ht="22.5" customHeight="1">
      <c r="Q9517" s="9" t="s">
        <v>9555</v>
      </c>
      <c r="R9517" s="10">
        <v>0.42955369067646976</v>
      </c>
      <c r="S9517" s="10">
        <v>0.02413426562072973</v>
      </c>
      <c r="T9517" s="10">
        <v>16.141103972182567</v>
      </c>
      <c r="U9517" s="11">
        <v>0.15029560072677936</v>
      </c>
      <c r="V9517" s="11">
        <v>0.0028745862955355857</v>
      </c>
      <c r="W9517" s="11">
        <v>0.2097103988740814</v>
      </c>
      <c r="X9517" s="11">
        <v>0.22187015361152607</v>
      </c>
      <c r="Y9517" s="11">
        <v>0.2064278005712973</v>
      </c>
      <c r="Z9517" s="11">
        <v>0.20882145992078033</v>
      </c>
    </row>
    <row r="9518" ht="22.5" customHeight="1">
      <c r="Q9518" s="9" t="s">
        <v>9556</v>
      </c>
      <c r="R9518" s="10">
        <v>0.52533149825533</v>
      </c>
      <c r="S9518" s="10">
        <v>0.030068249486021954</v>
      </c>
      <c r="T9518" s="10">
        <v>16.14099611887781</v>
      </c>
      <c r="U9518" s="11">
        <v>0.09708402455386556</v>
      </c>
      <c r="V9518" s="11">
        <v>0.02662673431357543</v>
      </c>
      <c r="W9518" s="11">
        <v>0.26615726897540076</v>
      </c>
      <c r="X9518" s="11">
        <v>0.1263270341230555</v>
      </c>
      <c r="Y9518" s="11">
        <v>0.2722403866234895</v>
      </c>
      <c r="Z9518" s="11">
        <v>0.2115645514106133</v>
      </c>
    </row>
    <row r="9519" ht="22.5" customHeight="1">
      <c r="Q9519" s="9" t="s">
        <v>9557</v>
      </c>
      <c r="R9519" s="10">
        <v>0.41350081697028757</v>
      </c>
      <c r="S9519" s="10">
        <v>0.023144525455229173</v>
      </c>
      <c r="T9519" s="10">
        <v>16.137760858082334</v>
      </c>
      <c r="U9519" s="11">
        <v>0.3369749020310826</v>
      </c>
      <c r="V9519" s="11">
        <v>0.023098315120035316</v>
      </c>
      <c r="W9519" s="11">
        <v>0.2002270404125208</v>
      </c>
      <c r="X9519" s="11">
        <v>0.07465359727218636</v>
      </c>
      <c r="Y9519" s="11">
        <v>0.014779353610405882</v>
      </c>
      <c r="Z9519" s="11">
        <v>0.3502667915537691</v>
      </c>
    </row>
    <row r="9520" ht="22.5" customHeight="1">
      <c r="Q9520" s="9" t="s">
        <v>9558</v>
      </c>
      <c r="R9520" s="10">
        <v>1.0016083815655679</v>
      </c>
      <c r="S9520" s="10">
        <v>0.05961194154031716</v>
      </c>
      <c r="T9520" s="10">
        <v>16.131136760831826</v>
      </c>
      <c r="U9520" s="11">
        <v>0.19380595229833916</v>
      </c>
      <c r="V9520" s="11">
        <v>0.11960354890332829</v>
      </c>
      <c r="W9520" s="11">
        <v>0.5397672212924512</v>
      </c>
      <c r="X9520" s="11">
        <v>0.0577120576154722</v>
      </c>
      <c r="Y9520" s="11">
        <v>0.04622132955056437</v>
      </c>
      <c r="Z9520" s="11">
        <v>0.04288989033984484</v>
      </c>
    </row>
    <row r="9521" ht="22.5" customHeight="1">
      <c r="Q9521" s="9" t="s">
        <v>9559</v>
      </c>
      <c r="R9521" s="10">
        <v>0.5977881181477721</v>
      </c>
      <c r="S9521" s="10">
        <v>0.034588619911885346</v>
      </c>
      <c r="T9521" s="10">
        <v>16.126347901961385</v>
      </c>
      <c r="U9521" s="11">
        <v>0.04820440342081203</v>
      </c>
      <c r="V9521" s="11">
        <v>0.024532475560789135</v>
      </c>
      <c r="W9521" s="11">
        <v>0.3098646118113678</v>
      </c>
      <c r="X9521" s="11">
        <v>0.2677203228128138</v>
      </c>
      <c r="Y9521" s="11">
        <v>0.2122013746609362</v>
      </c>
      <c r="Z9521" s="11">
        <v>0.13747681173328102</v>
      </c>
    </row>
    <row r="9522" ht="22.5" customHeight="1">
      <c r="Q9522" s="9" t="s">
        <v>9560</v>
      </c>
      <c r="R9522" s="10">
        <v>0.6135523089803253</v>
      </c>
      <c r="S9522" s="10">
        <v>0.035567615274677215</v>
      </c>
      <c r="T9522" s="10">
        <v>16.125689185259283</v>
      </c>
      <c r="U9522" s="11">
        <v>0.11157884610362818</v>
      </c>
      <c r="V9522" s="11">
        <v>0.030041309742765112</v>
      </c>
      <c r="W9522" s="11">
        <v>0.32116979591929984</v>
      </c>
      <c r="X9522" s="11">
        <v>0.31415987301709875</v>
      </c>
      <c r="Y9522" s="11">
        <v>0.005540494782721373</v>
      </c>
      <c r="Z9522" s="11">
        <v>0.2175096804344868</v>
      </c>
    </row>
    <row r="9523" ht="22.5" customHeight="1">
      <c r="Q9523" s="9" t="s">
        <v>9561</v>
      </c>
      <c r="R9523" s="10">
        <v>0.6360172716721736</v>
      </c>
      <c r="S9523" s="10">
        <v>0.036980860135428985</v>
      </c>
      <c r="T9523" s="10">
        <v>16.116912086129865</v>
      </c>
      <c r="U9523" s="11">
        <v>0.2151511868311199</v>
      </c>
      <c r="V9523" s="11">
        <v>0.3578342117264038</v>
      </c>
      <c r="W9523" s="11">
        <v>0.025497406556308264</v>
      </c>
      <c r="X9523" s="11">
        <v>0.03661734640734088</v>
      </c>
      <c r="Y9523" s="11">
        <v>2.9248565756548794E-4</v>
      </c>
      <c r="Z9523" s="11">
        <v>0.3646073628212617</v>
      </c>
    </row>
    <row r="9524" ht="22.5" customHeight="1">
      <c r="Q9524" s="9" t="s">
        <v>9562</v>
      </c>
      <c r="R9524" s="10">
        <v>0.25892763451399914</v>
      </c>
      <c r="S9524" s="10">
        <v>0.013584991549235703</v>
      </c>
      <c r="T9524" s="10">
        <v>16.115404541883287</v>
      </c>
      <c r="U9524" s="11">
        <v>0.3166360031080016</v>
      </c>
      <c r="V9524" s="11">
        <v>0.0024320220245975773</v>
      </c>
      <c r="W9524" s="11">
        <v>0.08197337932990627</v>
      </c>
      <c r="X9524" s="11">
        <v>0.08860029634933496</v>
      </c>
      <c r="Y9524" s="11">
        <v>0.36109751374243143</v>
      </c>
      <c r="Z9524" s="11">
        <v>0.1492607854457282</v>
      </c>
    </row>
    <row r="9525" ht="22.5" customHeight="1">
      <c r="Q9525" s="9" t="s">
        <v>9563</v>
      </c>
      <c r="R9525" s="10">
        <v>0.5534287524377558</v>
      </c>
      <c r="S9525" s="10">
        <v>0.03187321428340413</v>
      </c>
      <c r="T9525" s="10">
        <v>16.10847114045507</v>
      </c>
      <c r="U9525" s="11">
        <v>0.003127512685056271</v>
      </c>
      <c r="V9525" s="11">
        <v>0.03288253465279062</v>
      </c>
      <c r="W9525" s="11">
        <v>0.28286966605235647</v>
      </c>
      <c r="X9525" s="11">
        <v>0.13306069577580237</v>
      </c>
      <c r="Y9525" s="11">
        <v>0.2943495074536621</v>
      </c>
      <c r="Z9525" s="11">
        <v>0.2537100833803322</v>
      </c>
    </row>
    <row r="9526" ht="22.5" customHeight="1">
      <c r="Q9526" s="9" t="s">
        <v>9564</v>
      </c>
      <c r="R9526" s="10">
        <v>0.522331348251574</v>
      </c>
      <c r="S9526" s="10">
        <v>0.023362069964175634</v>
      </c>
      <c r="T9526" s="10">
        <v>16.107054738674446</v>
      </c>
      <c r="U9526" s="11">
        <v>0.1383458045413206</v>
      </c>
      <c r="V9526" s="11">
        <v>8.215787949813158E-4</v>
      </c>
      <c r="W9526" s="11">
        <v>0.2026077207694862</v>
      </c>
      <c r="X9526" s="11">
        <v>0.23475688807813802</v>
      </c>
      <c r="Y9526" s="11">
        <v>0.18484478563292867</v>
      </c>
      <c r="Z9526" s="11">
        <v>0.23862322218314508</v>
      </c>
    </row>
    <row r="9527" ht="22.5" customHeight="1">
      <c r="Q9527" s="9" t="s">
        <v>9565</v>
      </c>
      <c r="R9527" s="10">
        <v>0.8463302729228915</v>
      </c>
      <c r="S9527" s="10">
        <v>0.05006099409860937</v>
      </c>
      <c r="T9527" s="10">
        <v>16.106956872142703</v>
      </c>
      <c r="U9527" s="11">
        <v>0.3301656956613091</v>
      </c>
      <c r="V9527" s="11">
        <v>0.4833351675776759</v>
      </c>
      <c r="W9527" s="11">
        <v>0.029219158977476185</v>
      </c>
      <c r="X9527" s="11">
        <v>0.11418273295750855</v>
      </c>
      <c r="Y9527" s="11">
        <v>0.03856991167446924</v>
      </c>
      <c r="Z9527" s="11">
        <v>0.004527333151560953</v>
      </c>
    </row>
    <row r="9528" ht="22.5" customHeight="1">
      <c r="Q9528" s="9" t="s">
        <v>9566</v>
      </c>
      <c r="R9528" s="10">
        <v>0.49098689082329905</v>
      </c>
      <c r="S9528" s="10">
        <v>0.02800433308068081</v>
      </c>
      <c r="T9528" s="10">
        <v>16.10418250361473</v>
      </c>
      <c r="U9528" s="11">
        <v>0.09513274304929191</v>
      </c>
      <c r="V9528" s="11">
        <v>0.26300565302525275</v>
      </c>
      <c r="W9528" s="11">
        <v>4.4216863065301234E-4</v>
      </c>
      <c r="X9528" s="11">
        <v>0.04814619516188199</v>
      </c>
      <c r="Y9528" s="11">
        <v>0.3113138691834959</v>
      </c>
      <c r="Z9528" s="11">
        <v>0.28195937094942464</v>
      </c>
    </row>
    <row r="9529" ht="22.5" customHeight="1">
      <c r="Q9529" s="9" t="s">
        <v>9567</v>
      </c>
      <c r="R9529" s="10">
        <v>0.4906815800038841</v>
      </c>
      <c r="S9529" s="10">
        <v>0.027991595066169855</v>
      </c>
      <c r="T9529" s="10">
        <v>16.10060373260293</v>
      </c>
      <c r="U9529" s="11">
        <v>0.28783521090101405</v>
      </c>
      <c r="V9529" s="11">
        <v>0.25800591858091965</v>
      </c>
      <c r="W9529" s="11">
        <v>7.740845087327052E-4</v>
      </c>
      <c r="X9529" s="11">
        <v>0.0046134175229247025</v>
      </c>
      <c r="Y9529" s="11">
        <v>0.3118293281807359</v>
      </c>
      <c r="Z9529" s="11">
        <v>0.13694204030567306</v>
      </c>
    </row>
    <row r="9530" ht="22.5" customHeight="1">
      <c r="Q9530" s="9" t="s">
        <v>9568</v>
      </c>
      <c r="R9530" s="10">
        <v>0.6330077426565994</v>
      </c>
      <c r="S9530" s="10">
        <v>0.03683728873393033</v>
      </c>
      <c r="T9530" s="10">
        <v>16.098029009132475</v>
      </c>
      <c r="U9530" s="11">
        <v>0.24329569493564343</v>
      </c>
      <c r="V9530" s="11">
        <v>0.044060466864816517</v>
      </c>
      <c r="W9530" s="11">
        <v>0.33284051153603295</v>
      </c>
      <c r="X9530" s="11">
        <v>0.13585939217517576</v>
      </c>
      <c r="Y9530" s="11">
        <v>0.0686184477083304</v>
      </c>
      <c r="Z9530" s="11">
        <v>0.1753254867800011</v>
      </c>
    </row>
    <row r="9531" ht="22.5" customHeight="1">
      <c r="Q9531" s="9" t="s">
        <v>9569</v>
      </c>
      <c r="R9531" s="10">
        <v>0.6482938139189485</v>
      </c>
      <c r="S9531" s="10">
        <v>0.03778966471190701</v>
      </c>
      <c r="T9531" s="10">
        <v>16.09683014010133</v>
      </c>
      <c r="U9531" s="11">
        <v>0.04479638617561899</v>
      </c>
      <c r="V9531" s="11">
        <v>0.02414194238725754</v>
      </c>
      <c r="W9531" s="11">
        <v>0.339661188341806</v>
      </c>
      <c r="X9531" s="11">
        <v>0.35766985430392056</v>
      </c>
      <c r="Y9531" s="11">
        <v>0.15712216665244982</v>
      </c>
      <c r="Z9531" s="11">
        <v>0.07660846213894694</v>
      </c>
    </row>
    <row r="9532" ht="22.5" customHeight="1">
      <c r="Q9532" s="9" t="s">
        <v>9570</v>
      </c>
      <c r="R9532" s="10">
        <v>0.6147508889938901</v>
      </c>
      <c r="S9532" s="10">
        <v>0.035706293420374444</v>
      </c>
      <c r="T9532" s="10">
        <v>16.09662706311404</v>
      </c>
      <c r="U9532" s="11">
        <v>0.25001953776556135</v>
      </c>
      <c r="V9532" s="11">
        <v>0.03672624121393387</v>
      </c>
      <c r="W9532" s="11">
        <v>0.31788761671505905</v>
      </c>
      <c r="X9532" s="11">
        <v>0.09134059676918774</v>
      </c>
      <c r="Y9532" s="11">
        <v>0.27065702947408743</v>
      </c>
      <c r="Z9532" s="11">
        <v>0.0333689780621707</v>
      </c>
    </row>
    <row r="9533" ht="22.5" customHeight="1">
      <c r="Q9533" s="9" t="s">
        <v>9571</v>
      </c>
      <c r="R9533" s="10">
        <v>0.40851712028724174</v>
      </c>
      <c r="S9533" s="10">
        <v>0.022899725328581384</v>
      </c>
      <c r="T9533" s="10">
        <v>16.092643688930703</v>
      </c>
      <c r="U9533" s="11">
        <v>0.2042656091378036</v>
      </c>
      <c r="V9533" s="11">
        <v>0.00175590318783134</v>
      </c>
      <c r="W9533" s="11">
        <v>0.1993169850725848</v>
      </c>
      <c r="X9533" s="11">
        <v>0.23323972783518734</v>
      </c>
      <c r="Y9533" s="11">
        <v>0.09201099181563645</v>
      </c>
      <c r="Z9533" s="11">
        <v>0.2694107829509565</v>
      </c>
    </row>
    <row r="9534" ht="22.5" customHeight="1">
      <c r="Q9534" s="9" t="s">
        <v>9572</v>
      </c>
      <c r="R9534" s="10">
        <v>0.5760472292564877</v>
      </c>
      <c r="S9534" s="10">
        <v>0.033343457123922636</v>
      </c>
      <c r="T9534" s="10">
        <v>16.076534213721185</v>
      </c>
      <c r="U9534" s="11">
        <v>0.1852914966670768</v>
      </c>
      <c r="V9534" s="11">
        <v>0.31441013502545134</v>
      </c>
      <c r="W9534" s="11">
        <v>0.007286223597565349</v>
      </c>
      <c r="X9534" s="11">
        <v>0.01142806463234578</v>
      </c>
      <c r="Y9534" s="11">
        <v>0.3365409789857873</v>
      </c>
      <c r="Z9534" s="11">
        <v>0.14504310109177349</v>
      </c>
    </row>
    <row r="9535" ht="22.5" customHeight="1">
      <c r="Q9535" s="9" t="s">
        <v>9573</v>
      </c>
      <c r="R9535" s="10">
        <v>0.1937102829841607</v>
      </c>
      <c r="S9535" s="10">
        <v>0.009561971745936267</v>
      </c>
      <c r="T9535" s="10">
        <v>16.075165987547066</v>
      </c>
      <c r="U9535" s="11">
        <v>0.03815764965250311</v>
      </c>
      <c r="V9535" s="11">
        <v>0.007252419539807427</v>
      </c>
      <c r="W9535" s="11">
        <v>0.022657180359975382</v>
      </c>
      <c r="X9535" s="11">
        <v>0.26842319543787874</v>
      </c>
      <c r="Y9535" s="11">
        <v>0.32455646962248547</v>
      </c>
      <c r="Z9535" s="11">
        <v>0.3389530853873498</v>
      </c>
    </row>
    <row r="9536" ht="22.5" customHeight="1">
      <c r="Q9536" s="9" t="s">
        <v>9574</v>
      </c>
      <c r="R9536" s="10">
        <v>0.8235316470643331</v>
      </c>
      <c r="S9536" s="10">
        <v>0.0487417833038371</v>
      </c>
      <c r="T9536" s="10">
        <v>16.07515347110107</v>
      </c>
      <c r="U9536" s="11">
        <v>0.12042839574578018</v>
      </c>
      <c r="V9536" s="11">
        <v>0.4741001473523288</v>
      </c>
      <c r="W9536" s="11">
        <v>0.02910255558691581</v>
      </c>
      <c r="X9536" s="11">
        <v>0.14637738626300828</v>
      </c>
      <c r="Y9536" s="11">
        <v>0.04015493419989049</v>
      </c>
      <c r="Z9536" s="11">
        <v>0.18983658085207653</v>
      </c>
    </row>
    <row r="9537" ht="22.5" customHeight="1">
      <c r="Q9537" s="9" t="s">
        <v>9575</v>
      </c>
      <c r="R9537" s="10">
        <v>0.6082612895009291</v>
      </c>
      <c r="S9537" s="10">
        <v>0.035356996859839736</v>
      </c>
      <c r="T9537" s="10">
        <v>16.07210283592804</v>
      </c>
      <c r="U9537" s="11">
        <v>0.12073096578512643</v>
      </c>
      <c r="V9537" s="11">
        <v>0.03010128981413132</v>
      </c>
      <c r="W9537" s="11">
        <v>0.31916150816990724</v>
      </c>
      <c r="X9537" s="11">
        <v>0.23353395128732177</v>
      </c>
      <c r="Y9537" s="11">
        <v>0.11931002186741554</v>
      </c>
      <c r="Z9537" s="11">
        <v>0.17716226307609767</v>
      </c>
    </row>
    <row r="9538" ht="22.5" customHeight="1">
      <c r="Q9538" s="9" t="s">
        <v>9576</v>
      </c>
      <c r="R9538" s="10">
        <v>0.5881861897760035</v>
      </c>
      <c r="S9538" s="10">
        <v>0.03410842615460747</v>
      </c>
      <c r="T9538" s="10">
        <v>16.0718699623129</v>
      </c>
      <c r="U9538" s="11">
        <v>0.37104264399735537</v>
      </c>
      <c r="V9538" s="11">
        <v>0.32457821352449373</v>
      </c>
      <c r="W9538" s="11">
        <v>0.007501467499755994</v>
      </c>
      <c r="X9538" s="11">
        <v>0.056452521038701596</v>
      </c>
      <c r="Y9538" s="11">
        <v>0.08983061274686885</v>
      </c>
      <c r="Z9538" s="11">
        <v>0.15059454119282445</v>
      </c>
    </row>
    <row r="9539" ht="22.5" customHeight="1">
      <c r="Q9539" s="9" t="s">
        <v>9577</v>
      </c>
      <c r="R9539" s="10">
        <v>0.7242047973803311</v>
      </c>
      <c r="S9539" s="10">
        <v>0.04257228651768047</v>
      </c>
      <c r="T9539" s="10">
        <v>16.07160087810124</v>
      </c>
      <c r="U9539" s="11">
        <v>0.2008070245739044</v>
      </c>
      <c r="V9539" s="11">
        <v>0.04736724797632331</v>
      </c>
      <c r="W9539" s="11">
        <v>0.38575008729767046</v>
      </c>
      <c r="X9539" s="11">
        <v>0.2020686795277134</v>
      </c>
      <c r="Y9539" s="11">
        <v>0.1264870525536576</v>
      </c>
      <c r="Z9539" s="11">
        <v>0.037519908070730724</v>
      </c>
    </row>
    <row r="9540" ht="22.5" customHeight="1">
      <c r="Q9540" s="9" t="s">
        <v>9578</v>
      </c>
      <c r="R9540" s="10">
        <v>0.434630992920769</v>
      </c>
      <c r="S9540" s="10">
        <v>0.024554632213426953</v>
      </c>
      <c r="T9540" s="10">
        <v>16.07154973817841</v>
      </c>
      <c r="U9540" s="11">
        <v>0.3138151260856896</v>
      </c>
      <c r="V9540" s="11">
        <v>0.008412016413161081</v>
      </c>
      <c r="W9540" s="11">
        <v>0.21494261124205158</v>
      </c>
      <c r="X9540" s="11">
        <v>0.17252695809990845</v>
      </c>
      <c r="Y9540" s="11">
        <v>0.07536000367816575</v>
      </c>
      <c r="Z9540" s="11">
        <v>0.21494328448102354</v>
      </c>
    </row>
    <row r="9541" ht="22.5" customHeight="1">
      <c r="Q9541" s="9" t="s">
        <v>9579</v>
      </c>
      <c r="R9541" s="10">
        <v>0.522331348251574</v>
      </c>
      <c r="S9541" s="10">
        <v>0.033615780782026476</v>
      </c>
      <c r="T9541" s="10">
        <v>16.064164037400957</v>
      </c>
      <c r="U9541" s="11">
        <v>0.13149915632177872</v>
      </c>
      <c r="V9541" s="11">
        <v>0.3241481915140945</v>
      </c>
      <c r="W9541" s="11">
        <v>0.007019912594706861</v>
      </c>
      <c r="X9541" s="11">
        <v>0.094581036092645</v>
      </c>
      <c r="Y9541" s="11">
        <v>0.12852633146527914</v>
      </c>
      <c r="Z9541" s="11">
        <v>0.31422537201149575</v>
      </c>
    </row>
    <row r="9542" ht="22.5" customHeight="1">
      <c r="Q9542" s="9" t="s">
        <v>9580</v>
      </c>
      <c r="R9542" s="10">
        <v>0.6100222238120662</v>
      </c>
      <c r="S9542" s="10">
        <v>0.035486553233380236</v>
      </c>
      <c r="T9542" s="10">
        <v>16.063048447203876</v>
      </c>
      <c r="U9542" s="11">
        <v>0.018149495709899745</v>
      </c>
      <c r="V9542" s="11">
        <v>0.3398179071369737</v>
      </c>
      <c r="W9542" s="11">
        <v>7.177641285383493E-5</v>
      </c>
      <c r="X9542" s="11">
        <v>0.15957408679102908</v>
      </c>
      <c r="Y9542" s="11">
        <v>0.266118866564659</v>
      </c>
      <c r="Z9542" s="11">
        <v>0.21626786738458467</v>
      </c>
    </row>
    <row r="9543" ht="22.5" customHeight="1">
      <c r="Q9543" s="9" t="s">
        <v>9581</v>
      </c>
      <c r="R9543" s="10">
        <v>0.6937677476289894</v>
      </c>
      <c r="S9543" s="10">
        <v>0.04070676709788859</v>
      </c>
      <c r="T9543" s="10">
        <v>16.060419292371158</v>
      </c>
      <c r="U9543" s="11">
        <v>0.0023467980853890077</v>
      </c>
      <c r="V9543" s="11">
        <v>0.030120784258317098</v>
      </c>
      <c r="W9543" s="11">
        <v>0.36641695382232237</v>
      </c>
      <c r="X9543" s="11">
        <v>0.3632252874801488</v>
      </c>
      <c r="Y9543" s="11">
        <v>0.1847226437579826</v>
      </c>
      <c r="Z9543" s="11">
        <v>0.05316753259584012</v>
      </c>
    </row>
    <row r="9544" ht="22.5" customHeight="1">
      <c r="Q9544" s="9" t="s">
        <v>9582</v>
      </c>
      <c r="R9544" s="10">
        <v>0.7926913537084233</v>
      </c>
      <c r="S9544" s="10">
        <v>0.04686890065529953</v>
      </c>
      <c r="T9544" s="10">
        <v>16.059505198215383</v>
      </c>
      <c r="U9544" s="11">
        <v>0.009232693895200447</v>
      </c>
      <c r="V9544" s="11">
        <v>0.4567800095335298</v>
      </c>
      <c r="W9544" s="11">
        <v>0.03630528733075332</v>
      </c>
      <c r="X9544" s="11">
        <v>0.05951866844198657</v>
      </c>
      <c r="Y9544" s="11">
        <v>0.12102696013339899</v>
      </c>
      <c r="Z9544" s="11">
        <v>0.3171363806651309</v>
      </c>
    </row>
    <row r="9545" ht="22.5" customHeight="1">
      <c r="Q9545" s="9" t="s">
        <v>9583</v>
      </c>
      <c r="R9545" s="10">
        <v>0.5959212498238129</v>
      </c>
      <c r="S9545" s="10">
        <v>0.034619356180408595</v>
      </c>
      <c r="T9545" s="10">
        <v>16.05810480491875</v>
      </c>
      <c r="U9545" s="11">
        <v>0.10006047955344056</v>
      </c>
      <c r="V9545" s="11">
        <v>0.031026925023884138</v>
      </c>
      <c r="W9545" s="11">
        <v>0.31170343417253865</v>
      </c>
      <c r="X9545" s="11">
        <v>0.1935739759953091</v>
      </c>
      <c r="Y9545" s="11">
        <v>0.17209024786157917</v>
      </c>
      <c r="Z9545" s="11">
        <v>0.19154493739324832</v>
      </c>
    </row>
    <row r="9546" ht="22.5" customHeight="1">
      <c r="Q9546" s="9" t="s">
        <v>9584</v>
      </c>
      <c r="R9546" s="10">
        <v>0.5050739892988064</v>
      </c>
      <c r="S9546" s="10">
        <v>0.028970063707099643</v>
      </c>
      <c r="T9546" s="10">
        <v>16.05360602589326</v>
      </c>
      <c r="U9546" s="11">
        <v>0.28235873938332556</v>
      </c>
      <c r="V9546" s="11">
        <v>0.027532302345396442</v>
      </c>
      <c r="W9546" s="11">
        <v>0.2545227622051127</v>
      </c>
      <c r="X9546" s="11">
        <v>0.04191026280437013</v>
      </c>
      <c r="Y9546" s="11">
        <v>0.23101419270825652</v>
      </c>
      <c r="Z9546" s="11">
        <v>0.16266174055353882</v>
      </c>
    </row>
    <row r="9547" ht="22.5" customHeight="1">
      <c r="Q9547" s="9" t="s">
        <v>9585</v>
      </c>
      <c r="R9547" s="10">
        <v>0.4331058692718136</v>
      </c>
      <c r="S9547" s="10">
        <v>0.024493056134676578</v>
      </c>
      <c r="T9547" s="10">
        <v>16.049686372753843</v>
      </c>
      <c r="U9547" s="11">
        <v>0.22661094043664265</v>
      </c>
      <c r="V9547" s="11">
        <v>8.549881865535512E-4</v>
      </c>
      <c r="W9547" s="11">
        <v>0.21300030807883968</v>
      </c>
      <c r="X9547" s="11">
        <v>0.21333140088251037</v>
      </c>
      <c r="Y9547" s="11">
        <v>0.18511755874171987</v>
      </c>
      <c r="Z9547" s="11">
        <v>0.16108480367373387</v>
      </c>
    </row>
    <row r="9548" ht="22.5" customHeight="1">
      <c r="Q9548" s="9" t="s">
        <v>9586</v>
      </c>
      <c r="R9548" s="10">
        <v>0.6212851113134693</v>
      </c>
      <c r="S9548" s="10">
        <v>0.036218730340071566</v>
      </c>
      <c r="T9548" s="10">
        <v>16.049295650497964</v>
      </c>
      <c r="U9548" s="11">
        <v>0.13932923008291784</v>
      </c>
      <c r="V9548" s="11">
        <v>0.34906037233897674</v>
      </c>
      <c r="W9548" s="11">
        <v>0.012430868366089518</v>
      </c>
      <c r="X9548" s="11">
        <v>0.04983135806809144</v>
      </c>
      <c r="Y9548" s="11">
        <v>0.18851969842197525</v>
      </c>
      <c r="Z9548" s="11">
        <v>0.26082847272194926</v>
      </c>
    </row>
    <row r="9549" ht="22.5" customHeight="1">
      <c r="Q9549" s="9" t="s">
        <v>9587</v>
      </c>
      <c r="R9549" s="10">
        <v>0.8559801567399601</v>
      </c>
      <c r="S9549" s="10">
        <v>0.05085758642752489</v>
      </c>
      <c r="T9549" s="10">
        <v>16.044413706159272</v>
      </c>
      <c r="U9549" s="11">
        <v>0.21907840961232927</v>
      </c>
      <c r="V9549" s="11">
        <v>0.49043517970402434</v>
      </c>
      <c r="W9549" s="11">
        <v>0.034497171297866024</v>
      </c>
      <c r="X9549" s="11">
        <v>0.01085585340817903</v>
      </c>
      <c r="Y9549" s="11">
        <v>0.23287311768504543</v>
      </c>
      <c r="Z9549" s="11">
        <v>0.012260268292555948</v>
      </c>
    </row>
    <row r="9550" ht="22.5" customHeight="1">
      <c r="Q9550" s="9" t="s">
        <v>9588</v>
      </c>
      <c r="R9550" s="10">
        <v>0.4278661972900723</v>
      </c>
      <c r="S9550" s="10">
        <v>0.024176824898068494</v>
      </c>
      <c r="T9550" s="10">
        <v>16.042892270815067</v>
      </c>
      <c r="U9550" s="11">
        <v>0.09064840009515095</v>
      </c>
      <c r="V9550" s="11">
        <v>0.0074568191993022725</v>
      </c>
      <c r="W9550" s="11">
        <v>0.2125566504223236</v>
      </c>
      <c r="X9550" s="11">
        <v>0.24339210993575694</v>
      </c>
      <c r="Y9550" s="11">
        <v>0.08986819618228248</v>
      </c>
      <c r="Z9550" s="11">
        <v>0.3560778241651839</v>
      </c>
    </row>
    <row r="9551" ht="22.5" customHeight="1">
      <c r="Q9551" s="9" t="s">
        <v>9589</v>
      </c>
      <c r="R9551" s="10">
        <v>0.6061391697364193</v>
      </c>
      <c r="S9551" s="10">
        <v>0.03528913811780828</v>
      </c>
      <c r="T9551" s="10">
        <v>16.042873244635103</v>
      </c>
      <c r="U9551" s="11">
        <v>0.005113302331611859</v>
      </c>
      <c r="V9551" s="11">
        <v>0.3390236955216117</v>
      </c>
      <c r="W9551" s="11">
        <v>0.012508848833437516</v>
      </c>
      <c r="X9551" s="11">
        <v>0.04580749253830016</v>
      </c>
      <c r="Y9551" s="11">
        <v>0.2859812789894826</v>
      </c>
      <c r="Z9551" s="11">
        <v>0.31156538178555615</v>
      </c>
    </row>
    <row r="9552" ht="22.5" customHeight="1">
      <c r="Q9552" s="9" t="s">
        <v>9590</v>
      </c>
      <c r="R9552" s="10">
        <v>0.5451012144863523</v>
      </c>
      <c r="S9552" s="10">
        <v>0.031484957158095364</v>
      </c>
      <c r="T9552" s="10">
        <v>16.042620352001382</v>
      </c>
      <c r="U9552" s="11">
        <v>0.13532804518367897</v>
      </c>
      <c r="V9552" s="11">
        <v>0.301348082308356</v>
      </c>
      <c r="W9552" s="11">
        <v>9.318586282871832E-4</v>
      </c>
      <c r="X9552" s="11">
        <v>0.09184462899306305</v>
      </c>
      <c r="Y9552" s="11">
        <v>0.18959408284357285</v>
      </c>
      <c r="Z9552" s="11">
        <v>0.2809533020430419</v>
      </c>
    </row>
    <row r="9553" ht="22.5" customHeight="1">
      <c r="Q9553" s="9" t="s">
        <v>9591</v>
      </c>
      <c r="R9553" s="10">
        <v>0.7211847973970992</v>
      </c>
      <c r="S9553" s="10">
        <v>0.04246605277047673</v>
      </c>
      <c r="T9553" s="10">
        <v>16.04069022093508</v>
      </c>
      <c r="U9553" s="11">
        <v>0.0846728416500807</v>
      </c>
      <c r="V9553" s="11">
        <v>0.4135140188379859</v>
      </c>
      <c r="W9553" s="11">
        <v>0.030649181242346377</v>
      </c>
      <c r="X9553" s="11">
        <v>0.0423483324997541</v>
      </c>
      <c r="Y9553" s="11">
        <v>0.07469119531362134</v>
      </c>
      <c r="Z9553" s="11">
        <v>0.3541244304562116</v>
      </c>
    </row>
    <row r="9554" ht="22.5" customHeight="1">
      <c r="Q9554" s="9" t="s">
        <v>9592</v>
      </c>
      <c r="R9554" s="10">
        <v>0.4014239456382512</v>
      </c>
      <c r="S9554" s="10">
        <v>0.02253478364079011</v>
      </c>
      <c r="T9554" s="10">
        <v>16.03849193315703</v>
      </c>
      <c r="U9554" s="11">
        <v>0.22492294070024274</v>
      </c>
      <c r="V9554" s="11">
        <v>0.003516096884789407</v>
      </c>
      <c r="W9554" s="11">
        <v>0.19532826175957466</v>
      </c>
      <c r="X9554" s="11">
        <v>0.17592697866207735</v>
      </c>
      <c r="Y9554" s="11">
        <v>0.13922144174026813</v>
      </c>
      <c r="Z9554" s="11">
        <v>0.2610842802530478</v>
      </c>
    </row>
    <row r="9555" ht="22.5" customHeight="1">
      <c r="Q9555" s="9" t="s">
        <v>9593</v>
      </c>
      <c r="R9555" s="10">
        <v>0.4161154722070727</v>
      </c>
      <c r="S9555" s="10">
        <v>0.023455452822229775</v>
      </c>
      <c r="T9555" s="10">
        <v>16.035310640032126</v>
      </c>
      <c r="U9555" s="11">
        <v>0.060971277615318654</v>
      </c>
      <c r="V9555" s="11">
        <v>0.007165204674014955</v>
      </c>
      <c r="W9555" s="11">
        <v>0.20238932472104768</v>
      </c>
      <c r="X9555" s="11">
        <v>0.17307905037453275</v>
      </c>
      <c r="Y9555" s="11">
        <v>0.2651357052474082</v>
      </c>
      <c r="Z9555" s="11">
        <v>0.29125943736767773</v>
      </c>
    </row>
    <row r="9556" ht="22.5" customHeight="1">
      <c r="Q9556" s="9" t="s">
        <v>9594</v>
      </c>
      <c r="R9556" s="10">
        <v>0.5011838018087761</v>
      </c>
      <c r="S9556" s="10">
        <v>0.028763272684400043</v>
      </c>
      <c r="T9556" s="10">
        <v>16.03377358581669</v>
      </c>
      <c r="U9556" s="11">
        <v>0.09496871530031396</v>
      </c>
      <c r="V9556" s="11">
        <v>0.011295087894776084</v>
      </c>
      <c r="W9556" s="11">
        <v>0.2553727728249963</v>
      </c>
      <c r="X9556" s="11">
        <v>0.23943434040575223</v>
      </c>
      <c r="Y9556" s="11">
        <v>0.19150974113606734</v>
      </c>
      <c r="Z9556" s="11">
        <v>0.20741934243809412</v>
      </c>
    </row>
    <row r="9557" ht="22.5" customHeight="1">
      <c r="Q9557" s="9" t="s">
        <v>9595</v>
      </c>
      <c r="R9557" s="10">
        <v>0.24327437996232995</v>
      </c>
      <c r="S9557" s="10">
        <v>0.012678851353879849</v>
      </c>
      <c r="T9557" s="10">
        <v>16.032554865478886</v>
      </c>
      <c r="U9557" s="11">
        <v>0.19637111413019787</v>
      </c>
      <c r="V9557" s="11">
        <v>0.014679803502373646</v>
      </c>
      <c r="W9557" s="11">
        <v>0.0880484857544625</v>
      </c>
      <c r="X9557" s="11">
        <v>0.08509076483397619</v>
      </c>
      <c r="Y9557" s="11">
        <v>0.04077375623388705</v>
      </c>
      <c r="Z9557" s="11">
        <v>0.5750360755451027</v>
      </c>
    </row>
    <row r="9558" ht="22.5" customHeight="1">
      <c r="Q9558" s="9" t="s">
        <v>9596</v>
      </c>
      <c r="R9558" s="10">
        <v>0.5619562312694532</v>
      </c>
      <c r="S9558" s="10">
        <v>0.0325570449724818</v>
      </c>
      <c r="T9558" s="10">
        <v>16.032051794339026</v>
      </c>
      <c r="U9558" s="11">
        <v>0.28418338240836116</v>
      </c>
      <c r="V9558" s="11">
        <v>0.31152753083791307</v>
      </c>
      <c r="W9558" s="11">
        <v>0.00657550387123626</v>
      </c>
      <c r="X9558" s="11">
        <v>0.060589462313484374</v>
      </c>
      <c r="Y9558" s="11">
        <v>0.08267711419977837</v>
      </c>
      <c r="Z9558" s="11">
        <v>0.25444700636922685</v>
      </c>
    </row>
    <row r="9559" ht="22.5" customHeight="1">
      <c r="Q9559" s="9" t="s">
        <v>9597</v>
      </c>
      <c r="R9559" s="10">
        <v>0.591853635463851</v>
      </c>
      <c r="S9559" s="10">
        <v>0.034424251364849424</v>
      </c>
      <c r="T9559" s="10">
        <v>16.030955317371063</v>
      </c>
      <c r="U9559" s="11">
        <v>0.2631528041247442</v>
      </c>
      <c r="V9559" s="11">
        <v>0.046441022052968</v>
      </c>
      <c r="W9559" s="11">
        <v>0.30958017579060604</v>
      </c>
      <c r="X9559" s="11">
        <v>0.06088195305475181</v>
      </c>
      <c r="Y9559" s="11">
        <v>0.060407579547240284</v>
      </c>
      <c r="Z9559" s="11">
        <v>0.2595364654296897</v>
      </c>
    </row>
    <row r="9560" ht="22.5" customHeight="1">
      <c r="Q9560" s="9" t="s">
        <v>9598</v>
      </c>
      <c r="R9560" s="10">
        <v>0.5773252024072196</v>
      </c>
      <c r="S9560" s="10">
        <v>0.03352201235040842</v>
      </c>
      <c r="T9560" s="10">
        <v>16.02902584697225</v>
      </c>
      <c r="U9560" s="11">
        <v>0.11970818422978359</v>
      </c>
      <c r="V9560" s="11">
        <v>0.00709225628298072</v>
      </c>
      <c r="W9560" s="11">
        <v>0.29797889220299906</v>
      </c>
      <c r="X9560" s="11">
        <v>0.36423732472783543</v>
      </c>
      <c r="Y9560" s="11">
        <v>0.18944633560915125</v>
      </c>
      <c r="Z9560" s="11">
        <v>0.021537006947249977</v>
      </c>
    </row>
    <row r="9561" ht="22.5" customHeight="1">
      <c r="Q9561" s="9" t="s">
        <v>9599</v>
      </c>
      <c r="R9561" s="10">
        <v>0.7240616919484805</v>
      </c>
      <c r="S9561" s="10">
        <v>0.04268466674325556</v>
      </c>
      <c r="T9561" s="10">
        <v>16.02593493497443</v>
      </c>
      <c r="U9561" s="11">
        <v>0.07009124022849714</v>
      </c>
      <c r="V9561" s="11">
        <v>0.05908364600857902</v>
      </c>
      <c r="W9561" s="11">
        <v>0.38816046394773085</v>
      </c>
      <c r="X9561" s="11">
        <v>0.208902208202702</v>
      </c>
      <c r="Y9561" s="11">
        <v>0.008709077123184864</v>
      </c>
      <c r="Z9561" s="11">
        <v>0.26505336448930616</v>
      </c>
    </row>
    <row r="9562" ht="22.5" customHeight="1">
      <c r="Q9562" s="9" t="s">
        <v>9600</v>
      </c>
      <c r="R9562" s="10">
        <v>0.7257753493560948</v>
      </c>
      <c r="S9562" s="10">
        <v>0.042798898422051285</v>
      </c>
      <c r="T9562" s="10">
        <v>16.023200938339166</v>
      </c>
      <c r="U9562" s="11">
        <v>0.30403104621841315</v>
      </c>
      <c r="V9562" s="11">
        <v>0.06960838088869548</v>
      </c>
      <c r="W9562" s="11">
        <v>0.386555559981189</v>
      </c>
      <c r="X9562" s="11">
        <v>0.02886015848046529</v>
      </c>
      <c r="Y9562" s="11">
        <v>0.052055064643319895</v>
      </c>
      <c r="Z9562" s="11">
        <v>0.1588897897879173</v>
      </c>
    </row>
    <row r="9563" ht="22.5" customHeight="1">
      <c r="Q9563" s="9" t="s">
        <v>9601</v>
      </c>
      <c r="R9563" s="10">
        <v>0.5264505835482861</v>
      </c>
      <c r="S9563" s="10">
        <v>0.030364474800460027</v>
      </c>
      <c r="T9563" s="10">
        <v>16.02038522796766</v>
      </c>
      <c r="U9563" s="11">
        <v>0.31809505388621534</v>
      </c>
      <c r="V9563" s="11">
        <v>0.02848831558346209</v>
      </c>
      <c r="W9563" s="11">
        <v>0.2683051002064417</v>
      </c>
      <c r="X9563" s="11">
        <v>0.051355912308940314</v>
      </c>
      <c r="Y9563" s="11">
        <v>0.20030249852732854</v>
      </c>
      <c r="Z9563" s="11">
        <v>0.13345311948761207</v>
      </c>
    </row>
    <row r="9564" ht="22.5" customHeight="1">
      <c r="Q9564" s="9" t="s">
        <v>9602</v>
      </c>
      <c r="R9564" s="10">
        <v>0.2185583053338299</v>
      </c>
      <c r="S9564" s="10">
        <v>0.011146498750875282</v>
      </c>
      <c r="T9564" s="10">
        <v>16.01922803963967</v>
      </c>
      <c r="U9564" s="11">
        <v>0.2953005843732614</v>
      </c>
      <c r="V9564" s="11">
        <v>0.01194977226037721</v>
      </c>
      <c r="W9564" s="11">
        <v>0.05744324334717632</v>
      </c>
      <c r="X9564" s="11">
        <v>0.04486246727010107</v>
      </c>
      <c r="Y9564" s="11">
        <v>0.2493394945630821</v>
      </c>
      <c r="Z9564" s="11">
        <v>0.34110443818600195</v>
      </c>
    </row>
    <row r="9565" ht="22.5" customHeight="1">
      <c r="Q9565" s="9" t="s">
        <v>9603</v>
      </c>
      <c r="R9565" s="10">
        <v>0.41238127061219926</v>
      </c>
      <c r="S9565" s="10">
        <v>0.023251411539108594</v>
      </c>
      <c r="T9565" s="10">
        <v>16.01542641769763</v>
      </c>
      <c r="U9565" s="11">
        <v>0.2555056552360018</v>
      </c>
      <c r="V9565" s="11">
        <v>0.0058090969539298576</v>
      </c>
      <c r="W9565" s="11">
        <v>0.2003521969754036</v>
      </c>
      <c r="X9565" s="11">
        <v>0.13006753041808314</v>
      </c>
      <c r="Y9565" s="11">
        <v>0.20897156577498024</v>
      </c>
      <c r="Z9565" s="11">
        <v>0.19929395464160135</v>
      </c>
    </row>
    <row r="9566" ht="22.5" customHeight="1">
      <c r="Q9566" s="9" t="s">
        <v>9604</v>
      </c>
      <c r="R9566" s="10">
        <v>0.594867594139883</v>
      </c>
      <c r="S9566" s="10">
        <v>0.034650409620670584</v>
      </c>
      <c r="T9566" s="10">
        <v>16.01330547644893</v>
      </c>
      <c r="U9566" s="11">
        <v>0.04419904236661048</v>
      </c>
      <c r="V9566" s="11">
        <v>0.028283407936143076</v>
      </c>
      <c r="W9566" s="11">
        <v>0.3092252394450622</v>
      </c>
      <c r="X9566" s="11">
        <v>0.18488194701060714</v>
      </c>
      <c r="Y9566" s="11">
        <v>0.2920082515150316</v>
      </c>
      <c r="Z9566" s="11">
        <v>0.14140211172654538</v>
      </c>
    </row>
    <row r="9567" ht="22.5" customHeight="1">
      <c r="Q9567" s="9" t="s">
        <v>9605</v>
      </c>
      <c r="R9567" s="10">
        <v>0.7606654864276553</v>
      </c>
      <c r="S9567" s="10">
        <v>0.045009699668377</v>
      </c>
      <c r="T9567" s="10">
        <v>16.01133737255265</v>
      </c>
      <c r="U9567" s="11">
        <v>0.26343400928682364</v>
      </c>
      <c r="V9567" s="11">
        <v>0.07093990585466739</v>
      </c>
      <c r="W9567" s="11">
        <v>0.4084290279735721</v>
      </c>
      <c r="X9567" s="11">
        <v>0.09183235956052188</v>
      </c>
      <c r="Y9567" s="11">
        <v>3.0163811972188953E-4</v>
      </c>
      <c r="Z9567" s="11">
        <v>0.16506305920469316</v>
      </c>
    </row>
    <row r="9568" ht="22.5" customHeight="1">
      <c r="Q9568" s="9" t="s">
        <v>9606</v>
      </c>
      <c r="R9568" s="10">
        <v>0.49561021458434995</v>
      </c>
      <c r="S9568" s="10">
        <v>0.028460503900781756</v>
      </c>
      <c r="T9568" s="10">
        <v>16.00850835855493</v>
      </c>
      <c r="U9568" s="11">
        <v>0.22637132079802316</v>
      </c>
      <c r="V9568" s="11">
        <v>0.03135952765627171</v>
      </c>
      <c r="W9568" s="11">
        <v>0.25252255608023716</v>
      </c>
      <c r="X9568" s="11">
        <v>0.04702102766188731</v>
      </c>
      <c r="Y9568" s="11">
        <v>0.14050520340585884</v>
      </c>
      <c r="Z9568" s="11">
        <v>0.3022203643977218</v>
      </c>
    </row>
    <row r="9569" ht="22.5" customHeight="1">
      <c r="Q9569" s="9" t="s">
        <v>9607</v>
      </c>
      <c r="R9569" s="10">
        <v>0.49914489647811994</v>
      </c>
      <c r="S9569" s="10">
        <v>0.028681720862232966</v>
      </c>
      <c r="T9569" s="10">
        <v>16.00827574759313</v>
      </c>
      <c r="U9569" s="11">
        <v>0.2062984820647623</v>
      </c>
      <c r="V9569" s="11">
        <v>0.028182259332369043</v>
      </c>
      <c r="W9569" s="11">
        <v>0.2516379852769356</v>
      </c>
      <c r="X9569" s="11">
        <v>0.03546176599379231</v>
      </c>
      <c r="Y9569" s="11">
        <v>0.2696949085263619</v>
      </c>
      <c r="Z9569" s="11">
        <v>0.20872459880577893</v>
      </c>
    </row>
    <row r="9570" ht="22.5" customHeight="1">
      <c r="Q9570" s="9" t="s">
        <v>9608</v>
      </c>
      <c r="R9570" s="10">
        <v>0.5666886888209095</v>
      </c>
      <c r="S9570" s="10">
        <v>0.03290421282239472</v>
      </c>
      <c r="T9570" s="10">
        <v>16.006725086048657</v>
      </c>
      <c r="U9570" s="11">
        <v>0.47747803412151274</v>
      </c>
      <c r="V9570" s="11">
        <v>0.309252741041395</v>
      </c>
      <c r="W9570" s="11">
        <v>6.944782993761133E-5</v>
      </c>
      <c r="X9570" s="11">
        <v>0.09537983589039485</v>
      </c>
      <c r="Y9570" s="11">
        <v>0.044743720671726696</v>
      </c>
      <c r="Z9570" s="11">
        <v>0.07307622044503317</v>
      </c>
    </row>
    <row r="9571" ht="22.5" customHeight="1">
      <c r="Q9571" s="9" t="s">
        <v>9609</v>
      </c>
      <c r="R9571" s="10">
        <v>0.26834610855288116</v>
      </c>
      <c r="S9571" s="10">
        <v>0.014266120028571368</v>
      </c>
      <c r="T9571" s="10">
        <v>16.006181645434264</v>
      </c>
      <c r="U9571" s="11">
        <v>0.32547057968068765</v>
      </c>
      <c r="V9571" s="11">
        <v>1.741131380851173E-4</v>
      </c>
      <c r="W9571" s="11">
        <v>0.10280446721445578</v>
      </c>
      <c r="X9571" s="11">
        <v>0.08322732630969584</v>
      </c>
      <c r="Y9571" s="11">
        <v>0.2069403321914304</v>
      </c>
      <c r="Z9571" s="11">
        <v>0.2813831814656453</v>
      </c>
    </row>
    <row r="9572" ht="22.5" customHeight="1">
      <c r="Q9572" s="9" t="s">
        <v>9610</v>
      </c>
      <c r="R9572" s="10">
        <v>0.7133039695514096</v>
      </c>
      <c r="S9572" s="10">
        <v>0.042081480671398094</v>
      </c>
      <c r="T9572" s="10">
        <v>16.000006625456987</v>
      </c>
      <c r="U9572" s="11">
        <v>0.258621606383613</v>
      </c>
      <c r="V9572" s="11">
        <v>0.40725498520793374</v>
      </c>
      <c r="W9572" s="11">
        <v>0.017896819691451796</v>
      </c>
      <c r="X9572" s="11">
        <v>0.09651389856324502</v>
      </c>
      <c r="Y9572" s="11">
        <v>0.03130873188479713</v>
      </c>
      <c r="Z9572" s="11">
        <v>0.1884039582689594</v>
      </c>
    </row>
    <row r="9573" ht="22.5" customHeight="1">
      <c r="Q9573" s="9" t="s">
        <v>9611</v>
      </c>
      <c r="R9573" s="10">
        <v>1.0162664180255</v>
      </c>
      <c r="S9573" s="10">
        <v>0.06102491220214939</v>
      </c>
      <c r="T9573" s="10">
        <v>15.997834045078962</v>
      </c>
      <c r="U9573" s="11">
        <v>0.02418993903370832</v>
      </c>
      <c r="V9573" s="11">
        <v>0.10360590203282129</v>
      </c>
      <c r="W9573" s="11">
        <v>0.5550620207043783</v>
      </c>
      <c r="X9573" s="11">
        <v>0.1909098987587693</v>
      </c>
      <c r="Y9573" s="11">
        <v>0.09681090556221213</v>
      </c>
      <c r="Z9573" s="11">
        <v>0.02942133390811078</v>
      </c>
    </row>
    <row r="9574" ht="22.5" customHeight="1">
      <c r="Q9574" s="9" t="s">
        <v>9612</v>
      </c>
      <c r="R9574" s="10">
        <v>0.8226341682246907</v>
      </c>
      <c r="S9574" s="10">
        <v>0.04893234505421533</v>
      </c>
      <c r="T9574" s="10">
        <v>15.994209297706034</v>
      </c>
      <c r="U9574" s="11">
        <v>0.16428286786774754</v>
      </c>
      <c r="V9574" s="11">
        <v>0.4749078337285977</v>
      </c>
      <c r="W9574" s="11">
        <v>0.02580733660625821</v>
      </c>
      <c r="X9574" s="11">
        <v>0.10166214464095327</v>
      </c>
      <c r="Y9574" s="11">
        <v>0.11364520863568</v>
      </c>
      <c r="Z9574" s="11">
        <v>0.11969460852076323</v>
      </c>
    </row>
    <row r="9575" ht="22.5" customHeight="1">
      <c r="Q9575" s="9" t="s">
        <v>9613</v>
      </c>
      <c r="R9575" s="10">
        <v>0.522331348251574</v>
      </c>
      <c r="S9575" s="10">
        <v>0.009905441492247723</v>
      </c>
      <c r="T9575" s="10">
        <v>15.992228952858827</v>
      </c>
      <c r="U9575" s="11">
        <v>0.29922534567095127</v>
      </c>
      <c r="V9575" s="11">
        <v>0.003758474225519494</v>
      </c>
      <c r="W9575" s="11">
        <v>0.047840471168622806</v>
      </c>
      <c r="X9575" s="11">
        <v>0.1547343858632389</v>
      </c>
      <c r="Y9575" s="11">
        <v>0.09175272226396092</v>
      </c>
      <c r="Z9575" s="11">
        <v>0.4026886008077068</v>
      </c>
    </row>
    <row r="9576" ht="22.5" customHeight="1">
      <c r="Q9576" s="9" t="s">
        <v>9614</v>
      </c>
      <c r="R9576" s="10">
        <v>0.7113150023853987</v>
      </c>
      <c r="S9576" s="10">
        <v>0.04198079147093804</v>
      </c>
      <c r="T9576" s="10">
        <v>15.991003953561203</v>
      </c>
      <c r="U9576" s="11">
        <v>0.004084320704685678</v>
      </c>
      <c r="V9576" s="11">
        <v>0.0643089521962868</v>
      </c>
      <c r="W9576" s="11">
        <v>0.38102372288218983</v>
      </c>
      <c r="X9576" s="11">
        <v>0.1458439421187773</v>
      </c>
      <c r="Y9576" s="11">
        <v>0.06719597689911717</v>
      </c>
      <c r="Z9576" s="11">
        <v>0.33754308519894327</v>
      </c>
    </row>
    <row r="9577" ht="22.5" customHeight="1">
      <c r="Q9577" s="9" t="s">
        <v>9615</v>
      </c>
      <c r="R9577" s="10">
        <v>0.4788174331535843</v>
      </c>
      <c r="S9577" s="10">
        <v>0.027442877091096756</v>
      </c>
      <c r="T9577" s="10">
        <v>15.990212385418914</v>
      </c>
      <c r="U9577" s="11">
        <v>0.20340606155438604</v>
      </c>
      <c r="V9577" s="11">
        <v>0.018504648522902095</v>
      </c>
      <c r="W9577" s="11">
        <v>0.2426270828326555</v>
      </c>
      <c r="X9577" s="11">
        <v>0.11023734958666048</v>
      </c>
      <c r="Y9577" s="11">
        <v>0.19267106768653763</v>
      </c>
      <c r="Z9577" s="11">
        <v>0.23255378981685812</v>
      </c>
    </row>
    <row r="9578" ht="22.5" customHeight="1">
      <c r="Q9578" s="9" t="s">
        <v>9616</v>
      </c>
      <c r="R9578" s="10">
        <v>0.4544345696060528</v>
      </c>
      <c r="S9578" s="10">
        <v>0.025920184840239974</v>
      </c>
      <c r="T9578" s="10">
        <v>15.988874005352805</v>
      </c>
      <c r="U9578" s="11">
        <v>0.07001800938550788</v>
      </c>
      <c r="V9578" s="11">
        <v>0.009891917226865436</v>
      </c>
      <c r="W9578" s="11">
        <v>0.22626052983935563</v>
      </c>
      <c r="X9578" s="11">
        <v>0.17529393500834212</v>
      </c>
      <c r="Y9578" s="11">
        <v>0.27466727241199573</v>
      </c>
      <c r="Z9578" s="11">
        <v>0.24386833612793316</v>
      </c>
    </row>
    <row r="9579" ht="22.5" customHeight="1">
      <c r="Q9579" s="9" t="s">
        <v>9617</v>
      </c>
      <c r="R9579" s="10">
        <v>0.4530969282824455</v>
      </c>
      <c r="S9579" s="10">
        <v>0.02584319898858747</v>
      </c>
      <c r="T9579" s="10">
        <v>15.984744321508801</v>
      </c>
      <c r="U9579" s="11">
        <v>0.26079659255960663</v>
      </c>
      <c r="V9579" s="11">
        <v>0.01327253783852955</v>
      </c>
      <c r="W9579" s="11">
        <v>0.2252414996480829</v>
      </c>
      <c r="X9579" s="11">
        <v>0.09735761925336163</v>
      </c>
      <c r="Y9579" s="11">
        <v>0.2273505483370896</v>
      </c>
      <c r="Z9579" s="11">
        <v>0.17598120236332976</v>
      </c>
    </row>
    <row r="9580" ht="22.5" customHeight="1">
      <c r="Q9580" s="9" t="s">
        <v>9618</v>
      </c>
      <c r="R9580" s="10">
        <v>0.717427601057091</v>
      </c>
      <c r="S9580" s="10">
        <v>0.042381465642321196</v>
      </c>
      <c r="T9580" s="10">
        <v>15.984053189057878</v>
      </c>
      <c r="U9580" s="11">
        <v>0.011045103318058068</v>
      </c>
      <c r="V9580" s="11">
        <v>0.06003785539044331</v>
      </c>
      <c r="W9580" s="11">
        <v>0.3851831432952635</v>
      </c>
      <c r="X9580" s="11">
        <v>0.1911436567493593</v>
      </c>
      <c r="Y9580" s="11">
        <v>0.0452218871606259</v>
      </c>
      <c r="Z9580" s="11">
        <v>0.30736835408624985</v>
      </c>
    </row>
    <row r="9581" ht="22.5" customHeight="1">
      <c r="Q9581" s="9" t="s">
        <v>9619</v>
      </c>
      <c r="R9581" s="10">
        <v>0.7177048178485159</v>
      </c>
      <c r="S9581" s="10">
        <v>0.042405087627881886</v>
      </c>
      <c r="T9581" s="10">
        <v>15.981686532417783</v>
      </c>
      <c r="U9581" s="11">
        <v>0.0024968432348527595</v>
      </c>
      <c r="V9581" s="11">
        <v>0.40801944203395124</v>
      </c>
      <c r="W9581" s="11">
        <v>0.013266472696353143</v>
      </c>
      <c r="X9581" s="11">
        <v>0.09467699409453717</v>
      </c>
      <c r="Y9581" s="11">
        <v>0.32132991899401964</v>
      </c>
      <c r="Z9581" s="11">
        <v>0.16021032894628598</v>
      </c>
    </row>
    <row r="9582" ht="22.5" customHeight="1">
      <c r="Q9582" s="9" t="s">
        <v>9620</v>
      </c>
      <c r="R9582" s="10">
        <v>0.5429612257369039</v>
      </c>
      <c r="S9582" s="10">
        <v>0.03147299700191847</v>
      </c>
      <c r="T9582" s="10">
        <v>15.980722322257563</v>
      </c>
      <c r="U9582" s="11">
        <v>0.1662732296087519</v>
      </c>
      <c r="V9582" s="11">
        <v>0.02308739848648389</v>
      </c>
      <c r="W9582" s="11">
        <v>0.277011994623581</v>
      </c>
      <c r="X9582" s="11">
        <v>0.10906613943575244</v>
      </c>
      <c r="Y9582" s="11">
        <v>0.33220517644120684</v>
      </c>
      <c r="Z9582" s="11">
        <v>0.09235606140422405</v>
      </c>
    </row>
    <row r="9583" ht="22.5" customHeight="1">
      <c r="Q9583" s="9" t="s">
        <v>9621</v>
      </c>
      <c r="R9583" s="10">
        <v>0.6942836478590482</v>
      </c>
      <c r="S9583" s="10">
        <v>0.0409547385098856</v>
      </c>
      <c r="T9583" s="10">
        <v>15.975774029203434</v>
      </c>
      <c r="U9583" s="11">
        <v>0.10722124892534747</v>
      </c>
      <c r="V9583" s="11">
        <v>0.07318298250059788</v>
      </c>
      <c r="W9583" s="11">
        <v>0.3703217908134014</v>
      </c>
      <c r="X9583" s="11">
        <v>0.0374845638316633</v>
      </c>
      <c r="Y9583" s="11">
        <v>0.03612904037836325</v>
      </c>
      <c r="Z9583" s="11">
        <v>0.37566037355062676</v>
      </c>
    </row>
    <row r="9584" ht="22.5" customHeight="1">
      <c r="Q9584" s="9" t="s">
        <v>9622</v>
      </c>
      <c r="R9584" s="10">
        <v>0.6542023002288087</v>
      </c>
      <c r="S9584" s="10">
        <v>0.03845398179398389</v>
      </c>
      <c r="T9584" s="10">
        <v>15.972397956585612</v>
      </c>
      <c r="U9584" s="11">
        <v>0.03724701549683344</v>
      </c>
      <c r="V9584" s="11">
        <v>0.03221668255902852</v>
      </c>
      <c r="W9584" s="11">
        <v>0.3482102480739445</v>
      </c>
      <c r="X9584" s="11">
        <v>0.33115581542179906</v>
      </c>
      <c r="Y9584" s="11">
        <v>0.03803879549172159</v>
      </c>
      <c r="Z9584" s="11">
        <v>0.2131314429566728</v>
      </c>
    </row>
    <row r="9585" ht="22.5" customHeight="1">
      <c r="Q9585" s="9" t="s">
        <v>9623</v>
      </c>
      <c r="R9585" s="10">
        <v>0.27066121491687956</v>
      </c>
      <c r="S9585" s="10">
        <v>0.014445339387466803</v>
      </c>
      <c r="T9585" s="10">
        <v>15.967864009966283</v>
      </c>
      <c r="U9585" s="11">
        <v>0.14578508650735447</v>
      </c>
      <c r="V9585" s="11">
        <v>0.009425379315043803</v>
      </c>
      <c r="W9585" s="11">
        <v>0.10256233670261092</v>
      </c>
      <c r="X9585" s="11">
        <v>0.036749306209438885</v>
      </c>
      <c r="Y9585" s="11">
        <v>0.3191456444873761</v>
      </c>
      <c r="Z9585" s="11">
        <v>0.38633224677817585</v>
      </c>
    </row>
    <row r="9586" ht="22.5" customHeight="1">
      <c r="Q9586" s="9" t="s">
        <v>9624</v>
      </c>
      <c r="R9586" s="10">
        <v>0.6081836577410095</v>
      </c>
      <c r="S9586" s="10">
        <v>0.035590683939491316</v>
      </c>
      <c r="T9586" s="10">
        <v>15.964392780621857</v>
      </c>
      <c r="U9586" s="11">
        <v>0.3328121108345865</v>
      </c>
      <c r="V9586" s="11">
        <v>0.34054833660986555</v>
      </c>
      <c r="W9586" s="11">
        <v>7.215868428823372E-4</v>
      </c>
      <c r="X9586" s="11">
        <v>0.15428945071639175</v>
      </c>
      <c r="Y9586" s="11">
        <v>0.0043544283495962665</v>
      </c>
      <c r="Z9586" s="11">
        <v>0.16727408664667762</v>
      </c>
    </row>
    <row r="9587" ht="22.5" customHeight="1">
      <c r="Q9587" s="9" t="s">
        <v>9625</v>
      </c>
      <c r="R9587" s="10">
        <v>0.5879745512523638</v>
      </c>
      <c r="S9587" s="10">
        <v>0.03432681783747459</v>
      </c>
      <c r="T9587" s="10">
        <v>15.96345323492642</v>
      </c>
      <c r="U9587" s="11">
        <v>0.07012550089008925</v>
      </c>
      <c r="V9587" s="11">
        <v>0.03439914972386678</v>
      </c>
      <c r="W9587" s="11">
        <v>0.29886606757235556</v>
      </c>
      <c r="X9587" s="11">
        <v>0.07090871414401573</v>
      </c>
      <c r="Y9587" s="11">
        <v>0.4653389556796917</v>
      </c>
      <c r="Z9587" s="11">
        <v>0.06036161198998098</v>
      </c>
    </row>
    <row r="9588" ht="22.5" customHeight="1">
      <c r="Q9588" s="9" t="s">
        <v>9626</v>
      </c>
      <c r="R9588" s="10">
        <v>0.31665845297375245</v>
      </c>
      <c r="S9588" s="10">
        <v>0.017331113611956384</v>
      </c>
      <c r="T9588" s="10">
        <v>15.96310884390553</v>
      </c>
      <c r="U9588" s="11">
        <v>0.2993385571918876</v>
      </c>
      <c r="V9588" s="11">
        <v>0.0024661418552370386</v>
      </c>
      <c r="W9588" s="11">
        <v>0.14114970136936433</v>
      </c>
      <c r="X9588" s="11">
        <v>0.10724460667812473</v>
      </c>
      <c r="Y9588" s="11">
        <v>0.11183499879320515</v>
      </c>
      <c r="Z9588" s="11">
        <v>0.33796599411218126</v>
      </c>
    </row>
    <row r="9589" ht="22.5" customHeight="1">
      <c r="Q9589" s="9" t="s">
        <v>9627</v>
      </c>
      <c r="R9589" s="10">
        <v>0.522331348251574</v>
      </c>
      <c r="S9589" s="10">
        <v>0.04075793018803734</v>
      </c>
      <c r="T9589" s="10">
        <v>15.959677807564928</v>
      </c>
      <c r="U9589" s="11">
        <v>0.3025270328815767</v>
      </c>
      <c r="V9589" s="11">
        <v>0.06591226577850359</v>
      </c>
      <c r="W9589" s="11">
        <v>0.36747950287242187</v>
      </c>
      <c r="X9589" s="11">
        <v>0.003981799599020175</v>
      </c>
      <c r="Y9589" s="11">
        <v>0.057157830495953584</v>
      </c>
      <c r="Z9589" s="11">
        <v>0.20294156837252425</v>
      </c>
    </row>
    <row r="9590" ht="22.5" customHeight="1">
      <c r="Q9590" s="9" t="s">
        <v>9628</v>
      </c>
      <c r="R9590" s="10">
        <v>0.4431573088683425</v>
      </c>
      <c r="S9590" s="10">
        <v>0.02526123730125078</v>
      </c>
      <c r="T9590" s="10">
        <v>15.959523441410395</v>
      </c>
      <c r="U9590" s="11">
        <v>0.20571793590351092</v>
      </c>
      <c r="V9590" s="11">
        <v>0.013238573565156592</v>
      </c>
      <c r="W9590" s="11">
        <v>0.22020967304803482</v>
      </c>
      <c r="X9590" s="11">
        <v>0.09883033905298372</v>
      </c>
      <c r="Y9590" s="11">
        <v>0.2347849419556696</v>
      </c>
      <c r="Z9590" s="11">
        <v>0.2272185364746444</v>
      </c>
    </row>
    <row r="9591" ht="22.5" customHeight="1">
      <c r="Q9591" s="9" t="s">
        <v>9629</v>
      </c>
      <c r="R9591" s="10">
        <v>0.46109450294388604</v>
      </c>
      <c r="S9591" s="10">
        <v>0.02639781365472362</v>
      </c>
      <c r="T9591" s="10">
        <v>15.951870425774274</v>
      </c>
      <c r="U9591" s="11">
        <v>0.12236761582169943</v>
      </c>
      <c r="V9591" s="11">
        <v>0.02130251078520978</v>
      </c>
      <c r="W9591" s="11">
        <v>0.23446116697870242</v>
      </c>
      <c r="X9591" s="11">
        <v>0.12494112951405893</v>
      </c>
      <c r="Y9591" s="11">
        <v>0.11913970714765751</v>
      </c>
      <c r="Z9591" s="11">
        <v>0.377787869752672</v>
      </c>
    </row>
    <row r="9592" ht="22.5" customHeight="1">
      <c r="Q9592" s="9" t="s">
        <v>9630</v>
      </c>
      <c r="R9592" s="10">
        <v>0.522331348251574</v>
      </c>
      <c r="S9592" s="10">
        <v>0.04247612623042675</v>
      </c>
      <c r="T9592" s="10">
        <v>15.949880699065332</v>
      </c>
      <c r="U9592" s="11">
        <v>0.33688237382854114</v>
      </c>
      <c r="V9592" s="11">
        <v>0.06377424470153062</v>
      </c>
      <c r="W9592" s="11">
        <v>0.38257583105407045</v>
      </c>
      <c r="X9592" s="11">
        <v>0.0060450547199886635</v>
      </c>
      <c r="Y9592" s="11">
        <v>0.12397920464165839</v>
      </c>
      <c r="Z9592" s="11">
        <v>0.08674329105421079</v>
      </c>
    </row>
    <row r="9593" ht="22.5" customHeight="1">
      <c r="Q9593" s="9" t="s">
        <v>9631</v>
      </c>
      <c r="R9593" s="10">
        <v>0.500061323026075</v>
      </c>
      <c r="S9593" s="10">
        <v>0.028846529446525354</v>
      </c>
      <c r="T9593" s="10">
        <v>15.94858486803135</v>
      </c>
      <c r="U9593" s="11">
        <v>0.0938978013004822</v>
      </c>
      <c r="V9593" s="11">
        <v>0.03061867861182193</v>
      </c>
      <c r="W9593" s="11">
        <v>0.2557666569994652</v>
      </c>
      <c r="X9593" s="11">
        <v>0.06172536975455561</v>
      </c>
      <c r="Y9593" s="11">
        <v>0.2230749722279015</v>
      </c>
      <c r="Z9593" s="11">
        <v>0.3349165211057735</v>
      </c>
    </row>
    <row r="9594" ht="22.5" customHeight="1">
      <c r="Q9594" s="9" t="s">
        <v>9632</v>
      </c>
      <c r="R9594" s="10">
        <v>0.522331348251574</v>
      </c>
      <c r="S9594" s="10">
        <v>0.046257072244166204</v>
      </c>
      <c r="T9594" s="10">
        <v>15.941741885597246</v>
      </c>
      <c r="U9594" s="11">
        <v>0.09182662050725454</v>
      </c>
      <c r="V9594" s="11">
        <v>0.08526195419232249</v>
      </c>
      <c r="W9594" s="11">
        <v>0.4187936246288658</v>
      </c>
      <c r="X9594" s="11">
        <v>0.014829018123374563</v>
      </c>
      <c r="Y9594" s="11">
        <v>0.08989704263682359</v>
      </c>
      <c r="Z9594" s="11">
        <v>0.2993917399113589</v>
      </c>
    </row>
    <row r="9595" ht="22.5" customHeight="1">
      <c r="Q9595" s="9" t="s">
        <v>9633</v>
      </c>
      <c r="R9595" s="10">
        <v>0.44201567422504723</v>
      </c>
      <c r="S9595" s="10">
        <v>0.025221859037160958</v>
      </c>
      <c r="T9595" s="10">
        <v>15.939176950942917</v>
      </c>
      <c r="U9595" s="11">
        <v>0.22963465465621902</v>
      </c>
      <c r="V9595" s="11">
        <v>0.021390611267598066</v>
      </c>
      <c r="W9595" s="11">
        <v>0.21290828662978475</v>
      </c>
      <c r="X9595" s="11">
        <v>0.001506587349058914</v>
      </c>
      <c r="Y9595" s="11">
        <v>0.36609948835909245</v>
      </c>
      <c r="Z9595" s="11">
        <v>0.16846037173824668</v>
      </c>
    </row>
    <row r="9596" ht="22.5" customHeight="1">
      <c r="Q9596" s="9" t="s">
        <v>9634</v>
      </c>
      <c r="R9596" s="10">
        <v>0.6274106728601463</v>
      </c>
      <c r="S9596" s="10">
        <v>0.036863706597039886</v>
      </c>
      <c r="T9596" s="10">
        <v>15.934661136525937</v>
      </c>
      <c r="U9596" s="11">
        <v>0.33448376396576623</v>
      </c>
      <c r="V9596" s="11">
        <v>0.02436951823393084</v>
      </c>
      <c r="W9596" s="11">
        <v>0.3320830358965689</v>
      </c>
      <c r="X9596" s="11">
        <v>0.21941186981577343</v>
      </c>
      <c r="Y9596" s="11">
        <v>0.08472219789064502</v>
      </c>
      <c r="Z9596" s="11">
        <v>0.0049296141973157355</v>
      </c>
    </row>
    <row r="9597" ht="22.5" customHeight="1">
      <c r="Q9597" s="9" t="s">
        <v>9635</v>
      </c>
      <c r="R9597" s="10">
        <v>0.5767043149914662</v>
      </c>
      <c r="S9597" s="10">
        <v>0.03368873664439264</v>
      </c>
      <c r="T9597" s="10">
        <v>15.93126868059027</v>
      </c>
      <c r="U9597" s="11">
        <v>0.0186932688247507</v>
      </c>
      <c r="V9597" s="11">
        <v>0.014223560600913555</v>
      </c>
      <c r="W9597" s="11">
        <v>0.30189457447824547</v>
      </c>
      <c r="X9597" s="11">
        <v>0.3906192185166951</v>
      </c>
      <c r="Y9597" s="11">
        <v>0.05429762829507127</v>
      </c>
      <c r="Z9597" s="11">
        <v>0.22027174928432391</v>
      </c>
    </row>
    <row r="9598" ht="22.5" customHeight="1">
      <c r="Q9598" s="9" t="s">
        <v>9636</v>
      </c>
      <c r="R9598" s="10">
        <v>0.5402773736550625</v>
      </c>
      <c r="S9598" s="10">
        <v>0.031404530462692586</v>
      </c>
      <c r="T9598" s="10">
        <v>15.930102003893143</v>
      </c>
      <c r="U9598" s="11">
        <v>0.190694956170877</v>
      </c>
      <c r="V9598" s="11">
        <v>0.03466832485157584</v>
      </c>
      <c r="W9598" s="11">
        <v>0.28192168853125027</v>
      </c>
      <c r="X9598" s="11">
        <v>0.08248351192531243</v>
      </c>
      <c r="Y9598" s="11">
        <v>0.10253309653127353</v>
      </c>
      <c r="Z9598" s="11">
        <v>0.30769842198971087</v>
      </c>
    </row>
    <row r="9599" ht="22.5" customHeight="1">
      <c r="Q9599" s="9" t="s">
        <v>9637</v>
      </c>
      <c r="R9599" s="10">
        <v>0.45748838318320695</v>
      </c>
      <c r="S9599" s="10">
        <v>0.026207799233792656</v>
      </c>
      <c r="T9599" s="10">
        <v>15.929929081755645</v>
      </c>
      <c r="U9599" s="11">
        <v>0.22627611315214538</v>
      </c>
      <c r="V9599" s="11">
        <v>0.00661006043247624</v>
      </c>
      <c r="W9599" s="11">
        <v>0.2296347482756805</v>
      </c>
      <c r="X9599" s="11">
        <v>0.16259771471921533</v>
      </c>
      <c r="Y9599" s="11">
        <v>0.21353858851157817</v>
      </c>
      <c r="Z9599" s="11">
        <v>0.16134277490890434</v>
      </c>
    </row>
    <row r="9600" ht="22.5" customHeight="1">
      <c r="Q9600" s="9" t="s">
        <v>9638</v>
      </c>
      <c r="R9600" s="10">
        <v>0.40858132403655023</v>
      </c>
      <c r="S9600" s="10">
        <v>0.023137896715132927</v>
      </c>
      <c r="T9600" s="10">
        <v>15.929767885751096</v>
      </c>
      <c r="U9600" s="11">
        <v>0.06255507933498151</v>
      </c>
      <c r="V9600" s="11">
        <v>0.007861705926324241</v>
      </c>
      <c r="W9600" s="11">
        <v>0.20064137681902688</v>
      </c>
      <c r="X9600" s="11">
        <v>0.15973268063785018</v>
      </c>
      <c r="Y9600" s="11">
        <v>0.22643787898366308</v>
      </c>
      <c r="Z9600" s="11">
        <v>0.3427712782981541</v>
      </c>
    </row>
    <row r="9601" ht="22.5" customHeight="1">
      <c r="Q9601" s="9" t="s">
        <v>9639</v>
      </c>
      <c r="R9601" s="10">
        <v>0.41759097674431345</v>
      </c>
      <c r="S9601" s="10">
        <v>0.023704132300720698</v>
      </c>
      <c r="T9601" s="10">
        <v>15.929331306205764</v>
      </c>
      <c r="U9601" s="11">
        <v>0.344934021767158</v>
      </c>
      <c r="V9601" s="11">
        <v>0.008790873813091663</v>
      </c>
      <c r="W9601" s="11">
        <v>0.19539149588870017</v>
      </c>
      <c r="X9601" s="11">
        <v>0.052930446939591265</v>
      </c>
      <c r="Y9601" s="11">
        <v>0.3608348316327491</v>
      </c>
      <c r="Z9601" s="11">
        <v>0.03711832995870983</v>
      </c>
    </row>
    <row r="9602" ht="22.5" customHeight="1">
      <c r="Q9602" s="9" t="s">
        <v>9640</v>
      </c>
      <c r="R9602" s="10">
        <v>0.7476837446558197</v>
      </c>
      <c r="S9602" s="10">
        <v>0.04443129819100635</v>
      </c>
      <c r="T9602" s="10">
        <v>15.927595489412615</v>
      </c>
      <c r="U9602" s="11">
        <v>0.21814281017306844</v>
      </c>
      <c r="V9602" s="11">
        <v>0.4244812692050838</v>
      </c>
      <c r="W9602" s="11">
        <v>0.017779364298577828</v>
      </c>
      <c r="X9602" s="11">
        <v>0.0028431792726873973</v>
      </c>
      <c r="Y9602" s="11">
        <v>0.33282018274752484</v>
      </c>
      <c r="Z9602" s="11">
        <v>0.0039331943030575574</v>
      </c>
    </row>
    <row r="9603" ht="22.5" customHeight="1">
      <c r="Q9603" s="9" t="s">
        <v>9641</v>
      </c>
      <c r="R9603" s="10">
        <v>0.5950026598750247</v>
      </c>
      <c r="S9603" s="10">
        <v>0.03484705286397466</v>
      </c>
      <c r="T9603" s="10">
        <v>15.926817743855569</v>
      </c>
      <c r="U9603" s="11">
        <v>0.09860148046860061</v>
      </c>
      <c r="V9603" s="11">
        <v>0.03788492250385114</v>
      </c>
      <c r="W9603" s="11">
        <v>0.3136956660548523</v>
      </c>
      <c r="X9603" s="11">
        <v>0.1094776371319591</v>
      </c>
      <c r="Y9603" s="11">
        <v>0.1919527500760901</v>
      </c>
      <c r="Z9603" s="11">
        <v>0.24838754376464675</v>
      </c>
    </row>
    <row r="9604" ht="22.5" customHeight="1">
      <c r="Q9604" s="9" t="s">
        <v>9642</v>
      </c>
      <c r="R9604" s="10">
        <v>0.5787161445164468</v>
      </c>
      <c r="S9604" s="10">
        <v>0.03382469267732315</v>
      </c>
      <c r="T9604" s="10">
        <v>15.926712170177806</v>
      </c>
      <c r="U9604" s="11">
        <v>0.018753388865298787</v>
      </c>
      <c r="V9604" s="11">
        <v>0.027839907917308768</v>
      </c>
      <c r="W9604" s="11">
        <v>0.2898000954795729</v>
      </c>
      <c r="X9604" s="11">
        <v>0.11588016188148566</v>
      </c>
      <c r="Y9604" s="11">
        <v>0.5460987446827361</v>
      </c>
      <c r="Z9604" s="11">
        <v>0.001627701173597719</v>
      </c>
    </row>
    <row r="9605" ht="22.5" customHeight="1">
      <c r="Q9605" s="9" t="s">
        <v>9643</v>
      </c>
      <c r="R9605" s="10">
        <v>0.6111367747615767</v>
      </c>
      <c r="S9605" s="10">
        <v>0.03586398422036231</v>
      </c>
      <c r="T9605" s="10">
        <v>15.925078799173273</v>
      </c>
      <c r="U9605" s="11">
        <v>0.21087172772118196</v>
      </c>
      <c r="V9605" s="11">
        <v>0.05597254413186276</v>
      </c>
      <c r="W9605" s="11">
        <v>0.3232099083757344</v>
      </c>
      <c r="X9605" s="11">
        <v>0.03629122943573864</v>
      </c>
      <c r="Y9605" s="11">
        <v>0.015262942544245126</v>
      </c>
      <c r="Z9605" s="11">
        <v>0.3583916477912371</v>
      </c>
    </row>
    <row r="9606" ht="22.5" customHeight="1">
      <c r="Q9606" s="9" t="s">
        <v>9644</v>
      </c>
      <c r="R9606" s="10">
        <v>0.5449915596839544</v>
      </c>
      <c r="S9606" s="10">
        <v>0.03172358598944593</v>
      </c>
      <c r="T9606" s="10">
        <v>15.918489159830774</v>
      </c>
      <c r="U9606" s="11">
        <v>0.06684854646579273</v>
      </c>
      <c r="V9606" s="11">
        <v>0.018843429206939533</v>
      </c>
      <c r="W9606" s="11">
        <v>0.28517665052989855</v>
      </c>
      <c r="X9606" s="11">
        <v>0.30516286600060283</v>
      </c>
      <c r="Y9606" s="11">
        <v>0.01771555685193523</v>
      </c>
      <c r="Z9606" s="11">
        <v>0.3062529509448311</v>
      </c>
    </row>
    <row r="9607" ht="22.5" customHeight="1">
      <c r="Q9607" s="9" t="s">
        <v>9645</v>
      </c>
      <c r="R9607" s="10">
        <v>0.522331348251574</v>
      </c>
      <c r="S9607" s="10">
        <v>0.010091754524578781</v>
      </c>
      <c r="T9607" s="10">
        <v>15.91792338349402</v>
      </c>
      <c r="U9607" s="11">
        <v>0.33160835274104977</v>
      </c>
      <c r="V9607" s="11">
        <v>0.001956104671321136</v>
      </c>
      <c r="W9607" s="11">
        <v>0.011903817404265198</v>
      </c>
      <c r="X9607" s="11">
        <v>0.3513334677280001</v>
      </c>
      <c r="Y9607" s="11">
        <v>0.24784276765707858</v>
      </c>
      <c r="Z9607" s="11">
        <v>0.055355489798285244</v>
      </c>
    </row>
    <row r="9608" ht="22.5" customHeight="1">
      <c r="Q9608" s="9" t="s">
        <v>9646</v>
      </c>
      <c r="R9608" s="10">
        <v>0.7640014020204908</v>
      </c>
      <c r="S9608" s="10">
        <v>0.04548763440771237</v>
      </c>
      <c r="T9608" s="10">
        <v>15.916444357848103</v>
      </c>
      <c r="U9608" s="11">
        <v>0.29272413633013394</v>
      </c>
      <c r="V9608" s="11">
        <v>0.43765341700085103</v>
      </c>
      <c r="W9608" s="11">
        <v>0.017052185117087122</v>
      </c>
      <c r="X9608" s="11">
        <v>0.04713180825718053</v>
      </c>
      <c r="Y9608" s="11">
        <v>0.1818083732049466</v>
      </c>
      <c r="Z9608" s="11">
        <v>0.023630080089800706</v>
      </c>
    </row>
    <row r="9609" ht="22.5" customHeight="1">
      <c r="Q9609" s="9" t="s">
        <v>9647</v>
      </c>
      <c r="R9609" s="10">
        <v>0.461225568376051</v>
      </c>
      <c r="S9609" s="10">
        <v>0.02646783407229992</v>
      </c>
      <c r="T9609" s="10">
        <v>15.914621771672936</v>
      </c>
      <c r="U9609" s="11">
        <v>0.2290889839918005</v>
      </c>
      <c r="V9609" s="11">
        <v>0.00969467413663143</v>
      </c>
      <c r="W9609" s="11">
        <v>0.23288259374914214</v>
      </c>
      <c r="X9609" s="11">
        <v>0.14486675475437646</v>
      </c>
      <c r="Y9609" s="11">
        <v>0.19283216639207854</v>
      </c>
      <c r="Z9609" s="11">
        <v>0.1906348269759709</v>
      </c>
    </row>
    <row r="9610" ht="22.5" customHeight="1">
      <c r="Q9610" s="9" t="s">
        <v>9648</v>
      </c>
      <c r="R9610" s="10">
        <v>0.4934911996992913</v>
      </c>
      <c r="S9610" s="10">
        <v>0.028502151196639892</v>
      </c>
      <c r="T9610" s="10">
        <v>15.910770964991345</v>
      </c>
      <c r="U9610" s="11">
        <v>0.12011071716800953</v>
      </c>
      <c r="V9610" s="11">
        <v>0.016602221690608158</v>
      </c>
      <c r="W9610" s="11">
        <v>0.24529339427701252</v>
      </c>
      <c r="X9610" s="11">
        <v>0.10091175563390402</v>
      </c>
      <c r="Y9610" s="11">
        <v>0.4099753832756755</v>
      </c>
      <c r="Z9610" s="11">
        <v>0.1071065279547903</v>
      </c>
    </row>
    <row r="9611" ht="22.5" customHeight="1">
      <c r="Q9611" s="9" t="s">
        <v>9649</v>
      </c>
      <c r="R9611" s="10">
        <v>0.7287854008582252</v>
      </c>
      <c r="S9611" s="10">
        <v>0.043300259307371546</v>
      </c>
      <c r="T9611" s="10">
        <v>15.907188822330323</v>
      </c>
      <c r="U9611" s="11">
        <v>0.3119896727867024</v>
      </c>
      <c r="V9611" s="11">
        <v>0.41667285068860027</v>
      </c>
      <c r="W9611" s="11">
        <v>0.017190199180062243</v>
      </c>
      <c r="X9611" s="11">
        <v>0.02673054947266932</v>
      </c>
      <c r="Y9611" s="11">
        <v>0.14945364176581016</v>
      </c>
      <c r="Z9611" s="11">
        <v>0.07796308610615554</v>
      </c>
    </row>
    <row r="9612" ht="22.5" customHeight="1">
      <c r="Q9612" s="9" t="s">
        <v>9650</v>
      </c>
      <c r="R9612" s="10">
        <v>0.5780087555315635</v>
      </c>
      <c r="S9612" s="10">
        <v>0.033832834130188255</v>
      </c>
      <c r="T9612" s="10">
        <v>15.901971246668653</v>
      </c>
      <c r="U9612" s="11">
        <v>0.29711065279383914</v>
      </c>
      <c r="V9612" s="11">
        <v>0.034656718461614125</v>
      </c>
      <c r="W9612" s="11">
        <v>0.30441245257057414</v>
      </c>
      <c r="X9612" s="11">
        <v>0.09467018455802262</v>
      </c>
      <c r="Y9612" s="11">
        <v>0.07378107070763026</v>
      </c>
      <c r="Z9612" s="11">
        <v>0.1953689209083196</v>
      </c>
    </row>
    <row r="9613" ht="22.5" customHeight="1">
      <c r="Q9613" s="9" t="s">
        <v>9651</v>
      </c>
      <c r="R9613" s="10">
        <v>0.5400986749108574</v>
      </c>
      <c r="S9613" s="10">
        <v>0.0314537478259717</v>
      </c>
      <c r="T9613" s="10">
        <v>15.899494002362431</v>
      </c>
      <c r="U9613" s="11">
        <v>0.07634301898792786</v>
      </c>
      <c r="V9613" s="11">
        <v>0.013712562763445759</v>
      </c>
      <c r="W9613" s="11">
        <v>0.2793979537738366</v>
      </c>
      <c r="X9613" s="11">
        <v>0.22108931362804965</v>
      </c>
      <c r="Y9613" s="11">
        <v>0.26744465873695844</v>
      </c>
      <c r="Z9613" s="11">
        <v>0.14201249210978176</v>
      </c>
    </row>
    <row r="9614" ht="22.5" customHeight="1">
      <c r="Q9614" s="9" t="s">
        <v>9652</v>
      </c>
      <c r="R9614" s="10">
        <v>0.8151821978354354</v>
      </c>
      <c r="S9614" s="10">
        <v>0.04875745360371084</v>
      </c>
      <c r="T9614" s="10">
        <v>15.898742459684929</v>
      </c>
      <c r="U9614" s="11">
        <v>0.030420794401470334</v>
      </c>
      <c r="V9614" s="11">
        <v>0.07527174732544506</v>
      </c>
      <c r="W9614" s="11">
        <v>0.4442619593165899</v>
      </c>
      <c r="X9614" s="11">
        <v>0.16875672246964624</v>
      </c>
      <c r="Y9614" s="11">
        <v>0.02963702233817455</v>
      </c>
      <c r="Z9614" s="11">
        <v>0.2516517541486739</v>
      </c>
    </row>
    <row r="9615" ht="22.5" customHeight="1">
      <c r="Q9615" s="9" t="s">
        <v>9653</v>
      </c>
      <c r="R9615" s="10">
        <v>0.5285331157234983</v>
      </c>
      <c r="S9615" s="10">
        <v>0.030738861749564455</v>
      </c>
      <c r="T9615" s="10">
        <v>15.893012555366349</v>
      </c>
      <c r="U9615" s="11">
        <v>0.1320557449218293</v>
      </c>
      <c r="V9615" s="11">
        <v>0.01620098993360457</v>
      </c>
      <c r="W9615" s="11">
        <v>0.2759613196383162</v>
      </c>
      <c r="X9615" s="11">
        <v>0.22662295199949725</v>
      </c>
      <c r="Y9615" s="11">
        <v>0.11092095254430089</v>
      </c>
      <c r="Z9615" s="11">
        <v>0.23823804096245169</v>
      </c>
    </row>
    <row r="9616" ht="22.5" customHeight="1">
      <c r="Q9616" s="9" t="s">
        <v>9654</v>
      </c>
      <c r="R9616" s="10">
        <v>0.7005818930881074</v>
      </c>
      <c r="S9616" s="10">
        <v>0.04157204366312232</v>
      </c>
      <c r="T9616" s="10">
        <v>15.890050978516017</v>
      </c>
      <c r="U9616" s="11">
        <v>0.3649491424957607</v>
      </c>
      <c r="V9616" s="11">
        <v>0.06036275220482837</v>
      </c>
      <c r="W9616" s="11">
        <v>0.37528802974530096</v>
      </c>
      <c r="X9616" s="11">
        <v>0.026111765082072736</v>
      </c>
      <c r="Y9616" s="11">
        <v>0.04489770749904119</v>
      </c>
      <c r="Z9616" s="11">
        <v>0.1283906029729961</v>
      </c>
    </row>
    <row r="9617" ht="22.5" customHeight="1">
      <c r="Q9617" s="9" t="s">
        <v>9655</v>
      </c>
      <c r="R9617" s="10">
        <v>0.67898753542754</v>
      </c>
      <c r="S9617" s="10">
        <v>0.040228153063945095</v>
      </c>
      <c r="T9617" s="10">
        <v>15.88408830034604</v>
      </c>
      <c r="U9617" s="11">
        <v>0.06622347266673634</v>
      </c>
      <c r="V9617" s="11">
        <v>0.38511223788029864</v>
      </c>
      <c r="W9617" s="11">
        <v>0.0013186473480735496</v>
      </c>
      <c r="X9617" s="11">
        <v>0.12745140797372556</v>
      </c>
      <c r="Y9617" s="11">
        <v>0.3163542490644635</v>
      </c>
      <c r="Z9617" s="11">
        <v>0.10353998506670269</v>
      </c>
    </row>
    <row r="9618" ht="22.5" customHeight="1">
      <c r="Q9618" s="9" t="s">
        <v>9656</v>
      </c>
      <c r="R9618" s="10">
        <v>0.5199487152907469</v>
      </c>
      <c r="S9618" s="10">
        <v>0.030216520529681042</v>
      </c>
      <c r="T9618" s="10">
        <v>15.883652613784687</v>
      </c>
      <c r="U9618" s="11">
        <v>0.2899351821786462</v>
      </c>
      <c r="V9618" s="11">
        <v>0.01988970158032067</v>
      </c>
      <c r="W9618" s="11">
        <v>0.26782299354864064</v>
      </c>
      <c r="X9618" s="11">
        <v>0.09591433787726039</v>
      </c>
      <c r="Y9618" s="11">
        <v>0.2043100474695473</v>
      </c>
      <c r="Z9618" s="11">
        <v>0.12212773734558491</v>
      </c>
    </row>
    <row r="9619" ht="22.5" customHeight="1">
      <c r="Q9619" s="9" t="s">
        <v>9657</v>
      </c>
      <c r="R9619" s="10">
        <v>0.617032630961956</v>
      </c>
      <c r="S9619" s="10">
        <v>0.03632950035956566</v>
      </c>
      <c r="T9619" s="10">
        <v>15.883307649454684</v>
      </c>
      <c r="U9619" s="11">
        <v>0.28993467290821434</v>
      </c>
      <c r="V9619" s="11">
        <v>0.04900600947958104</v>
      </c>
      <c r="W9619" s="11">
        <v>0.3278653115500176</v>
      </c>
      <c r="X9619" s="11">
        <v>0.06239527043959329</v>
      </c>
      <c r="Y9619" s="11">
        <v>0.004504627901586091</v>
      </c>
      <c r="Z9619" s="11">
        <v>0.26629410772100776</v>
      </c>
    </row>
    <row r="9620" ht="22.5" customHeight="1">
      <c r="Q9620" s="9" t="s">
        <v>9658</v>
      </c>
      <c r="R9620" s="10">
        <v>0.44828958712674605</v>
      </c>
      <c r="S9620" s="10">
        <v>0.025705999756449254</v>
      </c>
      <c r="T9620" s="10">
        <v>15.883046409206951</v>
      </c>
      <c r="U9620" s="11">
        <v>0.010015933734365516</v>
      </c>
      <c r="V9620" s="11">
        <v>0.04330985119344897</v>
      </c>
      <c r="W9620" s="11">
        <v>0.2250952523654928</v>
      </c>
      <c r="X9620" s="11">
        <v>0.05486813950717786</v>
      </c>
      <c r="Y9620" s="11">
        <v>0.014102664018171441</v>
      </c>
      <c r="Z9620" s="11">
        <v>0.6526081591813435</v>
      </c>
    </row>
    <row r="9621" ht="22.5" customHeight="1">
      <c r="Q9621" s="9" t="s">
        <v>9659</v>
      </c>
      <c r="R9621" s="10">
        <v>0.5377534053830603</v>
      </c>
      <c r="S9621" s="10">
        <v>0.03134104073409236</v>
      </c>
      <c r="T9621" s="10">
        <v>15.881840351319633</v>
      </c>
      <c r="U9621" s="11">
        <v>0.05711433827485739</v>
      </c>
      <c r="V9621" s="11">
        <v>0.016581390187925357</v>
      </c>
      <c r="W9621" s="11">
        <v>0.2815461771930938</v>
      </c>
      <c r="X9621" s="11">
        <v>0.27130292046953214</v>
      </c>
      <c r="Y9621" s="11">
        <v>0.09597740204114658</v>
      </c>
      <c r="Z9621" s="11">
        <v>0.2774777718334447</v>
      </c>
    </row>
    <row r="9622" ht="22.5" customHeight="1">
      <c r="Q9622" s="9" t="s">
        <v>9660</v>
      </c>
      <c r="R9622" s="10">
        <v>0.8616457097544731</v>
      </c>
      <c r="S9622" s="10">
        <v>0.051745314905627886</v>
      </c>
      <c r="T9622" s="10">
        <v>15.878649328020803</v>
      </c>
      <c r="U9622" s="11">
        <v>0.09949319266249469</v>
      </c>
      <c r="V9622" s="11">
        <v>0.07646060639721221</v>
      </c>
      <c r="W9622" s="11">
        <v>0.4720926155093498</v>
      </c>
      <c r="X9622" s="11">
        <v>0.18592333349022647</v>
      </c>
      <c r="Y9622" s="11">
        <v>0.01719784827724405</v>
      </c>
      <c r="Z9622" s="11">
        <v>0.14883240366347292</v>
      </c>
    </row>
    <row r="9623" ht="22.5" customHeight="1">
      <c r="Q9623" s="9" t="s">
        <v>9661</v>
      </c>
      <c r="R9623" s="10">
        <v>0.5917885711359859</v>
      </c>
      <c r="S9623" s="10">
        <v>0.03475526192252698</v>
      </c>
      <c r="T9623" s="10">
        <v>15.876403761996638</v>
      </c>
      <c r="U9623" s="11">
        <v>0.1426298100085545</v>
      </c>
      <c r="V9623" s="11">
        <v>0.01724384201838465</v>
      </c>
      <c r="W9623" s="11">
        <v>0.31298546695153157</v>
      </c>
      <c r="X9623" s="11">
        <v>0.27117764329767347</v>
      </c>
      <c r="Y9623" s="11">
        <v>0.1373211145231217</v>
      </c>
      <c r="Z9623" s="11">
        <v>0.11864212320073397</v>
      </c>
    </row>
    <row r="9624" ht="22.5" customHeight="1">
      <c r="Q9624" s="9" t="s">
        <v>9662</v>
      </c>
      <c r="R9624" s="10">
        <v>0.639401589951286</v>
      </c>
      <c r="S9624" s="10">
        <v>0.03776439045049801</v>
      </c>
      <c r="T9624" s="10">
        <v>15.872137291266183</v>
      </c>
      <c r="U9624" s="11">
        <v>0.0648786499892299</v>
      </c>
      <c r="V9624" s="11">
        <v>0.3594868762442244</v>
      </c>
      <c r="W9624" s="11">
        <v>0.0013259393616330004</v>
      </c>
      <c r="X9624" s="11">
        <v>0.08558833335599103</v>
      </c>
      <c r="Y9624" s="11">
        <v>0.362906658307292</v>
      </c>
      <c r="Z9624" s="11">
        <v>0.12581354274162976</v>
      </c>
    </row>
    <row r="9625" ht="22.5" customHeight="1">
      <c r="Q9625" s="9" t="s">
        <v>9663</v>
      </c>
      <c r="R9625" s="10">
        <v>0.6684477031479634</v>
      </c>
      <c r="S9625" s="10">
        <v>0.03959656121252142</v>
      </c>
      <c r="T9625" s="10">
        <v>15.87126972402928</v>
      </c>
      <c r="U9625" s="11">
        <v>0.11219289667986457</v>
      </c>
      <c r="V9625" s="11">
        <v>0.058258755742469304</v>
      </c>
      <c r="W9625" s="11">
        <v>0.35808687718230664</v>
      </c>
      <c r="X9625" s="11">
        <v>0.04437656444287051</v>
      </c>
      <c r="Y9625" s="11">
        <v>0.14105981442700363</v>
      </c>
      <c r="Z9625" s="11">
        <v>0.2860250915254855</v>
      </c>
    </row>
    <row r="9626" ht="22.5" customHeight="1">
      <c r="Q9626" s="9" t="s">
        <v>9664</v>
      </c>
      <c r="R9626" s="10">
        <v>0.544027417315665</v>
      </c>
      <c r="S9626" s="10">
        <v>0.03175828568139997</v>
      </c>
      <c r="T9626" s="10">
        <v>15.870737557186883</v>
      </c>
      <c r="U9626" s="11">
        <v>0.2630678824140525</v>
      </c>
      <c r="V9626" s="11">
        <v>0.3040838877003729</v>
      </c>
      <c r="W9626" s="11">
        <v>2.484358070161518E-4</v>
      </c>
      <c r="X9626" s="11">
        <v>0.08644409107587568</v>
      </c>
      <c r="Y9626" s="11">
        <v>0.06394563894760204</v>
      </c>
      <c r="Z9626" s="11">
        <v>0.2822100640550807</v>
      </c>
    </row>
    <row r="9627" ht="22.5" customHeight="1">
      <c r="Q9627" s="9" t="s">
        <v>9665</v>
      </c>
      <c r="R9627" s="10">
        <v>0.6687357003127916</v>
      </c>
      <c r="S9627" s="10">
        <v>0.03961968951281447</v>
      </c>
      <c r="T9627" s="10">
        <v>15.869273788968872</v>
      </c>
      <c r="U9627" s="11">
        <v>0.1366300417461975</v>
      </c>
      <c r="V9627" s="11">
        <v>0.0452743059896164</v>
      </c>
      <c r="W9627" s="11">
        <v>0.35768683569177484</v>
      </c>
      <c r="X9627" s="11">
        <v>0.09938353888869544</v>
      </c>
      <c r="Y9627" s="11">
        <v>0.21699614852579666</v>
      </c>
      <c r="Z9627" s="11">
        <v>0.1440291291579192</v>
      </c>
    </row>
    <row r="9628" ht="22.5" customHeight="1">
      <c r="Q9628" s="9" t="s">
        <v>9666</v>
      </c>
      <c r="R9628" s="10">
        <v>0.6333946721208255</v>
      </c>
      <c r="S9628" s="10">
        <v>0.03739513362692402</v>
      </c>
      <c r="T9628" s="10">
        <v>15.868232429408645</v>
      </c>
      <c r="U9628" s="11">
        <v>0.29092988650102397</v>
      </c>
      <c r="V9628" s="11">
        <v>0.3578431850272486</v>
      </c>
      <c r="W9628" s="11">
        <v>0.007698333599294897</v>
      </c>
      <c r="X9628" s="11">
        <v>0.022823354517276732</v>
      </c>
      <c r="Y9628" s="11">
        <v>0.18582089556196346</v>
      </c>
      <c r="Z9628" s="11">
        <v>0.13488434479319222</v>
      </c>
    </row>
    <row r="9629" ht="22.5" customHeight="1">
      <c r="Q9629" s="9" t="s">
        <v>9667</v>
      </c>
      <c r="R9629" s="10">
        <v>0.557065960891556</v>
      </c>
      <c r="S9629" s="10">
        <v>0.032586566284797856</v>
      </c>
      <c r="T9629" s="10">
        <v>15.86745766253916</v>
      </c>
      <c r="U9629" s="11">
        <v>0.040179639153884665</v>
      </c>
      <c r="V9629" s="11">
        <v>0.014120785960329249</v>
      </c>
      <c r="W9629" s="11">
        <v>0.2923867010669284</v>
      </c>
      <c r="X9629" s="11">
        <v>0.3012443256711707</v>
      </c>
      <c r="Y9629" s="11">
        <v>0.13534228862007344</v>
      </c>
      <c r="Z9629" s="11">
        <v>0.2167262595276135</v>
      </c>
    </row>
    <row r="9630" ht="22.5" customHeight="1">
      <c r="Q9630" s="9" t="s">
        <v>9668</v>
      </c>
      <c r="R9630" s="10">
        <v>0.31184763508077395</v>
      </c>
      <c r="S9630" s="10">
        <v>0.017134356616938278</v>
      </c>
      <c r="T9630" s="10">
        <v>15.865645915880918</v>
      </c>
      <c r="U9630" s="11">
        <v>0.25705093649841076</v>
      </c>
      <c r="V9630" s="11">
        <v>0.008193168927027757</v>
      </c>
      <c r="W9630" s="11">
        <v>0.1387196387828442</v>
      </c>
      <c r="X9630" s="11">
        <v>0.054593832255480354</v>
      </c>
      <c r="Y9630" s="11">
        <v>0.14205515872066463</v>
      </c>
      <c r="Z9630" s="11">
        <v>0.3993872648155722</v>
      </c>
    </row>
    <row r="9631" ht="22.5" customHeight="1">
      <c r="Q9631" s="9" t="s">
        <v>9669</v>
      </c>
      <c r="R9631" s="10">
        <v>0.4367155776462169</v>
      </c>
      <c r="S9631" s="10">
        <v>0.025005994516967715</v>
      </c>
      <c r="T9631" s="10">
        <v>15.864819028774367</v>
      </c>
      <c r="U9631" s="11">
        <v>0.13618762397437906</v>
      </c>
      <c r="V9631" s="11">
        <v>0.003880165106299431</v>
      </c>
      <c r="W9631" s="11">
        <v>0.21899030987358645</v>
      </c>
      <c r="X9631" s="11">
        <v>0.190306667935414</v>
      </c>
      <c r="Y9631" s="11">
        <v>0.20540357045311639</v>
      </c>
      <c r="Z9631" s="11">
        <v>0.24523166265720467</v>
      </c>
    </row>
    <row r="9632" ht="22.5" customHeight="1">
      <c r="Q9632" s="9" t="s">
        <v>9670</v>
      </c>
      <c r="R9632" s="10">
        <v>0.7467134804164435</v>
      </c>
      <c r="S9632" s="10">
        <v>0.04454731602707368</v>
      </c>
      <c r="T9632" s="10">
        <v>15.864333554617243</v>
      </c>
      <c r="U9632" s="11">
        <v>0.07917136753688069</v>
      </c>
      <c r="V9632" s="11">
        <v>0.03765416192195492</v>
      </c>
      <c r="W9632" s="11">
        <v>0.40495697599694086</v>
      </c>
      <c r="X9632" s="11">
        <v>0.35843478128547157</v>
      </c>
      <c r="Y9632" s="11">
        <v>0.034591790295769094</v>
      </c>
      <c r="Z9632" s="11">
        <v>0.08519092296298286</v>
      </c>
    </row>
    <row r="9633" ht="22.5" customHeight="1">
      <c r="Q9633" s="9" t="s">
        <v>9671</v>
      </c>
      <c r="R9633" s="10">
        <v>0.20988065106611753</v>
      </c>
      <c r="S9633" s="10">
        <v>0.010709022450772593</v>
      </c>
      <c r="T9633" s="10">
        <v>15.863320097331725</v>
      </c>
      <c r="U9633" s="11">
        <v>0.05875855461643346</v>
      </c>
      <c r="V9633" s="11">
        <v>0.037039592789770724</v>
      </c>
      <c r="W9633" s="11">
        <v>0.03909663050895235</v>
      </c>
      <c r="X9633" s="11">
        <v>0.002531062207190834</v>
      </c>
      <c r="Y9633" s="11">
        <v>0.3058159741533504</v>
      </c>
      <c r="Z9633" s="11">
        <v>0.5567581857243024</v>
      </c>
    </row>
    <row r="9634" ht="22.5" customHeight="1">
      <c r="Q9634" s="9" t="s">
        <v>9672</v>
      </c>
      <c r="R9634" s="10">
        <v>0.45542810244121157</v>
      </c>
      <c r="S9634" s="10">
        <v>0.026189889410245876</v>
      </c>
      <c r="T9634" s="10">
        <v>15.862155656094139</v>
      </c>
      <c r="U9634" s="11">
        <v>0.16746343859459734</v>
      </c>
      <c r="V9634" s="11">
        <v>0.004209121090617815</v>
      </c>
      <c r="W9634" s="11">
        <v>0.2277959918132005</v>
      </c>
      <c r="X9634" s="11">
        <v>0.17059860163547982</v>
      </c>
      <c r="Y9634" s="11">
        <v>0.28139898388291107</v>
      </c>
      <c r="Z9634" s="11">
        <v>0.14853386298319332</v>
      </c>
    </row>
    <row r="9635" ht="22.5" customHeight="1">
      <c r="Q9635" s="9" t="s">
        <v>9673</v>
      </c>
      <c r="R9635" s="10">
        <v>0.44942751248698987</v>
      </c>
      <c r="S9635" s="10">
        <v>0.025816439696788242</v>
      </c>
      <c r="T9635" s="10">
        <v>15.859178000362526</v>
      </c>
      <c r="U9635" s="11">
        <v>0.1859523636074283</v>
      </c>
      <c r="V9635" s="11">
        <v>0.002223280483289417</v>
      </c>
      <c r="W9635" s="11">
        <v>0.22615007764216064</v>
      </c>
      <c r="X9635" s="11">
        <v>0.1973761394315501</v>
      </c>
      <c r="Y9635" s="11">
        <v>0.20937823628515684</v>
      </c>
      <c r="Z9635" s="11">
        <v>0.17891990255041484</v>
      </c>
    </row>
    <row r="9636" ht="22.5" customHeight="1">
      <c r="Q9636" s="9" t="s">
        <v>9674</v>
      </c>
      <c r="R9636" s="10">
        <v>0.6316025301380866</v>
      </c>
      <c r="S9636" s="10">
        <v>0.03730617704963719</v>
      </c>
      <c r="T9636" s="10">
        <v>15.858031482318289</v>
      </c>
      <c r="U9636" s="11">
        <v>0.028921163050773805</v>
      </c>
      <c r="V9636" s="11">
        <v>0.05175414800851483</v>
      </c>
      <c r="W9636" s="11">
        <v>0.3341481135886454</v>
      </c>
      <c r="X9636" s="11">
        <v>0.02950540409818486</v>
      </c>
      <c r="Y9636" s="11">
        <v>0.27964295626912106</v>
      </c>
      <c r="Z9636" s="11">
        <v>0.27602821498476</v>
      </c>
    </row>
    <row r="9637" ht="22.5" customHeight="1">
      <c r="Q9637" s="9" t="s">
        <v>9675</v>
      </c>
      <c r="R9637" s="10">
        <v>0.5632958556215123</v>
      </c>
      <c r="S9637" s="10">
        <v>0.03300168452570791</v>
      </c>
      <c r="T9637" s="10">
        <v>15.85664074856152</v>
      </c>
      <c r="U9637" s="11">
        <v>0.17590466815401723</v>
      </c>
      <c r="V9637" s="11">
        <v>0.0179983696127376</v>
      </c>
      <c r="W9637" s="11">
        <v>0.2947895386168289</v>
      </c>
      <c r="X9637" s="11">
        <v>0.17657764658494854</v>
      </c>
      <c r="Y9637" s="11">
        <v>0.236468773158732</v>
      </c>
      <c r="Z9637" s="11">
        <v>0.09826100387273577</v>
      </c>
    </row>
    <row r="9638" ht="22.5" customHeight="1">
      <c r="Q9638" s="9" t="s">
        <v>9676</v>
      </c>
      <c r="R9638" s="10">
        <v>0.3476387159875688</v>
      </c>
      <c r="S9638" s="10">
        <v>0.01940495792641331</v>
      </c>
      <c r="T9638" s="10">
        <v>15.853614171913373</v>
      </c>
      <c r="U9638" s="11">
        <v>0.4084699817748797</v>
      </c>
      <c r="V9638" s="11">
        <v>0.005531332069822981</v>
      </c>
      <c r="W9638" s="11">
        <v>0.16078042728282732</v>
      </c>
      <c r="X9638" s="11">
        <v>0.09511939253913494</v>
      </c>
      <c r="Y9638" s="11">
        <v>0.052506181804961166</v>
      </c>
      <c r="Z9638" s="11">
        <v>0.2775926845283738</v>
      </c>
    </row>
    <row r="9639" ht="22.5" customHeight="1">
      <c r="Q9639" s="9" t="s">
        <v>9677</v>
      </c>
      <c r="R9639" s="10">
        <v>0.6577241579621536</v>
      </c>
      <c r="S9639" s="10">
        <v>0.03896639296549051</v>
      </c>
      <c r="T9639" s="10">
        <v>15.85274157937132</v>
      </c>
      <c r="U9639" s="11">
        <v>0.08935823170003548</v>
      </c>
      <c r="V9639" s="11">
        <v>0.03047979570390418</v>
      </c>
      <c r="W9639" s="11">
        <v>0.3535909928383613</v>
      </c>
      <c r="X9639" s="11">
        <v>0.28169642947148754</v>
      </c>
      <c r="Y9639" s="11">
        <v>0.07649569685177192</v>
      </c>
      <c r="Z9639" s="11">
        <v>0.16837885343443967</v>
      </c>
    </row>
    <row r="9640" ht="22.5" customHeight="1">
      <c r="Q9640" s="9" t="s">
        <v>9678</v>
      </c>
      <c r="R9640" s="10">
        <v>0.6138377849552717</v>
      </c>
      <c r="S9640" s="10">
        <v>0.036205194151365624</v>
      </c>
      <c r="T9640" s="10">
        <v>15.84959833542633</v>
      </c>
      <c r="U9640" s="11">
        <v>0.028152005588663813</v>
      </c>
      <c r="V9640" s="11">
        <v>0.04109538826374979</v>
      </c>
      <c r="W9640" s="11">
        <v>0.3282312974393744</v>
      </c>
      <c r="X9640" s="11">
        <v>0.18133298262150258</v>
      </c>
      <c r="Y9640" s="11">
        <v>0.05794032491219292</v>
      </c>
      <c r="Z9640" s="11">
        <v>0.36324800117451655</v>
      </c>
    </row>
    <row r="9641" ht="22.5" customHeight="1">
      <c r="Q9641" s="9" t="s">
        <v>9679</v>
      </c>
      <c r="R9641" s="10">
        <v>0.17729779521438824</v>
      </c>
      <c r="S9641" s="10">
        <v>0.008664562852128703</v>
      </c>
      <c r="T9641" s="10">
        <v>15.845899851791946</v>
      </c>
      <c r="U9641" s="11">
        <v>0.23295137638889651</v>
      </c>
      <c r="V9641" s="11">
        <v>0.019515771483725453</v>
      </c>
      <c r="W9641" s="11">
        <v>0.007996908573939894</v>
      </c>
      <c r="X9641" s="11">
        <v>0.18796740732466727</v>
      </c>
      <c r="Y9641" s="11">
        <v>0.18620176189302895</v>
      </c>
      <c r="Z9641" s="11">
        <v>0.36536677433574183</v>
      </c>
    </row>
    <row r="9642" ht="22.5" customHeight="1">
      <c r="Q9642" s="9" t="s">
        <v>9680</v>
      </c>
      <c r="R9642" s="10">
        <v>0.53332438905867</v>
      </c>
      <c r="S9642" s="10">
        <v>0.031134720917835146</v>
      </c>
      <c r="T9642" s="10">
        <v>15.844830932018251</v>
      </c>
      <c r="U9642" s="11">
        <v>0.1831615461865819</v>
      </c>
      <c r="V9642" s="11">
        <v>0.01408340554904327</v>
      </c>
      <c r="W9642" s="11">
        <v>0.2790172451978664</v>
      </c>
      <c r="X9642" s="11">
        <v>0.20708495709831243</v>
      </c>
      <c r="Y9642" s="11">
        <v>0.14547017882812455</v>
      </c>
      <c r="Z9642" s="11">
        <v>0.17118266714007155</v>
      </c>
    </row>
    <row r="9643" ht="22.5" customHeight="1">
      <c r="Q9643" s="9" t="s">
        <v>9681</v>
      </c>
      <c r="R9643" s="10">
        <v>0.522331348251574</v>
      </c>
      <c r="S9643" s="10">
        <v>0.035199809262089383</v>
      </c>
      <c r="T9643" s="10">
        <v>15.84480109573001</v>
      </c>
      <c r="U9643" s="11">
        <v>0.17343920978782948</v>
      </c>
      <c r="V9643" s="11">
        <v>0.023601316176923095</v>
      </c>
      <c r="W9643" s="11">
        <v>0.3185682640660635</v>
      </c>
      <c r="X9643" s="11">
        <v>0.2511206257955219</v>
      </c>
      <c r="Y9643" s="11">
        <v>0.043478448578197625</v>
      </c>
      <c r="Z9643" s="11">
        <v>0.18979213559546426</v>
      </c>
    </row>
    <row r="9644" ht="22.5" customHeight="1">
      <c r="Q9644" s="9" t="s">
        <v>9682</v>
      </c>
      <c r="R9644" s="10">
        <v>0.7211282292833164</v>
      </c>
      <c r="S9644" s="10">
        <v>0.04299513750161262</v>
      </c>
      <c r="T9644" s="10">
        <v>15.841982811609087</v>
      </c>
      <c r="U9644" s="11">
        <v>0.1126744320671073</v>
      </c>
      <c r="V9644" s="11">
        <v>0.41656370171867513</v>
      </c>
      <c r="W9644" s="11">
        <v>0.018949960447455946</v>
      </c>
      <c r="X9644" s="11">
        <v>0.020921196330478536</v>
      </c>
      <c r="Y9644" s="11">
        <v>0.20852614482533638</v>
      </c>
      <c r="Z9644" s="11">
        <v>0.22236456461094672</v>
      </c>
    </row>
    <row r="9645" ht="22.5" customHeight="1">
      <c r="Q9645" s="9" t="s">
        <v>9683</v>
      </c>
      <c r="R9645" s="10">
        <v>0.5765686860145555</v>
      </c>
      <c r="S9645" s="10">
        <v>0.033872344367023355</v>
      </c>
      <c r="T9645" s="10">
        <v>15.840907856880891</v>
      </c>
      <c r="U9645" s="11">
        <v>0.2887039267707038</v>
      </c>
      <c r="V9645" s="11">
        <v>0.03664317993569803</v>
      </c>
      <c r="W9645" s="11">
        <v>0.30266231935110594</v>
      </c>
      <c r="X9645" s="11">
        <v>0.028305999974556767</v>
      </c>
      <c r="Y9645" s="11">
        <v>0.18213305684953696</v>
      </c>
      <c r="Z9645" s="11">
        <v>0.1615515171183984</v>
      </c>
    </row>
    <row r="9646" ht="22.5" customHeight="1">
      <c r="Q9646" s="9" t="s">
        <v>9684</v>
      </c>
      <c r="R9646" s="10">
        <v>0.7642525819029111</v>
      </c>
      <c r="S9646" s="10">
        <v>0.04573864275218955</v>
      </c>
      <c r="T9646" s="10">
        <v>15.834588398848815</v>
      </c>
      <c r="U9646" s="11">
        <v>0.1678897443325075</v>
      </c>
      <c r="V9646" s="11">
        <v>0.4433885116711253</v>
      </c>
      <c r="W9646" s="11">
        <v>0.02371756980006414</v>
      </c>
      <c r="X9646" s="11">
        <v>0.005898228392382522</v>
      </c>
      <c r="Y9646" s="11">
        <v>0.1790293137173488</v>
      </c>
      <c r="Z9646" s="11">
        <v>0.18007663208657193</v>
      </c>
    </row>
    <row r="9647" ht="22.5" customHeight="1">
      <c r="Q9647" s="9" t="s">
        <v>9685</v>
      </c>
      <c r="R9647" s="10">
        <v>0.4719685190505047</v>
      </c>
      <c r="S9647" s="10">
        <v>0.027282303249386394</v>
      </c>
      <c r="T9647" s="10">
        <v>15.833286328573454</v>
      </c>
      <c r="U9647" s="11">
        <v>0.16308538362074648</v>
      </c>
      <c r="V9647" s="11">
        <v>0.008549564143158063</v>
      </c>
      <c r="W9647" s="11">
        <v>0.24038259508939236</v>
      </c>
      <c r="X9647" s="11">
        <v>0.16179694006052953</v>
      </c>
      <c r="Y9647" s="11">
        <v>0.23294940918821144</v>
      </c>
      <c r="Z9647" s="11">
        <v>0.1932361078979621</v>
      </c>
    </row>
    <row r="9648" ht="22.5" customHeight="1">
      <c r="Q9648" s="9" t="s">
        <v>9686</v>
      </c>
      <c r="R9648" s="10">
        <v>0.522331348251574</v>
      </c>
      <c r="S9648" s="10">
        <v>0.04304938925602388</v>
      </c>
      <c r="T9648" s="10">
        <v>15.833280372426515</v>
      </c>
      <c r="U9648" s="11">
        <v>0.0121764804296418</v>
      </c>
      <c r="V9648" s="11">
        <v>0.059030053216633176</v>
      </c>
      <c r="W9648" s="11">
        <v>0.3916143591089139</v>
      </c>
      <c r="X9648" s="11">
        <v>0.14897566882650734</v>
      </c>
      <c r="Y9648" s="11">
        <v>0.09008274364985171</v>
      </c>
      <c r="Z9648" s="11">
        <v>0.29812069476845204</v>
      </c>
    </row>
    <row r="9649" ht="22.5" customHeight="1">
      <c r="Q9649" s="9" t="s">
        <v>9687</v>
      </c>
      <c r="R9649" s="10">
        <v>0.5524770723187818</v>
      </c>
      <c r="S9649" s="10">
        <v>0.03236897305210949</v>
      </c>
      <c r="T9649" s="10">
        <v>15.832354999145812</v>
      </c>
      <c r="U9649" s="11">
        <v>0.2090997735318413</v>
      </c>
      <c r="V9649" s="11">
        <v>0.02411374366339218</v>
      </c>
      <c r="W9649" s="11">
        <v>0.2917408810579704</v>
      </c>
      <c r="X9649" s="11">
        <v>0.16198461022167635</v>
      </c>
      <c r="Y9649" s="11">
        <v>0.08362303338845545</v>
      </c>
      <c r="Z9649" s="11">
        <v>0.22943795813666426</v>
      </c>
    </row>
    <row r="9650" ht="22.5" customHeight="1">
      <c r="Q9650" s="9" t="s">
        <v>9688</v>
      </c>
      <c r="R9650" s="10">
        <v>0.5338717598650816</v>
      </c>
      <c r="S9650" s="10">
        <v>0.031199231747261757</v>
      </c>
      <c r="T9650" s="10">
        <v>15.829612852836576</v>
      </c>
      <c r="U9650" s="11">
        <v>2.1279617265780915E-4</v>
      </c>
      <c r="V9650" s="11">
        <v>0.014081831910921105</v>
      </c>
      <c r="W9650" s="11">
        <v>0.2792317051108517</v>
      </c>
      <c r="X9650" s="11">
        <v>0.3476732627938978</v>
      </c>
      <c r="Y9650" s="11">
        <v>0.02717828686254286</v>
      </c>
      <c r="Z9650" s="11">
        <v>0.33162211714912854</v>
      </c>
    </row>
    <row r="9651" ht="22.5" customHeight="1">
      <c r="Q9651" s="9" t="s">
        <v>9689</v>
      </c>
      <c r="R9651" s="10">
        <v>0.559423893564313</v>
      </c>
      <c r="S9651" s="10">
        <v>0.03281514599525728</v>
      </c>
      <c r="T9651" s="10">
        <v>15.82878508720895</v>
      </c>
      <c r="U9651" s="11">
        <v>0.11135628793530966</v>
      </c>
      <c r="V9651" s="11">
        <v>0.01486994021215753</v>
      </c>
      <c r="W9651" s="11">
        <v>0.2941969201727061</v>
      </c>
      <c r="X9651" s="11">
        <v>0.23422350966186084</v>
      </c>
      <c r="Y9651" s="11">
        <v>0.19313011856707746</v>
      </c>
      <c r="Z9651" s="11">
        <v>0.15222322345088832</v>
      </c>
    </row>
    <row r="9652" ht="22.5" customHeight="1">
      <c r="Q9652" s="9" t="s">
        <v>9690</v>
      </c>
      <c r="R9652" s="10">
        <v>0.50888449665547</v>
      </c>
      <c r="S9652" s="10">
        <v>0.029623866262411126</v>
      </c>
      <c r="T9652" s="10">
        <v>15.827930510556756</v>
      </c>
      <c r="U9652" s="11">
        <v>0.18340865653695965</v>
      </c>
      <c r="V9652" s="11">
        <v>0.28373031971117163</v>
      </c>
      <c r="W9652" s="11">
        <v>0.0042664586879660425</v>
      </c>
      <c r="X9652" s="11">
        <v>0.024193076363209103</v>
      </c>
      <c r="Y9652" s="11">
        <v>0.12018726831880834</v>
      </c>
      <c r="Z9652" s="11">
        <v>0.38421422038188524</v>
      </c>
    </row>
    <row r="9653" ht="22.5" customHeight="1">
      <c r="Q9653" s="9" t="s">
        <v>9691</v>
      </c>
      <c r="R9653" s="10">
        <v>0.49131987432235685</v>
      </c>
      <c r="S9653" s="10">
        <v>0.02851628777010162</v>
      </c>
      <c r="T9653" s="10">
        <v>15.826740070828953</v>
      </c>
      <c r="U9653" s="11">
        <v>0.012059356159065213</v>
      </c>
      <c r="V9653" s="11">
        <v>0.006708883852386932</v>
      </c>
      <c r="W9653" s="11">
        <v>0.2531341493987989</v>
      </c>
      <c r="X9653" s="11">
        <v>0.28847480290642236</v>
      </c>
      <c r="Y9653" s="11">
        <v>0.1606255442036286</v>
      </c>
      <c r="Z9653" s="11">
        <v>0.27899726347969794</v>
      </c>
    </row>
    <row r="9654" ht="22.5" customHeight="1">
      <c r="Q9654" s="9" t="s">
        <v>9692</v>
      </c>
      <c r="R9654" s="10">
        <v>0.7294353412709933</v>
      </c>
      <c r="S9654" s="10">
        <v>0.04357006212328841</v>
      </c>
      <c r="T9654" s="10">
        <v>15.823602438760048</v>
      </c>
      <c r="U9654" s="11">
        <v>0.011806198371784697</v>
      </c>
      <c r="V9654" s="11">
        <v>0.04353780041684325</v>
      </c>
      <c r="W9654" s="11">
        <v>0.3965388572073469</v>
      </c>
      <c r="X9654" s="11">
        <v>0.29129524028843634</v>
      </c>
      <c r="Y9654" s="11">
        <v>0.06402412582522146</v>
      </c>
      <c r="Z9654" s="11">
        <v>0.19279777789036737</v>
      </c>
    </row>
    <row r="9655" ht="22.5" customHeight="1">
      <c r="Q9655" s="9" t="s">
        <v>9693</v>
      </c>
      <c r="R9655" s="10">
        <v>0.40119721115403434</v>
      </c>
      <c r="S9655" s="10">
        <v>0.022826662338261545</v>
      </c>
      <c r="T9655" s="10">
        <v>15.82347895638705</v>
      </c>
      <c r="U9655" s="11">
        <v>0.0946555568669099</v>
      </c>
      <c r="V9655" s="11">
        <v>0.005548454701362286</v>
      </c>
      <c r="W9655" s="11">
        <v>0.19957511383863039</v>
      </c>
      <c r="X9655" s="11">
        <v>0.23060159466041194</v>
      </c>
      <c r="Y9655" s="11">
        <v>0.04667029877168019</v>
      </c>
      <c r="Z9655" s="11">
        <v>0.4229489811610054</v>
      </c>
    </row>
    <row r="9656" ht="22.5" customHeight="1">
      <c r="Q9656" s="9" t="s">
        <v>9694</v>
      </c>
      <c r="R9656" s="10">
        <v>0.466049613937084</v>
      </c>
      <c r="S9656" s="10">
        <v>0.026935459347125615</v>
      </c>
      <c r="T9656" s="10">
        <v>15.817425218053666</v>
      </c>
      <c r="U9656" s="11">
        <v>0.15345456503159693</v>
      </c>
      <c r="V9656" s="11">
        <v>0.008017290992089268</v>
      </c>
      <c r="W9656" s="11">
        <v>0.23549537384802036</v>
      </c>
      <c r="X9656" s="11">
        <v>0.14686172508605888</v>
      </c>
      <c r="Y9656" s="11">
        <v>0.28221585454300574</v>
      </c>
      <c r="Z9656" s="11">
        <v>0.1739551904992288</v>
      </c>
    </row>
    <row r="9657" ht="22.5" customHeight="1">
      <c r="Q9657" s="9" t="s">
        <v>9695</v>
      </c>
      <c r="R9657" s="10">
        <v>0.6725663743689357</v>
      </c>
      <c r="S9657" s="10">
        <v>0.04000684491872617</v>
      </c>
      <c r="T9657" s="10">
        <v>15.811453656342886</v>
      </c>
      <c r="U9657" s="11">
        <v>0.013523913120949088</v>
      </c>
      <c r="V9657" s="11">
        <v>0.032034340079271056</v>
      </c>
      <c r="W9657" s="11">
        <v>0.36296524644356837</v>
      </c>
      <c r="X9657" s="11">
        <v>0.34772311639175624</v>
      </c>
      <c r="Y9657" s="11">
        <v>0.011195968804981752</v>
      </c>
      <c r="Z9657" s="11">
        <v>0.23255741515947345</v>
      </c>
    </row>
    <row r="9658" ht="22.5" customHeight="1">
      <c r="Q9658" s="9" t="s">
        <v>9696</v>
      </c>
      <c r="R9658" s="10">
        <v>0.19697229692636808</v>
      </c>
      <c r="S9658" s="10">
        <v>0.009929340506367635</v>
      </c>
      <c r="T9658" s="10">
        <v>15.808934825601211</v>
      </c>
      <c r="U9658" s="11">
        <v>0.37174480133706644</v>
      </c>
      <c r="V9658" s="11">
        <v>0.030499991706222095</v>
      </c>
      <c r="W9658" s="11">
        <v>0.01815863072347441</v>
      </c>
      <c r="X9658" s="11">
        <v>0.06713450607230093</v>
      </c>
      <c r="Y9658" s="11">
        <v>0.2054226761193632</v>
      </c>
      <c r="Z9658" s="11">
        <v>0.3070393940415729</v>
      </c>
    </row>
    <row r="9659" ht="22.5" customHeight="1">
      <c r="Q9659" s="9" t="s">
        <v>9697</v>
      </c>
      <c r="R9659" s="10">
        <v>0.530835331035874</v>
      </c>
      <c r="S9659" s="10">
        <v>0.03105718289018084</v>
      </c>
      <c r="T9659" s="10">
        <v>15.804245116869836</v>
      </c>
      <c r="U9659" s="11">
        <v>0.21362941739687427</v>
      </c>
      <c r="V9659" s="11">
        <v>0.0286118085733298</v>
      </c>
      <c r="W9659" s="11">
        <v>0.27895322108864595</v>
      </c>
      <c r="X9659" s="11">
        <v>0.09514573675294996</v>
      </c>
      <c r="Y9659" s="11">
        <v>0.09479290760292751</v>
      </c>
      <c r="Z9659" s="11">
        <v>0.2888669085852725</v>
      </c>
    </row>
    <row r="9660" ht="22.5" customHeight="1">
      <c r="Q9660" s="9" t="s">
        <v>9698</v>
      </c>
      <c r="R9660" s="10">
        <v>0.22736305255151443</v>
      </c>
      <c r="S9660" s="10">
        <v>0.011856378591684593</v>
      </c>
      <c r="T9660" s="10">
        <v>15.802721809416619</v>
      </c>
      <c r="U9660" s="11">
        <v>0.2397484434723281</v>
      </c>
      <c r="V9660" s="11">
        <v>0.01332881031972067</v>
      </c>
      <c r="W9660" s="11">
        <v>0.0014361982689251203</v>
      </c>
      <c r="X9660" s="11">
        <v>0.6364930660902475</v>
      </c>
      <c r="Y9660" s="11">
        <v>0.04407796979179072</v>
      </c>
      <c r="Z9660" s="11">
        <v>0.06491551205698785</v>
      </c>
    </row>
    <row r="9661" ht="22.5" customHeight="1">
      <c r="Q9661" s="9" t="s">
        <v>9699</v>
      </c>
      <c r="R9661" s="10">
        <v>0.732067438977141</v>
      </c>
      <c r="S9661" s="10">
        <v>0.04379934993893732</v>
      </c>
      <c r="T9661" s="10">
        <v>15.8008609703565</v>
      </c>
      <c r="U9661" s="11">
        <v>0.11856357911961385</v>
      </c>
      <c r="V9661" s="11">
        <v>0.4169920802317122</v>
      </c>
      <c r="W9661" s="11">
        <v>0.009431877403201847</v>
      </c>
      <c r="X9661" s="11">
        <v>0.0345802038887012</v>
      </c>
      <c r="Y9661" s="11">
        <v>0.41309917654301465</v>
      </c>
      <c r="Z9661" s="11">
        <v>0.007333082813756293</v>
      </c>
    </row>
    <row r="9662" ht="22.5" customHeight="1">
      <c r="Q9662" s="9" t="s">
        <v>9700</v>
      </c>
      <c r="R9662" s="10">
        <v>0.48964704979059087</v>
      </c>
      <c r="S9662" s="10">
        <v>0.028462724087163008</v>
      </c>
      <c r="T9662" s="10">
        <v>15.797751768720778</v>
      </c>
      <c r="U9662" s="11">
        <v>0.15907496037846483</v>
      </c>
      <c r="V9662" s="11">
        <v>0.017370939570722107</v>
      </c>
      <c r="W9662" s="11">
        <v>0.25297093436396</v>
      </c>
      <c r="X9662" s="11">
        <v>0.11615642533586164</v>
      </c>
      <c r="Y9662" s="11">
        <v>0.19867237563359622</v>
      </c>
      <c r="Z9662" s="11">
        <v>0.2557543647173952</v>
      </c>
    </row>
    <row r="9663" ht="22.5" customHeight="1">
      <c r="Q9663" s="9" t="s">
        <v>9701</v>
      </c>
      <c r="R9663" s="10">
        <v>0.5045964501470943</v>
      </c>
      <c r="S9663" s="10">
        <v>0.029409113890352553</v>
      </c>
      <c r="T9663" s="10">
        <v>15.797703116090888</v>
      </c>
      <c r="U9663" s="11">
        <v>0.060315894884829704</v>
      </c>
      <c r="V9663" s="11">
        <v>5.820705267075989E-4</v>
      </c>
      <c r="W9663" s="11">
        <v>0.2592977548668595</v>
      </c>
      <c r="X9663" s="11">
        <v>0.3026428325534446</v>
      </c>
      <c r="Y9663" s="11">
        <v>0.23612630101852458</v>
      </c>
      <c r="Z9663" s="11">
        <v>0.1410351461496338</v>
      </c>
    </row>
    <row r="9664" ht="22.5" customHeight="1">
      <c r="Q9664" s="9" t="s">
        <v>9702</v>
      </c>
      <c r="R9664" s="10">
        <v>0.764822410857913</v>
      </c>
      <c r="S9664" s="10">
        <v>0.04589341649308286</v>
      </c>
      <c r="T9664" s="10">
        <v>15.793603227756199</v>
      </c>
      <c r="U9664" s="11">
        <v>0.014432171626822386</v>
      </c>
      <c r="V9664" s="11">
        <v>0.04128815787094602</v>
      </c>
      <c r="W9664" s="11">
        <v>0.41611531753829584</v>
      </c>
      <c r="X9664" s="11">
        <v>0.27583043924462486</v>
      </c>
      <c r="Y9664" s="11">
        <v>0.21111258034419186</v>
      </c>
      <c r="Z9664" s="11">
        <v>0.04122133337511899</v>
      </c>
    </row>
    <row r="9665" ht="22.5" customHeight="1">
      <c r="Q9665" s="9" t="s">
        <v>9703</v>
      </c>
      <c r="R9665" s="10">
        <v>0.5458943039171662</v>
      </c>
      <c r="S9665" s="10">
        <v>0.03204218033079067</v>
      </c>
      <c r="T9665" s="10">
        <v>15.788385768212883</v>
      </c>
      <c r="U9665" s="11">
        <v>0.27176840629654553</v>
      </c>
      <c r="V9665" s="11">
        <v>0.024981766252218093</v>
      </c>
      <c r="W9665" s="11">
        <v>0.2884227920987697</v>
      </c>
      <c r="X9665" s="11">
        <v>0.137399839833011</v>
      </c>
      <c r="Y9665" s="11">
        <v>0.04865664305415605</v>
      </c>
      <c r="Z9665" s="11">
        <v>0.22877055246529976</v>
      </c>
    </row>
    <row r="9666" ht="22.5" customHeight="1">
      <c r="Q9666" s="9" t="s">
        <v>9704</v>
      </c>
      <c r="R9666" s="10">
        <v>0.5739601825569277</v>
      </c>
      <c r="S9666" s="10">
        <v>0.033828054460291114</v>
      </c>
      <c r="T9666" s="10">
        <v>15.78453715639231</v>
      </c>
      <c r="U9666" s="11">
        <v>0.10465401154116838</v>
      </c>
      <c r="V9666" s="11">
        <v>0.03661993599578246</v>
      </c>
      <c r="W9666" s="11">
        <v>0.3020572371428631</v>
      </c>
      <c r="X9666" s="11">
        <v>0.04477580056351864</v>
      </c>
      <c r="Y9666" s="11">
        <v>0.27104290023362987</v>
      </c>
      <c r="Z9666" s="11">
        <v>0.24085011452303742</v>
      </c>
    </row>
    <row r="9667" ht="22.5" customHeight="1">
      <c r="Q9667" s="9" t="s">
        <v>9705</v>
      </c>
      <c r="R9667" s="10">
        <v>0.6798763166335632</v>
      </c>
      <c r="S9667" s="10">
        <v>0.04054006517479971</v>
      </c>
      <c r="T9667" s="10">
        <v>15.783800886223526</v>
      </c>
      <c r="U9667" s="11">
        <v>0.1874628017669054</v>
      </c>
      <c r="V9667" s="11">
        <v>0.03443400562608872</v>
      </c>
      <c r="W9667" s="11">
        <v>0.36850323022770054</v>
      </c>
      <c r="X9667" s="11">
        <v>0.21863780699542876</v>
      </c>
      <c r="Y9667" s="11">
        <v>0.08125539268790302</v>
      </c>
      <c r="Z9667" s="11">
        <v>0.10970676269597353</v>
      </c>
    </row>
    <row r="9668" ht="22.5" customHeight="1">
      <c r="Q9668" s="9" t="s">
        <v>9706</v>
      </c>
      <c r="R9668" s="10">
        <v>0.5260602344990944</v>
      </c>
      <c r="S9668" s="10">
        <v>0.030797064722143906</v>
      </c>
      <c r="T9668" s="10">
        <v>15.782680553630954</v>
      </c>
      <c r="U9668" s="11">
        <v>0.11106217208379368</v>
      </c>
      <c r="V9668" s="11">
        <v>0.01072845868729722</v>
      </c>
      <c r="W9668" s="11">
        <v>0.2763703076617222</v>
      </c>
      <c r="X9668" s="11">
        <v>0.3011633194279266</v>
      </c>
      <c r="Y9668" s="11">
        <v>0.038402706983259316</v>
      </c>
      <c r="Z9668" s="11">
        <v>0.262273035156001</v>
      </c>
    </row>
    <row r="9669" ht="22.5" customHeight="1">
      <c r="Q9669" s="9" t="s">
        <v>9707</v>
      </c>
      <c r="R9669" s="10">
        <v>0.7933582795020578</v>
      </c>
      <c r="S9669" s="10">
        <v>0.04774060487082262</v>
      </c>
      <c r="T9669" s="10">
        <v>15.780241610689853</v>
      </c>
      <c r="U9669" s="11">
        <v>0.21423553647777227</v>
      </c>
      <c r="V9669" s="11">
        <v>0.46434740061849084</v>
      </c>
      <c r="W9669" s="11">
        <v>0.029027939976872103</v>
      </c>
      <c r="X9669" s="11">
        <v>0.00497551174566492</v>
      </c>
      <c r="Y9669" s="11">
        <v>0.06605408831138086</v>
      </c>
      <c r="Z9669" s="11">
        <v>0.221359522869819</v>
      </c>
    </row>
    <row r="9670" ht="22.5" customHeight="1">
      <c r="Q9670" s="9" t="s">
        <v>9708</v>
      </c>
      <c r="R9670" s="10">
        <v>0.8216544289037612</v>
      </c>
      <c r="S9670" s="10">
        <v>0.049550989793650344</v>
      </c>
      <c r="T9670" s="10">
        <v>15.774749044547347</v>
      </c>
      <c r="U9670" s="11">
        <v>0.15225069058714807</v>
      </c>
      <c r="V9670" s="11">
        <v>0.4829800177450357</v>
      </c>
      <c r="W9670" s="11">
        <v>0.028087189241255542</v>
      </c>
      <c r="X9670" s="11">
        <v>0.0482357057013826</v>
      </c>
      <c r="Y9670" s="11">
        <v>0.06340697785582765</v>
      </c>
      <c r="Z9670" s="11">
        <v>0.2250394188693504</v>
      </c>
    </row>
    <row r="9671" ht="22.5" customHeight="1">
      <c r="Q9671" s="9" t="s">
        <v>9709</v>
      </c>
      <c r="R9671" s="10">
        <v>0.5892336450608077</v>
      </c>
      <c r="S9671" s="10">
        <v>0.03482916553889655</v>
      </c>
      <c r="T9671" s="10">
        <v>15.769359861562975</v>
      </c>
      <c r="U9671" s="11">
        <v>0.1315790233263737</v>
      </c>
      <c r="V9671" s="11">
        <v>0.0360043471008265</v>
      </c>
      <c r="W9671" s="11">
        <v>0.31188416201382757</v>
      </c>
      <c r="X9671" s="11">
        <v>0.05630390107695507</v>
      </c>
      <c r="Y9671" s="11">
        <v>0.2582381718083029</v>
      </c>
      <c r="Z9671" s="11">
        <v>0.20599039467371436</v>
      </c>
    </row>
    <row r="9672" ht="22.5" customHeight="1">
      <c r="Q9672" s="9" t="s">
        <v>9710</v>
      </c>
      <c r="R9672" s="10">
        <v>0.20400969724685186</v>
      </c>
      <c r="S9672" s="10">
        <v>0.010402950418356705</v>
      </c>
      <c r="T9672" s="10">
        <v>15.765690563846746</v>
      </c>
      <c r="U9672" s="11">
        <v>0.2700810942054405</v>
      </c>
      <c r="V9672" s="11">
        <v>0.04233518851233676</v>
      </c>
      <c r="W9672" s="11">
        <v>0.020066174061335856</v>
      </c>
      <c r="X9672" s="11">
        <v>0.00772054173111989</v>
      </c>
      <c r="Y9672" s="11">
        <v>0.26442408230169073</v>
      </c>
      <c r="Z9672" s="11">
        <v>0.3953729191880762</v>
      </c>
    </row>
    <row r="9673" ht="22.5" customHeight="1">
      <c r="Q9673" s="9" t="s">
        <v>9711</v>
      </c>
      <c r="R9673" s="10">
        <v>0.643466701337079</v>
      </c>
      <c r="S9673" s="10">
        <v>0.03827814518391475</v>
      </c>
      <c r="T9673" s="10">
        <v>15.765306768068475</v>
      </c>
      <c r="U9673" s="11">
        <v>0.042768601932244785</v>
      </c>
      <c r="V9673" s="11">
        <v>0.018848167577485763</v>
      </c>
      <c r="W9673" s="11">
        <v>0.3456707269728007</v>
      </c>
      <c r="X9673" s="11">
        <v>0.34486101933386876</v>
      </c>
      <c r="Y9673" s="11">
        <v>0.12727839664608104</v>
      </c>
      <c r="Z9673" s="11">
        <v>0.12057308753751887</v>
      </c>
    </row>
    <row r="9674" ht="22.5" customHeight="1">
      <c r="Q9674" s="9" t="s">
        <v>9712</v>
      </c>
      <c r="R9674" s="10">
        <v>0.6863777209689041</v>
      </c>
      <c r="S9674" s="10">
        <v>0.04101001362209113</v>
      </c>
      <c r="T9674" s="10">
        <v>15.761460772125071</v>
      </c>
      <c r="U9674" s="11">
        <v>0.2917915507831091</v>
      </c>
      <c r="V9674" s="11">
        <v>0.3904782596469644</v>
      </c>
      <c r="W9674" s="11">
        <v>0.00500374629851923</v>
      </c>
      <c r="X9674" s="11">
        <v>0.02316881539360495</v>
      </c>
      <c r="Y9674" s="11">
        <v>0.28639011119210517</v>
      </c>
      <c r="Z9674" s="11">
        <v>0.0031675166856968764</v>
      </c>
    </row>
    <row r="9675" ht="22.5" customHeight="1">
      <c r="Q9675" s="9" t="s">
        <v>9713</v>
      </c>
      <c r="R9675" s="10">
        <v>0.44619564805443596</v>
      </c>
      <c r="S9675" s="10">
        <v>0.025771949198179628</v>
      </c>
      <c r="T9675" s="10">
        <v>15.76115352901313</v>
      </c>
      <c r="U9675" s="11">
        <v>0.10526003321649322</v>
      </c>
      <c r="V9675" s="11">
        <v>0.015800714918253987</v>
      </c>
      <c r="W9675" s="11">
        <v>0.22441485653865648</v>
      </c>
      <c r="X9675" s="11">
        <v>0.07472461600719373</v>
      </c>
      <c r="Y9675" s="11">
        <v>0.28976184059683074</v>
      </c>
      <c r="Z9675" s="11">
        <v>0.29003793872257183</v>
      </c>
    </row>
    <row r="9676" ht="22.5" customHeight="1">
      <c r="Q9676" s="9" t="s">
        <v>9714</v>
      </c>
      <c r="R9676" s="10">
        <v>0.6172119014931529</v>
      </c>
      <c r="S9676" s="10">
        <v>0.036633339120502796</v>
      </c>
      <c r="T9676" s="10">
        <v>15.756464339613018</v>
      </c>
      <c r="U9676" s="11">
        <v>0.04157883662336489</v>
      </c>
      <c r="V9676" s="11">
        <v>0.039174531833078306</v>
      </c>
      <c r="W9676" s="11">
        <v>0.3326013411027612</v>
      </c>
      <c r="X9676" s="11">
        <v>0.186163858043765</v>
      </c>
      <c r="Y9676" s="11">
        <v>0.04094219807495652</v>
      </c>
      <c r="Z9676" s="11">
        <v>0.3595392343220742</v>
      </c>
    </row>
    <row r="9677" ht="22.5" customHeight="1">
      <c r="Q9677" s="9" t="s">
        <v>9715</v>
      </c>
      <c r="R9677" s="10">
        <v>0.8434606994971349</v>
      </c>
      <c r="S9677" s="10">
        <v>0.05099821447790003</v>
      </c>
      <c r="T9677" s="10">
        <v>15.754682937876439</v>
      </c>
      <c r="U9677" s="11">
        <v>0.019676069875673042</v>
      </c>
      <c r="V9677" s="11">
        <v>0.06632047889487284</v>
      </c>
      <c r="W9677" s="11">
        <v>0.46333141626286367</v>
      </c>
      <c r="X9677" s="11">
        <v>0.14611438631186424</v>
      </c>
      <c r="Y9677" s="11">
        <v>0.23125917918922406</v>
      </c>
      <c r="Z9677" s="11">
        <v>0.07329846946550202</v>
      </c>
    </row>
    <row r="9678" ht="22.5" customHeight="1">
      <c r="Q9678" s="9" t="s">
        <v>9716</v>
      </c>
      <c r="R9678" s="10">
        <v>0.4472162053152549</v>
      </c>
      <c r="S9678" s="10">
        <v>0.02585045072412761</v>
      </c>
      <c r="T9678" s="10">
        <v>15.752770025598752</v>
      </c>
      <c r="U9678" s="11">
        <v>0.1456968569117896</v>
      </c>
      <c r="V9678" s="11">
        <v>0.001235137339215532</v>
      </c>
      <c r="W9678" s="11">
        <v>0.22853585610642954</v>
      </c>
      <c r="X9678" s="11">
        <v>0.2834610158324831</v>
      </c>
      <c r="Y9678" s="11">
        <v>0.041421438627988846</v>
      </c>
      <c r="Z9678" s="11">
        <v>0.2996496951820933</v>
      </c>
    </row>
    <row r="9679" ht="22.5" customHeight="1">
      <c r="Q9679" s="9" t="s">
        <v>9717</v>
      </c>
      <c r="R9679" s="10">
        <v>0.6471370443488663</v>
      </c>
      <c r="S9679" s="10">
        <v>0.03854600283404868</v>
      </c>
      <c r="T9679" s="10">
        <v>15.750972856063987</v>
      </c>
      <c r="U9679" s="11">
        <v>0.29081254443685695</v>
      </c>
      <c r="V9679" s="11">
        <v>0.048632290462529995</v>
      </c>
      <c r="W9679" s="11">
        <v>0.34801047674628316</v>
      </c>
      <c r="X9679" s="11">
        <v>0.02594829213717442</v>
      </c>
      <c r="Y9679" s="11">
        <v>0.10340647642795664</v>
      </c>
      <c r="Z9679" s="11">
        <v>0.18318991978919888</v>
      </c>
    </row>
    <row r="9680" ht="22.5" customHeight="1">
      <c r="Q9680" s="9" t="s">
        <v>9718</v>
      </c>
      <c r="R9680" s="10">
        <v>0.6374727870398061</v>
      </c>
      <c r="S9680" s="10">
        <v>0.037934345027343566</v>
      </c>
      <c r="T9680" s="10">
        <v>15.750180650519734</v>
      </c>
      <c r="U9680" s="11">
        <v>0.20566234142882633</v>
      </c>
      <c r="V9680" s="11">
        <v>0.0220376722334329</v>
      </c>
      <c r="W9680" s="11">
        <v>0.3422412683206219</v>
      </c>
      <c r="X9680" s="11">
        <v>0.2157613762836794</v>
      </c>
      <c r="Y9680" s="11">
        <v>0.18290591932791306</v>
      </c>
      <c r="Z9680" s="11">
        <v>0.03139142240552632</v>
      </c>
    </row>
    <row r="9681" ht="22.5" customHeight="1">
      <c r="Q9681" s="9" t="s">
        <v>9719</v>
      </c>
      <c r="R9681" s="10">
        <v>0.5291155297645052</v>
      </c>
      <c r="S9681" s="10">
        <v>0.031056152969503342</v>
      </c>
      <c r="T9681" s="10">
        <v>15.749392084873133</v>
      </c>
      <c r="U9681" s="11">
        <v>0.08901095915989304</v>
      </c>
      <c r="V9681" s="11">
        <v>0.027245120076129625</v>
      </c>
      <c r="W9681" s="11">
        <v>0.2787250376576097</v>
      </c>
      <c r="X9681" s="11">
        <v>0.10845122336950144</v>
      </c>
      <c r="Y9681" s="11">
        <v>0.16841542361868808</v>
      </c>
      <c r="Z9681" s="11">
        <v>0.3281522361181782</v>
      </c>
    </row>
    <row r="9682" ht="22.5" customHeight="1">
      <c r="Q9682" s="9" t="s">
        <v>9720</v>
      </c>
      <c r="R9682" s="10">
        <v>0.5900767744322454</v>
      </c>
      <c r="S9682" s="10">
        <v>0.03493088587001389</v>
      </c>
      <c r="T9682" s="10">
        <v>15.747575841025375</v>
      </c>
      <c r="U9682" s="11">
        <v>0.009351289263234537</v>
      </c>
      <c r="V9682" s="11">
        <v>0.33525588292330416</v>
      </c>
      <c r="W9682" s="11">
        <v>0.004147090532889136</v>
      </c>
      <c r="X9682" s="11">
        <v>0.0404329831357501</v>
      </c>
      <c r="Y9682" s="11">
        <v>0.29931394857257404</v>
      </c>
      <c r="Z9682" s="11">
        <v>0.3114988055722481</v>
      </c>
    </row>
    <row r="9683" ht="22.5" customHeight="1">
      <c r="Q9683" s="9" t="s">
        <v>9721</v>
      </c>
      <c r="R9683" s="10">
        <v>0.5612487553806149</v>
      </c>
      <c r="S9683" s="10">
        <v>0.03312013539893591</v>
      </c>
      <c r="T9683" s="10">
        <v>15.738122719068404</v>
      </c>
      <c r="U9683" s="11">
        <v>0.2267213432644311</v>
      </c>
      <c r="V9683" s="11">
        <v>0.018347744555731585</v>
      </c>
      <c r="W9683" s="11">
        <v>0.2984389274740124</v>
      </c>
      <c r="X9683" s="11">
        <v>0.1854423020848355</v>
      </c>
      <c r="Y9683" s="11">
        <v>0.10711992839042885</v>
      </c>
      <c r="Z9683" s="11">
        <v>0.16392975423056055</v>
      </c>
    </row>
    <row r="9684" ht="22.5" customHeight="1">
      <c r="Q9684" s="9" t="s">
        <v>9722</v>
      </c>
      <c r="R9684" s="10">
        <v>0.5019532690332211</v>
      </c>
      <c r="S9684" s="10">
        <v>0.02936623866231973</v>
      </c>
      <c r="T9684" s="10">
        <v>15.730760563012126</v>
      </c>
      <c r="U9684" s="11">
        <v>0.28504530192385896</v>
      </c>
      <c r="V9684" s="11">
        <v>0.025232761229329777</v>
      </c>
      <c r="W9684" s="11">
        <v>0.2591675295344049</v>
      </c>
      <c r="X9684" s="11">
        <v>0.0178979280692814</v>
      </c>
      <c r="Y9684" s="11">
        <v>0.21100343916195163</v>
      </c>
      <c r="Z9684" s="11">
        <v>0.2016530400811733</v>
      </c>
    </row>
    <row r="9685" ht="22.5" customHeight="1">
      <c r="Q9685" s="9" t="s">
        <v>9723</v>
      </c>
      <c r="R9685" s="10">
        <v>0.6653073633586756</v>
      </c>
      <c r="S9685" s="10">
        <v>0.039753719086735854</v>
      </c>
      <c r="T9685" s="10">
        <v>15.729531166489384</v>
      </c>
      <c r="U9685" s="11">
        <v>0.11764993908366193</v>
      </c>
      <c r="V9685" s="11">
        <v>0.024610246646674803</v>
      </c>
      <c r="W9685" s="11">
        <v>0.3607603768697885</v>
      </c>
      <c r="X9685" s="11">
        <v>0.2973123398657528</v>
      </c>
      <c r="Y9685" s="11">
        <v>0.08948331826017523</v>
      </c>
      <c r="Z9685" s="11">
        <v>0.1101837792739467</v>
      </c>
    </row>
    <row r="9686" ht="22.5" customHeight="1">
      <c r="Q9686" s="9" t="s">
        <v>9724</v>
      </c>
      <c r="R9686" s="10">
        <v>0.5892557789135823</v>
      </c>
      <c r="S9686" s="10">
        <v>0.03491988416371543</v>
      </c>
      <c r="T9686" s="10">
        <v>15.729026371865896</v>
      </c>
      <c r="U9686" s="11">
        <v>0.06823415545392815</v>
      </c>
      <c r="V9686" s="11">
        <v>0.010307576991592241</v>
      </c>
      <c r="W9686" s="11">
        <v>0.3120831866105306</v>
      </c>
      <c r="X9686" s="11">
        <v>0.28772100519368626</v>
      </c>
      <c r="Y9686" s="11">
        <v>0.24862874499938606</v>
      </c>
      <c r="Z9686" s="11">
        <v>0.07302533075087675</v>
      </c>
    </row>
    <row r="9687" ht="22.5" customHeight="1">
      <c r="Q9687" s="9" t="s">
        <v>9725</v>
      </c>
      <c r="R9687" s="10">
        <v>0.5223295945802618</v>
      </c>
      <c r="S9687" s="10">
        <v>0.0306717403874328</v>
      </c>
      <c r="T9687" s="10">
        <v>15.72553720420403</v>
      </c>
      <c r="U9687" s="11">
        <v>0.08179955713670599</v>
      </c>
      <c r="V9687" s="11">
        <v>3.4432294820293814E-4</v>
      </c>
      <c r="W9687" s="11">
        <v>0.2728330476595036</v>
      </c>
      <c r="X9687" s="11">
        <v>0.3941777855889767</v>
      </c>
      <c r="Y9687" s="11">
        <v>0.04995361405470886</v>
      </c>
      <c r="Z9687" s="11">
        <v>0.20089167261190188</v>
      </c>
    </row>
    <row r="9688" ht="22.5" customHeight="1">
      <c r="Q9688" s="9" t="s">
        <v>9726</v>
      </c>
      <c r="R9688" s="10">
        <v>0.8601206611361727</v>
      </c>
      <c r="S9688" s="10">
        <v>0.05215242943181781</v>
      </c>
      <c r="T9688" s="10">
        <v>15.72545459667164</v>
      </c>
      <c r="U9688" s="11">
        <v>0.0740510354543362</v>
      </c>
      <c r="V9688" s="11">
        <v>0.5078393921009512</v>
      </c>
      <c r="W9688" s="11">
        <v>0.030249339232535376</v>
      </c>
      <c r="X9688" s="11">
        <v>0.014222666082556996</v>
      </c>
      <c r="Y9688" s="11">
        <v>0.18452827626609694</v>
      </c>
      <c r="Z9688" s="11">
        <v>0.1891092908635233</v>
      </c>
    </row>
    <row r="9689" ht="22.5" customHeight="1">
      <c r="Q9689" s="9" t="s">
        <v>9727</v>
      </c>
      <c r="R9689" s="10">
        <v>0.7073806118342031</v>
      </c>
      <c r="S9689" s="10">
        <v>0.0424413459285685</v>
      </c>
      <c r="T9689" s="10">
        <v>15.72477491541968</v>
      </c>
      <c r="U9689" s="11">
        <v>0.09004219237774069</v>
      </c>
      <c r="V9689" s="11">
        <v>0.0408984896504105</v>
      </c>
      <c r="W9689" s="11">
        <v>0.38424686449725354</v>
      </c>
      <c r="X9689" s="11">
        <v>0.15556467692409318</v>
      </c>
      <c r="Y9689" s="11">
        <v>0.2376685345701678</v>
      </c>
      <c r="Z9689" s="11">
        <v>0.09157924198033422</v>
      </c>
    </row>
    <row r="9690" ht="22.5" customHeight="1">
      <c r="Q9690" s="9" t="s">
        <v>9728</v>
      </c>
      <c r="R9690" s="10">
        <v>0.36337530314898914</v>
      </c>
      <c r="S9690" s="10">
        <v>0.02056936722545849</v>
      </c>
      <c r="T9690" s="10">
        <v>15.721208124902887</v>
      </c>
      <c r="U9690" s="11">
        <v>0.36526860428337565</v>
      </c>
      <c r="V9690" s="11">
        <v>0.007948702560074027</v>
      </c>
      <c r="W9690" s="11">
        <v>0.16211202683653417</v>
      </c>
      <c r="X9690" s="11">
        <v>0.005402314923175027</v>
      </c>
      <c r="Y9690" s="11">
        <v>0.3538209416651477</v>
      </c>
      <c r="Z9690" s="11">
        <v>0.10544740973169338</v>
      </c>
    </row>
    <row r="9691" ht="22.5" customHeight="1">
      <c r="Q9691" s="9" t="s">
        <v>9729</v>
      </c>
      <c r="R9691" s="10">
        <v>0.8058348015133148</v>
      </c>
      <c r="S9691" s="10">
        <v>0.04871444892054151</v>
      </c>
      <c r="T9691" s="10">
        <v>15.720896335345461</v>
      </c>
      <c r="U9691" s="11">
        <v>0.22668273480983542</v>
      </c>
      <c r="V9691" s="11">
        <v>0.06366693037300943</v>
      </c>
      <c r="W9691" s="11">
        <v>0.4440135524132626</v>
      </c>
      <c r="X9691" s="11">
        <v>0.10581876459612417</v>
      </c>
      <c r="Y9691" s="11">
        <v>0.07461469763108992</v>
      </c>
      <c r="Z9691" s="11">
        <v>0.08520332017667835</v>
      </c>
    </row>
    <row r="9692" ht="22.5" customHeight="1">
      <c r="Q9692" s="9" t="s">
        <v>9730</v>
      </c>
      <c r="R9692" s="10">
        <v>0.644155697319971</v>
      </c>
      <c r="S9692" s="10">
        <v>0.038440747204986865</v>
      </c>
      <c r="T9692" s="10">
        <v>15.716544064512739</v>
      </c>
      <c r="U9692" s="11">
        <v>0.05632852827270495</v>
      </c>
      <c r="V9692" s="11">
        <v>0.029568334689691427</v>
      </c>
      <c r="W9692" s="11">
        <v>0.3481899571470189</v>
      </c>
      <c r="X9692" s="11">
        <v>0.21348029106312683</v>
      </c>
      <c r="Y9692" s="11">
        <v>0.17592857002018608</v>
      </c>
      <c r="Z9692" s="11">
        <v>0.17650431880727172</v>
      </c>
    </row>
    <row r="9693" ht="22.5" customHeight="1">
      <c r="Q9693" s="9" t="s">
        <v>9731</v>
      </c>
      <c r="R9693" s="10">
        <v>0.5439390467229877</v>
      </c>
      <c r="S9693" s="10">
        <v>0.03207298391036958</v>
      </c>
      <c r="T9693" s="10">
        <v>15.712259518206478</v>
      </c>
      <c r="U9693" s="11">
        <v>0.11888698946959096</v>
      </c>
      <c r="V9693" s="11">
        <v>0.30722760563037904</v>
      </c>
      <c r="W9693" s="11">
        <v>0.002226924230340181</v>
      </c>
      <c r="X9693" s="11">
        <v>0.013938685150097913</v>
      </c>
      <c r="Y9693" s="11">
        <v>0.23037479998651345</v>
      </c>
      <c r="Z9693" s="11">
        <v>0.32734499553307833</v>
      </c>
    </row>
    <row r="9694" ht="22.5" customHeight="1">
      <c r="Q9694" s="9" t="s">
        <v>9732</v>
      </c>
      <c r="R9694" s="10">
        <v>0.6856432627062545</v>
      </c>
      <c r="S9694" s="10">
        <v>0.041104938253455736</v>
      </c>
      <c r="T9694" s="10">
        <v>15.707194564438364</v>
      </c>
      <c r="U9694" s="11">
        <v>0.2783808402930895</v>
      </c>
      <c r="V9694" s="11">
        <v>0.3968813710565495</v>
      </c>
      <c r="W9694" s="11">
        <v>0.012581351514690161</v>
      </c>
      <c r="X9694" s="11">
        <v>0.008863454099769104</v>
      </c>
      <c r="Y9694" s="11">
        <v>0.11978453093604467</v>
      </c>
      <c r="Z9694" s="11">
        <v>0.183508452099857</v>
      </c>
    </row>
    <row r="9695" ht="22.5" customHeight="1">
      <c r="Q9695" s="9" t="s">
        <v>9733</v>
      </c>
      <c r="R9695" s="10">
        <v>0.49265001331862146</v>
      </c>
      <c r="S9695" s="10">
        <v>0.0288186000573741</v>
      </c>
      <c r="T9695" s="10">
        <v>15.706870299648628</v>
      </c>
      <c r="U9695" s="11">
        <v>0.13832343081300003</v>
      </c>
      <c r="V9695" s="11">
        <v>0.007218287515345232</v>
      </c>
      <c r="W9695" s="11">
        <v>0.25774431281127314</v>
      </c>
      <c r="X9695" s="11">
        <v>0.25181040220033035</v>
      </c>
      <c r="Y9695" s="11">
        <v>0.07695343811938193</v>
      </c>
      <c r="Z9695" s="11">
        <v>0.26795012854066935</v>
      </c>
    </row>
    <row r="9696" ht="22.5" customHeight="1">
      <c r="Q9696" s="9" t="s">
        <v>9734</v>
      </c>
      <c r="R9696" s="10">
        <v>0.4875373722510126</v>
      </c>
      <c r="S9696" s="10">
        <v>0.028494143220761388</v>
      </c>
      <c r="T9696" s="10">
        <v>15.70629335241525</v>
      </c>
      <c r="U9696" s="11">
        <v>0.23409278883241116</v>
      </c>
      <c r="V9696" s="11">
        <v>0.02635782895254678</v>
      </c>
      <c r="W9696" s="11">
        <v>0.2530682946299974</v>
      </c>
      <c r="X9696" s="11">
        <v>0.032622733422197306</v>
      </c>
      <c r="Y9696" s="11">
        <v>0.1441183067079887</v>
      </c>
      <c r="Z9696" s="11">
        <v>0.3097400474548588</v>
      </c>
    </row>
    <row r="9697" ht="22.5" customHeight="1">
      <c r="Q9697" s="9" t="s">
        <v>9735</v>
      </c>
      <c r="R9697" s="10">
        <v>0.46663323809852464</v>
      </c>
      <c r="S9697" s="10">
        <v>0.027172350838732342</v>
      </c>
      <c r="T9697" s="10">
        <v>15.701005799262239</v>
      </c>
      <c r="U9697" s="11">
        <v>0.32740981930481</v>
      </c>
      <c r="V9697" s="11">
        <v>0.01429523457646854</v>
      </c>
      <c r="W9697" s="11">
        <v>0.24114907069382766</v>
      </c>
      <c r="X9697" s="11">
        <v>0.13555832554030536</v>
      </c>
      <c r="Y9697" s="11">
        <v>0.012375887070396283</v>
      </c>
      <c r="Z9697" s="11">
        <v>0.26921166281419223</v>
      </c>
    </row>
    <row r="9698" ht="22.5" customHeight="1">
      <c r="Q9698" s="9" t="s">
        <v>9736</v>
      </c>
      <c r="R9698" s="10">
        <v>0.5154302824951569</v>
      </c>
      <c r="S9698" s="10">
        <v>0.03028037753790803</v>
      </c>
      <c r="T9698" s="10">
        <v>15.700936419962575</v>
      </c>
      <c r="U9698" s="11">
        <v>0.2091968633550649</v>
      </c>
      <c r="V9698" s="11">
        <v>2.3319859076436066E-4</v>
      </c>
      <c r="W9698" s="11">
        <v>0.2688300765214556</v>
      </c>
      <c r="X9698" s="11">
        <v>0.2638077435743959</v>
      </c>
      <c r="Y9698" s="11">
        <v>0.1802953606251173</v>
      </c>
      <c r="Z9698" s="11">
        <v>0.07763675733320208</v>
      </c>
    </row>
    <row r="9699" ht="22.5" customHeight="1">
      <c r="Q9699" s="9" t="s">
        <v>9737</v>
      </c>
      <c r="R9699" s="10">
        <v>0.7164401644773467</v>
      </c>
      <c r="S9699" s="10">
        <v>0.04309014060703029</v>
      </c>
      <c r="T9699" s="10">
        <v>15.698258463491374</v>
      </c>
      <c r="U9699" s="11">
        <v>0.13208367887178646</v>
      </c>
      <c r="V9699" s="11">
        <v>0.05468908902247756</v>
      </c>
      <c r="W9699" s="11">
        <v>0.3915611863904353</v>
      </c>
      <c r="X9699" s="11">
        <v>0.0758223515969979</v>
      </c>
      <c r="Y9699" s="11">
        <v>0.1455737620636386</v>
      </c>
      <c r="Z9699" s="11">
        <v>0.20026993205466417</v>
      </c>
    </row>
    <row r="9700" ht="22.5" customHeight="1">
      <c r="Q9700" s="9" t="s">
        <v>9738</v>
      </c>
      <c r="R9700" s="10">
        <v>0.539634150141653</v>
      </c>
      <c r="S9700" s="10">
        <v>0.03183464236077639</v>
      </c>
      <c r="T9700" s="10">
        <v>15.69466823215374</v>
      </c>
      <c r="U9700" s="11">
        <v>0.26273592290761044</v>
      </c>
      <c r="V9700" s="11">
        <v>0.028636189071502248</v>
      </c>
      <c r="W9700" s="11">
        <v>0.28067193941823776</v>
      </c>
      <c r="X9700" s="11">
        <v>0.003896189793110723</v>
      </c>
      <c r="Y9700" s="11">
        <v>0.28962470041276883</v>
      </c>
      <c r="Z9700" s="11">
        <v>0.13443505839676997</v>
      </c>
    </row>
    <row r="9701" ht="22.5" customHeight="1">
      <c r="Q9701" s="9" t="s">
        <v>9739</v>
      </c>
      <c r="R9701" s="10">
        <v>0.5708789560678876</v>
      </c>
      <c r="S9701" s="10">
        <v>0.033829590990355214</v>
      </c>
      <c r="T9701" s="10">
        <v>15.692739419144639</v>
      </c>
      <c r="U9701" s="11">
        <v>0.13306803928785904</v>
      </c>
      <c r="V9701" s="11">
        <v>0.03231751722706014</v>
      </c>
      <c r="W9701" s="11">
        <v>0.3023343784468346</v>
      </c>
      <c r="X9701" s="11">
        <v>0.050276780426233986</v>
      </c>
      <c r="Y9701" s="11">
        <v>0.26681202898343664</v>
      </c>
      <c r="Z9701" s="11">
        <v>0.2151912556285757</v>
      </c>
    </row>
    <row r="9702" ht="22.5" customHeight="1">
      <c r="Q9702" s="9" t="s">
        <v>9740</v>
      </c>
      <c r="R9702" s="10">
        <v>0.6304368693213684</v>
      </c>
      <c r="S9702" s="10">
        <v>0.037628676324335225</v>
      </c>
      <c r="T9702" s="10">
        <v>15.69114109229298</v>
      </c>
      <c r="U9702" s="11">
        <v>0.07008625147596617</v>
      </c>
      <c r="V9702" s="11">
        <v>0.3624473250789396</v>
      </c>
      <c r="W9702" s="11">
        <v>0.00904128080485589</v>
      </c>
      <c r="X9702" s="11">
        <v>2.769715954758949E-4</v>
      </c>
      <c r="Y9702" s="11">
        <v>0.27682106744158697</v>
      </c>
      <c r="Z9702" s="11">
        <v>0.2813271036031754</v>
      </c>
    </row>
    <row r="9703" ht="22.5" customHeight="1">
      <c r="Q9703" s="9" t="s">
        <v>9741</v>
      </c>
      <c r="R9703" s="10">
        <v>0.589973169090439</v>
      </c>
      <c r="S9703" s="10">
        <v>0.03505306738878951</v>
      </c>
      <c r="T9703" s="10">
        <v>15.689730173694542</v>
      </c>
      <c r="U9703" s="11">
        <v>0.3030625561806561</v>
      </c>
      <c r="V9703" s="11">
        <v>0.025236499656131194</v>
      </c>
      <c r="W9703" s="11">
        <v>0.31338744908486144</v>
      </c>
      <c r="X9703" s="11">
        <v>0.08326943460490552</v>
      </c>
      <c r="Y9703" s="11">
        <v>0.22298919536189626</v>
      </c>
      <c r="Z9703" s="11">
        <v>0.05205486511154951</v>
      </c>
    </row>
    <row r="9704" ht="22.5" customHeight="1">
      <c r="Q9704" s="9" t="s">
        <v>9742</v>
      </c>
      <c r="R9704" s="10">
        <v>0.4848952862195984</v>
      </c>
      <c r="S9704" s="10">
        <v>0.028365619607785865</v>
      </c>
      <c r="T9704" s="10">
        <v>15.684314052405979</v>
      </c>
      <c r="U9704" s="11">
        <v>0.2900381424365285</v>
      </c>
      <c r="V9704" s="11">
        <v>0.022002734252301193</v>
      </c>
      <c r="W9704" s="11">
        <v>0.2506657225796222</v>
      </c>
      <c r="X9704" s="11">
        <v>0.032708193312245386</v>
      </c>
      <c r="Y9704" s="11">
        <v>0.17111052600179227</v>
      </c>
      <c r="Z9704" s="11">
        <v>0.23347468141751046</v>
      </c>
    </row>
    <row r="9705" ht="22.5" customHeight="1">
      <c r="Q9705" s="9" t="s">
        <v>9743</v>
      </c>
      <c r="R9705" s="10">
        <v>0.5133703852832225</v>
      </c>
      <c r="S9705" s="10">
        <v>0.03018368834217662</v>
      </c>
      <c r="T9705" s="10">
        <v>15.682986781365853</v>
      </c>
      <c r="U9705" s="11">
        <v>0.33298260674882524</v>
      </c>
      <c r="V9705" s="11">
        <v>0.016981023879187172</v>
      </c>
      <c r="W9705" s="11">
        <v>0.26676653941206785</v>
      </c>
      <c r="X9705" s="11">
        <v>0.07028040236376054</v>
      </c>
      <c r="Y9705" s="11">
        <v>0.20912359694177635</v>
      </c>
      <c r="Z9705" s="11">
        <v>0.10386583065438282</v>
      </c>
    </row>
    <row r="9706" ht="22.5" customHeight="1">
      <c r="Q9706" s="9" t="s">
        <v>9744</v>
      </c>
      <c r="R9706" s="10">
        <v>0.6612591187094011</v>
      </c>
      <c r="S9706" s="10">
        <v>0.039627567186011646</v>
      </c>
      <c r="T9706" s="10">
        <v>15.677447868379435</v>
      </c>
      <c r="U9706" s="11">
        <v>0.08780834376333842</v>
      </c>
      <c r="V9706" s="11">
        <v>0.039198957402747286</v>
      </c>
      <c r="W9706" s="11">
        <v>0.3605672400658759</v>
      </c>
      <c r="X9706" s="11">
        <v>0.16826221080213738</v>
      </c>
      <c r="Y9706" s="11">
        <v>0.10003225238260376</v>
      </c>
      <c r="Z9706" s="11">
        <v>0.24413099558329726</v>
      </c>
    </row>
    <row r="9707" ht="22.5" customHeight="1">
      <c r="Q9707" s="9" t="s">
        <v>9745</v>
      </c>
      <c r="R9707" s="10">
        <v>0.4461475752743733</v>
      </c>
      <c r="S9707" s="10">
        <v>0.02590998274568156</v>
      </c>
      <c r="T9707" s="10">
        <v>15.675331753822427</v>
      </c>
      <c r="U9707" s="11">
        <v>0.24337909668989693</v>
      </c>
      <c r="V9707" s="11">
        <v>0.004093555902914115</v>
      </c>
      <c r="W9707" s="11">
        <v>0.22945479011292078</v>
      </c>
      <c r="X9707" s="11">
        <v>0.2021555418161413</v>
      </c>
      <c r="Y9707" s="11">
        <v>0.05308523371287189</v>
      </c>
      <c r="Z9707" s="11">
        <v>0.267831781765255</v>
      </c>
    </row>
    <row r="9708" ht="22.5" customHeight="1">
      <c r="Q9708" s="9" t="s">
        <v>9746</v>
      </c>
      <c r="R9708" s="10">
        <v>0.5650281528522558</v>
      </c>
      <c r="S9708" s="10">
        <v>0.033498403472075056</v>
      </c>
      <c r="T9708" s="10">
        <v>15.673229122394739</v>
      </c>
      <c r="U9708" s="11">
        <v>0.30291227898579115</v>
      </c>
      <c r="V9708" s="11">
        <v>0.02125547339946732</v>
      </c>
      <c r="W9708" s="11">
        <v>0.2998290444357441</v>
      </c>
      <c r="X9708" s="11">
        <v>0.10126371967472393</v>
      </c>
      <c r="Y9708" s="11">
        <v>0.18160197298985334</v>
      </c>
      <c r="Z9708" s="11">
        <v>0.09313751051442029</v>
      </c>
    </row>
    <row r="9709" ht="22.5" customHeight="1">
      <c r="Q9709" s="9" t="s">
        <v>9747</v>
      </c>
      <c r="R9709" s="10">
        <v>0.6560890339021268</v>
      </c>
      <c r="S9709" s="10">
        <v>0.03932162986838057</v>
      </c>
      <c r="T9709" s="10">
        <v>15.66794245213976</v>
      </c>
      <c r="U9709" s="11">
        <v>0.19276346813354822</v>
      </c>
      <c r="V9709" s="11">
        <v>0.03893237383795951</v>
      </c>
      <c r="W9709" s="11">
        <v>0.357657611215097</v>
      </c>
      <c r="X9709" s="11">
        <v>0.13818634966752613</v>
      </c>
      <c r="Y9709" s="11">
        <v>0.06859878074343678</v>
      </c>
      <c r="Z9709" s="11">
        <v>0.20386141640243235</v>
      </c>
    </row>
    <row r="9710" ht="22.5" customHeight="1">
      <c r="Q9710" s="9" t="s">
        <v>9748</v>
      </c>
      <c r="R9710" s="10">
        <v>0.7348708024269164</v>
      </c>
      <c r="S9710" s="10">
        <v>0.044351116503562917</v>
      </c>
      <c r="T9710" s="10">
        <v>15.667492888732449</v>
      </c>
      <c r="U9710" s="11">
        <v>0.16584044926750516</v>
      </c>
      <c r="V9710" s="11">
        <v>0.06343685386486844</v>
      </c>
      <c r="W9710" s="11">
        <v>0.40389342532463157</v>
      </c>
      <c r="X9710" s="11">
        <v>0.06051729322614819</v>
      </c>
      <c r="Y9710" s="11">
        <v>0.039991875095341814</v>
      </c>
      <c r="Z9710" s="11">
        <v>0.2663201032215049</v>
      </c>
    </row>
    <row r="9711" ht="22.5" customHeight="1">
      <c r="Q9711" s="9" t="s">
        <v>9749</v>
      </c>
      <c r="R9711" s="10">
        <v>0.19054616764548937</v>
      </c>
      <c r="S9711" s="10">
        <v>0.009609568386472908</v>
      </c>
      <c r="T9711" s="10">
        <v>15.666277775535532</v>
      </c>
      <c r="U9711" s="11">
        <v>0.03279315256755691</v>
      </c>
      <c r="V9711" s="11">
        <v>0.005727981396457036</v>
      </c>
      <c r="W9711" s="11">
        <v>0.02057172390559603</v>
      </c>
      <c r="X9711" s="11">
        <v>0.2749651331229822</v>
      </c>
      <c r="Y9711" s="11">
        <v>0.33510722422767975</v>
      </c>
      <c r="Z9711" s="11">
        <v>0.330834784779728</v>
      </c>
    </row>
    <row r="9712" ht="22.5" customHeight="1">
      <c r="Q9712" s="9" t="s">
        <v>9750</v>
      </c>
      <c r="R9712" s="10">
        <v>0.6495525988666723</v>
      </c>
      <c r="S9712" s="10">
        <v>0.03891553435430736</v>
      </c>
      <c r="T9712" s="10">
        <v>15.663477554155799</v>
      </c>
      <c r="U9712" s="11">
        <v>0.1893367577342387</v>
      </c>
      <c r="V9712" s="11">
        <v>0.033945817331922055</v>
      </c>
      <c r="W9712" s="11">
        <v>0.35110721232561265</v>
      </c>
      <c r="X9712" s="11">
        <v>0.10378783525720373</v>
      </c>
      <c r="Y9712" s="11">
        <v>0.2291600175851073</v>
      </c>
      <c r="Z9712" s="11">
        <v>0.09266235976591557</v>
      </c>
    </row>
    <row r="9713" ht="22.5" customHeight="1">
      <c r="Q9713" s="9" t="s">
        <v>9751</v>
      </c>
      <c r="R9713" s="10">
        <v>0.6533148267617334</v>
      </c>
      <c r="S9713" s="10">
        <v>0.03916045704049947</v>
      </c>
      <c r="T9713" s="10">
        <v>15.661585004675699</v>
      </c>
      <c r="U9713" s="11">
        <v>0.2154280388531704</v>
      </c>
      <c r="V9713" s="11">
        <v>0.0359798030628522</v>
      </c>
      <c r="W9713" s="11">
        <v>0.3564014154283157</v>
      </c>
      <c r="X9713" s="11">
        <v>0.1717228043111218</v>
      </c>
      <c r="Y9713" s="11">
        <v>0.022125440188323763</v>
      </c>
      <c r="Z9713" s="11">
        <v>0.19834249815621613</v>
      </c>
    </row>
    <row r="9714" ht="22.5" customHeight="1">
      <c r="Q9714" s="9" t="s">
        <v>9752</v>
      </c>
      <c r="R9714" s="10">
        <v>0.48333830102062614</v>
      </c>
      <c r="S9714" s="10">
        <v>0.02830983178848576</v>
      </c>
      <c r="T9714" s="10">
        <v>15.660223781369897</v>
      </c>
      <c r="U9714" s="11">
        <v>0.03882668435554741</v>
      </c>
      <c r="V9714" s="11">
        <v>0.017964449531364404</v>
      </c>
      <c r="W9714" s="11">
        <v>0.24415158245888569</v>
      </c>
      <c r="X9714" s="11">
        <v>0.07236193709220926</v>
      </c>
      <c r="Y9714" s="11">
        <v>0.4163873825338446</v>
      </c>
      <c r="Z9714" s="11">
        <v>0.21030796402814877</v>
      </c>
    </row>
    <row r="9715" ht="22.5" customHeight="1">
      <c r="Q9715" s="9" t="s">
        <v>9753</v>
      </c>
      <c r="R9715" s="10">
        <v>0.5671079312695128</v>
      </c>
      <c r="S9715" s="10">
        <v>0.03366557137112749</v>
      </c>
      <c r="T9715" s="10">
        <v>15.657180609195745</v>
      </c>
      <c r="U9715" s="11">
        <v>0.0237271773259848</v>
      </c>
      <c r="V9715" s="11">
        <v>0.029197998166324634</v>
      </c>
      <c r="W9715" s="11">
        <v>0.3044781745375405</v>
      </c>
      <c r="X9715" s="11">
        <v>0.17081036452806103</v>
      </c>
      <c r="Y9715" s="11">
        <v>0.1054125286655383</v>
      </c>
      <c r="Z9715" s="11">
        <v>0.3663737567765507</v>
      </c>
    </row>
    <row r="9716" ht="22.5" customHeight="1">
      <c r="Q9716" s="9" t="s">
        <v>9754</v>
      </c>
      <c r="R9716" s="10">
        <v>0.7015148737050821</v>
      </c>
      <c r="S9716" s="10">
        <v>0.04227899513467763</v>
      </c>
      <c r="T9716" s="10">
        <v>15.64641902197201</v>
      </c>
      <c r="U9716" s="11">
        <v>0.029934417350681652</v>
      </c>
      <c r="V9716" s="11">
        <v>0.03142980975137986</v>
      </c>
      <c r="W9716" s="11">
        <v>0.38363056386759253</v>
      </c>
      <c r="X9716" s="11">
        <v>0.2529613796941533</v>
      </c>
      <c r="Y9716" s="11">
        <v>0.18962069828330175</v>
      </c>
      <c r="Z9716" s="11">
        <v>0.11242313105289076</v>
      </c>
    </row>
    <row r="9717" ht="22.5" customHeight="1">
      <c r="Q9717" s="9" t="s">
        <v>9755</v>
      </c>
      <c r="R9717" s="10">
        <v>0.6696745282459263</v>
      </c>
      <c r="S9717" s="10">
        <v>0.040246286387281664</v>
      </c>
      <c r="T9717" s="10">
        <v>15.645531172409274</v>
      </c>
      <c r="U9717" s="11">
        <v>0.13541713095898447</v>
      </c>
      <c r="V9717" s="11">
        <v>0.04322312980692167</v>
      </c>
      <c r="W9717" s="11">
        <v>0.36285855139772316</v>
      </c>
      <c r="X9717" s="11">
        <v>0.056785454875526595</v>
      </c>
      <c r="Y9717" s="11">
        <v>0.26388827437969226</v>
      </c>
      <c r="Z9717" s="11">
        <v>0.13782745858115183</v>
      </c>
    </row>
    <row r="9718" ht="22.5" customHeight="1">
      <c r="Q9718" s="9" t="s">
        <v>9756</v>
      </c>
      <c r="R9718" s="10">
        <v>0.5433449448268223</v>
      </c>
      <c r="S9718" s="10">
        <v>0.03217748985383508</v>
      </c>
      <c r="T9718" s="10">
        <v>15.642766017897786</v>
      </c>
      <c r="U9718" s="11">
        <v>0.23109543737735871</v>
      </c>
      <c r="V9718" s="11">
        <v>0.03978825904783483</v>
      </c>
      <c r="W9718" s="11">
        <v>0.28875893132912084</v>
      </c>
      <c r="X9718" s="11">
        <v>0.012130181575509574</v>
      </c>
      <c r="Y9718" s="11">
        <v>0.06506792200816876</v>
      </c>
      <c r="Z9718" s="11">
        <v>0.3631592686620073</v>
      </c>
    </row>
    <row r="9719" ht="22.5" customHeight="1">
      <c r="Q9719" s="9" t="s">
        <v>9757</v>
      </c>
      <c r="R9719" s="10">
        <v>0.48658798900353234</v>
      </c>
      <c r="S9719" s="10">
        <v>0.028550715793117593</v>
      </c>
      <c r="T9719" s="10">
        <v>15.641919181276233</v>
      </c>
      <c r="U9719" s="11">
        <v>0.25167192964324137</v>
      </c>
      <c r="V9719" s="11">
        <v>0.01579894736233402</v>
      </c>
      <c r="W9719" s="11">
        <v>0.25107325628662464</v>
      </c>
      <c r="X9719" s="11">
        <v>0.05808150167723432</v>
      </c>
      <c r="Y9719" s="11">
        <v>0.25366099204705045</v>
      </c>
      <c r="Z9719" s="11">
        <v>0.16971337298351513</v>
      </c>
    </row>
    <row r="9720" ht="22.5" customHeight="1">
      <c r="Q9720" s="9" t="s">
        <v>9758</v>
      </c>
      <c r="R9720" s="10">
        <v>0.5324093277655569</v>
      </c>
      <c r="S9720" s="10">
        <v>0.03148145224477029</v>
      </c>
      <c r="T9720" s="10">
        <v>15.64125199616089</v>
      </c>
      <c r="U9720" s="11">
        <v>0.08904310782630583</v>
      </c>
      <c r="V9720" s="11">
        <v>0.011703060281743007</v>
      </c>
      <c r="W9720" s="11">
        <v>0.2819713060901969</v>
      </c>
      <c r="X9720" s="11">
        <v>0.20692021805611685</v>
      </c>
      <c r="Y9720" s="11">
        <v>0.20021035191023517</v>
      </c>
      <c r="Z9720" s="11">
        <v>0.2101519558354023</v>
      </c>
    </row>
    <row r="9721" ht="22.5" customHeight="1">
      <c r="Q9721" s="9" t="s">
        <v>9759</v>
      </c>
      <c r="R9721" s="10">
        <v>0.5755256016876915</v>
      </c>
      <c r="S9721" s="10">
        <v>0.03424390357810244</v>
      </c>
      <c r="T9721" s="10">
        <v>15.638567620256294</v>
      </c>
      <c r="U9721" s="11">
        <v>0.08122647548539297</v>
      </c>
      <c r="V9721" s="11">
        <v>0.028654602119347096</v>
      </c>
      <c r="W9721" s="11">
        <v>0.30815598282286827</v>
      </c>
      <c r="X9721" s="11">
        <v>0.10780942319640476</v>
      </c>
      <c r="Y9721" s="11">
        <v>0.21998548604034698</v>
      </c>
      <c r="Z9721" s="11">
        <v>0.25416803033563984</v>
      </c>
    </row>
    <row r="9722" ht="22.5" customHeight="1">
      <c r="Q9722" s="9" t="s">
        <v>9760</v>
      </c>
      <c r="R9722" s="10">
        <v>0.5798841848332175</v>
      </c>
      <c r="S9722" s="10">
        <v>0.034526172495575054</v>
      </c>
      <c r="T9722" s="10">
        <v>15.636954397491065</v>
      </c>
      <c r="U9722" s="11">
        <v>0.11717948617888287</v>
      </c>
      <c r="V9722" s="11">
        <v>0.026745579458068297</v>
      </c>
      <c r="W9722" s="11">
        <v>0.3128927003553031</v>
      </c>
      <c r="X9722" s="11">
        <v>0.17020616424577406</v>
      </c>
      <c r="Y9722" s="11">
        <v>0.08588341475507179</v>
      </c>
      <c r="Z9722" s="11">
        <v>0.2870926550068998</v>
      </c>
    </row>
    <row r="9723" ht="22.5" customHeight="1">
      <c r="Q9723" s="9" t="s">
        <v>9761</v>
      </c>
      <c r="R9723" s="10">
        <v>0.503271920925839</v>
      </c>
      <c r="S9723" s="10">
        <v>0.029629107474849228</v>
      </c>
      <c r="T9723" s="10">
        <v>15.635702874920852</v>
      </c>
      <c r="U9723" s="11">
        <v>0.23305927729980014</v>
      </c>
      <c r="V9723" s="11">
        <v>0.007754532580983854</v>
      </c>
      <c r="W9723" s="11">
        <v>0.2630578917913103</v>
      </c>
      <c r="X9723" s="11">
        <v>0.1557726398082002</v>
      </c>
      <c r="Y9723" s="11">
        <v>0.20855690022030549</v>
      </c>
      <c r="Z9723" s="11">
        <v>0.13179875829940005</v>
      </c>
    </row>
    <row r="9724" ht="22.5" customHeight="1">
      <c r="Q9724" s="9" t="s">
        <v>9762</v>
      </c>
      <c r="R9724" s="10">
        <v>0.43738903577694893</v>
      </c>
      <c r="S9724" s="10">
        <v>0.025426035448533963</v>
      </c>
      <c r="T9724" s="10">
        <v>15.629217405179931</v>
      </c>
      <c r="U9724" s="11">
        <v>0.1439921867946341</v>
      </c>
      <c r="V9724" s="11">
        <v>0.014739760163350466</v>
      </c>
      <c r="W9724" s="11">
        <v>0.22124261582881907</v>
      </c>
      <c r="X9724" s="11">
        <v>0.05140186036324889</v>
      </c>
      <c r="Y9724" s="11">
        <v>0.2735543042613577</v>
      </c>
      <c r="Z9724" s="11">
        <v>0.2950692725885899</v>
      </c>
    </row>
    <row r="9725" ht="22.5" customHeight="1">
      <c r="Q9725" s="9" t="s">
        <v>9763</v>
      </c>
      <c r="R9725" s="10">
        <v>0.48138226547008817</v>
      </c>
      <c r="S9725" s="10">
        <v>0.02824163822608712</v>
      </c>
      <c r="T9725" s="10">
        <v>15.628776983000172</v>
      </c>
      <c r="U9725" s="11">
        <v>0.09037198902039045</v>
      </c>
      <c r="V9725" s="11">
        <v>7.657690679845075E-4</v>
      </c>
      <c r="W9725" s="11">
        <v>0.2501866871192201</v>
      </c>
      <c r="X9725" s="11">
        <v>0.25070336048422853</v>
      </c>
      <c r="Y9725" s="11">
        <v>0.19696555624848852</v>
      </c>
      <c r="Z9725" s="11">
        <v>0.21100663805968786</v>
      </c>
    </row>
    <row r="9726" ht="22.5" customHeight="1">
      <c r="Q9726" s="9" t="s">
        <v>9764</v>
      </c>
      <c r="R9726" s="10">
        <v>0.22825021635044457</v>
      </c>
      <c r="S9726" s="10">
        <v>0.012050103740986149</v>
      </c>
      <c r="T9726" s="10">
        <v>15.622290097814432</v>
      </c>
      <c r="U9726" s="11">
        <v>0.33140931192095824</v>
      </c>
      <c r="V9726" s="11">
        <v>0.0014015872313859236</v>
      </c>
      <c r="W9726" s="11">
        <v>0.06542225805858481</v>
      </c>
      <c r="X9726" s="11">
        <v>0.07668768229611062</v>
      </c>
      <c r="Y9726" s="11">
        <v>0.30415504401831894</v>
      </c>
      <c r="Z9726" s="11">
        <v>0.22092411647464158</v>
      </c>
    </row>
    <row r="9727" ht="22.5" customHeight="1">
      <c r="Q9727" s="9" t="s">
        <v>9765</v>
      </c>
      <c r="R9727" s="10">
        <v>0.45152227540253576</v>
      </c>
      <c r="S9727" s="10">
        <v>0.026346441100040432</v>
      </c>
      <c r="T9727" s="10">
        <v>15.619653289791168</v>
      </c>
      <c r="U9727" s="11">
        <v>0.1772716898235074</v>
      </c>
      <c r="V9727" s="11">
        <v>0.007858325209605482</v>
      </c>
      <c r="W9727" s="11">
        <v>0.23440789922824937</v>
      </c>
      <c r="X9727" s="11">
        <v>0.21039785279722908</v>
      </c>
      <c r="Y9727" s="11">
        <v>0.01954366021072017</v>
      </c>
      <c r="Z9727" s="11">
        <v>0.35052057273068854</v>
      </c>
    </row>
    <row r="9728" ht="22.5" customHeight="1">
      <c r="Q9728" s="9" t="s">
        <v>9766</v>
      </c>
      <c r="R9728" s="10">
        <v>0.5762802834325031</v>
      </c>
      <c r="S9728" s="10">
        <v>0.03433987769159709</v>
      </c>
      <c r="T9728" s="10">
        <v>15.616837318081945</v>
      </c>
      <c r="U9728" s="11">
        <v>0.16399164738899102</v>
      </c>
      <c r="V9728" s="11">
        <v>0.031047946406644066</v>
      </c>
      <c r="W9728" s="11">
        <v>0.3107900253573672</v>
      </c>
      <c r="X9728" s="11">
        <v>0.10799395290604946</v>
      </c>
      <c r="Y9728" s="11">
        <v>0.09551483481634797</v>
      </c>
      <c r="Z9728" s="11">
        <v>0.2906615931246003</v>
      </c>
    </row>
    <row r="9729" ht="22.5" customHeight="1">
      <c r="Q9729" s="9" t="s">
        <v>9767</v>
      </c>
      <c r="R9729" s="10">
        <v>0.5044710859740358</v>
      </c>
      <c r="S9729" s="10">
        <v>0.02975238876536097</v>
      </c>
      <c r="T9729" s="10">
        <v>15.611219980924467</v>
      </c>
      <c r="U9729" s="11">
        <v>0.06627952383318261</v>
      </c>
      <c r="V9729" s="11">
        <v>0.005046881331570509</v>
      </c>
      <c r="W9729" s="11">
        <v>0.26345076313888705</v>
      </c>
      <c r="X9729" s="11">
        <v>0.21714361999858886</v>
      </c>
      <c r="Y9729" s="11">
        <v>0.26581650066805557</v>
      </c>
      <c r="Z9729" s="11">
        <v>0.18226271102971534</v>
      </c>
    </row>
    <row r="9730" ht="22.5" customHeight="1">
      <c r="Q9730" s="9" t="s">
        <v>9768</v>
      </c>
      <c r="R9730" s="10">
        <v>0.5603937179564087</v>
      </c>
      <c r="S9730" s="10">
        <v>0.03335051926784404</v>
      </c>
      <c r="T9730" s="10">
        <v>15.603766579375653</v>
      </c>
      <c r="U9730" s="11">
        <v>0.16923199586423124</v>
      </c>
      <c r="V9730" s="11">
        <v>0.013131039214420057</v>
      </c>
      <c r="W9730" s="11">
        <v>0.29917877148639554</v>
      </c>
      <c r="X9730" s="11">
        <v>0.18295245626712175</v>
      </c>
      <c r="Y9730" s="11">
        <v>0.21042435411145186</v>
      </c>
      <c r="Z9730" s="11">
        <v>0.12508138305637959</v>
      </c>
    </row>
    <row r="9731" ht="22.5" customHeight="1">
      <c r="Q9731" s="9" t="s">
        <v>9769</v>
      </c>
      <c r="R9731" s="10">
        <v>0.39450433077526137</v>
      </c>
      <c r="S9731" s="10">
        <v>0.02272052295229675</v>
      </c>
      <c r="T9731" s="10">
        <v>15.602824438485278</v>
      </c>
      <c r="U9731" s="11">
        <v>0.32204095238135</v>
      </c>
      <c r="V9731" s="11">
        <v>9.12630741996883E-4</v>
      </c>
      <c r="W9731" s="11">
        <v>0.1926185527638427</v>
      </c>
      <c r="X9731" s="11">
        <v>0.08463596232445048</v>
      </c>
      <c r="Y9731" s="11">
        <v>0.23855052340867003</v>
      </c>
      <c r="Z9731" s="11">
        <v>0.16124137837968983</v>
      </c>
    </row>
    <row r="9732" ht="22.5" customHeight="1">
      <c r="Q9732" s="9" t="s">
        <v>9770</v>
      </c>
      <c r="R9732" s="10">
        <v>0.19665563264118782</v>
      </c>
      <c r="S9732" s="10">
        <v>0.010041922740191257</v>
      </c>
      <c r="T9732" s="10">
        <v>15.600163105636897</v>
      </c>
      <c r="U9732" s="11">
        <v>0.43056696519413035</v>
      </c>
      <c r="V9732" s="11">
        <v>0.007650576119533613</v>
      </c>
      <c r="W9732" s="11">
        <v>0.010579437949461257</v>
      </c>
      <c r="X9732" s="11">
        <v>0.2724335753453707</v>
      </c>
      <c r="Y9732" s="11">
        <v>0.21482290253149608</v>
      </c>
      <c r="Z9732" s="11">
        <v>0.06394654286000798</v>
      </c>
    </row>
    <row r="9733" ht="22.5" customHeight="1">
      <c r="Q9733" s="9" t="s">
        <v>9771</v>
      </c>
      <c r="R9733" s="10">
        <v>0.39927800009749015</v>
      </c>
      <c r="S9733" s="10">
        <v>0.023031805079989757</v>
      </c>
      <c r="T9733" s="10">
        <v>15.599211561999288</v>
      </c>
      <c r="U9733" s="11">
        <v>0.1972414110971591</v>
      </c>
      <c r="V9733" s="11">
        <v>0.0022240546457862396</v>
      </c>
      <c r="W9733" s="11">
        <v>0.19806777613119556</v>
      </c>
      <c r="X9733" s="11">
        <v>0.10695447988849704</v>
      </c>
      <c r="Y9733" s="11">
        <v>0.24522604654622948</v>
      </c>
      <c r="Z9733" s="11">
        <v>0.25028623169113245</v>
      </c>
    </row>
    <row r="9734" ht="22.5" customHeight="1">
      <c r="Q9734" s="9" t="s">
        <v>9772</v>
      </c>
      <c r="R9734" s="10">
        <v>0.49026842221532124</v>
      </c>
      <c r="S9734" s="10">
        <v>0.02886888138786347</v>
      </c>
      <c r="T9734" s="10">
        <v>15.597016599493701</v>
      </c>
      <c r="U9734" s="11">
        <v>0.23342871829109582</v>
      </c>
      <c r="V9734" s="11">
        <v>0.006622148515139933</v>
      </c>
      <c r="W9734" s="11">
        <v>0.2547573921129784</v>
      </c>
      <c r="X9734" s="11">
        <v>0.13570232963518591</v>
      </c>
      <c r="Y9734" s="11">
        <v>0.2437408994881743</v>
      </c>
      <c r="Z9734" s="11">
        <v>0.1257485119574257</v>
      </c>
    </row>
    <row r="9735" ht="22.5" customHeight="1">
      <c r="Q9735" s="9" t="s">
        <v>9773</v>
      </c>
      <c r="R9735" s="10">
        <v>0.5678056350872197</v>
      </c>
      <c r="S9735" s="10">
        <v>0.033846941297690565</v>
      </c>
      <c r="T9735" s="10">
        <v>15.5938945987782</v>
      </c>
      <c r="U9735" s="11">
        <v>0.24877650057648673</v>
      </c>
      <c r="V9735" s="11">
        <v>0.038322736778303564</v>
      </c>
      <c r="W9735" s="11">
        <v>0.30505272189285193</v>
      </c>
      <c r="X9735" s="11">
        <v>0.03183802549391163</v>
      </c>
      <c r="Y9735" s="11">
        <v>0.06045602687524978</v>
      </c>
      <c r="Z9735" s="11">
        <v>0.31555398838319626</v>
      </c>
    </row>
    <row r="9736" ht="22.5" customHeight="1">
      <c r="Q9736" s="9" t="s">
        <v>9774</v>
      </c>
      <c r="R9736" s="10">
        <v>0.6623118682252555</v>
      </c>
      <c r="S9736" s="10">
        <v>0.03991176719366338</v>
      </c>
      <c r="T9736" s="10">
        <v>15.59219027324997</v>
      </c>
      <c r="U9736" s="11">
        <v>0.10913887779660005</v>
      </c>
      <c r="V9736" s="11">
        <v>0.012368734429897364</v>
      </c>
      <c r="W9736" s="11">
        <v>0.3608187713301931</v>
      </c>
      <c r="X9736" s="11">
        <v>0.4191442538270551</v>
      </c>
      <c r="Y9736" s="11">
        <v>0.017926592782076374</v>
      </c>
      <c r="Z9736" s="11">
        <v>0.08060276983417798</v>
      </c>
    </row>
    <row r="9737" ht="22.5" customHeight="1">
      <c r="Q9737" s="9" t="s">
        <v>9775</v>
      </c>
      <c r="R9737" s="10">
        <v>0.450931214971508</v>
      </c>
      <c r="S9737" s="10">
        <v>0.026364964716660402</v>
      </c>
      <c r="T9737" s="10">
        <v>15.586260758840867</v>
      </c>
      <c r="U9737" s="11">
        <v>0.3482448984866186</v>
      </c>
      <c r="V9737" s="11">
        <v>0.01658519800195278</v>
      </c>
      <c r="W9737" s="11">
        <v>0.22800142460737055</v>
      </c>
      <c r="X9737" s="11">
        <v>7.098080474244801E-4</v>
      </c>
      <c r="Y9737" s="11">
        <v>0.23193286824820422</v>
      </c>
      <c r="Z9737" s="11">
        <v>0.17452580260842937</v>
      </c>
    </row>
    <row r="9738" ht="22.5" customHeight="1">
      <c r="Q9738" s="9" t="s">
        <v>9776</v>
      </c>
      <c r="R9738" s="10">
        <v>0.46172180237425375</v>
      </c>
      <c r="S9738" s="10">
        <v>0.02706512130256837</v>
      </c>
      <c r="T9738" s="10">
        <v>15.581744403053316</v>
      </c>
      <c r="U9738" s="11">
        <v>0.3636761743608303</v>
      </c>
      <c r="V9738" s="11">
        <v>0.02582310985823746</v>
      </c>
      <c r="W9738" s="11">
        <v>0.2381292539314157</v>
      </c>
      <c r="X9738" s="11">
        <v>0.010754381868486278</v>
      </c>
      <c r="Y9738" s="11">
        <v>0.03990613895815665</v>
      </c>
      <c r="Z9738" s="11">
        <v>0.3217109410228735</v>
      </c>
    </row>
    <row r="9739" ht="22.5" customHeight="1">
      <c r="Q9739" s="9" t="s">
        <v>9777</v>
      </c>
      <c r="R9739" s="10">
        <v>0.6314396491394592</v>
      </c>
      <c r="S9739" s="10">
        <v>0.03796124783275013</v>
      </c>
      <c r="T9739" s="10">
        <v>15.580089773266335</v>
      </c>
      <c r="U9739" s="11">
        <v>0.011700633964426608</v>
      </c>
      <c r="V9739" s="11">
        <v>0.020083091152367227</v>
      </c>
      <c r="W9739" s="11">
        <v>0.34406213249804213</v>
      </c>
      <c r="X9739" s="11">
        <v>0.31066773414967835</v>
      </c>
      <c r="Y9739" s="11">
        <v>0.0960692136203645</v>
      </c>
      <c r="Z9739" s="11">
        <v>0.21741719461512124</v>
      </c>
    </row>
    <row r="9740" ht="22.5" customHeight="1">
      <c r="Q9740" s="9" t="s">
        <v>9778</v>
      </c>
      <c r="R9740" s="10">
        <v>0.551040637396972</v>
      </c>
      <c r="S9740" s="10">
        <v>0.032811456782258976</v>
      </c>
      <c r="T9740" s="10">
        <v>15.575066989201453</v>
      </c>
      <c r="U9740" s="11">
        <v>0.22374914464402632</v>
      </c>
      <c r="V9740" s="11">
        <v>0.01412119968605341</v>
      </c>
      <c r="W9740" s="11">
        <v>0.29129395002953296</v>
      </c>
      <c r="X9740" s="11">
        <v>0.11713006077637841</v>
      </c>
      <c r="Y9740" s="11">
        <v>0.2895602470227196</v>
      </c>
      <c r="Z9740" s="11">
        <v>0.06414539784128935</v>
      </c>
    </row>
    <row r="9741" ht="22.5" customHeight="1">
      <c r="Q9741" s="9" t="s">
        <v>9779</v>
      </c>
      <c r="R9741" s="10">
        <v>0.522331348251574</v>
      </c>
      <c r="S9741" s="10">
        <v>0.030183676957150633</v>
      </c>
      <c r="T9741" s="10">
        <v>15.574218783841</v>
      </c>
      <c r="U9741" s="11">
        <v>0.19174780163280383</v>
      </c>
      <c r="V9741" s="11">
        <v>0.02432817046949562</v>
      </c>
      <c r="W9741" s="11">
        <v>0.26935171145850156</v>
      </c>
      <c r="X9741" s="11">
        <v>0.04532886465300213</v>
      </c>
      <c r="Y9741" s="11">
        <v>0.18585756920128624</v>
      </c>
      <c r="Z9741" s="11">
        <v>0.2833858825849106</v>
      </c>
    </row>
    <row r="9742" ht="22.5" customHeight="1">
      <c r="Q9742" s="9" t="s">
        <v>9780</v>
      </c>
      <c r="R9742" s="10">
        <v>0.6242576350129753</v>
      </c>
      <c r="S9742" s="10">
        <v>0.03752127567454223</v>
      </c>
      <c r="T9742" s="10">
        <v>15.571369163479364</v>
      </c>
      <c r="U9742" s="11">
        <v>0.07642815435197649</v>
      </c>
      <c r="V9742" s="11">
        <v>0.04746896575028551</v>
      </c>
      <c r="W9742" s="11">
        <v>0.3380901376748104</v>
      </c>
      <c r="X9742" s="11">
        <v>0.006298422982457129</v>
      </c>
      <c r="Y9742" s="11">
        <v>0.22046957105412793</v>
      </c>
      <c r="Z9742" s="11">
        <v>0.31124474818634257</v>
      </c>
    </row>
    <row r="9743" ht="22.5" customHeight="1">
      <c r="Q9743" s="9" t="s">
        <v>9781</v>
      </c>
      <c r="R9743" s="10">
        <v>0.4483513608623903</v>
      </c>
      <c r="S9743" s="10">
        <v>0.026226555342886985</v>
      </c>
      <c r="T9743" s="10">
        <v>15.570148482085774</v>
      </c>
      <c r="U9743" s="11">
        <v>0.26338214413748706</v>
      </c>
      <c r="V9743" s="11">
        <v>0.005390854307053927</v>
      </c>
      <c r="W9743" s="11">
        <v>0.22783133476325726</v>
      </c>
      <c r="X9743" s="11">
        <v>0.0914956837924773</v>
      </c>
      <c r="Y9743" s="11">
        <v>0.26602612509183565</v>
      </c>
      <c r="Z9743" s="11">
        <v>0.14587385790788895</v>
      </c>
    </row>
    <row r="9744" ht="22.5" customHeight="1">
      <c r="Q9744" s="9" t="s">
        <v>9782</v>
      </c>
      <c r="R9744" s="10">
        <v>0.6611247189435282</v>
      </c>
      <c r="S9744" s="10">
        <v>0.03989332731525584</v>
      </c>
      <c r="T9744" s="10">
        <v>15.569639354348872</v>
      </c>
      <c r="U9744" s="11">
        <v>0.005807205051844259</v>
      </c>
      <c r="V9744" s="11">
        <v>0.0455908859653729</v>
      </c>
      <c r="W9744" s="11">
        <v>0.3603366463374666</v>
      </c>
      <c r="X9744" s="11">
        <v>0.06654942596208686</v>
      </c>
      <c r="Y9744" s="11">
        <v>0.2567748434692993</v>
      </c>
      <c r="Z9744" s="11">
        <v>0.26494099321393016</v>
      </c>
    </row>
    <row r="9745" ht="22.5" customHeight="1">
      <c r="Q9745" s="9" t="s">
        <v>9783</v>
      </c>
      <c r="R9745" s="10">
        <v>0.6968275200476945</v>
      </c>
      <c r="S9745" s="10">
        <v>0.04220677663291686</v>
      </c>
      <c r="T9745" s="10">
        <v>15.562134151117286</v>
      </c>
      <c r="U9745" s="11">
        <v>0.4026187147442264</v>
      </c>
      <c r="V9745" s="11">
        <v>0.40501151225204113</v>
      </c>
      <c r="W9745" s="11">
        <v>0.005648656959185468</v>
      </c>
      <c r="X9745" s="11">
        <v>0.01994864195834381</v>
      </c>
      <c r="Y9745" s="11">
        <v>0.09794454133354102</v>
      </c>
      <c r="Z9745" s="11">
        <v>0.06882793275266211</v>
      </c>
    </row>
    <row r="9746" ht="22.5" customHeight="1">
      <c r="Q9746" s="9" t="s">
        <v>9784</v>
      </c>
      <c r="R9746" s="10">
        <v>0.6403246647822826</v>
      </c>
      <c r="S9746" s="10">
        <v>0.03858441473603927</v>
      </c>
      <c r="T9746" s="10">
        <v>15.558734501719865</v>
      </c>
      <c r="U9746" s="11">
        <v>0.12173484892533985</v>
      </c>
      <c r="V9746" s="11">
        <v>0.02352571410822356</v>
      </c>
      <c r="W9746" s="11">
        <v>0.3457644174439578</v>
      </c>
      <c r="X9746" s="11">
        <v>0.1490578433166194</v>
      </c>
      <c r="Y9746" s="11">
        <v>0.3262282013708767</v>
      </c>
      <c r="Z9746" s="11">
        <v>0.03368897483498265</v>
      </c>
    </row>
    <row r="9747" ht="22.5" customHeight="1">
      <c r="Q9747" s="9" t="s">
        <v>9785</v>
      </c>
      <c r="R9747" s="10">
        <v>0.4605408011374903</v>
      </c>
      <c r="S9747" s="10">
        <v>0.027034277463989703</v>
      </c>
      <c r="T9747" s="10">
        <v>15.555836537435136</v>
      </c>
      <c r="U9747" s="11">
        <v>0.27459618821172393</v>
      </c>
      <c r="V9747" s="11">
        <v>0.014942647729896391</v>
      </c>
      <c r="W9747" s="11">
        <v>0.23887863064366643</v>
      </c>
      <c r="X9747" s="11">
        <v>0.06039554752833882</v>
      </c>
      <c r="Y9747" s="11">
        <v>0.14926580986431565</v>
      </c>
      <c r="Z9747" s="11">
        <v>0.2619211760220588</v>
      </c>
    </row>
    <row r="9748" ht="22.5" customHeight="1">
      <c r="Q9748" s="9" t="s">
        <v>9786</v>
      </c>
      <c r="R9748" s="10">
        <v>0.8474192536393905</v>
      </c>
      <c r="S9748" s="10">
        <v>0.05191218703280162</v>
      </c>
      <c r="T9748" s="10">
        <v>15.553558803623677</v>
      </c>
      <c r="U9748" s="11">
        <v>0.12356961904370387</v>
      </c>
      <c r="V9748" s="11">
        <v>0.0517599032792487</v>
      </c>
      <c r="W9748" s="11">
        <v>0.47495965484825137</v>
      </c>
      <c r="X9748" s="11">
        <v>0.24740958507763977</v>
      </c>
      <c r="Y9748" s="11">
        <v>0.05893163086819521</v>
      </c>
      <c r="Z9748" s="11">
        <v>0.04336960688296112</v>
      </c>
    </row>
    <row r="9749" ht="22.5" customHeight="1">
      <c r="Q9749" s="9" t="s">
        <v>9787</v>
      </c>
      <c r="R9749" s="10">
        <v>0.4770558375268309</v>
      </c>
      <c r="S9749" s="10">
        <v>0.028105769369596686</v>
      </c>
      <c r="T9749" s="10">
        <v>15.55039578456139</v>
      </c>
      <c r="U9749" s="11">
        <v>0.17401750310602046</v>
      </c>
      <c r="V9749" s="11">
        <v>5.361550021204512E-4</v>
      </c>
      <c r="W9749" s="11">
        <v>0.25053238728221777</v>
      </c>
      <c r="X9749" s="11">
        <v>0.26448020599985517</v>
      </c>
      <c r="Y9749" s="11">
        <v>0.06477576239003983</v>
      </c>
      <c r="Z9749" s="11">
        <v>0.2456579862197463</v>
      </c>
    </row>
    <row r="9750" ht="22.5" customHeight="1">
      <c r="Q9750" s="9" t="s">
        <v>9788</v>
      </c>
      <c r="R9750" s="10">
        <v>0.5571300069882699</v>
      </c>
      <c r="S9750" s="10">
        <v>0.03326062637969524</v>
      </c>
      <c r="T9750" s="10">
        <v>15.547813233726844</v>
      </c>
      <c r="U9750" s="11">
        <v>0.17089242711013908</v>
      </c>
      <c r="V9750" s="11">
        <v>0.02683510597424842</v>
      </c>
      <c r="W9750" s="11">
        <v>0.29716154801482403</v>
      </c>
      <c r="X9750" s="11">
        <v>0.04557546709366528</v>
      </c>
      <c r="Y9750" s="11">
        <v>0.2582798578826888</v>
      </c>
      <c r="Z9750" s="11">
        <v>0.20125559392443432</v>
      </c>
    </row>
    <row r="9751" ht="22.5" customHeight="1">
      <c r="Q9751" s="9" t="s">
        <v>9789</v>
      </c>
      <c r="R9751" s="10">
        <v>0.5795663977421356</v>
      </c>
      <c r="S9751" s="10">
        <v>0.034711152874432515</v>
      </c>
      <c r="T9751" s="10">
        <v>15.544467788033872</v>
      </c>
      <c r="U9751" s="11">
        <v>0.1254678800940175</v>
      </c>
      <c r="V9751" s="11">
        <v>0.028433792445746467</v>
      </c>
      <c r="W9751" s="11">
        <v>0.3147408501897198</v>
      </c>
      <c r="X9751" s="11">
        <v>0.13657200642697845</v>
      </c>
      <c r="Y9751" s="11">
        <v>0.08850072633839387</v>
      </c>
      <c r="Z9751" s="11">
        <v>0.306284744505144</v>
      </c>
    </row>
    <row r="9752" ht="22.5" customHeight="1">
      <c r="Q9752" s="9" t="s">
        <v>9790</v>
      </c>
      <c r="R9752" s="10">
        <v>0.4473273708101791</v>
      </c>
      <c r="S9752" s="10">
        <v>0.026204464520622993</v>
      </c>
      <c r="T9752" s="10">
        <v>15.544197458780783</v>
      </c>
      <c r="U9752" s="11">
        <v>0.24744665420629666</v>
      </c>
      <c r="V9752" s="11">
        <v>0.015832967187341847</v>
      </c>
      <c r="W9752" s="11">
        <v>0.2313629989962931</v>
      </c>
      <c r="X9752" s="11">
        <v>0.05575906307280316</v>
      </c>
      <c r="Y9752" s="11">
        <v>0.13486770166177536</v>
      </c>
      <c r="Z9752" s="11">
        <v>0.3147306148754898</v>
      </c>
    </row>
    <row r="9753" ht="22.5" customHeight="1">
      <c r="Q9753" s="9" t="s">
        <v>9791</v>
      </c>
      <c r="R9753" s="10">
        <v>0.5674042435480993</v>
      </c>
      <c r="S9753" s="10">
        <v>0.03393721381239</v>
      </c>
      <c r="T9753" s="10">
        <v>15.540587582223715</v>
      </c>
      <c r="U9753" s="11">
        <v>0.2656042491351432</v>
      </c>
      <c r="V9753" s="11">
        <v>0.017121201168908105</v>
      </c>
      <c r="W9753" s="11">
        <v>0.30373307427693796</v>
      </c>
      <c r="X9753" s="11">
        <v>0.11144918533289366</v>
      </c>
      <c r="Y9753" s="11">
        <v>0.2205466929191261</v>
      </c>
      <c r="Z9753" s="11">
        <v>0.08154559716699086</v>
      </c>
    </row>
    <row r="9754" ht="22.5" customHeight="1">
      <c r="Q9754" s="9" t="s">
        <v>9792</v>
      </c>
      <c r="R9754" s="10">
        <v>0.522331348251574</v>
      </c>
      <c r="S9754" s="10">
        <v>0.03156211939096353</v>
      </c>
      <c r="T9754" s="10">
        <v>15.538676846521302</v>
      </c>
      <c r="U9754" s="11">
        <v>0.12205558682134908</v>
      </c>
      <c r="V9754" s="11">
        <v>0.015508399080116263</v>
      </c>
      <c r="W9754" s="11">
        <v>0.28452526961612223</v>
      </c>
      <c r="X9754" s="11">
        <v>0.18030416571884378</v>
      </c>
      <c r="Y9754" s="11">
        <v>0.1149930256343192</v>
      </c>
      <c r="Z9754" s="11">
        <v>0.28261355312924946</v>
      </c>
    </row>
    <row r="9755" ht="22.5" customHeight="1">
      <c r="Q9755" s="9" t="s">
        <v>9793</v>
      </c>
      <c r="R9755" s="10">
        <v>0.6731172482511641</v>
      </c>
      <c r="S9755" s="10">
        <v>0.04075506499650274</v>
      </c>
      <c r="T9755" s="10">
        <v>15.534688714286014</v>
      </c>
      <c r="U9755" s="11">
        <v>0.22655240652555853</v>
      </c>
      <c r="V9755" s="11">
        <v>0.04458893327657417</v>
      </c>
      <c r="W9755" s="11">
        <v>0.36697985731744226</v>
      </c>
      <c r="X9755" s="11">
        <v>0.003095818763711332</v>
      </c>
      <c r="Y9755" s="11">
        <v>0.2530254741285547</v>
      </c>
      <c r="Z9755" s="11">
        <v>0.10575750998815897</v>
      </c>
    </row>
    <row r="9756" ht="22.5" customHeight="1">
      <c r="Q9756" s="9" t="s">
        <v>9794</v>
      </c>
      <c r="R9756" s="10">
        <v>0.6039207147764859</v>
      </c>
      <c r="S9756" s="10">
        <v>0.03631469463771928</v>
      </c>
      <c r="T9756" s="10">
        <v>15.528719720824906</v>
      </c>
      <c r="U9756" s="11">
        <v>0.45734578672131765</v>
      </c>
      <c r="V9756" s="11">
        <v>0.03617123055736668</v>
      </c>
      <c r="W9756" s="11">
        <v>0.325043552890476</v>
      </c>
      <c r="X9756" s="11">
        <v>7.530957660936046E-4</v>
      </c>
      <c r="Y9756" s="11">
        <v>0.08344873333732743</v>
      </c>
      <c r="Z9756" s="11">
        <v>0.0972376007274186</v>
      </c>
    </row>
    <row r="9757" ht="22.5" customHeight="1">
      <c r="Q9757" s="9" t="s">
        <v>9795</v>
      </c>
      <c r="R9757" s="10">
        <v>0.468902075143569</v>
      </c>
      <c r="S9757" s="10">
        <v>0.02762671081093572</v>
      </c>
      <c r="T9757" s="10">
        <v>15.524905519110622</v>
      </c>
      <c r="U9757" s="11">
        <v>0.18930794041429458</v>
      </c>
      <c r="V9757" s="11">
        <v>0.0038626005885069106</v>
      </c>
      <c r="W9757" s="11">
        <v>0.2465237411894745</v>
      </c>
      <c r="X9757" s="11">
        <v>0.224355939817413</v>
      </c>
      <c r="Y9757" s="11">
        <v>0.051736634158213925</v>
      </c>
      <c r="Z9757" s="11">
        <v>0.284213143832097</v>
      </c>
    </row>
    <row r="9758" ht="22.5" customHeight="1">
      <c r="Q9758" s="9" t="s">
        <v>9796</v>
      </c>
      <c r="R9758" s="10">
        <v>0.49088350749648524</v>
      </c>
      <c r="S9758" s="10">
        <v>0.029043090083579078</v>
      </c>
      <c r="T9758" s="10">
        <v>15.524639637137446</v>
      </c>
      <c r="U9758" s="11">
        <v>0.18606460205826672</v>
      </c>
      <c r="V9758" s="11">
        <v>0.021455747644953956</v>
      </c>
      <c r="W9758" s="11">
        <v>0.25484440732836966</v>
      </c>
      <c r="X9758" s="11">
        <v>0.010304304929532783</v>
      </c>
      <c r="Y9758" s="11">
        <v>0.30019548572388133</v>
      </c>
      <c r="Z9758" s="11">
        <v>0.2271354523149956</v>
      </c>
    </row>
    <row r="9759" ht="22.5" customHeight="1">
      <c r="Q9759" s="9" t="s">
        <v>9797</v>
      </c>
      <c r="R9759" s="10">
        <v>0.698921363463182</v>
      </c>
      <c r="S9759" s="10">
        <v>0.042456860891740396</v>
      </c>
      <c r="T9759" s="10">
        <v>15.519785250806644</v>
      </c>
      <c r="U9759" s="11">
        <v>0.12845129759954102</v>
      </c>
      <c r="V9759" s="11">
        <v>0.0633798331619509</v>
      </c>
      <c r="W9759" s="11">
        <v>0.38601742489913704</v>
      </c>
      <c r="X9759" s="11">
        <v>0.009440129896478326</v>
      </c>
      <c r="Y9759" s="11">
        <v>0.04439206804352733</v>
      </c>
      <c r="Z9759" s="11">
        <v>0.3683192463993653</v>
      </c>
    </row>
    <row r="9760" ht="22.5" customHeight="1">
      <c r="Q9760" s="9" t="s">
        <v>9798</v>
      </c>
      <c r="R9760" s="10">
        <v>0.7328266611512221</v>
      </c>
      <c r="S9760" s="10">
        <v>0.04464612212973474</v>
      </c>
      <c r="T9760" s="10">
        <v>15.518182276569837</v>
      </c>
      <c r="U9760" s="11">
        <v>0.12734184978235924</v>
      </c>
      <c r="V9760" s="11">
        <v>0.04767057555211084</v>
      </c>
      <c r="W9760" s="11">
        <v>0.40681292260891805</v>
      </c>
      <c r="X9760" s="11">
        <v>0.10517514147931134</v>
      </c>
      <c r="Y9760" s="11">
        <v>0.15262774808602333</v>
      </c>
      <c r="Z9760" s="11">
        <v>0.16037176249127713</v>
      </c>
    </row>
    <row r="9761" ht="22.5" customHeight="1">
      <c r="Q9761" s="9" t="s">
        <v>9799</v>
      </c>
      <c r="R9761" s="10">
        <v>0.6344457724618874</v>
      </c>
      <c r="S9761" s="10">
        <v>0.0383103422610888</v>
      </c>
      <c r="T9761" s="10">
        <v>15.516587359378837</v>
      </c>
      <c r="U9761" s="11">
        <v>0.04531665109855686</v>
      </c>
      <c r="V9761" s="11">
        <v>0.03391491518670126</v>
      </c>
      <c r="W9761" s="11">
        <v>0.34532439380336427</v>
      </c>
      <c r="X9761" s="11">
        <v>0.09590963737914342</v>
      </c>
      <c r="Y9761" s="11">
        <v>0.27793020052930867</v>
      </c>
      <c r="Z9761" s="11">
        <v>0.20160420200292553</v>
      </c>
    </row>
    <row r="9762" ht="22.5" customHeight="1">
      <c r="Q9762" s="9" t="s">
        <v>9800</v>
      </c>
      <c r="R9762" s="10">
        <v>0.3748526441246635</v>
      </c>
      <c r="S9762" s="10">
        <v>0.021580639455051405</v>
      </c>
      <c r="T9762" s="10">
        <v>15.516344861888891</v>
      </c>
      <c r="U9762" s="11">
        <v>0.601193954576938</v>
      </c>
      <c r="V9762" s="11">
        <v>0.007241984858655399</v>
      </c>
      <c r="W9762" s="11">
        <v>0.1738725219574751</v>
      </c>
      <c r="X9762" s="11">
        <v>0.020030530731543445</v>
      </c>
      <c r="Y9762" s="11">
        <v>0.11693095960836655</v>
      </c>
      <c r="Z9762" s="11">
        <v>0.08073004826702136</v>
      </c>
    </row>
    <row r="9763" ht="22.5" customHeight="1">
      <c r="Q9763" s="9" t="s">
        <v>9801</v>
      </c>
      <c r="R9763" s="10">
        <v>0.21731343461656394</v>
      </c>
      <c r="S9763" s="10">
        <v>0.01142811827560828</v>
      </c>
      <c r="T9763" s="10">
        <v>15.515540733859453</v>
      </c>
      <c r="U9763" s="11">
        <v>0.3732525436238818</v>
      </c>
      <c r="V9763" s="11">
        <v>0.037946578021632135</v>
      </c>
      <c r="W9763" s="11">
        <v>0.0015793463550718497</v>
      </c>
      <c r="X9763" s="11">
        <v>0.1503225771431496</v>
      </c>
      <c r="Y9763" s="11">
        <v>0.3766893567794111</v>
      </c>
      <c r="Z9763" s="11">
        <v>0.060209598076853284</v>
      </c>
    </row>
    <row r="9764" ht="22.5" customHeight="1">
      <c r="Q9764" s="9" t="s">
        <v>9802</v>
      </c>
      <c r="R9764" s="10">
        <v>0.8362484253354482</v>
      </c>
      <c r="S9764" s="10">
        <v>0.05134145686033095</v>
      </c>
      <c r="T9764" s="10">
        <v>15.508878672873628</v>
      </c>
      <c r="U9764" s="11">
        <v>0.011378223023660228</v>
      </c>
      <c r="V9764" s="11">
        <v>0.0673985060600201</v>
      </c>
      <c r="W9764" s="11">
        <v>0.4669061672535221</v>
      </c>
      <c r="X9764" s="11">
        <v>0.06480686216134231</v>
      </c>
      <c r="Y9764" s="11">
        <v>0.24905387388740213</v>
      </c>
      <c r="Z9764" s="11">
        <v>0.1404563676140532</v>
      </c>
    </row>
    <row r="9765" ht="22.5" customHeight="1">
      <c r="Q9765" s="9" t="s">
        <v>9803</v>
      </c>
      <c r="R9765" s="10">
        <v>0.5278392807893033</v>
      </c>
      <c r="S9765" s="10">
        <v>0.031470597152340296</v>
      </c>
      <c r="T9765" s="10">
        <v>15.501430698242261</v>
      </c>
      <c r="U9765" s="11">
        <v>0.11966003161163273</v>
      </c>
      <c r="V9765" s="11">
        <v>1.2196727065321508E-4</v>
      </c>
      <c r="W9765" s="11">
        <v>0.2774726692120887</v>
      </c>
      <c r="X9765" s="11">
        <v>0.2314627810392995</v>
      </c>
      <c r="Y9765" s="11">
        <v>0.3141801341919942</v>
      </c>
      <c r="Z9765" s="11">
        <v>0.05710241667433158</v>
      </c>
    </row>
    <row r="9766" ht="22.5" customHeight="1">
      <c r="Q9766" s="9" t="s">
        <v>9804</v>
      </c>
      <c r="R9766" s="10">
        <v>0.618077449785071</v>
      </c>
      <c r="S9766" s="10">
        <v>0.03729322553326233</v>
      </c>
      <c r="T9766" s="10">
        <v>15.50087023900563</v>
      </c>
      <c r="U9766" s="11">
        <v>0.15251802102826234</v>
      </c>
      <c r="V9766" s="11">
        <v>0.03288093557791889</v>
      </c>
      <c r="W9766" s="11">
        <v>0.3366278115766543</v>
      </c>
      <c r="X9766" s="11">
        <v>0.06651375853420649</v>
      </c>
      <c r="Y9766" s="11">
        <v>0.2209953052215455</v>
      </c>
      <c r="Z9766" s="11">
        <v>0.19046416806141236</v>
      </c>
    </row>
    <row r="9767" ht="22.5" customHeight="1">
      <c r="Q9767" s="9" t="s">
        <v>9805</v>
      </c>
      <c r="R9767" s="10">
        <v>0.4759271943581967</v>
      </c>
      <c r="S9767" s="10">
        <v>0.02812519149070644</v>
      </c>
      <c r="T9767" s="10">
        <v>15.499528047737648</v>
      </c>
      <c r="U9767" s="11">
        <v>0.12117209441568078</v>
      </c>
      <c r="V9767" s="11">
        <v>0.016162573385758033</v>
      </c>
      <c r="W9767" s="11">
        <v>0.24751728467910805</v>
      </c>
      <c r="X9767" s="11">
        <v>0.05786150192656153</v>
      </c>
      <c r="Y9767" s="11">
        <v>0.2870603237309764</v>
      </c>
      <c r="Z9767" s="11">
        <v>0.27022622186191525</v>
      </c>
    </row>
    <row r="9768" ht="22.5" customHeight="1">
      <c r="Q9768" s="9" t="s">
        <v>9806</v>
      </c>
      <c r="R9768" s="10">
        <v>0.5409816540169641</v>
      </c>
      <c r="S9768" s="10">
        <v>0.03233153021791663</v>
      </c>
      <c r="T9768" s="10">
        <v>15.495142068448812</v>
      </c>
      <c r="U9768" s="11">
        <v>0.1437331275275309</v>
      </c>
      <c r="V9768" s="11">
        <v>0.032599866184248184</v>
      </c>
      <c r="W9768" s="11">
        <v>0.2895859336468091</v>
      </c>
      <c r="X9768" s="11">
        <v>0.011498672709891713</v>
      </c>
      <c r="Y9768" s="11">
        <v>0.19906040474368106</v>
      </c>
      <c r="Z9768" s="11">
        <v>0.32352199518783903</v>
      </c>
    </row>
    <row r="9769" ht="22.5" customHeight="1">
      <c r="Q9769" s="9" t="s">
        <v>9807</v>
      </c>
      <c r="R9769" s="10">
        <v>0.7259107034076229</v>
      </c>
      <c r="S9769" s="10">
        <v>0.0442703657215339</v>
      </c>
      <c r="T9769" s="10">
        <v>15.493676011670795</v>
      </c>
      <c r="U9769" s="11">
        <v>0.30399056902132665</v>
      </c>
      <c r="V9769" s="11">
        <v>0.42775215276534445</v>
      </c>
      <c r="W9769" s="11">
        <v>5.260704537911852E-4</v>
      </c>
      <c r="X9769" s="11">
        <v>0.09666000948266583</v>
      </c>
      <c r="Y9769" s="11">
        <v>0.06755813683552177</v>
      </c>
      <c r="Z9769" s="11">
        <v>0.10351306144135006</v>
      </c>
    </row>
    <row r="9770" ht="22.5" customHeight="1">
      <c r="Q9770" s="9" t="s">
        <v>9808</v>
      </c>
      <c r="R9770" s="10">
        <v>0.44839947647484996</v>
      </c>
      <c r="S9770" s="10">
        <v>0.02637328218502604</v>
      </c>
      <c r="T9770" s="10">
        <v>15.485348907642862</v>
      </c>
      <c r="U9770" s="11">
        <v>0.1905068801262641</v>
      </c>
      <c r="V9770" s="11">
        <v>3.2138905159878297E-4</v>
      </c>
      <c r="W9770" s="11">
        <v>0.23074818566293526</v>
      </c>
      <c r="X9770" s="11">
        <v>0.1470610627132253</v>
      </c>
      <c r="Y9770" s="11">
        <v>0.25199061473716217</v>
      </c>
      <c r="Z9770" s="11">
        <v>0.17937186770881444</v>
      </c>
    </row>
    <row r="9771" ht="22.5" customHeight="1">
      <c r="Q9771" s="9" t="s">
        <v>9809</v>
      </c>
      <c r="R9771" s="10">
        <v>0.19030472216655878</v>
      </c>
      <c r="S9771" s="10">
        <v>0.009716055673928711</v>
      </c>
      <c r="T9771" s="10">
        <v>15.469726318044314</v>
      </c>
      <c r="U9771" s="11">
        <v>0.23449303353897008</v>
      </c>
      <c r="V9771" s="11">
        <v>0.010539900517129414</v>
      </c>
      <c r="W9771" s="11">
        <v>0.0027214493269523366</v>
      </c>
      <c r="X9771" s="11">
        <v>0.3041418405764438</v>
      </c>
      <c r="Y9771" s="11">
        <v>0.3044981947674564</v>
      </c>
      <c r="Z9771" s="11">
        <v>0.143605581273048</v>
      </c>
    </row>
    <row r="9772" ht="22.5" customHeight="1">
      <c r="Q9772" s="9" t="s">
        <v>9810</v>
      </c>
      <c r="R9772" s="10">
        <v>0.522331348251574</v>
      </c>
      <c r="S9772" s="10">
        <v>0.03708471572073957</v>
      </c>
      <c r="T9772" s="10">
        <v>15.465928537672522</v>
      </c>
      <c r="U9772" s="11">
        <v>0.18366014809771225</v>
      </c>
      <c r="V9772" s="11">
        <v>0.004759120777355618</v>
      </c>
      <c r="W9772" s="11">
        <v>0.3346257852231192</v>
      </c>
      <c r="X9772" s="11">
        <v>0.33245683848609936</v>
      </c>
      <c r="Y9772" s="11">
        <v>0.0972728012271647</v>
      </c>
      <c r="Z9772" s="11">
        <v>0.04722530618854874</v>
      </c>
    </row>
    <row r="9773" ht="22.5" customHeight="1">
      <c r="Q9773" s="9" t="s">
        <v>9811</v>
      </c>
      <c r="R9773" s="10">
        <v>0.7135489132660082</v>
      </c>
      <c r="S9773" s="10">
        <v>0.043564016767144866</v>
      </c>
      <c r="T9773" s="10">
        <v>15.461129694862887</v>
      </c>
      <c r="U9773" s="11">
        <v>0.06402717977056215</v>
      </c>
      <c r="V9773" s="11">
        <v>0.036681479902165366</v>
      </c>
      <c r="W9773" s="11">
        <v>0.3981923462915004</v>
      </c>
      <c r="X9773" s="11">
        <v>0.24965803234645728</v>
      </c>
      <c r="Y9773" s="11">
        <v>0.017208966737292122</v>
      </c>
      <c r="Z9773" s="11">
        <v>0.23423199495202268</v>
      </c>
    </row>
    <row r="9774" ht="22.5" customHeight="1">
      <c r="Q9774" s="9" t="s">
        <v>9812</v>
      </c>
      <c r="R9774" s="10">
        <v>0.52176184361017</v>
      </c>
      <c r="S9774" s="10">
        <v>0.0311643207627425</v>
      </c>
      <c r="T9774" s="10">
        <v>15.458762835804361</v>
      </c>
      <c r="U9774" s="11">
        <v>0.24256433464131322</v>
      </c>
      <c r="V9774" s="11">
        <v>0.0017771705273253485</v>
      </c>
      <c r="W9774" s="11">
        <v>0.2767931970898076</v>
      </c>
      <c r="X9774" s="11">
        <v>0.18733064775479363</v>
      </c>
      <c r="Y9774" s="11">
        <v>0.22795045937575825</v>
      </c>
      <c r="Z9774" s="11">
        <v>0.06358419061100194</v>
      </c>
    </row>
    <row r="9775" ht="22.5" customHeight="1">
      <c r="Q9775" s="9" t="s">
        <v>9813</v>
      </c>
      <c r="R9775" s="10">
        <v>0.4861109336998024</v>
      </c>
      <c r="S9775" s="10">
        <v>0.02885863023695174</v>
      </c>
      <c r="T9775" s="10">
        <v>15.458493006663366</v>
      </c>
      <c r="U9775" s="11">
        <v>0.057725873914778805</v>
      </c>
      <c r="V9775" s="11">
        <v>0.02067135861415487</v>
      </c>
      <c r="W9775" s="11">
        <v>0.24847570050476478</v>
      </c>
      <c r="X9775" s="11">
        <v>0.017195491952452648</v>
      </c>
      <c r="Y9775" s="11">
        <v>0.43310547520532305</v>
      </c>
      <c r="Z9775" s="11">
        <v>0.22282609980852588</v>
      </c>
    </row>
    <row r="9776" ht="22.5" customHeight="1">
      <c r="Q9776" s="9" t="s">
        <v>9814</v>
      </c>
      <c r="R9776" s="10">
        <v>0.5346305369897393</v>
      </c>
      <c r="S9776" s="10">
        <v>0.03199923736525063</v>
      </c>
      <c r="T9776" s="10">
        <v>15.457572670993724</v>
      </c>
      <c r="U9776" s="11">
        <v>0.31108442512562073</v>
      </c>
      <c r="V9776" s="11">
        <v>0.002964225260290526</v>
      </c>
      <c r="W9776" s="11">
        <v>0.2852496148791291</v>
      </c>
      <c r="X9776" s="11">
        <v>0.18757416065685498</v>
      </c>
      <c r="Y9776" s="11">
        <v>0.1735613883887306</v>
      </c>
      <c r="Z9776" s="11">
        <v>0.03956618568937411</v>
      </c>
    </row>
    <row r="9777" ht="22.5" customHeight="1">
      <c r="Q9777" s="9" t="s">
        <v>9815</v>
      </c>
      <c r="R9777" s="10">
        <v>0.5372271295600942</v>
      </c>
      <c r="S9777" s="10">
        <v>0.03216737784047551</v>
      </c>
      <c r="T9777" s="10">
        <v>15.457496474407813</v>
      </c>
      <c r="U9777" s="11">
        <v>0.038079272226555015</v>
      </c>
      <c r="V9777" s="11">
        <v>0.01673950818514912</v>
      </c>
      <c r="W9777" s="11">
        <v>0.28780551841134594</v>
      </c>
      <c r="X9777" s="11">
        <v>0.13840151870429682</v>
      </c>
      <c r="Y9777" s="11">
        <v>0.25971538697979685</v>
      </c>
      <c r="Z9777" s="11">
        <v>0.2592587954928563</v>
      </c>
    </row>
    <row r="9778" ht="22.5" customHeight="1">
      <c r="Q9778" s="9" t="s">
        <v>9816</v>
      </c>
      <c r="R9778" s="10">
        <v>0.37353784261278616</v>
      </c>
      <c r="S9778" s="10">
        <v>0.021585178354004458</v>
      </c>
      <c r="T9778" s="10">
        <v>15.452169870577356</v>
      </c>
      <c r="U9778" s="11">
        <v>0.26986873119234295</v>
      </c>
      <c r="V9778" s="11">
        <v>0.00286802050675965</v>
      </c>
      <c r="W9778" s="11">
        <v>0.18562771255220076</v>
      </c>
      <c r="X9778" s="11">
        <v>0.09053556225692709</v>
      </c>
      <c r="Y9778" s="11">
        <v>0.12307184173229331</v>
      </c>
      <c r="Z9778" s="11">
        <v>0.32802813175947615</v>
      </c>
    </row>
    <row r="9779" ht="22.5" customHeight="1">
      <c r="Q9779" s="9" t="s">
        <v>9817</v>
      </c>
      <c r="R9779" s="10">
        <v>0.5980367339168273</v>
      </c>
      <c r="S9779" s="10">
        <v>0.03613948089445706</v>
      </c>
      <c r="T9779" s="10">
        <v>15.441193954792443</v>
      </c>
      <c r="U9779" s="11">
        <v>0.08881913156300648</v>
      </c>
      <c r="V9779" s="11">
        <v>0.02357172999516512</v>
      </c>
      <c r="W9779" s="11">
        <v>0.32862405660602334</v>
      </c>
      <c r="X9779" s="11">
        <v>0.230247691203343</v>
      </c>
      <c r="Y9779" s="11">
        <v>0.010530023924822825</v>
      </c>
      <c r="Z9779" s="11">
        <v>0.3182073667076391</v>
      </c>
    </row>
    <row r="9780" ht="22.5" customHeight="1">
      <c r="Q9780" s="9" t="s">
        <v>9818</v>
      </c>
      <c r="R9780" s="10">
        <v>0.2195577067408371</v>
      </c>
      <c r="S9780" s="10">
        <v>0.011630391519944711</v>
      </c>
      <c r="T9780" s="10">
        <v>15.43866398933496</v>
      </c>
      <c r="U9780" s="11">
        <v>0.34454553722882475</v>
      </c>
      <c r="V9780" s="11">
        <v>0.0717280838228171</v>
      </c>
      <c r="W9780" s="11">
        <v>0.004107914842011605</v>
      </c>
      <c r="X9780" s="11">
        <v>9.433183486915618E-4</v>
      </c>
      <c r="Y9780" s="11">
        <v>0.17447587370450038</v>
      </c>
      <c r="Z9780" s="11">
        <v>0.40419927205315476</v>
      </c>
    </row>
    <row r="9781" ht="22.5" customHeight="1">
      <c r="Q9781" s="9" t="s">
        <v>9819</v>
      </c>
      <c r="R9781" s="10">
        <v>0.5566001600634436</v>
      </c>
      <c r="S9781" s="10">
        <v>0.033461852684358494</v>
      </c>
      <c r="T9781" s="10">
        <v>15.43848049707435</v>
      </c>
      <c r="U9781" s="11">
        <v>0.21670718857230944</v>
      </c>
      <c r="V9781" s="11">
        <v>0.009571104670626347</v>
      </c>
      <c r="W9781" s="11">
        <v>0.3023299253568876</v>
      </c>
      <c r="X9781" s="11">
        <v>0.23314586723639197</v>
      </c>
      <c r="Y9781" s="11">
        <v>0.05337997483224526</v>
      </c>
      <c r="Z9781" s="11">
        <v>0.18486593933153944</v>
      </c>
    </row>
    <row r="9782" ht="22.5" customHeight="1">
      <c r="Q9782" s="9" t="s">
        <v>9820</v>
      </c>
      <c r="R9782" s="10">
        <v>0.49945697994769184</v>
      </c>
      <c r="S9782" s="10">
        <v>0.02976158232070657</v>
      </c>
      <c r="T9782" s="10">
        <v>15.437921781061535</v>
      </c>
      <c r="U9782" s="11">
        <v>0.16095464843928617</v>
      </c>
      <c r="V9782" s="11">
        <v>0.023650815706526974</v>
      </c>
      <c r="W9782" s="11">
        <v>0.26597367175928416</v>
      </c>
      <c r="X9782" s="11">
        <v>0.03965062882716454</v>
      </c>
      <c r="Y9782" s="11">
        <v>0.16801189876713202</v>
      </c>
      <c r="Z9782" s="11">
        <v>0.34175833650060605</v>
      </c>
    </row>
    <row r="9783" ht="22.5" customHeight="1">
      <c r="Q9783" s="9" t="s">
        <v>9821</v>
      </c>
      <c r="R9783" s="10">
        <v>0.552184701670338</v>
      </c>
      <c r="S9783" s="10">
        <v>0.03317905464004579</v>
      </c>
      <c r="T9783" s="10">
        <v>15.436989004869101</v>
      </c>
      <c r="U9783" s="11">
        <v>0.1564257839434475</v>
      </c>
      <c r="V9783" s="11">
        <v>0.0020355799907923813</v>
      </c>
      <c r="W9783" s="11">
        <v>0.2961829524335216</v>
      </c>
      <c r="X9783" s="11">
        <v>0.2370674222875287</v>
      </c>
      <c r="Y9783" s="11">
        <v>0.2385435403854276</v>
      </c>
      <c r="Z9783" s="11">
        <v>0.06974472095928223</v>
      </c>
    </row>
    <row r="9784" ht="22.5" customHeight="1">
      <c r="Q9784" s="9" t="s">
        <v>9822</v>
      </c>
      <c r="R9784" s="10">
        <v>0.5801204935133135</v>
      </c>
      <c r="S9784" s="10">
        <v>0.03498909980064833</v>
      </c>
      <c r="T9784" s="10">
        <v>15.436821655620456</v>
      </c>
      <c r="U9784" s="11">
        <v>0.017632219880895243</v>
      </c>
      <c r="V9784" s="11">
        <v>0.013839311105473385</v>
      </c>
      <c r="W9784" s="11">
        <v>0.313821186661697</v>
      </c>
      <c r="X9784" s="11">
        <v>0.20285246043045763</v>
      </c>
      <c r="Y9784" s="11">
        <v>0.2748949773309871</v>
      </c>
      <c r="Z9784" s="11">
        <v>0.17695984459048972</v>
      </c>
    </row>
    <row r="9785" ht="22.5" customHeight="1">
      <c r="Q9785" s="9" t="s">
        <v>9823</v>
      </c>
      <c r="R9785" s="10">
        <v>0.4449448776566849</v>
      </c>
      <c r="S9785" s="10">
        <v>0.026232756831007772</v>
      </c>
      <c r="T9785" s="10">
        <v>15.436611571759396</v>
      </c>
      <c r="U9785" s="11">
        <v>0.3813123852533981</v>
      </c>
      <c r="V9785" s="11">
        <v>0.014004381304004715</v>
      </c>
      <c r="W9785" s="11">
        <v>0.2304158927675936</v>
      </c>
      <c r="X9785" s="11">
        <v>0.05218040875590233</v>
      </c>
      <c r="Y9785" s="11">
        <v>0.05722091465484559</v>
      </c>
      <c r="Z9785" s="11">
        <v>0.2648660172642556</v>
      </c>
    </row>
    <row r="9786" ht="22.5" customHeight="1">
      <c r="Q9786" s="9" t="s">
        <v>9824</v>
      </c>
      <c r="R9786" s="10">
        <v>0.584532770438818</v>
      </c>
      <c r="S9786" s="10">
        <v>0.03527632133232161</v>
      </c>
      <c r="T9786" s="10">
        <v>15.43621188017399</v>
      </c>
      <c r="U9786" s="11">
        <v>0.33464177354647023</v>
      </c>
      <c r="V9786" s="11">
        <v>0.02237841490841215</v>
      </c>
      <c r="W9786" s="11">
        <v>0.3185396243697715</v>
      </c>
      <c r="X9786" s="11">
        <v>0.1044110626791904</v>
      </c>
      <c r="Y9786" s="11">
        <v>0.07683272576716947</v>
      </c>
      <c r="Z9786" s="11">
        <v>0.1431963987289863</v>
      </c>
    </row>
    <row r="9787" ht="22.5" customHeight="1">
      <c r="Q9787" s="9" t="s">
        <v>9825</v>
      </c>
      <c r="R9787" s="10">
        <v>0.5881355162994798</v>
      </c>
      <c r="S9787" s="10">
        <v>0.03551569865270418</v>
      </c>
      <c r="T9787" s="10">
        <v>15.4336120953021</v>
      </c>
      <c r="U9787" s="11">
        <v>0.05015238980453339</v>
      </c>
      <c r="V9787" s="11">
        <v>0.016724559090940182</v>
      </c>
      <c r="W9787" s="11">
        <v>0.3220430953896855</v>
      </c>
      <c r="X9787" s="11">
        <v>0.2515247255418565</v>
      </c>
      <c r="Y9787" s="11">
        <v>0.08884327772402187</v>
      </c>
      <c r="Z9787" s="11">
        <v>0.2707119524489626</v>
      </c>
    </row>
    <row r="9788" ht="22.5" customHeight="1">
      <c r="Q9788" s="9" t="s">
        <v>9826</v>
      </c>
      <c r="R9788" s="10">
        <v>0.5473865900143849</v>
      </c>
      <c r="S9788" s="10">
        <v>0.03287749051150763</v>
      </c>
      <c r="T9788" s="10">
        <v>15.432643493176334</v>
      </c>
      <c r="U9788" s="11">
        <v>0.3127741825960788</v>
      </c>
      <c r="V9788" s="11">
        <v>0.018313084969474216</v>
      </c>
      <c r="W9788" s="11">
        <v>0.2885159659782815</v>
      </c>
      <c r="X9788" s="11">
        <v>0.0222603783057276</v>
      </c>
      <c r="Y9788" s="11">
        <v>0.33778773885713986</v>
      </c>
      <c r="Z9788" s="11">
        <v>0.020348649293298132</v>
      </c>
    </row>
    <row r="9789" ht="22.5" customHeight="1">
      <c r="Q9789" s="9" t="s">
        <v>9827</v>
      </c>
      <c r="R9789" s="10">
        <v>0.500545540545824</v>
      </c>
      <c r="S9789" s="10">
        <v>0.02984316119513167</v>
      </c>
      <c r="T9789" s="10">
        <v>15.432196928955134</v>
      </c>
      <c r="U9789" s="11">
        <v>0.10889327449527195</v>
      </c>
      <c r="V9789" s="11">
        <v>0.01834204767769426</v>
      </c>
      <c r="W9789" s="11">
        <v>0.2685907598672164</v>
      </c>
      <c r="X9789" s="11">
        <v>0.13499439239686936</v>
      </c>
      <c r="Y9789" s="11">
        <v>0.0838864563590481</v>
      </c>
      <c r="Z9789" s="11">
        <v>0.3852930692038999</v>
      </c>
    </row>
    <row r="9790" ht="22.5" customHeight="1">
      <c r="Q9790" s="9" t="s">
        <v>9828</v>
      </c>
      <c r="R9790" s="10">
        <v>0.5340266816042629</v>
      </c>
      <c r="S9790" s="10">
        <v>0.032014159573267406</v>
      </c>
      <c r="T9790" s="10">
        <v>15.431505564706034</v>
      </c>
      <c r="U9790" s="11">
        <v>0.23527377535748548</v>
      </c>
      <c r="V9790" s="11">
        <v>0.008509624265358787</v>
      </c>
      <c r="W9790" s="11">
        <v>0.2882519870167902</v>
      </c>
      <c r="X9790" s="11">
        <v>0.19328806269313908</v>
      </c>
      <c r="Y9790" s="11">
        <v>0.09282177762905429</v>
      </c>
      <c r="Z9790" s="11">
        <v>0.18185477303817213</v>
      </c>
    </row>
    <row r="9791" ht="22.5" customHeight="1">
      <c r="Q9791" s="9" t="s">
        <v>9829</v>
      </c>
      <c r="R9791" s="10">
        <v>0.4660254855975009</v>
      </c>
      <c r="S9791" s="10">
        <v>0.027618049259818738</v>
      </c>
      <c r="T9791" s="10">
        <v>15.425618282798913</v>
      </c>
      <c r="U9791" s="11">
        <v>0.1377667283579122</v>
      </c>
      <c r="V9791" s="11">
        <v>0.0037435499023700243</v>
      </c>
      <c r="W9791" s="11">
        <v>0.24095987609820932</v>
      </c>
      <c r="X9791" s="11">
        <v>0.12266233011440578</v>
      </c>
      <c r="Y9791" s="11">
        <v>0.32443863067368267</v>
      </c>
      <c r="Z9791" s="11">
        <v>0.1704288848534201</v>
      </c>
    </row>
    <row r="9792" ht="22.5" customHeight="1">
      <c r="Q9792" s="9" t="s">
        <v>9830</v>
      </c>
      <c r="R9792" s="10">
        <v>0.8516214277251863</v>
      </c>
      <c r="S9792" s="10">
        <v>0.052616935860136015</v>
      </c>
      <c r="T9792" s="10">
        <v>15.425098677022966</v>
      </c>
      <c r="U9792" s="11">
        <v>0.27799873901721395</v>
      </c>
      <c r="V9792" s="11">
        <v>0.5114067647357647</v>
      </c>
      <c r="W9792" s="11">
        <v>0.017626876330501768</v>
      </c>
      <c r="X9792" s="11">
        <v>0.003588962110032971</v>
      </c>
      <c r="Y9792" s="11">
        <v>0.0883221905852544</v>
      </c>
      <c r="Z9792" s="11">
        <v>0.10105646722123215</v>
      </c>
    </row>
    <row r="9793" ht="22.5" customHeight="1">
      <c r="Q9793" s="9" t="s">
        <v>9831</v>
      </c>
      <c r="R9793" s="10">
        <v>0.631224233590319</v>
      </c>
      <c r="S9793" s="10">
        <v>0.03833323577147134</v>
      </c>
      <c r="T9793" s="10">
        <v>15.423280129936865</v>
      </c>
      <c r="U9793" s="11">
        <v>0.17806620646581567</v>
      </c>
      <c r="V9793" s="11">
        <v>0.030053385773053658</v>
      </c>
      <c r="W9793" s="11">
        <v>0.3417037360548468</v>
      </c>
      <c r="X9793" s="11">
        <v>0.03387227289215209</v>
      </c>
      <c r="Y9793" s="11">
        <v>0.3650703759863051</v>
      </c>
      <c r="Z9793" s="11">
        <v>0.05123402282782673</v>
      </c>
    </row>
    <row r="9794" ht="22.5" customHeight="1">
      <c r="Q9794" s="9" t="s">
        <v>9832</v>
      </c>
      <c r="R9794" s="10">
        <v>0.741640606427957</v>
      </c>
      <c r="S9794" s="10">
        <v>0.04549459822826612</v>
      </c>
      <c r="T9794" s="10">
        <v>15.422503632354811</v>
      </c>
      <c r="U9794" s="11">
        <v>0.06067097012278605</v>
      </c>
      <c r="V9794" s="11">
        <v>0.04092039650775307</v>
      </c>
      <c r="W9794" s="11">
        <v>0.41367205900538695</v>
      </c>
      <c r="X9794" s="11">
        <v>0.135701129299842</v>
      </c>
      <c r="Y9794" s="11">
        <v>0.2381237827088498</v>
      </c>
      <c r="Z9794" s="11">
        <v>0.11091166235538226</v>
      </c>
    </row>
    <row r="9795" ht="22.5" customHeight="1">
      <c r="Q9795" s="9" t="s">
        <v>9833</v>
      </c>
      <c r="R9795" s="10">
        <v>0.9428407403817486</v>
      </c>
      <c r="S9795" s="10">
        <v>0.05855960013029849</v>
      </c>
      <c r="T9795" s="10">
        <v>15.41746764617374</v>
      </c>
      <c r="U9795" s="11">
        <v>0.16712683449425553</v>
      </c>
      <c r="V9795" s="11">
        <v>0.5705669302478923</v>
      </c>
      <c r="W9795" s="11">
        <v>0.01946261681942712</v>
      </c>
      <c r="X9795" s="11">
        <v>0.05238574799324006</v>
      </c>
      <c r="Y9795" s="11">
        <v>0.12579899847501766</v>
      </c>
      <c r="Z9795" s="11">
        <v>0.06465887197016748</v>
      </c>
    </row>
    <row r="9796" ht="22.5" customHeight="1">
      <c r="Q9796" s="9" t="s">
        <v>9834</v>
      </c>
      <c r="R9796" s="10">
        <v>0.5211241295506257</v>
      </c>
      <c r="S9796" s="10">
        <v>0.031212927995025133</v>
      </c>
      <c r="T9796" s="10">
        <v>15.414258144167366</v>
      </c>
      <c r="U9796" s="11">
        <v>0.19296947710048684</v>
      </c>
      <c r="V9796" s="11">
        <v>0.0042022862671617965</v>
      </c>
      <c r="W9796" s="11">
        <v>0.2807832264490533</v>
      </c>
      <c r="X9796" s="11">
        <v>0.2526345242496789</v>
      </c>
      <c r="Y9796" s="11">
        <v>0.04985189144617282</v>
      </c>
      <c r="Z9796" s="11">
        <v>0.21955859448744625</v>
      </c>
    </row>
    <row r="9797" ht="22.5" customHeight="1">
      <c r="Q9797" s="9" t="s">
        <v>9835</v>
      </c>
      <c r="R9797" s="10">
        <v>0.5384373730298911</v>
      </c>
      <c r="S9797" s="10">
        <v>0.03236715111164088</v>
      </c>
      <c r="T9797" s="10">
        <v>15.39948237367816</v>
      </c>
      <c r="U9797" s="11">
        <v>0.2689906955847827</v>
      </c>
      <c r="V9797" s="11">
        <v>0.006421241564310716</v>
      </c>
      <c r="W9797" s="11">
        <v>0.28736536556453174</v>
      </c>
      <c r="X9797" s="11">
        <v>0.13463070467210494</v>
      </c>
      <c r="Y9797" s="11">
        <v>0.2613058451980555</v>
      </c>
      <c r="Z9797" s="11">
        <v>0.0412861474162143</v>
      </c>
    </row>
    <row r="9798" ht="22.5" customHeight="1">
      <c r="Q9798" s="9" t="s">
        <v>9836</v>
      </c>
      <c r="R9798" s="10">
        <v>0.3672824722004003</v>
      </c>
      <c r="S9798" s="10">
        <v>0.021261821023356803</v>
      </c>
      <c r="T9798" s="10">
        <v>15.392965251700211</v>
      </c>
      <c r="U9798" s="11">
        <v>0.09422250982543501</v>
      </c>
      <c r="V9798" s="11">
        <v>0.0028420314685674414</v>
      </c>
      <c r="W9798" s="11">
        <v>0.17964936625692285</v>
      </c>
      <c r="X9798" s="11">
        <v>0.08168957560711806</v>
      </c>
      <c r="Y9798" s="11">
        <v>0.2887136571789798</v>
      </c>
      <c r="Z9798" s="11">
        <v>0.35288285966297694</v>
      </c>
    </row>
    <row r="9799" ht="22.5" customHeight="1">
      <c r="Q9799" s="9" t="s">
        <v>9837</v>
      </c>
      <c r="R9799" s="10">
        <v>0.5930245710178513</v>
      </c>
      <c r="S9799" s="10">
        <v>0.03592878082942258</v>
      </c>
      <c r="T9799" s="10">
        <v>15.392244274678303</v>
      </c>
      <c r="U9799" s="11">
        <v>0.18917436326703022</v>
      </c>
      <c r="V9799" s="11">
        <v>0.024965998638070926</v>
      </c>
      <c r="W9799" s="11">
        <v>0.3229331504289638</v>
      </c>
      <c r="X9799" s="11">
        <v>0.062448357185672064</v>
      </c>
      <c r="Y9799" s="11">
        <v>0.2497385204180529</v>
      </c>
      <c r="Z9799" s="11">
        <v>0.15073961006221015</v>
      </c>
    </row>
    <row r="9800" ht="22.5" customHeight="1">
      <c r="Q9800" s="9" t="s">
        <v>9838</v>
      </c>
      <c r="R9800" s="10">
        <v>0.603944812943558</v>
      </c>
      <c r="S9800" s="10">
        <v>0.036650525599592934</v>
      </c>
      <c r="T9800" s="10">
        <v>15.387086643849425</v>
      </c>
      <c r="U9800" s="11">
        <v>0.05535399585974581</v>
      </c>
      <c r="V9800" s="11">
        <v>0.026191560764674778</v>
      </c>
      <c r="W9800" s="11">
        <v>0.33082143384756707</v>
      </c>
      <c r="X9800" s="11">
        <v>0.11066664845944744</v>
      </c>
      <c r="Y9800" s="11">
        <v>0.24556178365732964</v>
      </c>
      <c r="Z9800" s="11">
        <v>0.23140457741123524</v>
      </c>
    </row>
    <row r="9801" ht="22.5" customHeight="1">
      <c r="Q9801" s="9" t="s">
        <v>9839</v>
      </c>
      <c r="R9801" s="10">
        <v>0.6295521826225271</v>
      </c>
      <c r="S9801" s="10">
        <v>0.03831602504229849</v>
      </c>
      <c r="T9801" s="10">
        <v>15.386569509016095</v>
      </c>
      <c r="U9801" s="11">
        <v>0.08407725774982797</v>
      </c>
      <c r="V9801" s="11">
        <v>0.3732096064234021</v>
      </c>
      <c r="W9801" s="11">
        <v>0.00635420017226094</v>
      </c>
      <c r="X9801" s="11">
        <v>0.02276785263513627</v>
      </c>
      <c r="Y9801" s="11">
        <v>0.09888004305953035</v>
      </c>
      <c r="Z9801" s="11">
        <v>0.4147110399598423</v>
      </c>
    </row>
    <row r="9802" ht="22.5" customHeight="1">
      <c r="Q9802" s="9" t="s">
        <v>9840</v>
      </c>
      <c r="R9802" s="10">
        <v>0.6172826009047343</v>
      </c>
      <c r="S9802" s="10">
        <v>0.03753100644878513</v>
      </c>
      <c r="T9802" s="10">
        <v>15.381484685002917</v>
      </c>
      <c r="U9802" s="11">
        <v>0.18922333536854835</v>
      </c>
      <c r="V9802" s="11">
        <v>0.02289538448640115</v>
      </c>
      <c r="W9802" s="11">
        <v>0.34165599850751144</v>
      </c>
      <c r="X9802" s="11">
        <v>0.18435027210725785</v>
      </c>
      <c r="Y9802" s="11">
        <v>0.04508381404810602</v>
      </c>
      <c r="Z9802" s="11">
        <v>0.2167911954821753</v>
      </c>
    </row>
    <row r="9803" ht="22.5" customHeight="1">
      <c r="Q9803" s="9" t="s">
        <v>9841</v>
      </c>
      <c r="R9803" s="10">
        <v>0.713878547746668</v>
      </c>
      <c r="S9803" s="10">
        <v>0.04381259223491029</v>
      </c>
      <c r="T9803" s="10">
        <v>15.380933046223983</v>
      </c>
      <c r="U9803" s="11">
        <v>0.2588347553206724</v>
      </c>
      <c r="V9803" s="11">
        <v>0.029802103193648122</v>
      </c>
      <c r="W9803" s="11">
        <v>0.39948180375303244</v>
      </c>
      <c r="X9803" s="11">
        <v>0.1760486824435114</v>
      </c>
      <c r="Y9803" s="11">
        <v>0.09133274381059898</v>
      </c>
      <c r="Z9803" s="11">
        <v>0.04449991147853679</v>
      </c>
    </row>
    <row r="9804" ht="22.5" customHeight="1">
      <c r="Q9804" s="9" t="s">
        <v>9842</v>
      </c>
      <c r="R9804" s="10">
        <v>0.46586303894791375</v>
      </c>
      <c r="S9804" s="10">
        <v>0.02770820312976963</v>
      </c>
      <c r="T9804" s="10">
        <v>15.369565357717748</v>
      </c>
      <c r="U9804" s="11">
        <v>0.24407642943051497</v>
      </c>
      <c r="V9804" s="11">
        <v>0.015649361121356772</v>
      </c>
      <c r="W9804" s="11">
        <v>0.24406920621510136</v>
      </c>
      <c r="X9804" s="11">
        <v>0.020405702140191856</v>
      </c>
      <c r="Y9804" s="11">
        <v>0.2174429307736535</v>
      </c>
      <c r="Z9804" s="11">
        <v>0.2583563703191816</v>
      </c>
    </row>
    <row r="9805" ht="22.5" customHeight="1">
      <c r="Q9805" s="9" t="s">
        <v>9843</v>
      </c>
      <c r="R9805" s="10">
        <v>0.6043128798891095</v>
      </c>
      <c r="S9805" s="10">
        <v>0.03671923640395564</v>
      </c>
      <c r="T9805" s="10">
        <v>15.368317404016548</v>
      </c>
      <c r="U9805" s="11">
        <v>0.20253063569050492</v>
      </c>
      <c r="V9805" s="11">
        <v>0.014339349951088274</v>
      </c>
      <c r="W9805" s="11">
        <v>0.33134475164265526</v>
      </c>
      <c r="X9805" s="11">
        <v>0.16507086038897492</v>
      </c>
      <c r="Y9805" s="11">
        <v>0.20345096400935164</v>
      </c>
      <c r="Z9805" s="11">
        <v>0.08326343831742512</v>
      </c>
    </row>
    <row r="9806" ht="22.5" customHeight="1">
      <c r="Q9806" s="9" t="s">
        <v>9844</v>
      </c>
      <c r="R9806" s="10">
        <v>0.35437312591967157</v>
      </c>
      <c r="S9806" s="10">
        <v>0.020460190534880823</v>
      </c>
      <c r="T9806" s="10">
        <v>15.365112332835993</v>
      </c>
      <c r="U9806" s="11">
        <v>0.149944556269085</v>
      </c>
      <c r="V9806" s="11">
        <v>0.004575764821606363</v>
      </c>
      <c r="W9806" s="11">
        <v>0.17143603500431487</v>
      </c>
      <c r="X9806" s="11">
        <v>0.04596587971766319</v>
      </c>
      <c r="Y9806" s="11">
        <v>0.27005683178850565</v>
      </c>
      <c r="Z9806" s="11">
        <v>0.358020932398825</v>
      </c>
    </row>
    <row r="9807" ht="22.5" customHeight="1">
      <c r="Q9807" s="9" t="s">
        <v>9845</v>
      </c>
      <c r="R9807" s="10">
        <v>0.522331348251574</v>
      </c>
      <c r="S9807" s="10">
        <v>0.032137956923013807</v>
      </c>
      <c r="T9807" s="10">
        <v>15.361485188975912</v>
      </c>
      <c r="U9807" s="11">
        <v>0.13756806733610935</v>
      </c>
      <c r="V9807" s="11">
        <v>0.02482719617699083</v>
      </c>
      <c r="W9807" s="11">
        <v>0.2864797139748408</v>
      </c>
      <c r="X9807" s="11">
        <v>0.019724291596222365</v>
      </c>
      <c r="Y9807" s="11">
        <v>0.26910231850177374</v>
      </c>
      <c r="Z9807" s="11">
        <v>0.26229841241406304</v>
      </c>
    </row>
    <row r="9808" ht="22.5" customHeight="1">
      <c r="Q9808" s="9" t="s">
        <v>9846</v>
      </c>
      <c r="R9808" s="10">
        <v>0.5723786577728548</v>
      </c>
      <c r="S9808" s="10">
        <v>0.034656828000096306</v>
      </c>
      <c r="T9808" s="10">
        <v>15.361436360285927</v>
      </c>
      <c r="U9808" s="11">
        <v>0.3503269751912236</v>
      </c>
      <c r="V9808" s="11">
        <v>0.009621256198255101</v>
      </c>
      <c r="W9808" s="11">
        <v>0.3098912084265399</v>
      </c>
      <c r="X9808" s="11">
        <v>0.1305503827606713</v>
      </c>
      <c r="Y9808" s="11">
        <v>0.19622823847936285</v>
      </c>
      <c r="Z9808" s="11">
        <v>0.003381938943947269</v>
      </c>
    </row>
    <row r="9809" ht="22.5" customHeight="1">
      <c r="Q9809" s="9" t="s">
        <v>9847</v>
      </c>
      <c r="R9809" s="10">
        <v>0.5444815147349511</v>
      </c>
      <c r="S9809" s="10">
        <v>0.03285886975298179</v>
      </c>
      <c r="T9809" s="10">
        <v>15.352978313843913</v>
      </c>
      <c r="U9809" s="11">
        <v>0.24532634573091136</v>
      </c>
      <c r="V9809" s="11">
        <v>0.016646824452892523</v>
      </c>
      <c r="W9809" s="11">
        <v>0.2972004370666784</v>
      </c>
      <c r="X9809" s="11">
        <v>0.15455072400744743</v>
      </c>
      <c r="Y9809" s="11">
        <v>0.022367518373569668</v>
      </c>
      <c r="Z9809" s="11">
        <v>0.2639081503685005</v>
      </c>
    </row>
    <row r="9810" ht="22.5" customHeight="1">
      <c r="Q9810" s="9" t="s">
        <v>9848</v>
      </c>
      <c r="R9810" s="10">
        <v>0.5557366032630323</v>
      </c>
      <c r="S9810" s="10">
        <v>0.03359672894971986</v>
      </c>
      <c r="T9810" s="10">
        <v>15.350798109984831</v>
      </c>
      <c r="U9810" s="11">
        <v>0.009754115429663245</v>
      </c>
      <c r="V9810" s="11">
        <v>0.003183415443716211</v>
      </c>
      <c r="W9810" s="11">
        <v>0.3006912808061296</v>
      </c>
      <c r="X9810" s="11">
        <v>0.27743602370420123</v>
      </c>
      <c r="Y9810" s="11">
        <v>0.23140535071495943</v>
      </c>
      <c r="Z9810" s="11">
        <v>0.17752981390133027</v>
      </c>
    </row>
    <row r="9811" ht="22.5" customHeight="1">
      <c r="Q9811" s="9" t="s">
        <v>9849</v>
      </c>
      <c r="R9811" s="10">
        <v>0.8199786621867856</v>
      </c>
      <c r="S9811" s="10">
        <v>0.05082072501857712</v>
      </c>
      <c r="T9811" s="10">
        <v>15.347649249428661</v>
      </c>
      <c r="U9811" s="11">
        <v>0.1803456584946178</v>
      </c>
      <c r="V9811" s="11">
        <v>0.05919366138469566</v>
      </c>
      <c r="W9811" s="11">
        <v>0.4651273381039201</v>
      </c>
      <c r="X9811" s="11">
        <v>0.07679096664356</v>
      </c>
      <c r="Y9811" s="11">
        <v>0.08002912020667947</v>
      </c>
      <c r="Z9811" s="11">
        <v>0.1385132551665271</v>
      </c>
    </row>
    <row r="9812" ht="22.5" customHeight="1">
      <c r="Q9812" s="9" t="s">
        <v>9850</v>
      </c>
      <c r="R9812" s="10">
        <v>1.0701875802872507</v>
      </c>
      <c r="S9812" s="10">
        <v>0.0671319480070956</v>
      </c>
      <c r="T9812" s="10">
        <v>15.345712598394488</v>
      </c>
      <c r="U9812" s="11">
        <v>0.0031847779831780244</v>
      </c>
      <c r="V9812" s="11">
        <v>0.09463575409076203</v>
      </c>
      <c r="W9812" s="11">
        <v>0.6151301431660946</v>
      </c>
      <c r="X9812" s="11">
        <v>0.11030210826754917</v>
      </c>
      <c r="Y9812" s="11">
        <v>0.11011134525164692</v>
      </c>
      <c r="Z9812" s="11">
        <v>0.06663587124076929</v>
      </c>
    </row>
    <row r="9813" ht="22.5" customHeight="1">
      <c r="Q9813" s="9" t="s">
        <v>9851</v>
      </c>
      <c r="R9813" s="10">
        <v>0.6574211320298287</v>
      </c>
      <c r="S9813" s="10">
        <v>0.04024090616534061</v>
      </c>
      <c r="T9813" s="10">
        <v>15.3431219837095</v>
      </c>
      <c r="U9813" s="11">
        <v>0.3727036473716918</v>
      </c>
      <c r="V9813" s="11">
        <v>0.02469660521550435</v>
      </c>
      <c r="W9813" s="11">
        <v>0.36535027893244043</v>
      </c>
      <c r="X9813" s="11">
        <v>0.13746888368038612</v>
      </c>
      <c r="Y9813" s="11">
        <v>0.04876054445282414</v>
      </c>
      <c r="Z9813" s="11">
        <v>0.05102004034715311</v>
      </c>
    </row>
    <row r="9814" ht="22.5" customHeight="1">
      <c r="Q9814" s="9" t="s">
        <v>9852</v>
      </c>
      <c r="R9814" s="10">
        <v>0.20964415684882592</v>
      </c>
      <c r="S9814" s="10">
        <v>0.011058454434983845</v>
      </c>
      <c r="T9814" s="10">
        <v>15.340675122931295</v>
      </c>
      <c r="U9814" s="11">
        <v>0.2602763875099975</v>
      </c>
      <c r="V9814" s="11">
        <v>0.011457588947169453</v>
      </c>
      <c r="W9814" s="11">
        <v>0.04780014235637322</v>
      </c>
      <c r="X9814" s="11">
        <v>0.03990578467619677</v>
      </c>
      <c r="Y9814" s="11">
        <v>0.3334909267972092</v>
      </c>
      <c r="Z9814" s="11">
        <v>0.30706916971305387</v>
      </c>
    </row>
    <row r="9815" ht="22.5" customHeight="1">
      <c r="Q9815" s="9" t="s">
        <v>9853</v>
      </c>
      <c r="R9815" s="10">
        <v>0.6577315898826928</v>
      </c>
      <c r="S9815" s="10">
        <v>0.0402720528508014</v>
      </c>
      <c r="T9815" s="10">
        <v>15.338964521407558</v>
      </c>
      <c r="U9815" s="11">
        <v>0.37208645332032</v>
      </c>
      <c r="V9815" s="11">
        <v>0.024057799987657027</v>
      </c>
      <c r="W9815" s="11">
        <v>0.36484203929851106</v>
      </c>
      <c r="X9815" s="11">
        <v>0.11701149967047701</v>
      </c>
      <c r="Y9815" s="11">
        <v>0.10579320582768052</v>
      </c>
      <c r="Z9815" s="11">
        <v>0.01620900189535431</v>
      </c>
    </row>
    <row r="9816" ht="22.5" customHeight="1">
      <c r="Q9816" s="9" t="s">
        <v>9854</v>
      </c>
      <c r="R9816" s="10">
        <v>0.5345635742137328</v>
      </c>
      <c r="S9816" s="10">
        <v>0.032247104721875024</v>
      </c>
      <c r="T9816" s="10">
        <v>15.336681493710737</v>
      </c>
      <c r="U9816" s="11">
        <v>0.23440603962731027</v>
      </c>
      <c r="V9816" s="11">
        <v>0.018912061552197785</v>
      </c>
      <c r="W9816" s="11">
        <v>0.2914496154676102</v>
      </c>
      <c r="X9816" s="11">
        <v>0.12823731393139123</v>
      </c>
      <c r="Y9816" s="11">
        <v>0.02483239628152716</v>
      </c>
      <c r="Z9816" s="11">
        <v>0.3021625731399632</v>
      </c>
    </row>
    <row r="9817" ht="22.5" customHeight="1">
      <c r="Q9817" s="9" t="s">
        <v>9855</v>
      </c>
      <c r="R9817" s="10">
        <v>0.5266094777076414</v>
      </c>
      <c r="S9817" s="10">
        <v>0.031741081712209566</v>
      </c>
      <c r="T9817" s="10">
        <v>15.33058898621157</v>
      </c>
      <c r="U9817" s="11">
        <v>0.2487101610612994</v>
      </c>
      <c r="V9817" s="11">
        <v>0.03202166512533937</v>
      </c>
      <c r="W9817" s="11">
        <v>0.2852102812772233</v>
      </c>
      <c r="X9817" s="11">
        <v>0.01118744167396657</v>
      </c>
      <c r="Y9817" s="11">
        <v>0.045200098924873824</v>
      </c>
      <c r="Z9817" s="11">
        <v>0.3776703519372976</v>
      </c>
    </row>
    <row r="9818" ht="22.5" customHeight="1">
      <c r="Q9818" s="9" t="s">
        <v>9856</v>
      </c>
      <c r="R9818" s="10">
        <v>0.6333586690663857</v>
      </c>
      <c r="S9818" s="10">
        <v>0.0387052462272932</v>
      </c>
      <c r="T9818" s="10">
        <v>15.330187168476812</v>
      </c>
      <c r="U9818" s="11">
        <v>0.44774871761894447</v>
      </c>
      <c r="V9818" s="11">
        <v>0.021072631475181364</v>
      </c>
      <c r="W9818" s="11">
        <v>0.3498601279761787</v>
      </c>
      <c r="X9818" s="11">
        <v>0.13161946809154199</v>
      </c>
      <c r="Y9818" s="11">
        <v>0.02523265829490258</v>
      </c>
      <c r="Z9818" s="11">
        <v>0.024466396543250807</v>
      </c>
    </row>
    <row r="9819" ht="22.5" customHeight="1">
      <c r="Q9819" s="9" t="s">
        <v>9857</v>
      </c>
      <c r="R9819" s="10">
        <v>0.524783570923657</v>
      </c>
      <c r="S9819" s="10">
        <v>0.03162322959208444</v>
      </c>
      <c r="T9819" s="10">
        <v>15.329982964327035</v>
      </c>
      <c r="U9819" s="11">
        <v>0.33348803312960207</v>
      </c>
      <c r="V9819" s="11">
        <v>0.007100158214183223</v>
      </c>
      <c r="W9819" s="11">
        <v>0.27797445106842306</v>
      </c>
      <c r="X9819" s="11">
        <v>0.08022388175609876</v>
      </c>
      <c r="Y9819" s="11">
        <v>0.29396573599156683</v>
      </c>
      <c r="Z9819" s="11">
        <v>0.007247739840126106</v>
      </c>
    </row>
    <row r="9820" ht="22.5" customHeight="1">
      <c r="Q9820" s="9" t="s">
        <v>9858</v>
      </c>
      <c r="R9820" s="10">
        <v>0.5186285789890764</v>
      </c>
      <c r="S9820" s="10">
        <v>0.03122271378183047</v>
      </c>
      <c r="T9820" s="10">
        <v>15.329499617922586</v>
      </c>
      <c r="U9820" s="11">
        <v>0.17650769878167094</v>
      </c>
      <c r="V9820" s="11">
        <v>0.0013978676334947323</v>
      </c>
      <c r="W9820" s="11">
        <v>0.2806401667519066</v>
      </c>
      <c r="X9820" s="11">
        <v>0.29269890649925767</v>
      </c>
      <c r="Y9820" s="11">
        <v>0.005978551152665727</v>
      </c>
      <c r="Z9820" s="11">
        <v>0.24277680918100425</v>
      </c>
    </row>
    <row r="9821" ht="22.5" customHeight="1">
      <c r="Q9821" s="9" t="s">
        <v>9859</v>
      </c>
      <c r="R9821" s="10">
        <v>0.7617122324438479</v>
      </c>
      <c r="S9821" s="10">
        <v>0.04709015465615999</v>
      </c>
      <c r="T9821" s="10">
        <v>15.326180975908915</v>
      </c>
      <c r="U9821" s="11">
        <v>0.26287302878898133</v>
      </c>
      <c r="V9821" s="11">
        <v>0.03798752458635157</v>
      </c>
      <c r="W9821" s="11">
        <v>0.430139724164951</v>
      </c>
      <c r="X9821" s="11">
        <v>0.14192799282792565</v>
      </c>
      <c r="Y9821" s="11">
        <v>0.0956724803651344</v>
      </c>
      <c r="Z9821" s="11">
        <v>0.03139924926665614</v>
      </c>
    </row>
    <row r="9822" ht="22.5" customHeight="1">
      <c r="Q9822" s="9" t="s">
        <v>9860</v>
      </c>
      <c r="R9822" s="10">
        <v>0.607945934015733</v>
      </c>
      <c r="S9822" s="10">
        <v>0.0370582972231697</v>
      </c>
      <c r="T9822" s="10">
        <v>15.325742858488384</v>
      </c>
      <c r="U9822" s="11">
        <v>0.2461823683293956</v>
      </c>
      <c r="V9822" s="11">
        <v>0.021608492741421525</v>
      </c>
      <c r="W9822" s="11">
        <v>0.3368122836030466</v>
      </c>
      <c r="X9822" s="11">
        <v>0.14732143712604495</v>
      </c>
      <c r="Y9822" s="11">
        <v>0.06110859055244499</v>
      </c>
      <c r="Z9822" s="11">
        <v>0.1869668276476464</v>
      </c>
    </row>
    <row r="9823" ht="22.5" customHeight="1">
      <c r="Q9823" s="9" t="s">
        <v>9861</v>
      </c>
      <c r="R9823" s="10">
        <v>0.7214108414082255</v>
      </c>
      <c r="S9823" s="10">
        <v>0.04446899953933937</v>
      </c>
      <c r="T9823" s="10">
        <v>15.323277979425137</v>
      </c>
      <c r="U9823" s="11">
        <v>0.1796774972329858</v>
      </c>
      <c r="V9823" s="11">
        <v>0.43388140515634693</v>
      </c>
      <c r="W9823" s="11">
        <v>0.009024139285923953</v>
      </c>
      <c r="X9823" s="11">
        <v>0.04592939445170245</v>
      </c>
      <c r="Y9823" s="11">
        <v>0.003264428590916605</v>
      </c>
      <c r="Z9823" s="11">
        <v>0.3282231352821243</v>
      </c>
    </row>
    <row r="9824" ht="22.5" customHeight="1">
      <c r="Q9824" s="9" t="s">
        <v>9862</v>
      </c>
      <c r="R9824" s="10">
        <v>0.5351046120317325</v>
      </c>
      <c r="S9824" s="10">
        <v>0.03231109337652006</v>
      </c>
      <c r="T9824" s="10">
        <v>15.3230534869958</v>
      </c>
      <c r="U9824" s="11">
        <v>0.3379457356327409</v>
      </c>
      <c r="V9824" s="11">
        <v>0.020091309338250853</v>
      </c>
      <c r="W9824" s="11">
        <v>0.2875024610024885</v>
      </c>
      <c r="X9824" s="11">
        <v>0.013729807128493842</v>
      </c>
      <c r="Y9824" s="11">
        <v>0.19949478646523713</v>
      </c>
      <c r="Z9824" s="11">
        <v>0.14123590043278877</v>
      </c>
    </row>
    <row r="9825" ht="22.5" customHeight="1">
      <c r="Q9825" s="9" t="s">
        <v>9863</v>
      </c>
      <c r="R9825" s="10">
        <v>0.5279367028412703</v>
      </c>
      <c r="S9825" s="10">
        <v>0.031848677047909994</v>
      </c>
      <c r="T9825" s="10">
        <v>15.320470049894588</v>
      </c>
      <c r="U9825" s="11">
        <v>0.09757364959269285</v>
      </c>
      <c r="V9825" s="11">
        <v>0.005370787358432682</v>
      </c>
      <c r="W9825" s="11">
        <v>0.28360127828630005</v>
      </c>
      <c r="X9825" s="11">
        <v>0.17173619367267495</v>
      </c>
      <c r="Y9825" s="11">
        <v>0.28165294324960055</v>
      </c>
      <c r="Z9825" s="11">
        <v>0.16006514784029885</v>
      </c>
    </row>
    <row r="9826" ht="22.5" customHeight="1">
      <c r="Q9826" s="9" t="s">
        <v>9864</v>
      </c>
      <c r="R9826" s="10">
        <v>0.5180505746324927</v>
      </c>
      <c r="S9826" s="10">
        <v>0.031213530604874497</v>
      </c>
      <c r="T9826" s="10">
        <v>15.315491883441004</v>
      </c>
      <c r="U9826" s="11">
        <v>0.28728112957555674</v>
      </c>
      <c r="V9826" s="11">
        <v>0.026092511464636196</v>
      </c>
      <c r="W9826" s="11">
        <v>0.2791740363176647</v>
      </c>
      <c r="X9826" s="11">
        <v>0.0011862624090274493</v>
      </c>
      <c r="Y9826" s="11">
        <v>0.11618950024261086</v>
      </c>
      <c r="Z9826" s="11">
        <v>0.29007655999050397</v>
      </c>
    </row>
    <row r="9827" ht="22.5" customHeight="1">
      <c r="Q9827" s="9" t="s">
        <v>9865</v>
      </c>
      <c r="R9827" s="10">
        <v>0.4334787514081655</v>
      </c>
      <c r="S9827" s="10">
        <v>0.025692529924759736</v>
      </c>
      <c r="T9827" s="10">
        <v>15.314908752094997</v>
      </c>
      <c r="U9827" s="11">
        <v>0.4591638133367432</v>
      </c>
      <c r="V9827" s="11">
        <v>0.003783960603436455</v>
      </c>
      <c r="W9827" s="11">
        <v>0.2216991658932865</v>
      </c>
      <c r="X9827" s="11">
        <v>0.056898485960643286</v>
      </c>
      <c r="Y9827" s="11">
        <v>0.14106758634583583</v>
      </c>
      <c r="Z9827" s="11">
        <v>0.11738698786005472</v>
      </c>
    </row>
    <row r="9828" ht="22.5" customHeight="1">
      <c r="Q9828" s="9" t="s">
        <v>9866</v>
      </c>
      <c r="R9828" s="10">
        <v>0.522331348251574</v>
      </c>
      <c r="S9828" s="10">
        <v>0.030558713204020774</v>
      </c>
      <c r="T9828" s="10">
        <v>15.314373163282193</v>
      </c>
      <c r="U9828" s="11">
        <v>0.09007559734685666</v>
      </c>
      <c r="V9828" s="11">
        <v>0.006412175051512976</v>
      </c>
      <c r="W9828" s="11">
        <v>0.27441998367019343</v>
      </c>
      <c r="X9828" s="11">
        <v>0.1948780532202807</v>
      </c>
      <c r="Y9828" s="11">
        <v>0.15478381002893687</v>
      </c>
      <c r="Z9828" s="11">
        <v>0.27943038068221937</v>
      </c>
    </row>
    <row r="9829" ht="22.5" customHeight="1">
      <c r="Q9829" s="9" t="s">
        <v>9867</v>
      </c>
      <c r="R9829" s="10">
        <v>0.48093647956053814</v>
      </c>
      <c r="S9829" s="10">
        <v>0.028798701078331674</v>
      </c>
      <c r="T9829" s="10">
        <v>15.310984976759997</v>
      </c>
      <c r="U9829" s="11">
        <v>0.11794601151127762</v>
      </c>
      <c r="V9829" s="11">
        <v>0.005273375606401162</v>
      </c>
      <c r="W9829" s="11">
        <v>0.2481351548811052</v>
      </c>
      <c r="X9829" s="11">
        <v>0.09334795448910554</v>
      </c>
      <c r="Y9829" s="11">
        <v>0.4227186542804824</v>
      </c>
      <c r="Z9829" s="11">
        <v>0.11257884923162814</v>
      </c>
    </row>
    <row r="9830" ht="22.5" customHeight="1">
      <c r="Q9830" s="9" t="s">
        <v>9868</v>
      </c>
      <c r="R9830" s="10">
        <v>0.768333706792468</v>
      </c>
      <c r="S9830" s="10">
        <v>0.047578814229433296</v>
      </c>
      <c r="T9830" s="10">
        <v>15.3079415405419</v>
      </c>
      <c r="U9830" s="11">
        <v>0.1308330619858732</v>
      </c>
      <c r="V9830" s="11">
        <v>0.04906010177586658</v>
      </c>
      <c r="W9830" s="11">
        <v>0.4330584192980498</v>
      </c>
      <c r="X9830" s="11">
        <v>0.05030123612887654</v>
      </c>
      <c r="Y9830" s="11">
        <v>0.22897754520131985</v>
      </c>
      <c r="Z9830" s="11">
        <v>0.10776963561001407</v>
      </c>
    </row>
    <row r="9831" ht="22.5" customHeight="1">
      <c r="Q9831" s="9" t="s">
        <v>9869</v>
      </c>
      <c r="R9831" s="10">
        <v>0.45083271519684365</v>
      </c>
      <c r="S9831" s="10">
        <v>0.026841923672771197</v>
      </c>
      <c r="T9831" s="10">
        <v>15.30563607159042</v>
      </c>
      <c r="U9831" s="11">
        <v>0.027560493714082236</v>
      </c>
      <c r="V9831" s="11">
        <v>0.0030961746850334134</v>
      </c>
      <c r="W9831" s="11">
        <v>0.23573594768410677</v>
      </c>
      <c r="X9831" s="11">
        <v>0.1526525904455611</v>
      </c>
      <c r="Y9831" s="11">
        <v>0.2793067249267936</v>
      </c>
      <c r="Z9831" s="11">
        <v>0.30164806854442294</v>
      </c>
    </row>
    <row r="9832" ht="22.5" customHeight="1">
      <c r="Q9832" s="9" t="s">
        <v>9870</v>
      </c>
      <c r="R9832" s="10">
        <v>0.522331348251574</v>
      </c>
      <c r="S9832" s="10">
        <v>0.04860001422623754</v>
      </c>
      <c r="T9832" s="10">
        <v>15.30053315862714</v>
      </c>
      <c r="U9832" s="11">
        <v>0.10271919641509356</v>
      </c>
      <c r="V9832" s="11">
        <v>0.04353482566330028</v>
      </c>
      <c r="W9832" s="11">
        <v>0.44392352651256833</v>
      </c>
      <c r="X9832" s="11">
        <v>0.13448191848765897</v>
      </c>
      <c r="Y9832" s="11">
        <v>0.1805724420889477</v>
      </c>
      <c r="Z9832" s="11">
        <v>0.09476809083243111</v>
      </c>
    </row>
    <row r="9833" ht="22.5" customHeight="1">
      <c r="Q9833" s="9" t="s">
        <v>9871</v>
      </c>
      <c r="R9833" s="10">
        <v>0.49777219503774933</v>
      </c>
      <c r="S9833" s="10">
        <v>0.029923780931091246</v>
      </c>
      <c r="T9833" s="10">
        <v>15.297939658491396</v>
      </c>
      <c r="U9833" s="11">
        <v>0.30514591476736613</v>
      </c>
      <c r="V9833" s="11">
        <v>0.007020143287795789</v>
      </c>
      <c r="W9833" s="11">
        <v>0.26174608569325797</v>
      </c>
      <c r="X9833" s="11">
        <v>0.059308735443539755</v>
      </c>
      <c r="Y9833" s="11">
        <v>0.30430462196007385</v>
      </c>
      <c r="Z9833" s="11">
        <v>0.06247449884796655</v>
      </c>
    </row>
    <row r="9834" ht="22.5" customHeight="1">
      <c r="Q9834" s="9" t="s">
        <v>9872</v>
      </c>
      <c r="R9834" s="10">
        <v>0.5669398450146503</v>
      </c>
      <c r="S9834" s="10">
        <v>0.034449153785635636</v>
      </c>
      <c r="T9834" s="10">
        <v>15.29616223067778</v>
      </c>
      <c r="U9834" s="11">
        <v>0.2759408209509678</v>
      </c>
      <c r="V9834" s="11">
        <v>0.016424460747934824</v>
      </c>
      <c r="W9834" s="11">
        <v>0.30918685701098503</v>
      </c>
      <c r="X9834" s="11">
        <v>0.07739256865793538</v>
      </c>
      <c r="Y9834" s="11">
        <v>0.2058862189779506</v>
      </c>
      <c r="Z9834" s="11">
        <v>0.11516907365422643</v>
      </c>
    </row>
    <row r="9835" ht="22.5" customHeight="1">
      <c r="Q9835" s="9" t="s">
        <v>9873</v>
      </c>
      <c r="R9835" s="10">
        <v>0.5278441023451725</v>
      </c>
      <c r="S9835" s="10">
        <v>0.031918461561111534</v>
      </c>
      <c r="T9835" s="10">
        <v>15.284073181633124</v>
      </c>
      <c r="U9835" s="11">
        <v>0.11024620550267544</v>
      </c>
      <c r="V9835" s="11">
        <v>0.002673684433126913</v>
      </c>
      <c r="W9835" s="11">
        <v>0.28657614767010575</v>
      </c>
      <c r="X9835" s="11">
        <v>0.2233879447782707</v>
      </c>
      <c r="Y9835" s="11">
        <v>0.17504208461967483</v>
      </c>
      <c r="Z9835" s="11">
        <v>0.20207393299614654</v>
      </c>
    </row>
    <row r="9836" ht="22.5" customHeight="1">
      <c r="Q9836" s="9" t="s">
        <v>9874</v>
      </c>
      <c r="R9836" s="10">
        <v>0.21358813193074289</v>
      </c>
      <c r="S9836" s="10">
        <v>0.011358252793645341</v>
      </c>
      <c r="T9836" s="10">
        <v>15.282995992822162</v>
      </c>
      <c r="U9836" s="11">
        <v>0.6099893137081405</v>
      </c>
      <c r="V9836" s="11">
        <v>0.03265659355284882</v>
      </c>
      <c r="W9836" s="11">
        <v>0.02515805157871443</v>
      </c>
      <c r="X9836" s="11">
        <v>0.08578206787291619</v>
      </c>
      <c r="Y9836" s="11">
        <v>0.035132827711764965</v>
      </c>
      <c r="Z9836" s="11">
        <v>0.21128114557561498</v>
      </c>
    </row>
    <row r="9837" ht="22.5" customHeight="1">
      <c r="Q9837" s="9" t="s">
        <v>9875</v>
      </c>
      <c r="R9837" s="10">
        <v>0.4910857125754288</v>
      </c>
      <c r="S9837" s="10">
        <v>0.029520150985425337</v>
      </c>
      <c r="T9837" s="10">
        <v>15.280603164873327</v>
      </c>
      <c r="U9837" s="11">
        <v>0.13141023464920895</v>
      </c>
      <c r="V9837" s="11">
        <v>2.7530561711166498E-5</v>
      </c>
      <c r="W9837" s="11">
        <v>0.2640534671282856</v>
      </c>
      <c r="X9837" s="11">
        <v>0.21710707716483474</v>
      </c>
      <c r="Y9837" s="11">
        <v>0.14663354199407058</v>
      </c>
      <c r="Z9837" s="11">
        <v>0.24076814850188888</v>
      </c>
    </row>
    <row r="9838" ht="22.5" customHeight="1">
      <c r="Q9838" s="9" t="s">
        <v>9876</v>
      </c>
      <c r="R9838" s="10">
        <v>0.5230384592343403</v>
      </c>
      <c r="S9838" s="10">
        <v>0.03161860165810033</v>
      </c>
      <c r="T9838" s="10">
        <v>15.277034210986095</v>
      </c>
      <c r="U9838" s="11">
        <v>0.21065652363604445</v>
      </c>
      <c r="V9838" s="11">
        <v>0.018447454573148222</v>
      </c>
      <c r="W9838" s="11">
        <v>0.2813537967122288</v>
      </c>
      <c r="X9838" s="11">
        <v>0.026351227297122623</v>
      </c>
      <c r="Y9838" s="11">
        <v>0.2571202324313271</v>
      </c>
      <c r="Z9838" s="11">
        <v>0.20607076535012867</v>
      </c>
    </row>
    <row r="9839" ht="22.5" customHeight="1">
      <c r="Q9839" s="9" t="s">
        <v>9877</v>
      </c>
      <c r="R9839" s="10">
        <v>0.6655714452414753</v>
      </c>
      <c r="S9839" s="10">
        <v>0.0409565534377204</v>
      </c>
      <c r="T9839" s="10">
        <v>15.274025588914249</v>
      </c>
      <c r="U9839" s="11">
        <v>0.08061274986292902</v>
      </c>
      <c r="V9839" s="11">
        <v>0.046591825225418756</v>
      </c>
      <c r="W9839" s="11">
        <v>0.37154247660943307</v>
      </c>
      <c r="X9839" s="11">
        <v>2.2899385479467593E-5</v>
      </c>
      <c r="Y9839" s="11">
        <v>0.20004053579579043</v>
      </c>
      <c r="Z9839" s="11">
        <v>0.30118951312094927</v>
      </c>
    </row>
    <row r="9840" ht="22.5" customHeight="1">
      <c r="Q9840" s="9" t="s">
        <v>9878</v>
      </c>
      <c r="R9840" s="10">
        <v>0.3465989393165586</v>
      </c>
      <c r="S9840" s="10">
        <v>0.02008055417692332</v>
      </c>
      <c r="T9840" s="10">
        <v>15.268450094315812</v>
      </c>
      <c r="U9840" s="11">
        <v>0.6907180287458696</v>
      </c>
      <c r="V9840" s="11">
        <v>0.0015328968156044006</v>
      </c>
      <c r="W9840" s="11">
        <v>0.15402283326463245</v>
      </c>
      <c r="X9840" s="11">
        <v>0.049554715795997635</v>
      </c>
      <c r="Y9840" s="11">
        <v>0.06534820038439948</v>
      </c>
      <c r="Z9840" s="11">
        <v>0.03882332499349634</v>
      </c>
    </row>
    <row r="9841" ht="22.5" customHeight="1">
      <c r="Q9841" s="9" t="s">
        <v>9879</v>
      </c>
      <c r="R9841" s="10">
        <v>0.18027230240141182</v>
      </c>
      <c r="S9841" s="10">
        <v>0.00918722502945882</v>
      </c>
      <c r="T9841" s="10">
        <v>15.268190552819696</v>
      </c>
      <c r="U9841" s="11">
        <v>0.15400012837385543</v>
      </c>
      <c r="V9841" s="11">
        <v>0.022857565817339234</v>
      </c>
      <c r="W9841" s="11">
        <v>0.006694097509910514</v>
      </c>
      <c r="X9841" s="11">
        <v>0.1551899196436166</v>
      </c>
      <c r="Y9841" s="11">
        <v>0.3044564808808735</v>
      </c>
      <c r="Z9841" s="11">
        <v>0.3568018077744047</v>
      </c>
    </row>
    <row r="9842" ht="22.5" customHeight="1">
      <c r="Q9842" s="9" t="s">
        <v>9880</v>
      </c>
      <c r="R9842" s="10">
        <v>0.5057369112581467</v>
      </c>
      <c r="S9842" s="10">
        <v>0.03050750573805864</v>
      </c>
      <c r="T9842" s="10">
        <v>15.26630578248591</v>
      </c>
      <c r="U9842" s="11">
        <v>0.14183017339270945</v>
      </c>
      <c r="V9842" s="11">
        <v>0.002102168994272209</v>
      </c>
      <c r="W9842" s="11">
        <v>0.2730494079451465</v>
      </c>
      <c r="X9842" s="11">
        <v>0.18995516852718317</v>
      </c>
      <c r="Y9842" s="11">
        <v>0.18322724514072894</v>
      </c>
      <c r="Z9842" s="11">
        <v>0.2098358359999598</v>
      </c>
    </row>
    <row r="9843" ht="22.5" customHeight="1">
      <c r="Q9843" s="9" t="s">
        <v>9881</v>
      </c>
      <c r="R9843" s="10">
        <v>0.5536124206837424</v>
      </c>
      <c r="S9843" s="10">
        <v>0.03364462067269123</v>
      </c>
      <c r="T9843" s="10">
        <v>15.265811009741384</v>
      </c>
      <c r="U9843" s="11">
        <v>0.23193277749806787</v>
      </c>
      <c r="V9843" s="11">
        <v>0.027951688995706377</v>
      </c>
      <c r="W9843" s="11">
        <v>0.304216139101372</v>
      </c>
      <c r="X9843" s="11">
        <v>0.04938353793721304</v>
      </c>
      <c r="Y9843" s="11">
        <v>0.05827701967638411</v>
      </c>
      <c r="Z9843" s="11">
        <v>0.3282388367912565</v>
      </c>
    </row>
    <row r="9844" ht="22.5" customHeight="1">
      <c r="Q9844" s="9" t="s">
        <v>9882</v>
      </c>
      <c r="R9844" s="10">
        <v>0.21178396004471903</v>
      </c>
      <c r="S9844" s="10">
        <v>0.011255952809237354</v>
      </c>
      <c r="T9844" s="10">
        <v>15.261609830466075</v>
      </c>
      <c r="U9844" s="11">
        <v>0.3481863784618252</v>
      </c>
      <c r="V9844" s="11">
        <v>0.0078885314839034</v>
      </c>
      <c r="W9844" s="11">
        <v>0.060898478368153125</v>
      </c>
      <c r="X9844" s="11">
        <v>0.034097123500327946</v>
      </c>
      <c r="Y9844" s="11">
        <v>0.17263348541881965</v>
      </c>
      <c r="Z9844" s="11">
        <v>0.3762960027669706</v>
      </c>
    </row>
    <row r="9845" ht="22.5" customHeight="1">
      <c r="Q9845" s="9" t="s">
        <v>9883</v>
      </c>
      <c r="R9845" s="10">
        <v>0.5008027876507102</v>
      </c>
      <c r="S9845" s="10">
        <v>0.030197524390046165</v>
      </c>
      <c r="T9845" s="10">
        <v>15.259621341761443</v>
      </c>
      <c r="U9845" s="11">
        <v>0.2852419722347719</v>
      </c>
      <c r="V9845" s="11">
        <v>0.020956911379362054</v>
      </c>
      <c r="W9845" s="11">
        <v>0.2702361433397671</v>
      </c>
      <c r="X9845" s="11">
        <v>0.029903067949080268</v>
      </c>
      <c r="Y9845" s="11">
        <v>0.08749119678308534</v>
      </c>
      <c r="Z9845" s="11">
        <v>0.3061707083139332</v>
      </c>
    </row>
    <row r="9846" ht="22.5" customHeight="1">
      <c r="Q9846" s="9" t="s">
        <v>9884</v>
      </c>
      <c r="R9846" s="10">
        <v>0.7349398404253904</v>
      </c>
      <c r="S9846" s="10">
        <v>0.04554212634219621</v>
      </c>
      <c r="T9846" s="10">
        <v>15.259275230228035</v>
      </c>
      <c r="U9846" s="11">
        <v>0.22797504356524204</v>
      </c>
      <c r="V9846" s="11">
        <v>0.050579441063637834</v>
      </c>
      <c r="W9846" s="11">
        <v>0.4152038823642105</v>
      </c>
      <c r="X9846" s="11">
        <v>0.01017099432435472</v>
      </c>
      <c r="Y9846" s="11">
        <v>0.1163393608146374</v>
      </c>
      <c r="Z9846" s="11">
        <v>0.17973127786791737</v>
      </c>
    </row>
    <row r="9847" ht="22.5" customHeight="1">
      <c r="Q9847" s="9" t="s">
        <v>9885</v>
      </c>
      <c r="R9847" s="10">
        <v>0.7550709874648794</v>
      </c>
      <c r="S9847" s="10">
        <v>0.04686308006672661</v>
      </c>
      <c r="T9847" s="10">
        <v>15.258727903644322</v>
      </c>
      <c r="U9847" s="11">
        <v>0.15686828498039126</v>
      </c>
      <c r="V9847" s="11">
        <v>0.046592998445485145</v>
      </c>
      <c r="W9847" s="11">
        <v>0.424935131817708</v>
      </c>
      <c r="X9847" s="11">
        <v>0.017846125582222566</v>
      </c>
      <c r="Y9847" s="11">
        <v>0.2818301159868697</v>
      </c>
      <c r="Z9847" s="11">
        <v>0.07192734318732329</v>
      </c>
    </row>
    <row r="9848" ht="22.5" customHeight="1">
      <c r="Q9848" s="9" t="s">
        <v>9886</v>
      </c>
      <c r="R9848" s="10">
        <v>0.4808317773431537</v>
      </c>
      <c r="S9848" s="10">
        <v>0.028893910574201074</v>
      </c>
      <c r="T9848" s="10">
        <v>15.256909451944022</v>
      </c>
      <c r="U9848" s="11">
        <v>0.21105232490227108</v>
      </c>
      <c r="V9848" s="11">
        <v>8.720451785787674E-4</v>
      </c>
      <c r="W9848" s="11">
        <v>0.2550319095809304</v>
      </c>
      <c r="X9848" s="11">
        <v>0.1283048033633959</v>
      </c>
      <c r="Y9848" s="11">
        <v>0.2576298439890239</v>
      </c>
      <c r="Z9848" s="11">
        <v>0.14710907298580003</v>
      </c>
    </row>
    <row r="9849" ht="22.5" customHeight="1">
      <c r="Q9849" s="9" t="s">
        <v>9887</v>
      </c>
      <c r="R9849" s="10">
        <v>0.4698885896322748</v>
      </c>
      <c r="S9849" s="10">
        <v>0.028181711432019658</v>
      </c>
      <c r="T9849" s="10">
        <v>15.254169026223211</v>
      </c>
      <c r="U9849" s="11">
        <v>0.32504418607232616</v>
      </c>
      <c r="V9849" s="11">
        <v>0.006467026948540989</v>
      </c>
      <c r="W9849" s="11">
        <v>0.24325022570878693</v>
      </c>
      <c r="X9849" s="11">
        <v>0.028887813231934116</v>
      </c>
      <c r="Y9849" s="11">
        <v>0.32516993162687646</v>
      </c>
      <c r="Z9849" s="11">
        <v>0.07118081641153551</v>
      </c>
    </row>
    <row r="9850" ht="22.5" customHeight="1">
      <c r="Q9850" s="9" t="s">
        <v>9888</v>
      </c>
      <c r="R9850" s="10">
        <v>0.19192416923369712</v>
      </c>
      <c r="S9850" s="10">
        <v>0.009961127100135603</v>
      </c>
      <c r="T9850" s="10">
        <v>15.251704722413283</v>
      </c>
      <c r="U9850" s="11">
        <v>0.059682676148986015</v>
      </c>
      <c r="V9850" s="11">
        <v>0.012560399705439793</v>
      </c>
      <c r="W9850" s="11">
        <v>0.014184312917607595</v>
      </c>
      <c r="X9850" s="11">
        <v>0.23312229739519436</v>
      </c>
      <c r="Y9850" s="11">
        <v>0.39469313094530956</v>
      </c>
      <c r="Z9850" s="11">
        <v>0.28575718288746266</v>
      </c>
    </row>
    <row r="9851" ht="22.5" customHeight="1">
      <c r="Q9851" s="9" t="s">
        <v>9889</v>
      </c>
      <c r="R9851" s="10">
        <v>0.49940318917393284</v>
      </c>
      <c r="S9851" s="10">
        <v>0.030128665173125853</v>
      </c>
      <c r="T9851" s="10">
        <v>15.24804323504219</v>
      </c>
      <c r="U9851" s="11">
        <v>0.3131275551140208</v>
      </c>
      <c r="V9851" s="11">
        <v>0.016865206285087444</v>
      </c>
      <c r="W9851" s="11">
        <v>0.26772341403427347</v>
      </c>
      <c r="X9851" s="11">
        <v>0.01624961424893398</v>
      </c>
      <c r="Y9851" s="11">
        <v>0.17062292563686698</v>
      </c>
      <c r="Z9851" s="11">
        <v>0.21541128468081733</v>
      </c>
    </row>
    <row r="9852" ht="22.5" customHeight="1">
      <c r="Q9852" s="9" t="s">
        <v>9890</v>
      </c>
      <c r="R9852" s="10">
        <v>0.522331348251574</v>
      </c>
      <c r="S9852" s="10">
        <v>0.030071019637718632</v>
      </c>
      <c r="T9852" s="10">
        <v>15.246718750151675</v>
      </c>
      <c r="U9852" s="11">
        <v>0.3021282596294459</v>
      </c>
      <c r="V9852" s="11">
        <v>0.00674762927742135</v>
      </c>
      <c r="W9852" s="11">
        <v>0.26888601054369343</v>
      </c>
      <c r="X9852" s="11">
        <v>0.1174897637077962</v>
      </c>
      <c r="Y9852" s="11">
        <v>0.1138673902724148</v>
      </c>
      <c r="Z9852" s="11">
        <v>0.19088094656922827</v>
      </c>
    </row>
    <row r="9853" ht="22.5" customHeight="1">
      <c r="Q9853" s="9" t="s">
        <v>9891</v>
      </c>
      <c r="R9853" s="10">
        <v>0.5618768161509741</v>
      </c>
      <c r="S9853" s="10">
        <v>0.03423047715678254</v>
      </c>
      <c r="T9853" s="10">
        <v>15.245969659162862</v>
      </c>
      <c r="U9853" s="11">
        <v>0.1967394381956293</v>
      </c>
      <c r="V9853" s="11">
        <v>0.02851999133070643</v>
      </c>
      <c r="W9853" s="11">
        <v>0.30897234093086323</v>
      </c>
      <c r="X9853" s="11">
        <v>0.023585757646185774</v>
      </c>
      <c r="Y9853" s="11">
        <v>0.1415200820497877</v>
      </c>
      <c r="Z9853" s="11">
        <v>0.3006623898468276</v>
      </c>
    </row>
    <row r="9854" ht="22.5" customHeight="1">
      <c r="Q9854" s="9" t="s">
        <v>9892</v>
      </c>
      <c r="R9854" s="10">
        <v>0.429212456487129</v>
      </c>
      <c r="S9854" s="10">
        <v>0.02553814352784532</v>
      </c>
      <c r="T9854" s="10">
        <v>15.240436567472269</v>
      </c>
      <c r="U9854" s="11">
        <v>0.27021095467662914</v>
      </c>
      <c r="V9854" s="11">
        <v>0.00884573383084113</v>
      </c>
      <c r="W9854" s="11">
        <v>0.2226710411350834</v>
      </c>
      <c r="X9854" s="11">
        <v>0.024923036359969744</v>
      </c>
      <c r="Y9854" s="11">
        <v>0.21095773452315733</v>
      </c>
      <c r="Z9854" s="11">
        <v>0.26239149947431933</v>
      </c>
    </row>
    <row r="9855" ht="22.5" customHeight="1">
      <c r="Q9855" s="9" t="s">
        <v>9893</v>
      </c>
      <c r="R9855" s="10">
        <v>0.6730854292107612</v>
      </c>
      <c r="S9855" s="10">
        <v>0.041551998431382804</v>
      </c>
      <c r="T9855" s="10">
        <v>15.235980292409074</v>
      </c>
      <c r="U9855" s="11">
        <v>0.03029431025685878</v>
      </c>
      <c r="V9855" s="11">
        <v>0.039965551536784966</v>
      </c>
      <c r="W9855" s="11">
        <v>0.37526026129147516</v>
      </c>
      <c r="X9855" s="11">
        <v>0.026580228651484673</v>
      </c>
      <c r="Y9855" s="11">
        <v>0.30869753665467675</v>
      </c>
      <c r="Z9855" s="11">
        <v>0.2192021116087198</v>
      </c>
    </row>
    <row r="9856" ht="22.5" customHeight="1">
      <c r="Q9856" s="9" t="s">
        <v>9894</v>
      </c>
      <c r="R9856" s="10">
        <v>0.3820864282066444</v>
      </c>
      <c r="S9856" s="10">
        <v>0.02245308444967391</v>
      </c>
      <c r="T9856" s="10">
        <v>15.235609565064125</v>
      </c>
      <c r="U9856" s="11">
        <v>0.18810723548677585</v>
      </c>
      <c r="V9856" s="11">
        <v>2.6293917461872367E-5</v>
      </c>
      <c r="W9856" s="11">
        <v>0.1905447791023752</v>
      </c>
      <c r="X9856" s="11">
        <v>0.06454199513063066</v>
      </c>
      <c r="Y9856" s="11">
        <v>0.29078879191095386</v>
      </c>
      <c r="Z9856" s="11">
        <v>0.26599090445180246</v>
      </c>
    </row>
    <row r="9857" ht="22.5" customHeight="1">
      <c r="Q9857" s="9" t="s">
        <v>9895</v>
      </c>
      <c r="R9857" s="10">
        <v>0.696389696037304</v>
      </c>
      <c r="S9857" s="10">
        <v>0.04309243733715165</v>
      </c>
      <c r="T9857" s="10">
        <v>15.232132053746822</v>
      </c>
      <c r="U9857" s="11">
        <v>0.13228640360818672</v>
      </c>
      <c r="V9857" s="11">
        <v>0.04339575696894816</v>
      </c>
      <c r="W9857" s="11">
        <v>0.3908222955950589</v>
      </c>
      <c r="X9857" s="11">
        <v>0.00649333449510556</v>
      </c>
      <c r="Y9857" s="11">
        <v>0.24233677785954333</v>
      </c>
      <c r="Z9857" s="11">
        <v>0.18466543147315734</v>
      </c>
    </row>
    <row r="9858" ht="22.5" customHeight="1">
      <c r="Q9858" s="9" t="s">
        <v>9896</v>
      </c>
      <c r="R9858" s="10">
        <v>0.6692046785923655</v>
      </c>
      <c r="S9858" s="10">
        <v>0.041327548271214</v>
      </c>
      <c r="T9858" s="10">
        <v>15.224824721350027</v>
      </c>
      <c r="U9858" s="11">
        <v>0.11605133919426706</v>
      </c>
      <c r="V9858" s="11">
        <v>0.01955594989655847</v>
      </c>
      <c r="W9858" s="11">
        <v>0.3773827696863509</v>
      </c>
      <c r="X9858" s="11">
        <v>0.2660087513219938</v>
      </c>
      <c r="Y9858" s="11">
        <v>0.032456667622309684</v>
      </c>
      <c r="Z9858" s="11">
        <v>0.18854452227852014</v>
      </c>
    </row>
    <row r="9859" ht="22.5" customHeight="1">
      <c r="Q9859" s="9" t="s">
        <v>9897</v>
      </c>
      <c r="R9859" s="10">
        <v>0.5318248572863344</v>
      </c>
      <c r="S9859" s="10">
        <v>0.03232999407930249</v>
      </c>
      <c r="T9859" s="10">
        <v>15.212649160402984</v>
      </c>
      <c r="U9859" s="11">
        <v>0.3779473823538906</v>
      </c>
      <c r="V9859" s="11">
        <v>0.017940019964377826</v>
      </c>
      <c r="W9859" s="11">
        <v>0.2892322029544241</v>
      </c>
      <c r="X9859" s="11">
        <v>0.03465855965110218</v>
      </c>
      <c r="Y9859" s="11">
        <v>0.10581764951021737</v>
      </c>
      <c r="Z9859" s="11">
        <v>0.1744041855659881</v>
      </c>
    </row>
    <row r="9860" ht="22.5" customHeight="1">
      <c r="Q9860" s="9" t="s">
        <v>9898</v>
      </c>
      <c r="R9860" s="10">
        <v>0.530135466989287</v>
      </c>
      <c r="S9860" s="10">
        <v>0.03223827280836859</v>
      </c>
      <c r="T9860" s="10">
        <v>15.203527493633434</v>
      </c>
      <c r="U9860" s="11">
        <v>0.26311692759639066</v>
      </c>
      <c r="V9860" s="11">
        <v>0.0015079065674269438</v>
      </c>
      <c r="W9860" s="11">
        <v>0.2897770167988501</v>
      </c>
      <c r="X9860" s="11">
        <v>0.1933421503115069</v>
      </c>
      <c r="Y9860" s="11">
        <v>0.11246754602040025</v>
      </c>
      <c r="Z9860" s="11">
        <v>0.13978845270542514</v>
      </c>
    </row>
    <row r="9861" ht="22.5" customHeight="1">
      <c r="Q9861" s="9" t="s">
        <v>9899</v>
      </c>
      <c r="R9861" s="10">
        <v>0.5271079860274359</v>
      </c>
      <c r="S9861" s="10">
        <v>0.03204274721062756</v>
      </c>
      <c r="T9861" s="10">
        <v>15.201817210787647</v>
      </c>
      <c r="U9861" s="11">
        <v>0.1537609431426065</v>
      </c>
      <c r="V9861" s="11">
        <v>0.011063350314025574</v>
      </c>
      <c r="W9861" s="11">
        <v>0.2883669181074607</v>
      </c>
      <c r="X9861" s="11">
        <v>0.1214421933874217</v>
      </c>
      <c r="Y9861" s="11">
        <v>0.17673927328014122</v>
      </c>
      <c r="Z9861" s="11">
        <v>0.2486273217683442</v>
      </c>
    </row>
    <row r="9862" ht="22.5" customHeight="1">
      <c r="Q9862" s="9" t="s">
        <v>9900</v>
      </c>
      <c r="R9862" s="10">
        <v>0.5819360037653465</v>
      </c>
      <c r="S9862" s="10">
        <v>0.035654801764090964</v>
      </c>
      <c r="T9862" s="10">
        <v>15.199523681299686</v>
      </c>
      <c r="U9862" s="11">
        <v>0.23511673611550304</v>
      </c>
      <c r="V9862" s="11">
        <v>0.008434724199362361</v>
      </c>
      <c r="W9862" s="11">
        <v>0.3220588456812612</v>
      </c>
      <c r="X9862" s="11">
        <v>0.16857752964369108</v>
      </c>
      <c r="Y9862" s="11">
        <v>0.15926992318079478</v>
      </c>
      <c r="Z9862" s="11">
        <v>0.10654224117938751</v>
      </c>
    </row>
    <row r="9863" ht="22.5" customHeight="1">
      <c r="Q9863" s="9" t="s">
        <v>9901</v>
      </c>
      <c r="R9863" s="10">
        <v>0.6974412692452918</v>
      </c>
      <c r="S9863" s="10">
        <v>0.043285439071675376</v>
      </c>
      <c r="T9863" s="10">
        <v>15.18850873053753</v>
      </c>
      <c r="U9863" s="11">
        <v>0.004599732018888577</v>
      </c>
      <c r="V9863" s="11">
        <v>0.033501965966657055</v>
      </c>
      <c r="W9863" s="11">
        <v>0.3957860295374205</v>
      </c>
      <c r="X9863" s="11">
        <v>0.17717252042361778</v>
      </c>
      <c r="Y9863" s="11">
        <v>0.1101066982995441</v>
      </c>
      <c r="Z9863" s="11">
        <v>0.278833053753872</v>
      </c>
    </row>
    <row r="9864" ht="22.5" customHeight="1">
      <c r="Q9864" s="9" t="s">
        <v>9902</v>
      </c>
      <c r="R9864" s="10">
        <v>0.3062355699654825</v>
      </c>
      <c r="S9864" s="10">
        <v>0.01755690422921597</v>
      </c>
      <c r="T9864" s="10">
        <v>15.164152318063403</v>
      </c>
      <c r="U9864" s="11">
        <v>0.1314351219182029</v>
      </c>
      <c r="V9864" s="11">
        <v>0.002476427833451266</v>
      </c>
      <c r="W9864" s="11">
        <v>0.13111908655703472</v>
      </c>
      <c r="X9864" s="11">
        <v>0.022884041404321057</v>
      </c>
      <c r="Y9864" s="11">
        <v>0.42251678554532035</v>
      </c>
      <c r="Z9864" s="11">
        <v>0.2895685367416697</v>
      </c>
    </row>
    <row r="9865" ht="22.5" customHeight="1">
      <c r="Q9865" s="9" t="s">
        <v>9903</v>
      </c>
      <c r="R9865" s="10">
        <v>0.6087896848305571</v>
      </c>
      <c r="S9865" s="10">
        <v>0.037514370803591636</v>
      </c>
      <c r="T9865" s="10">
        <v>15.161914558249794</v>
      </c>
      <c r="U9865" s="11">
        <v>0.26719901009579294</v>
      </c>
      <c r="V9865" s="11">
        <v>0.023158394598057973</v>
      </c>
      <c r="W9865" s="11">
        <v>0.33867829257545534</v>
      </c>
      <c r="X9865" s="11">
        <v>0.042432283160724275</v>
      </c>
      <c r="Y9865" s="11">
        <v>0.19780073406022675</v>
      </c>
      <c r="Z9865" s="11">
        <v>0.13073128550974267</v>
      </c>
    </row>
    <row r="9866" ht="22.5" customHeight="1">
      <c r="Q9866" s="9" t="s">
        <v>9904</v>
      </c>
      <c r="R9866" s="10">
        <v>0.676914214472741</v>
      </c>
      <c r="S9866" s="10">
        <v>0.04200936080396759</v>
      </c>
      <c r="T9866" s="10">
        <v>15.161245072136099</v>
      </c>
      <c r="U9866" s="11">
        <v>0.10323832150579453</v>
      </c>
      <c r="V9866" s="11">
        <v>0.025926912073781762</v>
      </c>
      <c r="W9866" s="11">
        <v>0.3814485325231761</v>
      </c>
      <c r="X9866" s="11">
        <v>0.11661387940633422</v>
      </c>
      <c r="Y9866" s="11">
        <v>0.2454170433018079</v>
      </c>
      <c r="Z9866" s="11">
        <v>0.1273553111891053</v>
      </c>
    </row>
    <row r="9867" ht="22.5" customHeight="1">
      <c r="Q9867" s="9" t="s">
        <v>9905</v>
      </c>
      <c r="R9867" s="10">
        <v>0.5437643024158207</v>
      </c>
      <c r="S9867" s="10">
        <v>0.03328185012537681</v>
      </c>
      <c r="T9867" s="10">
        <v>15.136307041768378</v>
      </c>
      <c r="U9867" s="11">
        <v>0.1453822806764833</v>
      </c>
      <c r="V9867" s="11">
        <v>0.01143442214599285</v>
      </c>
      <c r="W9867" s="11">
        <v>0.3001627480337167</v>
      </c>
      <c r="X9867" s="11">
        <v>0.12168205378895906</v>
      </c>
      <c r="Y9867" s="11">
        <v>0.18362347234659607</v>
      </c>
      <c r="Z9867" s="11">
        <v>0.23771502300825215</v>
      </c>
    </row>
    <row r="9868" ht="22.5" customHeight="1">
      <c r="Q9868" s="9" t="s">
        <v>9906</v>
      </c>
      <c r="R9868" s="10">
        <v>0.7429261829326954</v>
      </c>
      <c r="S9868" s="10">
        <v>0.04645656383200302</v>
      </c>
      <c r="T9868" s="10">
        <v>15.130825979179786</v>
      </c>
      <c r="U9868" s="11">
        <v>0.17103229877621418</v>
      </c>
      <c r="V9868" s="11">
        <v>0.012924184293820074</v>
      </c>
      <c r="W9868" s="11">
        <v>0.42398420924116614</v>
      </c>
      <c r="X9868" s="11">
        <v>0.36406347190641286</v>
      </c>
      <c r="Y9868" s="11">
        <v>0.012697998805313413</v>
      </c>
      <c r="Z9868" s="11">
        <v>0.015297836977073416</v>
      </c>
    </row>
    <row r="9869" ht="22.5" customHeight="1">
      <c r="Q9869" s="9" t="s">
        <v>9907</v>
      </c>
      <c r="R9869" s="10">
        <v>0.4886672598345792</v>
      </c>
      <c r="S9869" s="10">
        <v>0.029665017244332164</v>
      </c>
      <c r="T9869" s="10">
        <v>15.124456397216562</v>
      </c>
      <c r="U9869" s="11">
        <v>0.21579162076458588</v>
      </c>
      <c r="V9869" s="11">
        <v>0.0035716697249581473</v>
      </c>
      <c r="W9869" s="11">
        <v>0.2642549860284932</v>
      </c>
      <c r="X9869" s="11">
        <v>0.10839066685307018</v>
      </c>
      <c r="Y9869" s="11">
        <v>0.20461005093306955</v>
      </c>
      <c r="Z9869" s="11">
        <v>0.20338100569582296</v>
      </c>
    </row>
    <row r="9870" ht="22.5" customHeight="1">
      <c r="Q9870" s="9" t="s">
        <v>9908</v>
      </c>
      <c r="R9870" s="10">
        <v>0.5445546233455534</v>
      </c>
      <c r="S9870" s="10">
        <v>0.03337046857858747</v>
      </c>
      <c r="T9870" s="10">
        <v>15.119794382189358</v>
      </c>
      <c r="U9870" s="11">
        <v>0.17646985254859848</v>
      </c>
      <c r="V9870" s="11">
        <v>9.949244244986933E-4</v>
      </c>
      <c r="W9870" s="11">
        <v>0.2990422238371207</v>
      </c>
      <c r="X9870" s="11">
        <v>0.1780883292906294</v>
      </c>
      <c r="Y9870" s="11">
        <v>0.23047558267068485</v>
      </c>
      <c r="Z9870" s="11">
        <v>0.11492908722846783</v>
      </c>
    </row>
    <row r="9871" ht="22.5" customHeight="1">
      <c r="Q9871" s="9" t="s">
        <v>9909</v>
      </c>
      <c r="R9871" s="10">
        <v>0.5711830637098624</v>
      </c>
      <c r="S9871" s="10">
        <v>0.03513607389562103</v>
      </c>
      <c r="T9871" s="10">
        <v>15.11788326970883</v>
      </c>
      <c r="U9871" s="11">
        <v>0.23705047661443712</v>
      </c>
      <c r="V9871" s="11">
        <v>0.013017885360752216</v>
      </c>
      <c r="W9871" s="11">
        <v>0.3134132523120564</v>
      </c>
      <c r="X9871" s="11">
        <v>0.05787706019879344</v>
      </c>
      <c r="Y9871" s="11">
        <v>0.3041793905479508</v>
      </c>
      <c r="Z9871" s="11">
        <v>0.07446193496600984</v>
      </c>
    </row>
    <row r="9872" ht="22.5" customHeight="1">
      <c r="Q9872" s="9" t="s">
        <v>9910</v>
      </c>
      <c r="R9872" s="10">
        <v>0.7278531007367919</v>
      </c>
      <c r="S9872" s="10">
        <v>0.04550497221572103</v>
      </c>
      <c r="T9872" s="10">
        <v>15.115998697372081</v>
      </c>
      <c r="U9872" s="11">
        <v>0.13163647461266037</v>
      </c>
      <c r="V9872" s="11">
        <v>0.028823980416235174</v>
      </c>
      <c r="W9872" s="11">
        <v>0.41248379027413345</v>
      </c>
      <c r="X9872" s="11">
        <v>0.09845284001648404</v>
      </c>
      <c r="Y9872" s="11">
        <v>0.3044290002111226</v>
      </c>
      <c r="Z9872" s="11">
        <v>0.024173914469364254</v>
      </c>
    </row>
    <row r="9873" ht="22.5" customHeight="1">
      <c r="Q9873" s="9" t="s">
        <v>9911</v>
      </c>
      <c r="R9873" s="10">
        <v>0.4137194735244222</v>
      </c>
      <c r="S9873" s="10">
        <v>0.024727987718947818</v>
      </c>
      <c r="T9873" s="10">
        <v>15.113218179013398</v>
      </c>
      <c r="U9873" s="11">
        <v>0.020518693163660683</v>
      </c>
      <c r="V9873" s="11">
        <v>0.009481349267931798</v>
      </c>
      <c r="W9873" s="11">
        <v>0.19133653877204207</v>
      </c>
      <c r="X9873" s="11">
        <v>0.034281078672031395</v>
      </c>
      <c r="Y9873" s="11">
        <v>0.6422434128165512</v>
      </c>
      <c r="Z9873" s="11">
        <v>0.10213892730778285</v>
      </c>
    </row>
    <row r="9874" ht="22.5" customHeight="1">
      <c r="Q9874" s="9" t="s">
        <v>9912</v>
      </c>
      <c r="R9874" s="10">
        <v>0.6037829055665404</v>
      </c>
      <c r="S9874" s="10">
        <v>0.037305577000613786</v>
      </c>
      <c r="T9874" s="10">
        <v>15.11256361367268</v>
      </c>
      <c r="U9874" s="11">
        <v>0.35934327473911326</v>
      </c>
      <c r="V9874" s="11">
        <v>0.018244146648601283</v>
      </c>
      <c r="W9874" s="11">
        <v>0.33790506261029524</v>
      </c>
      <c r="X9874" s="11">
        <v>0.09028414621393194</v>
      </c>
      <c r="Y9874" s="11">
        <v>0.07268644812781956</v>
      </c>
      <c r="Z9874" s="11">
        <v>0.12153692166023877</v>
      </c>
    </row>
    <row r="9875" ht="22.5" customHeight="1">
      <c r="Q9875" s="9" t="s">
        <v>9913</v>
      </c>
      <c r="R9875" s="10">
        <v>0.5537899792119169</v>
      </c>
      <c r="S9875" s="10">
        <v>0.03399964958389471</v>
      </c>
      <c r="T9875" s="10">
        <v>15.111625722616093</v>
      </c>
      <c r="U9875" s="11">
        <v>0.06073339950518482</v>
      </c>
      <c r="V9875" s="11">
        <v>0.013577418702793508</v>
      </c>
      <c r="W9875" s="11">
        <v>0.30789512765345806</v>
      </c>
      <c r="X9875" s="11">
        <v>0.1554233228444314</v>
      </c>
      <c r="Y9875" s="11">
        <v>0.14935870086217443</v>
      </c>
      <c r="Z9875" s="11">
        <v>0.31301203043195774</v>
      </c>
    </row>
    <row r="9876" ht="22.5" customHeight="1">
      <c r="Q9876" s="9" t="s">
        <v>9914</v>
      </c>
      <c r="R9876" s="10">
        <v>0.5619848495221268</v>
      </c>
      <c r="S9876" s="10">
        <v>0.034546533050374126</v>
      </c>
      <c r="T9876" s="10">
        <v>15.10961602893677</v>
      </c>
      <c r="U9876" s="11">
        <v>0.06791432689819436</v>
      </c>
      <c r="V9876" s="11">
        <v>0.01105259756220136</v>
      </c>
      <c r="W9876" s="11">
        <v>0.30830773112642396</v>
      </c>
      <c r="X9876" s="11">
        <v>0.11182173559458514</v>
      </c>
      <c r="Y9876" s="11">
        <v>0.336624401186016</v>
      </c>
      <c r="Z9876" s="11">
        <v>0.16427920763257908</v>
      </c>
    </row>
    <row r="9877" ht="22.5" customHeight="1">
      <c r="Q9877" s="9" t="s">
        <v>9915</v>
      </c>
      <c r="R9877" s="10">
        <v>0.6120523855950525</v>
      </c>
      <c r="S9877" s="10">
        <v>0.03787822878559699</v>
      </c>
      <c r="T9877" s="10">
        <v>15.102405892130113</v>
      </c>
      <c r="U9877" s="11">
        <v>0.03250886056792731</v>
      </c>
      <c r="V9877" s="11">
        <v>0.011115056434957646</v>
      </c>
      <c r="W9877" s="11">
        <v>0.3415206943263523</v>
      </c>
      <c r="X9877" s="11">
        <v>0.18339128163730428</v>
      </c>
      <c r="Y9877" s="11">
        <v>0.2812937077673216</v>
      </c>
      <c r="Z9877" s="11">
        <v>0.1501703992661369</v>
      </c>
    </row>
    <row r="9878" ht="22.5" customHeight="1">
      <c r="Q9878" s="9" t="s">
        <v>9916</v>
      </c>
      <c r="R9878" s="10">
        <v>0.608158490630531</v>
      </c>
      <c r="S9878" s="10">
        <v>0.03762822217535302</v>
      </c>
      <c r="T9878" s="10">
        <v>15.09926480137247</v>
      </c>
      <c r="U9878" s="11">
        <v>0.16769349840947823</v>
      </c>
      <c r="V9878" s="11">
        <v>0.026299244985621136</v>
      </c>
      <c r="W9878" s="11">
        <v>0.33765040958821696</v>
      </c>
      <c r="X9878" s="11">
        <v>0.0021387950042027256</v>
      </c>
      <c r="Y9878" s="11">
        <v>0.3078955095329535</v>
      </c>
      <c r="Z9878" s="11">
        <v>0.15832254247952743</v>
      </c>
    </row>
    <row r="9879" ht="22.5" customHeight="1">
      <c r="Q9879" s="9" t="s">
        <v>9917</v>
      </c>
      <c r="R9879" s="10">
        <v>0.45613948089942496</v>
      </c>
      <c r="S9879" s="10">
        <v>0.02756133714801167</v>
      </c>
      <c r="T9879" s="10">
        <v>15.098668060429938</v>
      </c>
      <c r="U9879" s="11">
        <v>0.25633756577945943</v>
      </c>
      <c r="V9879" s="11">
        <v>0.011588645928689113</v>
      </c>
      <c r="W9879" s="11">
        <v>0.24323457902294965</v>
      </c>
      <c r="X9879" s="11">
        <v>0.013745207993203161</v>
      </c>
      <c r="Y9879" s="11">
        <v>0.1923178930743973</v>
      </c>
      <c r="Z9879" s="11">
        <v>0.28277610820130145</v>
      </c>
    </row>
    <row r="9880" ht="22.5" customHeight="1">
      <c r="Q9880" s="9" t="s">
        <v>9918</v>
      </c>
      <c r="R9880" s="10">
        <v>0.515714475251804</v>
      </c>
      <c r="S9880" s="10">
        <v>0.03151803423133949</v>
      </c>
      <c r="T9880" s="10">
        <v>15.093405628031979</v>
      </c>
      <c r="U9880" s="11">
        <v>0.2922286976429893</v>
      </c>
      <c r="V9880" s="11">
        <v>0.006160993444966728</v>
      </c>
      <c r="W9880" s="11">
        <v>0.27992413348692763</v>
      </c>
      <c r="X9880" s="11">
        <v>0.06832337322507835</v>
      </c>
      <c r="Y9880" s="11">
        <v>0.24193913428038427</v>
      </c>
      <c r="Z9880" s="11">
        <v>0.11142366791965382</v>
      </c>
    </row>
    <row r="9881" ht="22.5" customHeight="1">
      <c r="Q9881" s="9" t="s">
        <v>9919</v>
      </c>
      <c r="R9881" s="10">
        <v>0.8652882600529317</v>
      </c>
      <c r="S9881" s="10">
        <v>0.05470079363667993</v>
      </c>
      <c r="T9881" s="10">
        <v>15.087317846509816</v>
      </c>
      <c r="U9881" s="11">
        <v>0.05697544675126639</v>
      </c>
      <c r="V9881" s="11">
        <v>0.04172735295269186</v>
      </c>
      <c r="W9881" s="11">
        <v>0.5027297998085117</v>
      </c>
      <c r="X9881" s="11">
        <v>0.2618874432127015</v>
      </c>
      <c r="Y9881" s="11">
        <v>0.02620305859587515</v>
      </c>
      <c r="Z9881" s="11">
        <v>0.11047689867895327</v>
      </c>
    </row>
    <row r="9882" ht="22.5" customHeight="1">
      <c r="Q9882" s="9" t="s">
        <v>9920</v>
      </c>
      <c r="R9882" s="10">
        <v>0.6923471618825146</v>
      </c>
      <c r="S9882" s="10">
        <v>0.04325155883208494</v>
      </c>
      <c r="T9882" s="10">
        <v>15.082627759501452</v>
      </c>
      <c r="U9882" s="11">
        <v>0.15403508143745165</v>
      </c>
      <c r="V9882" s="11">
        <v>0.018742368175551912</v>
      </c>
      <c r="W9882" s="11">
        <v>0.39142605352401316</v>
      </c>
      <c r="X9882" s="11">
        <v>0.13709783059473768</v>
      </c>
      <c r="Y9882" s="11">
        <v>0.2922626722102221</v>
      </c>
      <c r="Z9882" s="11">
        <v>0.006435994058023394</v>
      </c>
    </row>
    <row r="9883" ht="22.5" customHeight="1">
      <c r="Q9883" s="9" t="s">
        <v>9921</v>
      </c>
      <c r="R9883" s="10">
        <v>0.6637357958586819</v>
      </c>
      <c r="S9883" s="10">
        <v>0.04136030887096489</v>
      </c>
      <c r="T9883" s="10">
        <v>15.080540085051132</v>
      </c>
      <c r="U9883" s="11">
        <v>0.322569006484358</v>
      </c>
      <c r="V9883" s="11">
        <v>0.019090306032649364</v>
      </c>
      <c r="W9883" s="11">
        <v>0.376955212331947</v>
      </c>
      <c r="X9883" s="11">
        <v>0.14782475216750907</v>
      </c>
      <c r="Y9883" s="11">
        <v>0.052454214850485306</v>
      </c>
      <c r="Z9883" s="11">
        <v>0.08110650813305127</v>
      </c>
    </row>
    <row r="9884" ht="22.5" customHeight="1">
      <c r="Q9884" s="9" t="s">
        <v>9922</v>
      </c>
      <c r="R9884" s="10">
        <v>0.6029491517776795</v>
      </c>
      <c r="S9884" s="10">
        <v>0.037335813837110245</v>
      </c>
      <c r="T9884" s="10">
        <v>15.077993323882803</v>
      </c>
      <c r="U9884" s="11">
        <v>0.21418885939474255</v>
      </c>
      <c r="V9884" s="11">
        <v>0.013470897216812851</v>
      </c>
      <c r="W9884" s="11">
        <v>0.33963962426404</v>
      </c>
      <c r="X9884" s="11">
        <v>0.16037886656272324</v>
      </c>
      <c r="Y9884" s="11">
        <v>0.08880648210513539</v>
      </c>
      <c r="Z9884" s="11">
        <v>0.18351527045654603</v>
      </c>
    </row>
    <row r="9885" ht="22.5" customHeight="1">
      <c r="Q9885" s="9" t="s">
        <v>9923</v>
      </c>
      <c r="R9885" s="10">
        <v>0.6446967855516963</v>
      </c>
      <c r="S9885" s="10">
        <v>0.04010888602911092</v>
      </c>
      <c r="T9885" s="10">
        <v>15.076379461469188</v>
      </c>
      <c r="U9885" s="11">
        <v>0.32508861884942486</v>
      </c>
      <c r="V9885" s="11">
        <v>0.011123521198551763</v>
      </c>
      <c r="W9885" s="11">
        <v>0.3645065990483599</v>
      </c>
      <c r="X9885" s="11">
        <v>0.18313460641644708</v>
      </c>
      <c r="Y9885" s="11">
        <v>0.07885624603162689</v>
      </c>
      <c r="Z9885" s="11">
        <v>0.03729040845558944</v>
      </c>
    </row>
    <row r="9886" ht="22.5" customHeight="1">
      <c r="Q9886" s="9" t="s">
        <v>9924</v>
      </c>
      <c r="R9886" s="10">
        <v>0.662077972323827</v>
      </c>
      <c r="S9886" s="10">
        <v>0.04127514434037432</v>
      </c>
      <c r="T9886" s="10">
        <v>15.07149114231748</v>
      </c>
      <c r="U9886" s="11">
        <v>0.1761154951076672</v>
      </c>
      <c r="V9886" s="11">
        <v>0.033304899878344695</v>
      </c>
      <c r="W9886" s="11">
        <v>0.37680142599756183</v>
      </c>
      <c r="X9886" s="11">
        <v>0.06056090632593604</v>
      </c>
      <c r="Y9886" s="11">
        <v>0.10213757686444894</v>
      </c>
      <c r="Z9886" s="11">
        <v>0.2510796958260412</v>
      </c>
    </row>
    <row r="9887" ht="22.5" customHeight="1">
      <c r="Q9887" s="9" t="s">
        <v>9925</v>
      </c>
      <c r="R9887" s="10">
        <v>0.5321145676892957</v>
      </c>
      <c r="S9887" s="10">
        <v>0.032676543417488484</v>
      </c>
      <c r="T9887" s="10">
        <v>15.060178226376172</v>
      </c>
      <c r="U9887" s="11">
        <v>0.4685652199616685</v>
      </c>
      <c r="V9887" s="11">
        <v>0.015908127118809044</v>
      </c>
      <c r="W9887" s="11">
        <v>0.29074356225265685</v>
      </c>
      <c r="X9887" s="11">
        <v>0.009541238614101038</v>
      </c>
      <c r="Y9887" s="11">
        <v>0.09581435126144809</v>
      </c>
      <c r="Z9887" s="11">
        <v>0.11942750079131649</v>
      </c>
    </row>
    <row r="9888" ht="22.5" customHeight="1">
      <c r="Q9888" s="9" t="s">
        <v>9926</v>
      </c>
      <c r="R9888" s="10">
        <v>0.7104221978302432</v>
      </c>
      <c r="S9888" s="10">
        <v>0.04452251632820501</v>
      </c>
      <c r="T9888" s="10">
        <v>15.058048221895552</v>
      </c>
      <c r="U9888" s="11">
        <v>0.3779959403346486</v>
      </c>
      <c r="V9888" s="11">
        <v>0.02903556613779882</v>
      </c>
      <c r="W9888" s="11">
        <v>0.4060915652261235</v>
      </c>
      <c r="X9888" s="11">
        <v>0.08944417909568483</v>
      </c>
      <c r="Y9888" s="11">
        <v>0.04695555097138022</v>
      </c>
      <c r="Z9888" s="11">
        <v>0.05047719823436388</v>
      </c>
    </row>
    <row r="9889" ht="22.5" customHeight="1">
      <c r="Q9889" s="9" t="s">
        <v>9927</v>
      </c>
      <c r="R9889" s="10">
        <v>0.5986898627525311</v>
      </c>
      <c r="S9889" s="10">
        <v>0.03712077061680531</v>
      </c>
      <c r="T9889" s="10">
        <v>15.050599798151847</v>
      </c>
      <c r="U9889" s="11">
        <v>0.31711619592460116</v>
      </c>
      <c r="V9889" s="11">
        <v>0.020436834450536064</v>
      </c>
      <c r="W9889" s="11">
        <v>0.335422878490323</v>
      </c>
      <c r="X9889" s="11">
        <v>0.03811024509407968</v>
      </c>
      <c r="Y9889" s="11">
        <v>0.1505339176722991</v>
      </c>
      <c r="Z9889" s="11">
        <v>0.13837992836816101</v>
      </c>
    </row>
    <row r="9890" ht="22.5" customHeight="1">
      <c r="Q9890" s="9" t="s">
        <v>9928</v>
      </c>
      <c r="R9890" s="10">
        <v>0.5044508889011675</v>
      </c>
      <c r="S9890" s="10">
        <v>0.030881042282712608</v>
      </c>
      <c r="T9890" s="10">
        <v>15.040000419971896</v>
      </c>
      <c r="U9890" s="11">
        <v>0.3504133028030955</v>
      </c>
      <c r="V9890" s="11">
        <v>0.014690012791879144</v>
      </c>
      <c r="W9890" s="11">
        <v>0.2749410694712727</v>
      </c>
      <c r="X9890" s="11">
        <v>0.005316641407471698</v>
      </c>
      <c r="Y9890" s="11">
        <v>0.14628334691378475</v>
      </c>
      <c r="Z9890" s="11">
        <v>0.20835562661249624</v>
      </c>
    </row>
    <row r="9891" ht="22.5" customHeight="1">
      <c r="Q9891" s="9" t="s">
        <v>9929</v>
      </c>
      <c r="R9891" s="10">
        <v>0.610067461396172</v>
      </c>
      <c r="S9891" s="10">
        <v>0.0379046943744931</v>
      </c>
      <c r="T9891" s="10">
        <v>15.039494996687873</v>
      </c>
      <c r="U9891" s="11">
        <v>0.13552341446537336</v>
      </c>
      <c r="V9891" s="11">
        <v>0.012817705774576558</v>
      </c>
      <c r="W9891" s="11">
        <v>0.34538382510201004</v>
      </c>
      <c r="X9891" s="11">
        <v>0.19465992088142214</v>
      </c>
      <c r="Y9891" s="11">
        <v>0.08711403017821054</v>
      </c>
      <c r="Z9891" s="11">
        <v>0.22450110359840744</v>
      </c>
    </row>
    <row r="9892" ht="22.5" customHeight="1">
      <c r="Q9892" s="9" t="s">
        <v>9930</v>
      </c>
      <c r="R9892" s="10">
        <v>0.5122071608766382</v>
      </c>
      <c r="S9892" s="10">
        <v>0.03142109875879034</v>
      </c>
      <c r="T9892" s="10">
        <v>15.028346541972342</v>
      </c>
      <c r="U9892" s="11">
        <v>0.34835249060427664</v>
      </c>
      <c r="V9892" s="11">
        <v>0.005434267424922568</v>
      </c>
      <c r="W9892" s="11">
        <v>0.2747522515828731</v>
      </c>
      <c r="X9892" s="11">
        <v>0.027117194351846043</v>
      </c>
      <c r="Y9892" s="11">
        <v>0.3212944281434092</v>
      </c>
      <c r="Z9892" s="11">
        <v>0.023049367892672593</v>
      </c>
    </row>
    <row r="9893" ht="22.5" customHeight="1">
      <c r="Q9893" s="9" t="s">
        <v>9931</v>
      </c>
      <c r="R9893" s="10">
        <v>0.5787785347169767</v>
      </c>
      <c r="S9893" s="10">
        <v>0.035860466194105926</v>
      </c>
      <c r="T9893" s="10">
        <v>15.024303694231701</v>
      </c>
      <c r="U9893" s="11">
        <v>0.02417429941759638</v>
      </c>
      <c r="V9893" s="11">
        <v>0.012144523416902182</v>
      </c>
      <c r="W9893" s="11">
        <v>0.3257491746738038</v>
      </c>
      <c r="X9893" s="11">
        <v>0.1992278190879892</v>
      </c>
      <c r="Y9893" s="11">
        <v>0.1245438562421698</v>
      </c>
      <c r="Z9893" s="11">
        <v>0.31416032716153863</v>
      </c>
    </row>
    <row r="9894" ht="22.5" customHeight="1">
      <c r="Q9894" s="9" t="s">
        <v>9932</v>
      </c>
      <c r="R9894" s="10">
        <v>0.7162946988137319</v>
      </c>
      <c r="S9894" s="10">
        <v>0.04502107863498724</v>
      </c>
      <c r="T9894" s="10">
        <v>15.021734692250638</v>
      </c>
      <c r="U9894" s="11">
        <v>0.2499686606076575</v>
      </c>
      <c r="V9894" s="11">
        <v>0.029828628156262516</v>
      </c>
      <c r="W9894" s="11">
        <v>0.41209648940775334</v>
      </c>
      <c r="X9894" s="11">
        <v>0.11193431150695807</v>
      </c>
      <c r="Y9894" s="11">
        <v>0.0666074640698402</v>
      </c>
      <c r="Z9894" s="11">
        <v>0.1295644462515283</v>
      </c>
    </row>
    <row r="9895" ht="22.5" customHeight="1">
      <c r="Q9895" s="9" t="s">
        <v>9933</v>
      </c>
      <c r="R9895" s="10">
        <v>0.7073663383476225</v>
      </c>
      <c r="S9895" s="10">
        <v>0.04442710802475261</v>
      </c>
      <c r="T9895" s="10">
        <v>15.021602080779118</v>
      </c>
      <c r="U9895" s="11">
        <v>0.07872197089914662</v>
      </c>
      <c r="V9895" s="11">
        <v>0.025246590438183496</v>
      </c>
      <c r="W9895" s="11">
        <v>0.4047296003927311</v>
      </c>
      <c r="X9895" s="11">
        <v>0.13172503838451144</v>
      </c>
      <c r="Y9895" s="11">
        <v>0.2340940439467253</v>
      </c>
      <c r="Z9895" s="11">
        <v>0.12548275593870184</v>
      </c>
    </row>
    <row r="9896" ht="22.5" customHeight="1">
      <c r="Q9896" s="9" t="s">
        <v>9934</v>
      </c>
      <c r="R9896" s="10">
        <v>0.2813843011024663</v>
      </c>
      <c r="S9896" s="10">
        <v>0.016073662325117522</v>
      </c>
      <c r="T9896" s="10">
        <v>15.017380371694566</v>
      </c>
      <c r="U9896" s="11">
        <v>0.25301645578161014</v>
      </c>
      <c r="V9896" s="11">
        <v>0.007591211542058793</v>
      </c>
      <c r="W9896" s="11">
        <v>0.1266053140686582</v>
      </c>
      <c r="X9896" s="11">
        <v>0.020708499915282865</v>
      </c>
      <c r="Y9896" s="11">
        <v>0.07460530253224239</v>
      </c>
      <c r="Z9896" s="11">
        <v>0.5174732161601476</v>
      </c>
    </row>
    <row r="9897" ht="22.5" customHeight="1">
      <c r="Q9897" s="9" t="s">
        <v>9935</v>
      </c>
      <c r="R9897" s="10">
        <v>0.3524092142937972</v>
      </c>
      <c r="S9897" s="10">
        <v>0.020823104050107594</v>
      </c>
      <c r="T9897" s="10">
        <v>15.003008847385699</v>
      </c>
      <c r="U9897" s="11">
        <v>0.19498089202122448</v>
      </c>
      <c r="V9897" s="11">
        <v>9.794218592357818E-4</v>
      </c>
      <c r="W9897" s="11">
        <v>0.17243870204610423</v>
      </c>
      <c r="X9897" s="11">
        <v>0.015523602545843264</v>
      </c>
      <c r="Y9897" s="11">
        <v>0.31032055009384657</v>
      </c>
      <c r="Z9897" s="11">
        <v>0.3057568314337456</v>
      </c>
    </row>
    <row r="9898" ht="22.5" customHeight="1">
      <c r="Q9898" s="9" t="s">
        <v>9936</v>
      </c>
      <c r="R9898" s="10">
        <v>0.516241591706562</v>
      </c>
      <c r="S9898" s="10">
        <v>0.031751537870609935</v>
      </c>
      <c r="T9898" s="10">
        <v>14.999008666833234</v>
      </c>
      <c r="U9898" s="11">
        <v>0.2959609476297627</v>
      </c>
      <c r="V9898" s="11">
        <v>0.005949106431981084</v>
      </c>
      <c r="W9898" s="11">
        <v>0.27767774472159396</v>
      </c>
      <c r="X9898" s="11">
        <v>0.02639940146091503</v>
      </c>
      <c r="Y9898" s="11">
        <v>0.3547364261074997</v>
      </c>
      <c r="Z9898" s="11">
        <v>0.03927637364824753</v>
      </c>
    </row>
    <row r="9899" ht="22.5" customHeight="1">
      <c r="Q9899" s="9" t="s">
        <v>9937</v>
      </c>
      <c r="R9899" s="10">
        <v>0.8204635150004123</v>
      </c>
      <c r="S9899" s="10">
        <v>0.052059153621243734</v>
      </c>
      <c r="T9899" s="10">
        <v>14.991859465842893</v>
      </c>
      <c r="U9899" s="11">
        <v>0.0034320017354645296</v>
      </c>
      <c r="V9899" s="11">
        <v>0.02974167306418163</v>
      </c>
      <c r="W9899" s="11">
        <v>0.47642476430019043</v>
      </c>
      <c r="X9899" s="11">
        <v>0.23600607838010235</v>
      </c>
      <c r="Y9899" s="11">
        <v>0.19346037179953784</v>
      </c>
      <c r="Z9899" s="11">
        <v>0.060935110720523135</v>
      </c>
    </row>
    <row r="9900" ht="22.5" customHeight="1">
      <c r="Q9900" s="9" t="s">
        <v>9938</v>
      </c>
      <c r="R9900" s="10">
        <v>0.5614321468751688</v>
      </c>
      <c r="S9900" s="10">
        <v>0.034840666973272844</v>
      </c>
      <c r="T9900" s="10">
        <v>14.966193020218947</v>
      </c>
      <c r="U9900" s="11">
        <v>0.11463575906401982</v>
      </c>
      <c r="V9900" s="11">
        <v>0.01132539616167725</v>
      </c>
      <c r="W9900" s="11">
        <v>0.31074985715774955</v>
      </c>
      <c r="X9900" s="11">
        <v>0.06565327377796215</v>
      </c>
      <c r="Y9900" s="11">
        <v>0.3434152872103617</v>
      </c>
      <c r="Z9900" s="11">
        <v>0.15422042662822943</v>
      </c>
    </row>
    <row r="9901" ht="22.5" customHeight="1">
      <c r="Q9901" s="9" t="s">
        <v>9939</v>
      </c>
      <c r="R9901" s="10">
        <v>0.6133179938584497</v>
      </c>
      <c r="S9901" s="10">
        <v>0.03831166517473778</v>
      </c>
      <c r="T9901" s="10">
        <v>14.964580402432837</v>
      </c>
      <c r="U9901" s="11">
        <v>0.4683488193561179</v>
      </c>
      <c r="V9901" s="11">
        <v>0.013996138229761677</v>
      </c>
      <c r="W9901" s="11">
        <v>0.3464838651255796</v>
      </c>
      <c r="X9901" s="11">
        <v>0.10632046548659117</v>
      </c>
      <c r="Y9901" s="11">
        <v>0.00212778191816322</v>
      </c>
      <c r="Z9901" s="11">
        <v>0.06272292988378642</v>
      </c>
    </row>
    <row r="9902" ht="22.5" customHeight="1">
      <c r="Q9902" s="9" t="s">
        <v>9940</v>
      </c>
      <c r="R9902" s="10">
        <v>0.7717778100872258</v>
      </c>
      <c r="S9902" s="10">
        <v>0.04890290661261704</v>
      </c>
      <c r="T9902" s="10">
        <v>14.963891939675129</v>
      </c>
      <c r="U9902" s="11">
        <v>0.3008861333405678</v>
      </c>
      <c r="V9902" s="11">
        <v>0.03383338771746797</v>
      </c>
      <c r="W9902" s="11">
        <v>0.4481904376245012</v>
      </c>
      <c r="X9902" s="11">
        <v>0.10376813779740526</v>
      </c>
      <c r="Y9902" s="11">
        <v>0.05138823271394518</v>
      </c>
      <c r="Z9902" s="11">
        <v>0.0619336708061125</v>
      </c>
    </row>
    <row r="9903" ht="22.5" customHeight="1">
      <c r="Q9903" s="9" t="s">
        <v>9941</v>
      </c>
      <c r="R9903" s="10">
        <v>0.522331348251574</v>
      </c>
      <c r="S9903" s="10">
        <v>0.0313540134985167</v>
      </c>
      <c r="T9903" s="10">
        <v>14.96086817383857</v>
      </c>
      <c r="U9903" s="11">
        <v>0.29409074393048984</v>
      </c>
      <c r="V9903" s="11">
        <v>0.0013746153046060759</v>
      </c>
      <c r="W9903" s="11">
        <v>0.28233100036943937</v>
      </c>
      <c r="X9903" s="11">
        <v>0.1821650526596368</v>
      </c>
      <c r="Y9903" s="11">
        <v>0.001747931733249832</v>
      </c>
      <c r="Z9903" s="11">
        <v>0.23829065600257804</v>
      </c>
    </row>
    <row r="9904" ht="22.5" customHeight="1">
      <c r="Q9904" s="9" t="s">
        <v>9942</v>
      </c>
      <c r="R9904" s="10">
        <v>0.6485749715387533</v>
      </c>
      <c r="S9904" s="10">
        <v>0.04073512218875127</v>
      </c>
      <c r="T9904" s="10">
        <v>14.939809649246792</v>
      </c>
      <c r="U9904" s="11">
        <v>0.10995875390009906</v>
      </c>
      <c r="V9904" s="11">
        <v>0.034183396264441814</v>
      </c>
      <c r="W9904" s="11">
        <v>0.37058136523187335</v>
      </c>
      <c r="X9904" s="11">
        <v>0.005315570352242438</v>
      </c>
      <c r="Y9904" s="11">
        <v>0.18866097468908616</v>
      </c>
      <c r="Z9904" s="11">
        <v>0.29129993956225725</v>
      </c>
    </row>
    <row r="9905" ht="22.5" customHeight="1">
      <c r="Q9905" s="9" t="s">
        <v>9943</v>
      </c>
      <c r="R9905" s="10">
        <v>0.6374833980538016</v>
      </c>
      <c r="S9905" s="10">
        <v>0.03999941870647242</v>
      </c>
      <c r="T9905" s="10">
        <v>14.93730202526971</v>
      </c>
      <c r="U9905" s="11">
        <v>0.026176090606372413</v>
      </c>
      <c r="V9905" s="11">
        <v>0.0018305445769755092</v>
      </c>
      <c r="W9905" s="11">
        <v>0.363013973250123</v>
      </c>
      <c r="X9905" s="11">
        <v>0.31333745032295346</v>
      </c>
      <c r="Y9905" s="11">
        <v>0.1440692036214312</v>
      </c>
      <c r="Z9905" s="11">
        <v>0.15157273762214446</v>
      </c>
    </row>
    <row r="9906" ht="22.5" customHeight="1">
      <c r="Q9906" s="9" t="s">
        <v>9944</v>
      </c>
      <c r="R9906" s="10">
        <v>0.8033837835021665</v>
      </c>
      <c r="S9906" s="10">
        <v>0.05111073063683744</v>
      </c>
      <c r="T9906" s="10">
        <v>14.935880860837605</v>
      </c>
      <c r="U9906" s="11">
        <v>0.30989380264448557</v>
      </c>
      <c r="V9906" s="11">
        <v>0.04790913026867121</v>
      </c>
      <c r="W9906" s="11">
        <v>0.4681810268106563</v>
      </c>
      <c r="X9906" s="11">
        <v>0.008988940595984313</v>
      </c>
      <c r="Y9906" s="11">
        <v>0.06082214820023574</v>
      </c>
      <c r="Z9906" s="11">
        <v>0.10420495147996689</v>
      </c>
    </row>
    <row r="9907" ht="22.5" customHeight="1">
      <c r="Q9907" s="9" t="s">
        <v>9945</v>
      </c>
      <c r="R9907" s="10">
        <v>0.6098647016530218</v>
      </c>
      <c r="S9907" s="10">
        <v>0.03815493931272431</v>
      </c>
      <c r="T9907" s="10">
        <v>14.935542079685009</v>
      </c>
      <c r="U9907" s="11">
        <v>0.07333910310762426</v>
      </c>
      <c r="V9907" s="11">
        <v>0.006987657514778413</v>
      </c>
      <c r="W9907" s="11">
        <v>0.34396277716683904</v>
      </c>
      <c r="X9907" s="11">
        <v>0.16399187318946296</v>
      </c>
      <c r="Y9907" s="11">
        <v>0.2902200934611899</v>
      </c>
      <c r="Z9907" s="11">
        <v>0.12149849556010553</v>
      </c>
    </row>
    <row r="9908" ht="22.5" customHeight="1">
      <c r="Q9908" s="9" t="s">
        <v>9946</v>
      </c>
      <c r="R9908" s="10">
        <v>0.4132790032145037</v>
      </c>
      <c r="S9908" s="10">
        <v>0.024999096204664333</v>
      </c>
      <c r="T9908" s="10">
        <v>14.931699936610402</v>
      </c>
      <c r="U9908" s="11">
        <v>0.08846384482551321</v>
      </c>
      <c r="V9908" s="11">
        <v>0.0095234775749806</v>
      </c>
      <c r="W9908" s="11">
        <v>0.22042345092042634</v>
      </c>
      <c r="X9908" s="11">
        <v>0.05157907758137614</v>
      </c>
      <c r="Y9908" s="11">
        <v>0.15792029773783825</v>
      </c>
      <c r="Z9908" s="11">
        <v>0.47208985135986536</v>
      </c>
    </row>
    <row r="9909" ht="22.5" customHeight="1">
      <c r="Q9909" s="9" t="s">
        <v>9947</v>
      </c>
      <c r="R9909" s="10">
        <v>0.6027754847234047</v>
      </c>
      <c r="S9909" s="10">
        <v>0.037705644482284806</v>
      </c>
      <c r="T9909" s="10">
        <v>14.925497029703676</v>
      </c>
      <c r="U9909" s="11">
        <v>0.1421650614095122</v>
      </c>
      <c r="V9909" s="11">
        <v>0.019097302885253856</v>
      </c>
      <c r="W9909" s="11">
        <v>0.339211766584315</v>
      </c>
      <c r="X9909" s="11">
        <v>0.03013704264772304</v>
      </c>
      <c r="Y9909" s="11">
        <v>0.3035068833408464</v>
      </c>
      <c r="Z9909" s="11">
        <v>0.16588194313234936</v>
      </c>
    </row>
    <row r="9910" ht="22.5" customHeight="1">
      <c r="Q9910" s="9" t="s">
        <v>9948</v>
      </c>
      <c r="R9910" s="10">
        <v>0.5398810903925813</v>
      </c>
      <c r="S9910" s="10">
        <v>0.033560691573046794</v>
      </c>
      <c r="T9910" s="10">
        <v>14.894838781988776</v>
      </c>
      <c r="U9910" s="11">
        <v>0.15503585423634053</v>
      </c>
      <c r="V9910" s="11">
        <v>0.010026370031567413</v>
      </c>
      <c r="W9910" s="11">
        <v>0.30441294869397517</v>
      </c>
      <c r="X9910" s="11">
        <v>0.12807651068440565</v>
      </c>
      <c r="Y9910" s="11">
        <v>0.08786180363470653</v>
      </c>
      <c r="Z9910" s="11">
        <v>0.3145865127190047</v>
      </c>
    </row>
    <row r="9911" ht="22.5" customHeight="1">
      <c r="Q9911" s="9" t="s">
        <v>9949</v>
      </c>
      <c r="R9911" s="10">
        <v>0.48359923199652854</v>
      </c>
      <c r="S9911" s="10">
        <v>0.029810854503574426</v>
      </c>
      <c r="T9911" s="10">
        <v>14.880460133852905</v>
      </c>
      <c r="U9911" s="11">
        <v>0.0547423660190418</v>
      </c>
      <c r="V9911" s="11">
        <v>3.420691261843306E-4</v>
      </c>
      <c r="W9911" s="11">
        <v>0.2650356355573729</v>
      </c>
      <c r="X9911" s="11">
        <v>0.12928425899024207</v>
      </c>
      <c r="Y9911" s="11">
        <v>0.27067253645347966</v>
      </c>
      <c r="Z9911" s="11">
        <v>0.27992313385367923</v>
      </c>
    </row>
    <row r="9912" ht="22.5" customHeight="1">
      <c r="Q9912" s="9" t="s">
        <v>9950</v>
      </c>
      <c r="R9912" s="10">
        <v>0.6170377330254124</v>
      </c>
      <c r="S9912" s="10">
        <v>0.03882038071136219</v>
      </c>
      <c r="T9912" s="10">
        <v>14.86429866094851</v>
      </c>
      <c r="U9912" s="11">
        <v>0.09209078172667265</v>
      </c>
      <c r="V9912" s="11">
        <v>0.004761231345947975</v>
      </c>
      <c r="W9912" s="11">
        <v>0.35373867801154363</v>
      </c>
      <c r="X9912" s="11">
        <v>0.29713924222485516</v>
      </c>
      <c r="Y9912" s="11">
        <v>0.003739288571279462</v>
      </c>
      <c r="Z9912" s="11">
        <v>0.24853077811970117</v>
      </c>
    </row>
    <row r="9913" ht="22.5" customHeight="1">
      <c r="Q9913" s="9" t="s">
        <v>9951</v>
      </c>
      <c r="R9913" s="10">
        <v>0.16905685190783495</v>
      </c>
      <c r="S9913" s="10">
        <v>0.008685730198212963</v>
      </c>
      <c r="T9913" s="10">
        <v>14.858491912906485</v>
      </c>
      <c r="U9913" s="11">
        <v>0.18627798476144927</v>
      </c>
      <c r="V9913" s="11">
        <v>0.0065589098941413685</v>
      </c>
      <c r="W9913" s="11">
        <v>0.004800957373923036</v>
      </c>
      <c r="X9913" s="11">
        <v>0.2669036016375208</v>
      </c>
      <c r="Y9913" s="11">
        <v>0.22323871799495532</v>
      </c>
      <c r="Z9913" s="11">
        <v>0.3122198283380101</v>
      </c>
    </row>
    <row r="9914" ht="22.5" customHeight="1">
      <c r="Q9914" s="9" t="s">
        <v>9952</v>
      </c>
      <c r="R9914" s="10">
        <v>0.6821129189491175</v>
      </c>
      <c r="S9914" s="10">
        <v>0.04321628796173222</v>
      </c>
      <c r="T9914" s="10">
        <v>14.858122926191736</v>
      </c>
      <c r="U9914" s="11">
        <v>0.009189563253685583</v>
      </c>
      <c r="V9914" s="11">
        <v>0.03724463520618156</v>
      </c>
      <c r="W9914" s="11">
        <v>0.3939485024993889</v>
      </c>
      <c r="X9914" s="11">
        <v>0.019801285059938854</v>
      </c>
      <c r="Y9914" s="11">
        <v>0.2113037830493265</v>
      </c>
      <c r="Z9914" s="11">
        <v>0.32851223093147847</v>
      </c>
    </row>
    <row r="9915" ht="22.5" customHeight="1">
      <c r="Q9915" s="9" t="s">
        <v>9953</v>
      </c>
      <c r="R9915" s="10">
        <v>0.522331348251574</v>
      </c>
      <c r="S9915" s="10">
        <v>0.03453238108811167</v>
      </c>
      <c r="T9915" s="10">
        <v>14.857405474821011</v>
      </c>
      <c r="U9915" s="11">
        <v>0.2556542115914163</v>
      </c>
      <c r="V9915" s="11">
        <v>0.009439038370026477</v>
      </c>
      <c r="W9915" s="11">
        <v>0.30628842680859136</v>
      </c>
      <c r="X9915" s="11">
        <v>0.01460594124066049</v>
      </c>
      <c r="Y9915" s="11">
        <v>0.3357285655488276</v>
      </c>
      <c r="Z9915" s="11">
        <v>0.07828381644047784</v>
      </c>
    </row>
    <row r="9916" ht="22.5" customHeight="1">
      <c r="Q9916" s="9" t="s">
        <v>9954</v>
      </c>
      <c r="R9916" s="10">
        <v>0.6465525184592996</v>
      </c>
      <c r="S9916" s="10">
        <v>0.0408259962098687</v>
      </c>
      <c r="T9916" s="10">
        <v>14.857016968827331</v>
      </c>
      <c r="U9916" s="11">
        <v>0.0017422065717739082</v>
      </c>
      <c r="V9916" s="11">
        <v>0.007952428557882257</v>
      </c>
      <c r="W9916" s="11">
        <v>0.37232028919354443</v>
      </c>
      <c r="X9916" s="11">
        <v>0.3153680354047151</v>
      </c>
      <c r="Y9916" s="11">
        <v>0.03484503301043927</v>
      </c>
      <c r="Z9916" s="11">
        <v>0.267772007261645</v>
      </c>
    </row>
    <row r="9917" ht="22.5" customHeight="1">
      <c r="Q9917" s="9" t="s">
        <v>9955</v>
      </c>
      <c r="R9917" s="10">
        <v>0.5988276049254199</v>
      </c>
      <c r="S9917" s="10">
        <v>0.03762386303361299</v>
      </c>
      <c r="T9917" s="10">
        <v>14.85300976208014</v>
      </c>
      <c r="U9917" s="11">
        <v>0.20864791266327992</v>
      </c>
      <c r="V9917" s="11">
        <v>0.0020355850310065393</v>
      </c>
      <c r="W9917" s="11">
        <v>0.34239318520777745</v>
      </c>
      <c r="X9917" s="11">
        <v>0.24281716807502288</v>
      </c>
      <c r="Y9917" s="11">
        <v>0.027277507975190456</v>
      </c>
      <c r="Z9917" s="11">
        <v>0.17682864104772275</v>
      </c>
    </row>
    <row r="9918" ht="22.5" customHeight="1">
      <c r="Q9918" s="9" t="s">
        <v>9956</v>
      </c>
      <c r="R9918" s="10">
        <v>0.6238193115534663</v>
      </c>
      <c r="S9918" s="10">
        <v>0.039329315880681566</v>
      </c>
      <c r="T9918" s="10">
        <v>14.844380037646076</v>
      </c>
      <c r="U9918" s="11">
        <v>0.1633023522586367</v>
      </c>
      <c r="V9918" s="11">
        <v>0.009727213529662774</v>
      </c>
      <c r="W9918" s="11">
        <v>0.35507247985969426</v>
      </c>
      <c r="X9918" s="11">
        <v>0.10327807978754469</v>
      </c>
      <c r="Y9918" s="11">
        <v>0.28363923232213767</v>
      </c>
      <c r="Z9918" s="11">
        <v>0.08498064224232393</v>
      </c>
    </row>
    <row r="9919" ht="22.5" customHeight="1">
      <c r="Q9919" s="9" t="s">
        <v>9957</v>
      </c>
      <c r="R9919" s="10">
        <v>0.522331348251574</v>
      </c>
      <c r="S9919" s="10">
        <v>0.0383680380336369</v>
      </c>
      <c r="T9919" s="10">
        <v>14.839447294557505</v>
      </c>
      <c r="U9919" s="11">
        <v>0.1697134994441181</v>
      </c>
      <c r="V9919" s="11">
        <v>0.012184842305011146</v>
      </c>
      <c r="W9919" s="11">
        <v>0.3460433095670365</v>
      </c>
      <c r="X9919" s="11">
        <v>0.06988729111152064</v>
      </c>
      <c r="Y9919" s="11">
        <v>0.28250621671894804</v>
      </c>
      <c r="Z9919" s="11">
        <v>0.11966484085336553</v>
      </c>
    </row>
    <row r="9920" ht="22.5" customHeight="1">
      <c r="Q9920" s="9" t="s">
        <v>9958</v>
      </c>
      <c r="R9920" s="10">
        <v>0.5215575298405747</v>
      </c>
      <c r="S9920" s="10">
        <v>0.0324762838926378</v>
      </c>
      <c r="T9920" s="10">
        <v>14.827975128944518</v>
      </c>
      <c r="U9920" s="11">
        <v>0.10593644059353746</v>
      </c>
      <c r="V9920" s="11">
        <v>0.0017449158466431014</v>
      </c>
      <c r="W9920" s="11">
        <v>0.2931701248279658</v>
      </c>
      <c r="X9920" s="11">
        <v>0.1603613505646851</v>
      </c>
      <c r="Y9920" s="11">
        <v>0.1533424571126835</v>
      </c>
      <c r="Z9920" s="11">
        <v>0.28544471105448516</v>
      </c>
    </row>
    <row r="9921" ht="22.5" customHeight="1">
      <c r="Q9921" s="9" t="s">
        <v>9959</v>
      </c>
      <c r="R9921" s="10">
        <v>0.6740960929398113</v>
      </c>
      <c r="S9921" s="10">
        <v>0.042763831395871456</v>
      </c>
      <c r="T9921" s="10">
        <v>14.827859717944467</v>
      </c>
      <c r="U9921" s="11">
        <v>0.2529390122909801</v>
      </c>
      <c r="V9921" s="11">
        <v>0.012503240523459582</v>
      </c>
      <c r="W9921" s="11">
        <v>0.38985006784231896</v>
      </c>
      <c r="X9921" s="11">
        <v>0.13683661892737112</v>
      </c>
      <c r="Y9921" s="11">
        <v>0.146724412670657</v>
      </c>
      <c r="Z9921" s="11">
        <v>0.06114664774521317</v>
      </c>
    </row>
    <row r="9922" ht="22.5" customHeight="1">
      <c r="Q9922" s="9" t="s">
        <v>9960</v>
      </c>
      <c r="R9922" s="10">
        <v>0.5745525718970557</v>
      </c>
      <c r="S9922" s="10">
        <v>0.036057790518566224</v>
      </c>
      <c r="T9922" s="10">
        <v>14.824884281853418</v>
      </c>
      <c r="U9922" s="11">
        <v>0.17770246109694873</v>
      </c>
      <c r="V9922" s="11">
        <v>0.002928526267676816</v>
      </c>
      <c r="W9922" s="11">
        <v>0.3252392837755052</v>
      </c>
      <c r="X9922" s="11">
        <v>0.13160979115440832</v>
      </c>
      <c r="Y9922" s="11">
        <v>0.23062388710664533</v>
      </c>
      <c r="Z9922" s="11">
        <v>0.13189605059881557</v>
      </c>
    </row>
    <row r="9923" ht="22.5" customHeight="1">
      <c r="Q9923" s="9" t="s">
        <v>9961</v>
      </c>
      <c r="R9923" s="10">
        <v>0.2358224673899889</v>
      </c>
      <c r="S9923" s="10">
        <v>0.013216011609241551</v>
      </c>
      <c r="T9923" s="10">
        <v>14.817062301387224</v>
      </c>
      <c r="U9923" s="11">
        <v>0.348446533199108</v>
      </c>
      <c r="V9923" s="11">
        <v>0.007863407880141756</v>
      </c>
      <c r="W9923" s="11">
        <v>0.0889793069204348</v>
      </c>
      <c r="X9923" s="11">
        <v>0.001862030932306291</v>
      </c>
      <c r="Y9923" s="11">
        <v>0.08990933125804688</v>
      </c>
      <c r="Z9923" s="11">
        <v>0.4629393898099623</v>
      </c>
    </row>
    <row r="9924" ht="22.5" customHeight="1">
      <c r="Q9924" s="9" t="s">
        <v>9962</v>
      </c>
      <c r="R9924" s="10">
        <v>0.518479292898791</v>
      </c>
      <c r="S9924" s="10">
        <v>0.03230589988762049</v>
      </c>
      <c r="T9924" s="10">
        <v>14.810895055182867</v>
      </c>
      <c r="U9924" s="11">
        <v>0.07611969442038345</v>
      </c>
      <c r="V9924" s="11">
        <v>0.006552760932041729</v>
      </c>
      <c r="W9924" s="11">
        <v>0.2873212359468987</v>
      </c>
      <c r="X9924" s="11">
        <v>0.06543503535337337</v>
      </c>
      <c r="Y9924" s="11">
        <v>0.32879300349686513</v>
      </c>
      <c r="Z9924" s="11">
        <v>0.2357782698504376</v>
      </c>
    </row>
    <row r="9925" ht="22.5" customHeight="1">
      <c r="Q9925" s="9" t="s">
        <v>9963</v>
      </c>
      <c r="R9925" s="10">
        <v>0.18770869767744927</v>
      </c>
      <c r="S9925" s="10">
        <v>0.009974125180025628</v>
      </c>
      <c r="T9925" s="10">
        <v>14.80918827580523</v>
      </c>
      <c r="U9925" s="11">
        <v>0.4077628028640977</v>
      </c>
      <c r="V9925" s="11">
        <v>0.04243096187533086</v>
      </c>
      <c r="W9925" s="11">
        <v>0.0010391487424966136</v>
      </c>
      <c r="X9925" s="11">
        <v>0.10369461186770364</v>
      </c>
      <c r="Y9925" s="11">
        <v>0.08153027857016615</v>
      </c>
      <c r="Z9925" s="11">
        <v>0.363542196080205</v>
      </c>
    </row>
    <row r="9926" ht="22.5" customHeight="1">
      <c r="Q9926" s="9" t="s">
        <v>9964</v>
      </c>
      <c r="R9926" s="10">
        <v>0.5804876774739771</v>
      </c>
      <c r="S9926" s="10">
        <v>0.036574559360946196</v>
      </c>
      <c r="T9926" s="10">
        <v>14.777694849034935</v>
      </c>
      <c r="U9926" s="11">
        <v>0.20016356655987128</v>
      </c>
      <c r="V9926" s="11">
        <v>0.011957827363480498</v>
      </c>
      <c r="W9926" s="11">
        <v>0.32757771353170456</v>
      </c>
      <c r="X9926" s="11">
        <v>0.02078974491751265</v>
      </c>
      <c r="Y9926" s="11">
        <v>0.31460187148404456</v>
      </c>
      <c r="Z9926" s="11">
        <v>0.12490927614338632</v>
      </c>
    </row>
    <row r="9927" ht="22.5" customHeight="1">
      <c r="Q9927" s="9" t="s">
        <v>9965</v>
      </c>
      <c r="R9927" s="10">
        <v>0.8416644635057559</v>
      </c>
      <c r="S9927" s="10">
        <v>0.05427227519391049</v>
      </c>
      <c r="T9927" s="10">
        <v>14.771160056243689</v>
      </c>
      <c r="U9927" s="11">
        <v>0.06021964954646555</v>
      </c>
      <c r="V9927" s="11">
        <v>0.018028076148412477</v>
      </c>
      <c r="W9927" s="11">
        <v>0.49833271224621073</v>
      </c>
      <c r="X9927" s="11">
        <v>0.34917470202122064</v>
      </c>
      <c r="Y9927" s="11">
        <v>0.02662948040340449</v>
      </c>
      <c r="Z9927" s="11">
        <v>0.047615379634286074</v>
      </c>
    </row>
    <row r="9928" ht="22.5" customHeight="1">
      <c r="Q9928" s="9" t="s">
        <v>9966</v>
      </c>
      <c r="R9928" s="10">
        <v>0.5158249323364358</v>
      </c>
      <c r="S9928" s="10">
        <v>0.03224021304834862</v>
      </c>
      <c r="T9928" s="10">
        <v>14.75874032292749</v>
      </c>
      <c r="U9928" s="11">
        <v>0.1886324691947161</v>
      </c>
      <c r="V9928" s="11">
        <v>0.015550831901258087</v>
      </c>
      <c r="W9928" s="11">
        <v>0.2903677405118082</v>
      </c>
      <c r="X9928" s="11">
        <v>0.01100533043682445</v>
      </c>
      <c r="Y9928" s="11">
        <v>0.1473485664259574</v>
      </c>
      <c r="Z9928" s="11">
        <v>0.34709506152943576</v>
      </c>
    </row>
    <row r="9929" ht="22.5" customHeight="1">
      <c r="Q9929" s="9" t="s">
        <v>9967</v>
      </c>
      <c r="R9929" s="10">
        <v>0.20762154647546902</v>
      </c>
      <c r="S9929" s="10">
        <v>0.011362161291906245</v>
      </c>
      <c r="T9929" s="10">
        <v>14.75261107188058</v>
      </c>
      <c r="U9929" s="11">
        <v>0.2445047051923522</v>
      </c>
      <c r="V9929" s="11">
        <v>0.00877626007258945</v>
      </c>
      <c r="W9929" s="11">
        <v>0.0677706587523274</v>
      </c>
      <c r="X9929" s="11">
        <v>0.08918835741125548</v>
      </c>
      <c r="Y9929" s="11">
        <v>5.548868882230318E-4</v>
      </c>
      <c r="Z9929" s="11">
        <v>0.5892051316832525</v>
      </c>
    </row>
    <row r="9930" ht="22.5" customHeight="1">
      <c r="Q9930" s="9" t="s">
        <v>9968</v>
      </c>
      <c r="R9930" s="10">
        <v>0.5580704313233807</v>
      </c>
      <c r="S9930" s="10">
        <v>0.035136327076941566</v>
      </c>
      <c r="T9930" s="10">
        <v>14.744581304383624</v>
      </c>
      <c r="U9930" s="11">
        <v>0.16081925768141664</v>
      </c>
      <c r="V9930" s="11">
        <v>0.010551721251994666</v>
      </c>
      <c r="W9930" s="11">
        <v>0.3178734314753581</v>
      </c>
      <c r="X9930" s="11">
        <v>0.06498140337554681</v>
      </c>
      <c r="Y9930" s="11">
        <v>0.1903454945396029</v>
      </c>
      <c r="Z9930" s="11">
        <v>0.25542869167608095</v>
      </c>
    </row>
    <row r="9931" ht="22.5" customHeight="1">
      <c r="Q9931" s="9" t="s">
        <v>9969</v>
      </c>
      <c r="R9931" s="10">
        <v>0.5953653287177934</v>
      </c>
      <c r="S9931" s="10">
        <v>0.03772004207006266</v>
      </c>
      <c r="T9931" s="10">
        <v>14.723348603011534</v>
      </c>
      <c r="U9931" s="11">
        <v>0.22450320379489064</v>
      </c>
      <c r="V9931" s="11">
        <v>0.02243203692156964</v>
      </c>
      <c r="W9931" s="11">
        <v>0.3439796591992971</v>
      </c>
      <c r="X9931" s="11">
        <v>0.04750347737147355</v>
      </c>
      <c r="Y9931" s="11">
        <v>0.02321887287179195</v>
      </c>
      <c r="Z9931" s="11">
        <v>0.3383627498409771</v>
      </c>
    </row>
    <row r="9932" ht="22.5" customHeight="1">
      <c r="Q9932" s="9" t="s">
        <v>9970</v>
      </c>
      <c r="R9932" s="10">
        <v>0.522331348251574</v>
      </c>
      <c r="S9932" s="10">
        <v>0.04631967577629062</v>
      </c>
      <c r="T9932" s="10">
        <v>14.713900381212737</v>
      </c>
      <c r="U9932" s="11">
        <v>0.03917531316547465</v>
      </c>
      <c r="V9932" s="11">
        <v>0.01890401203165364</v>
      </c>
      <c r="W9932" s="11">
        <v>0.4236473015141521</v>
      </c>
      <c r="X9932" s="11">
        <v>0.15003699768650186</v>
      </c>
      <c r="Y9932" s="11">
        <v>0.20515664009634346</v>
      </c>
      <c r="Z9932" s="11">
        <v>0.1630797355058742</v>
      </c>
    </row>
    <row r="9933" ht="22.5" customHeight="1">
      <c r="Q9933" s="9" t="s">
        <v>9971</v>
      </c>
      <c r="R9933" s="10">
        <v>0.522331348251574</v>
      </c>
      <c r="S9933" s="10">
        <v>0.03607580362461655</v>
      </c>
      <c r="T9933" s="10">
        <v>14.687544538824008</v>
      </c>
      <c r="U9933" s="11">
        <v>0.16183173333902587</v>
      </c>
      <c r="V9933" s="11">
        <v>0.0036985262600107774</v>
      </c>
      <c r="W9933" s="11">
        <v>0.32379444650929606</v>
      </c>
      <c r="X9933" s="11">
        <v>0.07930166835687519</v>
      </c>
      <c r="Y9933" s="11">
        <v>0.2994581933081247</v>
      </c>
      <c r="Z9933" s="11">
        <v>0.13191543222666746</v>
      </c>
    </row>
    <row r="9934" ht="22.5" customHeight="1">
      <c r="Q9934" s="9" t="s">
        <v>9972</v>
      </c>
      <c r="R9934" s="10">
        <v>0.5772126671397274</v>
      </c>
      <c r="S9934" s="10">
        <v>0.036582900373605336</v>
      </c>
      <c r="T9934" s="10">
        <v>14.684802507548795</v>
      </c>
      <c r="U9934" s="11">
        <v>0.17991151725585272</v>
      </c>
      <c r="V9934" s="11">
        <v>0.009819631724317462</v>
      </c>
      <c r="W9934" s="11">
        <v>0.33314206120471923</v>
      </c>
      <c r="X9934" s="11">
        <v>0.10692269364978758</v>
      </c>
      <c r="Y9934" s="11">
        <v>0.09408460555665978</v>
      </c>
      <c r="Z9934" s="11">
        <v>0.2761194906086633</v>
      </c>
    </row>
    <row r="9935" ht="22.5" customHeight="1">
      <c r="Q9935" s="9" t="s">
        <v>9973</v>
      </c>
      <c r="R9935" s="10">
        <v>0.5157869660104617</v>
      </c>
      <c r="S9935" s="10">
        <v>0.03240830941442194</v>
      </c>
      <c r="T9935" s="10">
        <v>14.681017757709169</v>
      </c>
      <c r="U9935" s="11">
        <v>0.02001394710423026</v>
      </c>
      <c r="V9935" s="11">
        <v>0.011812337113950242</v>
      </c>
      <c r="W9935" s="11">
        <v>0.2916232980871804</v>
      </c>
      <c r="X9935" s="11">
        <v>0.0590103150539765</v>
      </c>
      <c r="Y9935" s="11">
        <v>0.22093031428127485</v>
      </c>
      <c r="Z9935" s="11">
        <v>0.39660978835938776</v>
      </c>
    </row>
    <row r="9936" ht="22.5" customHeight="1">
      <c r="Q9936" s="9" t="s">
        <v>9974</v>
      </c>
      <c r="R9936" s="10">
        <v>0.6238553738612557</v>
      </c>
      <c r="S9936" s="10">
        <v>0.03977122661175419</v>
      </c>
      <c r="T9936" s="10">
        <v>14.680346159821484</v>
      </c>
      <c r="U9936" s="11">
        <v>0.2853168101520725</v>
      </c>
      <c r="V9936" s="11">
        <v>0.007530157479711026</v>
      </c>
      <c r="W9936" s="11">
        <v>0.3629429300246315</v>
      </c>
      <c r="X9936" s="11">
        <v>0.14780950134496304</v>
      </c>
      <c r="Y9936" s="11">
        <v>0.036125827386778865</v>
      </c>
      <c r="Z9936" s="11">
        <v>0.160274773611843</v>
      </c>
    </row>
    <row r="9937" ht="22.5" customHeight="1">
      <c r="Q9937" s="9" t="s">
        <v>9975</v>
      </c>
      <c r="R9937" s="10">
        <v>0.586712421631165</v>
      </c>
      <c r="S9937" s="10">
        <v>0.0372590140635646</v>
      </c>
      <c r="T9937" s="10">
        <v>14.673292768790473</v>
      </c>
      <c r="U9937" s="11">
        <v>0.4122448189377993</v>
      </c>
      <c r="V9937" s="11">
        <v>1.3276714600843898E-4</v>
      </c>
      <c r="W9937" s="11">
        <v>0.33628487050729367</v>
      </c>
      <c r="X9937" s="11">
        <v>0.11433580353022192</v>
      </c>
      <c r="Y9937" s="11">
        <v>0.09958755384203051</v>
      </c>
      <c r="Z9937" s="11">
        <v>0.03741418603664612</v>
      </c>
    </row>
    <row r="9938" ht="22.5" customHeight="1">
      <c r="Q9938" s="9" t="s">
        <v>9976</v>
      </c>
      <c r="R9938" s="10">
        <v>0.6011967590825106</v>
      </c>
      <c r="S9938" s="10">
        <v>0.03825345701591423</v>
      </c>
      <c r="T9938" s="10">
        <v>14.670484783873025</v>
      </c>
      <c r="U9938" s="11">
        <v>0.30750564382065076</v>
      </c>
      <c r="V9938" s="11">
        <v>0.00347250094525793</v>
      </c>
      <c r="W9938" s="11">
        <v>0.3445347068459895</v>
      </c>
      <c r="X9938" s="11">
        <v>0.07354897071854889</v>
      </c>
      <c r="Y9938" s="11">
        <v>0.23693438223434737</v>
      </c>
      <c r="Z9938" s="11">
        <v>0.034003795435205535</v>
      </c>
    </row>
    <row r="9939" ht="22.5" customHeight="1">
      <c r="Q9939" s="9" t="s">
        <v>9977</v>
      </c>
      <c r="R9939" s="10">
        <v>0.4719185928068078</v>
      </c>
      <c r="S9939" s="10">
        <v>0.029450162958315738</v>
      </c>
      <c r="T9939" s="10">
        <v>14.66608498629202</v>
      </c>
      <c r="U9939" s="11">
        <v>0.2683153555256499</v>
      </c>
      <c r="V9939" s="11">
        <v>0.004054818971902231</v>
      </c>
      <c r="W9939" s="11">
        <v>0.26243312471176306</v>
      </c>
      <c r="X9939" s="11">
        <v>0.027794076399995326</v>
      </c>
      <c r="Y9939" s="11">
        <v>0.16227667219602268</v>
      </c>
      <c r="Z9939" s="11">
        <v>0.27512595219466696</v>
      </c>
    </row>
    <row r="9940" ht="22.5" customHeight="1">
      <c r="Q9940" s="9" t="s">
        <v>9978</v>
      </c>
      <c r="R9940" s="10">
        <v>0.7480663588417696</v>
      </c>
      <c r="S9940" s="10">
        <v>0.04828993440018946</v>
      </c>
      <c r="T9940" s="10">
        <v>14.662814676322933</v>
      </c>
      <c r="U9940" s="11">
        <v>0.23062966800820192</v>
      </c>
      <c r="V9940" s="11">
        <v>0.011773910401870034</v>
      </c>
      <c r="W9940" s="11">
        <v>0.4432297914047575</v>
      </c>
      <c r="X9940" s="11">
        <v>0.22519573604592102</v>
      </c>
      <c r="Y9940" s="11">
        <v>0.027345573661335373</v>
      </c>
      <c r="Z9940" s="11">
        <v>0.06182532047791399</v>
      </c>
    </row>
    <row r="9941" ht="22.5" customHeight="1">
      <c r="Q9941" s="9" t="s">
        <v>9979</v>
      </c>
      <c r="R9941" s="10">
        <v>0.6867477553500914</v>
      </c>
      <c r="S9941" s="10">
        <v>0.04414121998157291</v>
      </c>
      <c r="T9941" s="10">
        <v>14.651787051197976</v>
      </c>
      <c r="U9941" s="11">
        <v>0.0031306402644785897</v>
      </c>
      <c r="V9941" s="11">
        <v>0.006231050488492431</v>
      </c>
      <c r="W9941" s="11">
        <v>0.4025686969394424</v>
      </c>
      <c r="X9941" s="11">
        <v>0.23254391486787115</v>
      </c>
      <c r="Y9941" s="11">
        <v>0.20087017513168276</v>
      </c>
      <c r="Z9941" s="11">
        <v>0.1546555223080326</v>
      </c>
    </row>
    <row r="9942" ht="22.5" customHeight="1">
      <c r="Q9942" s="9" t="s">
        <v>9980</v>
      </c>
      <c r="R9942" s="10">
        <v>0.20442651235989384</v>
      </c>
      <c r="S9942" s="10">
        <v>0.011223088859746391</v>
      </c>
      <c r="T9942" s="10">
        <v>14.650736033075425</v>
      </c>
      <c r="U9942" s="11">
        <v>0.1257426826547476</v>
      </c>
      <c r="V9942" s="11">
        <v>0.012596252477249381</v>
      </c>
      <c r="W9942" s="11">
        <v>0.03088380125237969</v>
      </c>
      <c r="X9942" s="11">
        <v>0.10867956437453405</v>
      </c>
      <c r="Y9942" s="11">
        <v>0.4700244213695053</v>
      </c>
      <c r="Z9942" s="11">
        <v>0.25207327787158385</v>
      </c>
    </row>
    <row r="9943" ht="22.5" customHeight="1">
      <c r="Q9943" s="9" t="s">
        <v>9981</v>
      </c>
      <c r="R9943" s="10">
        <v>0.19011241998987088</v>
      </c>
      <c r="S9943" s="10">
        <v>0.010248454472703674</v>
      </c>
      <c r="T9943" s="10">
        <v>14.647322714823877</v>
      </c>
      <c r="U9943" s="11">
        <v>0.21806843314416852</v>
      </c>
      <c r="V9943" s="11">
        <v>0.004256020105139553</v>
      </c>
      <c r="W9943" s="11">
        <v>0.041653925875483194</v>
      </c>
      <c r="X9943" s="11">
        <v>0.06984355318173197</v>
      </c>
      <c r="Y9943" s="11">
        <v>0.30089833425621626</v>
      </c>
      <c r="Z9943" s="11">
        <v>0.36527973343726045</v>
      </c>
    </row>
    <row r="9944" ht="22.5" customHeight="1">
      <c r="Q9944" s="9" t="s">
        <v>9982</v>
      </c>
      <c r="R9944" s="10">
        <v>0.6923343219128777</v>
      </c>
      <c r="S9944" s="10">
        <v>0.044577484017842194</v>
      </c>
      <c r="T9944" s="10">
        <v>14.633717812601986</v>
      </c>
      <c r="U9944" s="11">
        <v>0.23249920774901853</v>
      </c>
      <c r="V9944" s="11">
        <v>0.01725481277045417</v>
      </c>
      <c r="W9944" s="11">
        <v>0.40753056407929017</v>
      </c>
      <c r="X9944" s="11">
        <v>0.07523549631281422</v>
      </c>
      <c r="Y9944" s="11">
        <v>0.14821170166386183</v>
      </c>
      <c r="Z9944" s="11">
        <v>0.11926821742456105</v>
      </c>
    </row>
    <row r="9945" ht="22.5" customHeight="1">
      <c r="Q9945" s="9" t="s">
        <v>9983</v>
      </c>
      <c r="R9945" s="10">
        <v>0.49386614174519705</v>
      </c>
      <c r="S9945" s="10">
        <v>0.03102112187501374</v>
      </c>
      <c r="T9945" s="10">
        <v>14.630874523940667</v>
      </c>
      <c r="U9945" s="11">
        <v>0.2630151471719494</v>
      </c>
      <c r="V9945" s="11">
        <v>6.711607894143E-4</v>
      </c>
      <c r="W9945" s="11">
        <v>0.27932044951391477</v>
      </c>
      <c r="X9945" s="11">
        <v>0.10074165070707507</v>
      </c>
      <c r="Y9945" s="11">
        <v>0.07163114659521937</v>
      </c>
      <c r="Z9945" s="11">
        <v>0.2846204452224271</v>
      </c>
    </row>
    <row r="9946" ht="22.5" customHeight="1">
      <c r="Q9946" s="9" t="s">
        <v>9984</v>
      </c>
      <c r="R9946" s="10">
        <v>0.7388454899586853</v>
      </c>
      <c r="S9946" s="10">
        <v>0.04777530597544398</v>
      </c>
      <c r="T9946" s="10">
        <v>14.627755399785084</v>
      </c>
      <c r="U9946" s="11">
        <v>0.1822207033485336</v>
      </c>
      <c r="V9946" s="11">
        <v>0.017861423950640495</v>
      </c>
      <c r="W9946" s="11">
        <v>0.43864881678130274</v>
      </c>
      <c r="X9946" s="11">
        <v>0.14393961336509992</v>
      </c>
      <c r="Y9946" s="11">
        <v>0.09419138541814093</v>
      </c>
      <c r="Z9946" s="11">
        <v>0.1231380571362823</v>
      </c>
    </row>
    <row r="9947" ht="22.5" customHeight="1">
      <c r="Q9947" s="9" t="s">
        <v>9985</v>
      </c>
      <c r="R9947" s="10">
        <v>0.5009005165494298</v>
      </c>
      <c r="S9947" s="10">
        <v>0.031509796957057</v>
      </c>
      <c r="T9947" s="10">
        <v>14.627213154612395</v>
      </c>
      <c r="U9947" s="11">
        <v>0.22355777584746847</v>
      </c>
      <c r="V9947" s="11">
        <v>0.001727941386851092</v>
      </c>
      <c r="W9947" s="11">
        <v>0.28342365248342444</v>
      </c>
      <c r="X9947" s="11">
        <v>0.07608159622637188</v>
      </c>
      <c r="Y9947" s="11">
        <v>0.14550611325662333</v>
      </c>
      <c r="Z9947" s="11">
        <v>0.2697029207992608</v>
      </c>
    </row>
    <row r="9948" ht="22.5" customHeight="1">
      <c r="Q9948" s="9" t="s">
        <v>9986</v>
      </c>
      <c r="R9948" s="10">
        <v>0.5519164323031722</v>
      </c>
      <c r="S9948" s="10">
        <v>0.03500433979365002</v>
      </c>
      <c r="T9948" s="10">
        <v>14.62437044437663</v>
      </c>
      <c r="U9948" s="11">
        <v>0.22143173252829237</v>
      </c>
      <c r="V9948" s="11">
        <v>0.0013441323746980407</v>
      </c>
      <c r="W9948" s="11">
        <v>0.3106181321736958</v>
      </c>
      <c r="X9948" s="11">
        <v>0.04149364449004708</v>
      </c>
      <c r="Y9948" s="11">
        <v>0.3574374939990917</v>
      </c>
      <c r="Z9948" s="11">
        <v>0.0676748644341748</v>
      </c>
    </row>
    <row r="9949" ht="22.5" customHeight="1">
      <c r="Q9949" s="9" t="s">
        <v>9987</v>
      </c>
      <c r="R9949" s="10">
        <v>0.7001749509717217</v>
      </c>
      <c r="S9949" s="10">
        <v>0.04515013247109251</v>
      </c>
      <c r="T9949" s="10">
        <v>14.621772181829154</v>
      </c>
      <c r="U9949" s="11">
        <v>0.019027241054083207</v>
      </c>
      <c r="V9949" s="11">
        <v>0.03246830735493143</v>
      </c>
      <c r="W9949" s="11">
        <v>0.4121807767901719</v>
      </c>
      <c r="X9949" s="11">
        <v>0.005356556551160842</v>
      </c>
      <c r="Y9949" s="11">
        <v>0.23150279531307635</v>
      </c>
      <c r="Z9949" s="11">
        <v>0.29946432293657643</v>
      </c>
    </row>
    <row r="9950" ht="22.5" customHeight="1">
      <c r="Q9950" s="9" t="s">
        <v>9988</v>
      </c>
      <c r="R9950" s="10">
        <v>0.5813340001170959</v>
      </c>
      <c r="S9950" s="10">
        <v>0.03705249411802388</v>
      </c>
      <c r="T9950" s="10">
        <v>14.609920681527573</v>
      </c>
      <c r="U9950" s="11">
        <v>0.25553013746346886</v>
      </c>
      <c r="V9950" s="11">
        <v>0.012968032664314299</v>
      </c>
      <c r="W9950" s="11">
        <v>0.33667714016239925</v>
      </c>
      <c r="X9950" s="11">
        <v>0.03865721557773509</v>
      </c>
      <c r="Y9950" s="11">
        <v>0.11062937761999339</v>
      </c>
      <c r="Z9950" s="11">
        <v>0.2455380965120892</v>
      </c>
    </row>
    <row r="9951" ht="22.5" customHeight="1">
      <c r="Q9951" s="9" t="s">
        <v>9989</v>
      </c>
      <c r="R9951" s="10">
        <v>0.7646250056376261</v>
      </c>
      <c r="S9951" s="10">
        <v>0.049726379824939146</v>
      </c>
      <c r="T9951" s="10">
        <v>14.572245319057124</v>
      </c>
      <c r="U9951" s="11">
        <v>0.009511937756494537</v>
      </c>
      <c r="V9951" s="11">
        <v>0.025690200027117353</v>
      </c>
      <c r="W9951" s="11">
        <v>0.4527491412810285</v>
      </c>
      <c r="X9951" s="11">
        <v>0.05292964964975721</v>
      </c>
      <c r="Y9951" s="11">
        <v>0.3430369238093451</v>
      </c>
      <c r="Z9951" s="11">
        <v>0.11608214747625736</v>
      </c>
    </row>
    <row r="9952" ht="22.5" customHeight="1">
      <c r="Q9952" s="9" t="s">
        <v>9990</v>
      </c>
      <c r="R9952" s="10">
        <v>0.6430671962512454</v>
      </c>
      <c r="S9952" s="10">
        <v>0.04141479867996589</v>
      </c>
      <c r="T9952" s="10">
        <v>14.561635344685975</v>
      </c>
      <c r="U9952" s="11">
        <v>0.3643348152672878</v>
      </c>
      <c r="V9952" s="11">
        <v>0.001908882446334162</v>
      </c>
      <c r="W9952" s="11">
        <v>0.37611533309866185</v>
      </c>
      <c r="X9952" s="11">
        <v>0.11522825636801283</v>
      </c>
      <c r="Y9952" s="11">
        <v>0.13087285968294537</v>
      </c>
      <c r="Z9952" s="11">
        <v>0.011539853136757882</v>
      </c>
    </row>
    <row r="9953" ht="22.5" customHeight="1">
      <c r="Q9953" s="9" t="s">
        <v>9991</v>
      </c>
      <c r="R9953" s="10">
        <v>0.5946506280845069</v>
      </c>
      <c r="S9953" s="10">
        <v>0.03814285515228435</v>
      </c>
      <c r="T9953" s="10">
        <v>14.541402993301858</v>
      </c>
      <c r="U9953" s="11">
        <v>0.2504326749896527</v>
      </c>
      <c r="V9953" s="11">
        <v>0.00631140237547021</v>
      </c>
      <c r="W9953" s="11">
        <v>0.3425300475453063</v>
      </c>
      <c r="X9953" s="11">
        <v>0.01886838093804304</v>
      </c>
      <c r="Y9953" s="11">
        <v>0.29997714793926933</v>
      </c>
      <c r="Z9953" s="11">
        <v>0.0818803462122585</v>
      </c>
    </row>
    <row r="9954" ht="22.5" customHeight="1">
      <c r="Q9954" s="9" t="s">
        <v>9992</v>
      </c>
      <c r="R9954" s="10">
        <v>0.6413632294449478</v>
      </c>
      <c r="S9954" s="10">
        <v>0.04137513045737004</v>
      </c>
      <c r="T9954" s="10">
        <v>14.534412889997997</v>
      </c>
      <c r="U9954" s="11">
        <v>0.04433550292414819</v>
      </c>
      <c r="V9954" s="11">
        <v>0.018341075395307743</v>
      </c>
      <c r="W9954" s="11">
        <v>0.37382211973297386</v>
      </c>
      <c r="X9954" s="11">
        <v>0.007908078702102682</v>
      </c>
      <c r="Y9954" s="11">
        <v>0.3429630931360128</v>
      </c>
      <c r="Z9954" s="11">
        <v>0.2126301301094547</v>
      </c>
    </row>
    <row r="9955" ht="22.5" customHeight="1">
      <c r="Q9955" s="9" t="s">
        <v>9993</v>
      </c>
      <c r="R9955" s="10">
        <v>0.506268142001954</v>
      </c>
      <c r="S9955" s="10">
        <v>0.032083829136781414</v>
      </c>
      <c r="T9955" s="10">
        <v>14.532808413052443</v>
      </c>
      <c r="U9955" s="11">
        <v>0.21201180816247703</v>
      </c>
      <c r="V9955" s="11">
        <v>5.882769897366433E-4</v>
      </c>
      <c r="W9955" s="11">
        <v>0.28223946955516016</v>
      </c>
      <c r="X9955" s="11">
        <v>0.008704949225727558</v>
      </c>
      <c r="Y9955" s="11">
        <v>0.36359677626287606</v>
      </c>
      <c r="Z9955" s="11">
        <v>0.13285871980402253</v>
      </c>
    </row>
    <row r="9956" ht="22.5" customHeight="1">
      <c r="Q9956" s="9" t="s">
        <v>9994</v>
      </c>
      <c r="R9956" s="10">
        <v>0.8609303172189372</v>
      </c>
      <c r="S9956" s="10">
        <v>0.05663815604469696</v>
      </c>
      <c r="T9956" s="10">
        <v>14.494298094222666</v>
      </c>
      <c r="U9956" s="11">
        <v>0.21629214036258632</v>
      </c>
      <c r="V9956" s="11">
        <v>0.026265046411822607</v>
      </c>
      <c r="W9956" s="11">
        <v>0.5217112827180684</v>
      </c>
      <c r="X9956" s="11">
        <v>0.12187313248111163</v>
      </c>
      <c r="Y9956" s="11">
        <v>0.08217994803688904</v>
      </c>
      <c r="Z9956" s="11">
        <v>0.03167844998952201</v>
      </c>
    </row>
    <row r="9957" ht="22.5" customHeight="1">
      <c r="Q9957" s="9" t="s">
        <v>9995</v>
      </c>
      <c r="R9957" s="10">
        <v>0.6654498593989545</v>
      </c>
      <c r="S9957" s="10">
        <v>0.043183839028190424</v>
      </c>
      <c r="T9957" s="10">
        <v>14.483424203917131</v>
      </c>
      <c r="U9957" s="11">
        <v>0.024948557110562854</v>
      </c>
      <c r="V9957" s="11">
        <v>0.006250868795354405</v>
      </c>
      <c r="W9957" s="11">
        <v>0.3936816100446905</v>
      </c>
      <c r="X9957" s="11">
        <v>0.15453985398637415</v>
      </c>
      <c r="Y9957" s="11">
        <v>0.23397922868935692</v>
      </c>
      <c r="Z9957" s="11">
        <v>0.18659988137366118</v>
      </c>
    </row>
    <row r="9958" ht="22.5" customHeight="1">
      <c r="Q9958" s="9" t="s">
        <v>9996</v>
      </c>
      <c r="R9958" s="10">
        <v>0.7544955203709323</v>
      </c>
      <c r="S9958" s="10">
        <v>0.04938421974400467</v>
      </c>
      <c r="T9958" s="10">
        <v>14.468093736717856</v>
      </c>
      <c r="U9958" s="11">
        <v>0.10748229185831437</v>
      </c>
      <c r="V9958" s="11">
        <v>0.0205607900391812</v>
      </c>
      <c r="W9958" s="11">
        <v>0.45008955728461875</v>
      </c>
      <c r="X9958" s="11">
        <v>0.03414856835189459</v>
      </c>
      <c r="Y9958" s="11">
        <v>0.3125840220636734</v>
      </c>
      <c r="Z9958" s="11">
        <v>0.07513477040231764</v>
      </c>
    </row>
    <row r="9959" ht="22.5" customHeight="1">
      <c r="Q9959" s="9" t="s">
        <v>9997</v>
      </c>
      <c r="R9959" s="10">
        <v>0.6219857648122635</v>
      </c>
      <c r="S9959" s="10">
        <v>0.04023783018314825</v>
      </c>
      <c r="T9959" s="10">
        <v>14.46364682596631</v>
      </c>
      <c r="U9959" s="11">
        <v>0.16126878744350098</v>
      </c>
      <c r="V9959" s="11">
        <v>0.020663189408733417</v>
      </c>
      <c r="W9959" s="11">
        <v>0.36776538996367186</v>
      </c>
      <c r="X9959" s="11">
        <v>0.015185173656334615</v>
      </c>
      <c r="Y9959" s="11">
        <v>0.09740911727315486</v>
      </c>
      <c r="Z9959" s="11">
        <v>0.3377083422546044</v>
      </c>
    </row>
    <row r="9960" ht="22.5" customHeight="1">
      <c r="Q9960" s="9" t="s">
        <v>9998</v>
      </c>
      <c r="R9960" s="10">
        <v>0.6790416680787267</v>
      </c>
      <c r="S9960" s="10">
        <v>0.04420408056607893</v>
      </c>
      <c r="T9960" s="10">
        <v>14.456621648841866</v>
      </c>
      <c r="U9960" s="11">
        <v>0.01298831862185008</v>
      </c>
      <c r="V9960" s="11">
        <v>0.015614701038215854</v>
      </c>
      <c r="W9960" s="11">
        <v>0.40474846165558487</v>
      </c>
      <c r="X9960" s="11">
        <v>0.10824660782165797</v>
      </c>
      <c r="Y9960" s="11">
        <v>0.1786942885467307</v>
      </c>
      <c r="Z9960" s="11">
        <v>0.27970762231596047</v>
      </c>
    </row>
    <row r="9961" ht="22.5" customHeight="1">
      <c r="Q9961" s="9" t="s">
        <v>9999</v>
      </c>
      <c r="R9961" s="10">
        <v>0.5434350378970657</v>
      </c>
      <c r="S9961" s="10">
        <v>0.034830733356000745</v>
      </c>
      <c r="T9961" s="10">
        <v>14.453759349581205</v>
      </c>
      <c r="U9961" s="11">
        <v>0.1756142551270542</v>
      </c>
      <c r="V9961" s="11">
        <v>0.0062409711985934035</v>
      </c>
      <c r="W9961" s="11">
        <v>0.3156901522593387</v>
      </c>
      <c r="X9961" s="11">
        <v>0.050895358616477836</v>
      </c>
      <c r="Y9961" s="11">
        <v>0.1494985466116913</v>
      </c>
      <c r="Z9961" s="11">
        <v>0.3020607161868445</v>
      </c>
    </row>
    <row r="9962" ht="22.5" customHeight="1">
      <c r="Q9962" s="9" t="s">
        <v>10000</v>
      </c>
      <c r="R9962" s="10">
        <v>0.7419149867471291</v>
      </c>
      <c r="S9962" s="10">
        <v>0.04862814329815079</v>
      </c>
      <c r="T9962" s="10">
        <v>14.434336561927118</v>
      </c>
      <c r="U9962" s="11">
        <v>0.22881216949493205</v>
      </c>
      <c r="V9962" s="11">
        <v>0.01809889770401928</v>
      </c>
      <c r="W9962" s="11">
        <v>0.4437836451654824</v>
      </c>
      <c r="X9962" s="11">
        <v>0.019325415479384836</v>
      </c>
      <c r="Y9962" s="11">
        <v>0.24447096506678362</v>
      </c>
      <c r="Z9962" s="11">
        <v>0.0455089070893979</v>
      </c>
    </row>
    <row r="9963" ht="22.5" customHeight="1">
      <c r="Q9963" s="9" t="s">
        <v>10001</v>
      </c>
      <c r="R9963" s="10">
        <v>0.7002204802370258</v>
      </c>
      <c r="S9963" s="10">
        <v>0.04574505924520693</v>
      </c>
      <c r="T9963" s="10">
        <v>14.432607392594038</v>
      </c>
      <c r="U9963" s="11">
        <v>0.06550635419143669</v>
      </c>
      <c r="V9963" s="11">
        <v>0.01724202517842949</v>
      </c>
      <c r="W9963" s="11">
        <v>0.4195785758587206</v>
      </c>
      <c r="X9963" s="11">
        <v>0.09139185989813145</v>
      </c>
      <c r="Y9963" s="11">
        <v>0.1576221791249171</v>
      </c>
      <c r="Z9963" s="11">
        <v>0.24865900574836472</v>
      </c>
    </row>
    <row r="9964" ht="22.5" customHeight="1">
      <c r="Q9964" s="9" t="s">
        <v>10002</v>
      </c>
      <c r="R9964" s="10">
        <v>0.9274684467207979</v>
      </c>
      <c r="S9964" s="10">
        <v>0.06153410435019102</v>
      </c>
      <c r="T9964" s="10">
        <v>14.422383426111294</v>
      </c>
      <c r="U9964" s="11">
        <v>0.012345188238860187</v>
      </c>
      <c r="V9964" s="11">
        <v>0.038855677184410436</v>
      </c>
      <c r="W9964" s="11">
        <v>0.5687555062364541</v>
      </c>
      <c r="X9964" s="11">
        <v>0.16030112096480387</v>
      </c>
      <c r="Y9964" s="11">
        <v>0.009614948400517334</v>
      </c>
      <c r="Z9964" s="11">
        <v>0.21012755897495405</v>
      </c>
    </row>
    <row r="9965" ht="22.5" customHeight="1">
      <c r="Q9965" s="9" t="s">
        <v>10003</v>
      </c>
      <c r="R9965" s="10">
        <v>0.19721946154112122</v>
      </c>
      <c r="S9965" s="10">
        <v>0.010902263921305664</v>
      </c>
      <c r="T9965" s="10">
        <v>14.420808620664218</v>
      </c>
      <c r="U9965" s="11">
        <v>0.3978527541500375</v>
      </c>
      <c r="V9965" s="11">
        <v>0.013347677746160658</v>
      </c>
      <c r="W9965" s="11">
        <v>0.0019870983533709866</v>
      </c>
      <c r="X9965" s="11">
        <v>0.23315271588578088</v>
      </c>
      <c r="Y9965" s="11">
        <v>0.3521772005821318</v>
      </c>
      <c r="Z9965" s="11">
        <v>0.0014825532825181648</v>
      </c>
    </row>
    <row r="9966" ht="22.5" customHeight="1">
      <c r="Q9966" s="9" t="s">
        <v>10004</v>
      </c>
      <c r="R9966" s="10">
        <v>0.537367334062356</v>
      </c>
      <c r="S9966" s="10">
        <v>0.03454833549916029</v>
      </c>
      <c r="T9966" s="10">
        <v>14.396274867553164</v>
      </c>
      <c r="U9966" s="11">
        <v>0.15999530442256346</v>
      </c>
      <c r="V9966" s="11">
        <v>0.010746060975162017</v>
      </c>
      <c r="W9966" s="11">
        <v>0.31416455270405896</v>
      </c>
      <c r="X9966" s="11">
        <v>0.054425916313935674</v>
      </c>
      <c r="Y9966" s="11">
        <v>0.04986680380266342</v>
      </c>
      <c r="Z9966" s="11">
        <v>0.41080136178161636</v>
      </c>
    </row>
    <row r="9967" ht="22.5" customHeight="1">
      <c r="Q9967" s="9" t="s">
        <v>10005</v>
      </c>
      <c r="R9967" s="10">
        <v>0.6489872060496752</v>
      </c>
      <c r="S9967" s="10">
        <v>0.042387849165398485</v>
      </c>
      <c r="T9967" s="10">
        <v>14.367023051190715</v>
      </c>
      <c r="U9967" s="11">
        <v>0.27842315113068133</v>
      </c>
      <c r="V9967" s="11">
        <v>0.005901678091492005</v>
      </c>
      <c r="W9967" s="11">
        <v>0.3818649449954268</v>
      </c>
      <c r="X9967" s="11">
        <v>0.00350275291912014</v>
      </c>
      <c r="Y9967" s="11">
        <v>0.3224127679007515</v>
      </c>
      <c r="Z9967" s="11">
        <v>0.00789470496252824</v>
      </c>
    </row>
    <row r="9968" ht="22.5" customHeight="1">
      <c r="Q9968" s="9" t="s">
        <v>10006</v>
      </c>
      <c r="R9968" s="10">
        <v>0.5961234357939655</v>
      </c>
      <c r="S9968" s="10">
        <v>0.03873410390342262</v>
      </c>
      <c r="T9968" s="10">
        <v>14.35746228131601</v>
      </c>
      <c r="U9968" s="11">
        <v>0.06409418385489958</v>
      </c>
      <c r="V9968" s="11">
        <v>0.0016377613173855488</v>
      </c>
      <c r="W9968" s="11">
        <v>0.3534277978361548</v>
      </c>
      <c r="X9968" s="11">
        <v>0.14774064311297702</v>
      </c>
      <c r="Y9968" s="11">
        <v>0.13596942028129833</v>
      </c>
      <c r="Z9968" s="11">
        <v>0.29713019359728476</v>
      </c>
    </row>
    <row r="9969" ht="22.5" customHeight="1">
      <c r="Q9969" s="9" t="s">
        <v>10007</v>
      </c>
      <c r="R9969" s="10">
        <v>0.8803303633115426</v>
      </c>
      <c r="S9969" s="10">
        <v>0.058536549281070556</v>
      </c>
      <c r="T9969" s="10">
        <v>14.355652556090918</v>
      </c>
      <c r="U9969" s="11">
        <v>0.037245579044399624</v>
      </c>
      <c r="V9969" s="11">
        <v>0.041594850048583175</v>
      </c>
      <c r="W9969" s="11">
        <v>0.5392462930150033</v>
      </c>
      <c r="X9969" s="11">
        <v>0.005455944924236355</v>
      </c>
      <c r="Y9969" s="11">
        <v>0.16350612485849808</v>
      </c>
      <c r="Z9969" s="11">
        <v>0.2129512081092795</v>
      </c>
    </row>
    <row r="9970" ht="22.5" customHeight="1">
      <c r="Q9970" s="9" t="s">
        <v>10008</v>
      </c>
      <c r="R9970" s="10">
        <v>0.5675018446710759</v>
      </c>
      <c r="S9970" s="10">
        <v>0.036823868124371925</v>
      </c>
      <c r="T9970" s="10">
        <v>14.324998201966405</v>
      </c>
      <c r="U9970" s="11">
        <v>0.18572752875094312</v>
      </c>
      <c r="V9970" s="11">
        <v>0.007108445349141631</v>
      </c>
      <c r="W9970" s="11">
        <v>0.33472533075366134</v>
      </c>
      <c r="X9970" s="11">
        <v>0.03305616773327288</v>
      </c>
      <c r="Y9970" s="11">
        <v>0.1442092392784446</v>
      </c>
      <c r="Z9970" s="11">
        <v>0.29517328813453636</v>
      </c>
    </row>
    <row r="9971" ht="22.5" customHeight="1">
      <c r="Q9971" s="9" t="s">
        <v>10009</v>
      </c>
      <c r="R9971" s="10">
        <v>0.6168593213565785</v>
      </c>
      <c r="S9971" s="10">
        <v>0.04033099380092072</v>
      </c>
      <c r="T9971" s="10">
        <v>14.303126875673698</v>
      </c>
      <c r="U9971" s="11">
        <v>0.13295814720846527</v>
      </c>
      <c r="V9971" s="11">
        <v>0.008278799402798595</v>
      </c>
      <c r="W9971" s="11">
        <v>0.36633591196397897</v>
      </c>
      <c r="X9971" s="11">
        <v>0.024092286161232927</v>
      </c>
      <c r="Y9971" s="11">
        <v>0.24767040195731213</v>
      </c>
      <c r="Z9971" s="11">
        <v>0.22066445330621215</v>
      </c>
    </row>
    <row r="9972" ht="22.5" customHeight="1">
      <c r="Q9972" s="9" t="s">
        <v>10010</v>
      </c>
      <c r="R9972" s="10">
        <v>0.7808220766330259</v>
      </c>
      <c r="S9972" s="10">
        <v>0.051861560161872336</v>
      </c>
      <c r="T9972" s="10">
        <v>14.28460837508056</v>
      </c>
      <c r="U9972" s="11">
        <v>0.2690763091092246</v>
      </c>
      <c r="V9972" s="11">
        <v>0.022589212338696665</v>
      </c>
      <c r="W9972" s="11">
        <v>0.4773710152348804</v>
      </c>
      <c r="X9972" s="11">
        <v>0.035011964805480696</v>
      </c>
      <c r="Y9972" s="11">
        <v>0.05415935082843196</v>
      </c>
      <c r="Z9972" s="11">
        <v>0.14179214768328569</v>
      </c>
    </row>
    <row r="9973" ht="22.5" customHeight="1">
      <c r="Q9973" s="9" t="s">
        <v>10011</v>
      </c>
      <c r="R9973" s="10">
        <v>0.7748748061715743</v>
      </c>
      <c r="S9973" s="10">
        <v>0.0516221686348678</v>
      </c>
      <c r="T9973" s="10">
        <v>14.235643825222963</v>
      </c>
      <c r="U9973" s="11">
        <v>0.10656701676843466</v>
      </c>
      <c r="V9973" s="11">
        <v>0.005382519018194927</v>
      </c>
      <c r="W9973" s="11">
        <v>0.4753243217805413</v>
      </c>
      <c r="X9973" s="11">
        <v>0.2164972596591412</v>
      </c>
      <c r="Y9973" s="11">
        <v>0.05824222227928532</v>
      </c>
      <c r="Z9973" s="11">
        <v>0.13798666049440275</v>
      </c>
    </row>
    <row r="9974" ht="22.5" customHeight="1">
      <c r="Q9974" s="9" t="s">
        <v>10012</v>
      </c>
      <c r="R9974" s="10">
        <v>0.7638729151685321</v>
      </c>
      <c r="S9974" s="10">
        <v>0.050861581722849714</v>
      </c>
      <c r="T9974" s="10">
        <v>14.232213994307024</v>
      </c>
      <c r="U9974" s="11">
        <v>0.10014294255661688</v>
      </c>
      <c r="V9974" s="11">
        <v>0.0071581730286225595</v>
      </c>
      <c r="W9974" s="11">
        <v>0.4677230735498463</v>
      </c>
      <c r="X9974" s="11">
        <v>0.16128885011402572</v>
      </c>
      <c r="Y9974" s="11">
        <v>0.1315171885848943</v>
      </c>
      <c r="Z9974" s="11">
        <v>0.13216977216599426</v>
      </c>
    </row>
    <row r="9975" ht="22.5" customHeight="1">
      <c r="Q9975" s="9" t="s">
        <v>10013</v>
      </c>
      <c r="R9975" s="10">
        <v>0.7667151160086422</v>
      </c>
      <c r="S9975" s="10">
        <v>0.051063346382526506</v>
      </c>
      <c r="T9975" s="10">
        <v>14.231639081478582</v>
      </c>
      <c r="U9975" s="11">
        <v>0.22423045729399824</v>
      </c>
      <c r="V9975" s="11">
        <v>0.01597381971929503</v>
      </c>
      <c r="W9975" s="11">
        <v>0.47061028189783755</v>
      </c>
      <c r="X9975" s="11">
        <v>0.09534687765457761</v>
      </c>
      <c r="Y9975" s="11">
        <v>0.022576235728450026</v>
      </c>
      <c r="Z9975" s="11">
        <v>0.17126232770584163</v>
      </c>
    </row>
    <row r="9976" ht="22.5" customHeight="1">
      <c r="Q9976" s="9" t="s">
        <v>10014</v>
      </c>
      <c r="R9976" s="10">
        <v>0.6742427748225812</v>
      </c>
      <c r="S9976" s="10">
        <v>0.04456573043978387</v>
      </c>
      <c r="T9976" s="10">
        <v>14.231625254735915</v>
      </c>
      <c r="U9976" s="11">
        <v>0.03176768404764345</v>
      </c>
      <c r="V9976" s="11">
        <v>0.002183161125953286</v>
      </c>
      <c r="W9976" s="11">
        <v>0.4058995249769108</v>
      </c>
      <c r="X9976" s="11">
        <v>0.11527325794341242</v>
      </c>
      <c r="Y9976" s="11">
        <v>0.28049589948892817</v>
      </c>
      <c r="Z9976" s="11">
        <v>0.16438047241715192</v>
      </c>
    </row>
    <row r="9977" ht="22.5" customHeight="1">
      <c r="Q9977" s="9" t="s">
        <v>10015</v>
      </c>
      <c r="R9977" s="10">
        <v>0.5501626471894392</v>
      </c>
      <c r="S9977" s="10">
        <v>0.03587522211191867</v>
      </c>
      <c r="T9977" s="10">
        <v>14.220473551296845</v>
      </c>
      <c r="U9977" s="11">
        <v>0.1739629605208472</v>
      </c>
      <c r="V9977" s="11">
        <v>0.0021799831368164843</v>
      </c>
      <c r="W9977" s="11">
        <v>0.32695277503051173</v>
      </c>
      <c r="X9977" s="11">
        <v>0.09436033253448484</v>
      </c>
      <c r="Y9977" s="11">
        <v>0.043425122936448256</v>
      </c>
      <c r="Z9977" s="11">
        <v>0.35911882584089155</v>
      </c>
    </row>
    <row r="9978" ht="22.5" customHeight="1">
      <c r="Q9978" s="9" t="s">
        <v>10016</v>
      </c>
      <c r="R9978" s="10">
        <v>0.6565829763194672</v>
      </c>
      <c r="S9978" s="10">
        <v>0.04338927553266091</v>
      </c>
      <c r="T9978" s="10">
        <v>14.210492541073645</v>
      </c>
      <c r="U9978" s="11">
        <v>0.296066497021718</v>
      </c>
      <c r="V9978" s="11">
        <v>2.124534748557319E-4</v>
      </c>
      <c r="W9978" s="11">
        <v>0.3947779323336292</v>
      </c>
      <c r="X9978" s="11">
        <v>0.054780352766480495</v>
      </c>
      <c r="Y9978" s="11">
        <v>0.19728656696058733</v>
      </c>
      <c r="Z9978" s="11">
        <v>0.05687619744272925</v>
      </c>
    </row>
    <row r="9979" ht="22.5" customHeight="1">
      <c r="Q9979" s="9" t="s">
        <v>10017</v>
      </c>
      <c r="R9979" s="10">
        <v>0.5698692075157853</v>
      </c>
      <c r="S9979" s="10">
        <v>0.037330219014197204</v>
      </c>
      <c r="T9979" s="10">
        <v>14.194109263443341</v>
      </c>
      <c r="U9979" s="11">
        <v>0.2304169893292425</v>
      </c>
      <c r="V9979" s="11">
        <v>0.0017691908008913523</v>
      </c>
      <c r="W9979" s="11">
        <v>0.3386732389464425</v>
      </c>
      <c r="X9979" s="11">
        <v>0.026590357964098886</v>
      </c>
      <c r="Y9979" s="11">
        <v>0.16927803164248337</v>
      </c>
      <c r="Z9979" s="11">
        <v>0.23327219131684127</v>
      </c>
    </row>
    <row r="9980" ht="22.5" customHeight="1">
      <c r="Q9980" s="9" t="s">
        <v>10018</v>
      </c>
      <c r="R9980" s="10">
        <v>0.21156877401303575</v>
      </c>
      <c r="S9980" s="10">
        <v>0.012091986420314713</v>
      </c>
      <c r="T9980" s="10">
        <v>14.18863436075298</v>
      </c>
      <c r="U9980" s="11">
        <v>0.06295799660464627</v>
      </c>
      <c r="V9980" s="11">
        <v>0.008217321715360269</v>
      </c>
      <c r="W9980" s="11">
        <v>0.05543424618480938</v>
      </c>
      <c r="X9980" s="11">
        <v>0.03306795496297224</v>
      </c>
      <c r="Y9980" s="11">
        <v>0.4539902727563653</v>
      </c>
      <c r="Z9980" s="11">
        <v>0.3863322077758467</v>
      </c>
    </row>
    <row r="9981" ht="22.5" customHeight="1">
      <c r="Q9981" s="9" t="s">
        <v>10019</v>
      </c>
      <c r="R9981" s="10">
        <v>0.5740173304170682</v>
      </c>
      <c r="S9981" s="10">
        <v>0.037658211784772</v>
      </c>
      <c r="T9981" s="10">
        <v>14.180634318728082</v>
      </c>
      <c r="U9981" s="11">
        <v>0.32135023860624706</v>
      </c>
      <c r="V9981" s="11">
        <v>0.007454997786665275</v>
      </c>
      <c r="W9981" s="11">
        <v>0.3424389025173695</v>
      </c>
      <c r="X9981" s="11">
        <v>0.00654057331411648</v>
      </c>
      <c r="Y9981" s="11">
        <v>0.047162773124572066</v>
      </c>
      <c r="Z9981" s="11">
        <v>0.27505251465102953</v>
      </c>
    </row>
    <row r="9982" ht="22.5" customHeight="1">
      <c r="Q9982" s="9" t="s">
        <v>10020</v>
      </c>
      <c r="R9982" s="10">
        <v>0.538351161126975</v>
      </c>
      <c r="S9982" s="10">
        <v>0.03521886537239416</v>
      </c>
      <c r="T9982" s="10">
        <v>14.150119711624809</v>
      </c>
      <c r="U9982" s="11">
        <v>0.09435661479140972</v>
      </c>
      <c r="V9982" s="11">
        <v>0.002697983603169101</v>
      </c>
      <c r="W9982" s="11">
        <v>0.31721914780919014</v>
      </c>
      <c r="X9982" s="11">
        <v>0.007720717809106733</v>
      </c>
      <c r="Y9982" s="11">
        <v>0.26742345698745723</v>
      </c>
      <c r="Z9982" s="11">
        <v>0.310582078999667</v>
      </c>
    </row>
    <row r="9983" ht="22.5" customHeight="1">
      <c r="Q9983" s="9" t="s">
        <v>10021</v>
      </c>
      <c r="R9983" s="10">
        <v>0.6598037349498859</v>
      </c>
      <c r="S9983" s="10">
        <v>0.04391289117024976</v>
      </c>
      <c r="T9983" s="10">
        <v>14.114391433415625</v>
      </c>
      <c r="U9983" s="11">
        <v>0.09978033469229759</v>
      </c>
      <c r="V9983" s="11">
        <v>0.0035103190947340496</v>
      </c>
      <c r="W9983" s="11">
        <v>0.40058992664375115</v>
      </c>
      <c r="X9983" s="11">
        <v>0.0564002051338222</v>
      </c>
      <c r="Y9983" s="11">
        <v>0.2457669592588977</v>
      </c>
      <c r="Z9983" s="11">
        <v>0.1939522551764974</v>
      </c>
    </row>
    <row r="9984" ht="22.5" customHeight="1">
      <c r="Q9984" s="9" t="s">
        <v>10022</v>
      </c>
      <c r="R9984" s="10">
        <v>0.5896297244891635</v>
      </c>
      <c r="S9984" s="10">
        <v>0.039195992887550095</v>
      </c>
      <c r="T9984" s="10">
        <v>14.022599862848315</v>
      </c>
      <c r="U9984" s="11">
        <v>0.16348428421329605</v>
      </c>
      <c r="V9984" s="11">
        <v>0.00887336311777743</v>
      </c>
      <c r="W9984" s="11">
        <v>0.35848302670220966</v>
      </c>
      <c r="X9984" s="11">
        <v>0.02121896477945065</v>
      </c>
      <c r="Y9984" s="11">
        <v>0.055111261246921166</v>
      </c>
      <c r="Z9984" s="11">
        <v>0.392829099940345</v>
      </c>
    </row>
    <row r="9985" ht="22.5" customHeight="1">
      <c r="Q9985" s="9" t="s">
        <v>10023</v>
      </c>
      <c r="R9985" s="10">
        <v>0.6472131778950161</v>
      </c>
      <c r="S9985" s="10">
        <v>0.04344766477404252</v>
      </c>
      <c r="T9985" s="10">
        <v>13.975737960899362</v>
      </c>
      <c r="U9985" s="11">
        <v>0.10310132297011736</v>
      </c>
      <c r="V9985" s="11">
        <v>8.846319810149592E-4</v>
      </c>
      <c r="W9985" s="11">
        <v>0.396474692166751</v>
      </c>
      <c r="X9985" s="11">
        <v>0.04339734688520831</v>
      </c>
      <c r="Y9985" s="11">
        <v>0.2342554461691581</v>
      </c>
      <c r="Z9985" s="11">
        <v>0.22188655982775027</v>
      </c>
    </row>
    <row r="9986" ht="22.5" customHeight="1">
      <c r="Q9986" s="9" t="s">
        <v>10024</v>
      </c>
      <c r="R9986" s="10">
        <v>0.7098265952267263</v>
      </c>
      <c r="S9986" s="10">
        <v>0.04793817552385985</v>
      </c>
      <c r="T9986" s="10">
        <v>13.97271773293373</v>
      </c>
      <c r="U9986" s="11">
        <v>0.3881577941284139</v>
      </c>
      <c r="V9986" s="11">
        <v>0.0037125831487024334</v>
      </c>
      <c r="W9986" s="11">
        <v>0.43901820705132294</v>
      </c>
      <c r="X9986" s="11">
        <v>0.02036721071232548</v>
      </c>
      <c r="Y9986" s="11">
        <v>0.07287410577648108</v>
      </c>
      <c r="Z9986" s="11">
        <v>0.075870099182754</v>
      </c>
    </row>
    <row r="9987" ht="22.5" customHeight="1">
      <c r="Q9987" s="9" t="s">
        <v>10025</v>
      </c>
      <c r="R9987" s="10">
        <v>0.8866279426816281</v>
      </c>
      <c r="S9987" s="10">
        <v>0.06097400667237207</v>
      </c>
      <c r="T9987" s="10">
        <v>13.885063306250524</v>
      </c>
      <c r="U9987" s="11">
        <v>0.1481071917767429</v>
      </c>
      <c r="V9987" s="11">
        <v>0.012617816366266158</v>
      </c>
      <c r="W9987" s="11">
        <v>0.5614135855555265</v>
      </c>
      <c r="X9987" s="11">
        <v>0.025647984289457127</v>
      </c>
      <c r="Y9987" s="11">
        <v>0.22035233323219275</v>
      </c>
      <c r="Z9987" s="11">
        <v>0.03186108877981469</v>
      </c>
    </row>
    <row r="9988" ht="22.5" customHeight="1">
      <c r="Q9988" s="9" t="s">
        <v>10026</v>
      </c>
      <c r="R9988" s="10">
        <v>1.0908205211476238</v>
      </c>
      <c r="S9988" s="10">
        <v>0.07691475007488831</v>
      </c>
      <c r="T9988" s="10">
        <v>13.662145688889177</v>
      </c>
      <c r="U9988" s="11">
        <v>0.0023438998409872594</v>
      </c>
      <c r="V9988" s="11">
        <v>0.019831039146363742</v>
      </c>
      <c r="W9988" s="11">
        <v>0.7136353019653577</v>
      </c>
      <c r="X9988" s="11">
        <v>0.12153022326350851</v>
      </c>
      <c r="Y9988" s="11">
        <v>0.024807206122306098</v>
      </c>
      <c r="Z9988" s="11">
        <v>0.11785232966147648</v>
      </c>
    </row>
    <row r="9989" ht="22.5" customHeight="1">
      <c r="Q9989" s="9" t="s">
        <v>10027</v>
      </c>
      <c r="R9989" s="10">
        <v>0.7711404157842832</v>
      </c>
      <c r="S9989" s="10">
        <v>0.05354434251597601</v>
      </c>
      <c r="T9989" s="10">
        <v>13.654858411346316</v>
      </c>
      <c r="U9989" s="11">
        <v>0.10758723302178189</v>
      </c>
      <c r="V9989" s="11">
        <v>0.0018609564337340805</v>
      </c>
      <c r="W9989" s="11">
        <v>0.49238162711964245</v>
      </c>
      <c r="X9989" s="11">
        <v>0.014173722499202257</v>
      </c>
      <c r="Y9989" s="11">
        <v>0.20685507701948935</v>
      </c>
      <c r="Z9989" s="11">
        <v>0.17714138390614995</v>
      </c>
    </row>
    <row r="9990" ht="22.5" customHeight="1">
      <c r="Q9990" s="9" t="s">
        <v>10028</v>
      </c>
      <c r="R9990" s="10">
        <v>0.6981344632946452</v>
      </c>
      <c r="S9990" s="10">
        <v>0.04826952465238366</v>
      </c>
      <c r="T9990" s="10">
        <v>13.634575190749159</v>
      </c>
      <c r="U9990" s="11">
        <v>0.09568894708380982</v>
      </c>
      <c r="V9990" s="11">
        <v>0.002191669660845038</v>
      </c>
      <c r="W9990" s="11">
        <v>0.44351654748813674</v>
      </c>
      <c r="X9990" s="11">
        <v>0.003355933575988757</v>
      </c>
      <c r="Y9990" s="11">
        <v>0.16379985208984207</v>
      </c>
      <c r="Z9990" s="11">
        <v>0.29144705010137767</v>
      </c>
    </row>
    <row r="9991" ht="22.5" customHeight="1">
      <c r="Q9991" s="9" t="s">
        <v>10029</v>
      </c>
      <c r="R9991" s="10">
        <v>0.8402497451901948</v>
      </c>
      <c r="S9991" s="10">
        <v>0.0586951741262301</v>
      </c>
      <c r="T9991" s="10">
        <v>13.633995589981113</v>
      </c>
      <c r="U9991" s="11">
        <v>0.20263535562605423</v>
      </c>
      <c r="V9991" s="11">
        <v>0.006470378008633156</v>
      </c>
      <c r="W9991" s="11">
        <v>0.5426975661417612</v>
      </c>
      <c r="X9991" s="11">
        <v>0.03491199568883351</v>
      </c>
      <c r="Y9991" s="11">
        <v>0.04024272352906176</v>
      </c>
      <c r="Z9991" s="11">
        <v>0.17304198100565626</v>
      </c>
    </row>
    <row r="9992" ht="22.5" customHeight="1">
      <c r="Q9992" s="9" t="s">
        <v>10030</v>
      </c>
      <c r="R9992" s="10">
        <v>0.21100636455053412</v>
      </c>
      <c r="S9992" s="10">
        <v>0.01275048102550067</v>
      </c>
      <c r="T9992" s="10">
        <v>13.411757894351224</v>
      </c>
      <c r="U9992" s="11">
        <v>0.32930283197305943</v>
      </c>
      <c r="V9992" s="11">
        <v>0.02695427108638092</v>
      </c>
      <c r="W9992" s="11">
        <v>0.007307158126246904</v>
      </c>
      <c r="X9992" s="11">
        <v>0.09209574398123098</v>
      </c>
      <c r="Y9992" s="11">
        <v>0.5315496761576769</v>
      </c>
      <c r="Z9992" s="11">
        <v>0.012790318675404831</v>
      </c>
    </row>
    <row r="9993" ht="22.5" customHeight="1">
      <c r="Q9993" s="9" t="s">
        <v>10031</v>
      </c>
      <c r="R9993" s="10">
        <v>0.16908214555653314</v>
      </c>
      <c r="S9993" s="10">
        <v>0.009635508927359633</v>
      </c>
      <c r="T9993" s="10">
        <v>13.396505211054256</v>
      </c>
      <c r="U9993" s="11">
        <v>0.33083066937230576</v>
      </c>
      <c r="V9993" s="11">
        <v>0.009099609608530715</v>
      </c>
      <c r="W9993" s="11">
        <v>0.03267763039931441</v>
      </c>
      <c r="X9993" s="11">
        <v>0.05230478746758756</v>
      </c>
      <c r="Y9993" s="11">
        <v>0.09085321430940076</v>
      </c>
      <c r="Z9993" s="11">
        <v>0.48423408884286073</v>
      </c>
    </row>
    <row r="9994" ht="22.5" customHeight="1">
      <c r="Q9994" s="9" t="s">
        <v>10032</v>
      </c>
      <c r="R9994" s="10">
        <v>0.16479951023464226</v>
      </c>
      <c r="S9994" s="10">
        <v>0.009460490925188553</v>
      </c>
      <c r="T9994" s="10">
        <v>13.191652655399057</v>
      </c>
      <c r="U9994" s="11">
        <v>0.12859825182577214</v>
      </c>
      <c r="V9994" s="11">
        <v>0.005426015624463126</v>
      </c>
      <c r="W9994" s="11">
        <v>0.003061536047811109</v>
      </c>
      <c r="X9994" s="11">
        <v>0.21200314012897914</v>
      </c>
      <c r="Y9994" s="11">
        <v>0.3634727417808358</v>
      </c>
      <c r="Z9994" s="11">
        <v>0.28743831459213864</v>
      </c>
    </row>
    <row r="9995" ht="22.5" customHeight="1">
      <c r="Q9995" s="9" t="s">
        <v>10033</v>
      </c>
      <c r="R9995" s="10">
        <v>0.20641385831892342</v>
      </c>
      <c r="S9995" s="10">
        <v>0.012724704059007842</v>
      </c>
      <c r="T9995" s="10">
        <v>13.078014038457635</v>
      </c>
      <c r="U9995" s="11">
        <v>0.0038719128246440847</v>
      </c>
      <c r="V9995" s="11">
        <v>0.01456236562086401</v>
      </c>
      <c r="W9995" s="11">
        <v>0.03833461263078872</v>
      </c>
      <c r="X9995" s="11">
        <v>0.03859098992643815</v>
      </c>
      <c r="Y9995" s="11">
        <v>0.5784991955407901</v>
      </c>
      <c r="Z9995" s="11">
        <v>0.326140923456475</v>
      </c>
    </row>
    <row r="9996" ht="22.5" customHeight="1">
      <c r="Q9996" s="9" t="s">
        <v>10034</v>
      </c>
      <c r="R9996" s="10">
        <v>0.522331348251574</v>
      </c>
      <c r="S9996" s="10">
        <v>0.010189160229978834</v>
      </c>
      <c r="T9996" s="10">
        <v>12.880696242525381</v>
      </c>
      <c r="U9996" s="11">
        <v>0.29235939949742373</v>
      </c>
      <c r="V9996" s="11">
        <v>0.017098471907145602</v>
      </c>
      <c r="W9996" s="11">
        <v>0.01719433905708499</v>
      </c>
      <c r="X9996" s="11">
        <v>0.0046394851403366525</v>
      </c>
      <c r="Y9996" s="11">
        <v>0.32497529677992004</v>
      </c>
      <c r="Z9996" s="11">
        <v>0.343733007618089</v>
      </c>
    </row>
    <row r="9997" ht="22.5" customHeight="1">
      <c r="Q9997" s="9" t="s">
        <v>10035</v>
      </c>
      <c r="R9997" s="10">
        <v>0.15551390305696514</v>
      </c>
      <c r="S9997" s="10">
        <v>0.009051541882091268</v>
      </c>
      <c r="T9997" s="10">
        <v>12.761792914587586</v>
      </c>
      <c r="U9997" s="11">
        <v>0.173820282138426</v>
      </c>
      <c r="V9997" s="11">
        <v>0.0012234179098932303</v>
      </c>
      <c r="W9997" s="11">
        <v>0.020357666736063495</v>
      </c>
      <c r="X9997" s="11">
        <v>0.09996017147821505</v>
      </c>
      <c r="Y9997" s="11">
        <v>0.2651026832524396</v>
      </c>
      <c r="Z9997" s="11">
        <v>0.43953577848496284</v>
      </c>
    </row>
    <row r="9998" ht="22.5" customHeight="1">
      <c r="Q9998" s="9" t="s">
        <v>10036</v>
      </c>
      <c r="R9998" s="10">
        <v>0.522331348251574</v>
      </c>
      <c r="S9998" s="10">
        <v>0.014799736516519191</v>
      </c>
      <c r="T9998" s="10">
        <v>12.450490306524475</v>
      </c>
      <c r="U9998" s="11">
        <v>0.011806831412654277</v>
      </c>
      <c r="V9998" s="11">
        <v>0.0411950590441865</v>
      </c>
      <c r="W9998" s="11">
        <v>0.0030220607427635564</v>
      </c>
      <c r="X9998" s="11">
        <v>0.10653293351224677</v>
      </c>
      <c r="Y9998" s="11">
        <v>0.728576916162757</v>
      </c>
      <c r="Z9998" s="11">
        <v>0.10886619912539194</v>
      </c>
    </row>
    <row r="9999" ht="22.5" customHeight="1">
      <c r="Q9999" s="9" t="s">
        <v>10037</v>
      </c>
      <c r="R9999" s="10">
        <v>0.15577066650028695</v>
      </c>
      <c r="S9999" s="10">
        <v>0.009382389108363266</v>
      </c>
      <c r="T9999" s="10">
        <v>12.339145729640586</v>
      </c>
      <c r="U9999" s="11">
        <v>0.17379219395362</v>
      </c>
      <c r="V9999" s="11">
        <v>0.011383404438900154</v>
      </c>
      <c r="W9999" s="11">
        <v>0.011310339636457249</v>
      </c>
      <c r="X9999" s="11">
        <v>0.05862004713178938</v>
      </c>
      <c r="Y9999" s="11">
        <v>0.3210980136229551</v>
      </c>
      <c r="Z9999" s="11">
        <v>0.4237960012162781</v>
      </c>
    </row>
    <row r="10000" ht="22.5" customHeight="1">
      <c r="Q10000" s="9" t="s">
        <v>10038</v>
      </c>
      <c r="R10000" s="10">
        <v>0.17029316718839163</v>
      </c>
      <c r="S10000" s="10">
        <v>0.010605882414422337</v>
      </c>
      <c r="T10000" s="10">
        <v>12.284990734124428</v>
      </c>
      <c r="U10000" s="11">
        <v>9.657378355988903E-4</v>
      </c>
      <c r="V10000" s="11">
        <v>0.040313411405132296</v>
      </c>
      <c r="W10000" s="11">
        <v>1.9127395545264059E-4</v>
      </c>
      <c r="X10000" s="11">
        <v>0.019654430561489356</v>
      </c>
      <c r="Y10000" s="11">
        <v>0.40371297807383527</v>
      </c>
      <c r="Z10000" s="11">
        <v>0.5351621681684916</v>
      </c>
    </row>
    <row r="10001" ht="22.5" customHeight="1">
      <c r="Q10001" s="9" t="s">
        <v>10039</v>
      </c>
      <c r="R10001" s="10">
        <v>0.16842410050752452</v>
      </c>
      <c r="S10001" s="10">
        <v>0.010477771950783756</v>
      </c>
      <c r="T10001" s="10">
        <v>12.256813863744968</v>
      </c>
      <c r="U10001" s="11">
        <v>0.1901007048014094</v>
      </c>
      <c r="V10001" s="11">
        <v>0.0023088947064438853</v>
      </c>
      <c r="W10001" s="11">
        <v>0.030053189482766467</v>
      </c>
      <c r="X10001" s="11">
        <v>0.020699592087538857</v>
      </c>
      <c r="Y10001" s="11">
        <v>0.3796040170400168</v>
      </c>
      <c r="Z10001" s="11">
        <v>0.37723360188182453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ModelSheet=Portfolio!A:W</f>
        <v>#NAME?</v>
      </c>
    </row>
    <row r="2">
      <c r="A2" s="2" t="str">
        <f>OpenSolver_AdjNum=1</f>
        <v>#NAME?</v>
      </c>
    </row>
    <row r="3">
      <c r="A3" s="2" t="str">
        <f>OpenSolver_ChosenSolver=NeosCBC</f>
        <v>#NAME?</v>
      </c>
    </row>
    <row r="4">
      <c r="A4" s="2" t="str">
        <f>OpenSolver_FastBuild=0</f>
        <v>#NAME?</v>
      </c>
    </row>
    <row r="5">
      <c r="A5" s="2" t="str">
        <f>OpenSolver_LinearityCheck=1</f>
        <v>#NAME?</v>
      </c>
    </row>
    <row r="6">
      <c r="A6" s="2" t="str">
        <f>solver_adj=Portfolio!B2:B7</f>
        <v>#NAME?</v>
      </c>
    </row>
    <row r="7">
      <c r="A7" s="2" t="str">
        <f>solver_lhs1=Portfolio!B2:B7</f>
        <v>#NAME?</v>
      </c>
    </row>
    <row r="8">
      <c r="A8" s="2" t="str">
        <f>solver_neg=1</f>
        <v>#NAME?</v>
      </c>
    </row>
    <row r="9">
      <c r="A9" s="2" t="str">
        <f>solver_num=1</f>
        <v>#NAME?</v>
      </c>
    </row>
    <row r="10">
      <c r="A10" s="2" t="str">
        <f>solver_opt=Portfolio!C12</f>
        <v>#NAME?</v>
      </c>
    </row>
    <row r="11">
      <c r="A11" s="2" t="str">
        <f>solver_rel1=2</f>
        <v>#NAME?</v>
      </c>
    </row>
    <row r="12">
      <c r="A12" s="2" t="str">
        <f>solver_rhs1=Portfolio!E8</f>
        <v>#NAME?</v>
      </c>
    </row>
    <row r="13">
      <c r="A13" s="2" t="str">
        <f>solver_sho=1</f>
        <v>#NAME?</v>
      </c>
    </row>
    <row r="14">
      <c r="A14" s="2" t="str">
        <f>solver_typ=2</f>
        <v>#NAME?</v>
      </c>
    </row>
    <row r="15">
      <c r="A15" s="2" t="str">
        <f>solver_val=0</f>
        <v>#NAME?</v>
      </c>
    </row>
  </sheetData>
  <drawing r:id="rId1"/>
</worksheet>
</file>